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1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40F3CC57-80DC-4D20-950E-B6AD69357E4C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MAP!$P$1:$P$285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22" l="1"/>
  <c r="B36" i="22" s="1"/>
  <c r="A36" i="22" s="1"/>
  <c r="C37" i="22"/>
  <c r="B37" i="22" s="1"/>
  <c r="A37" i="22" s="1"/>
  <c r="C38" i="22"/>
  <c r="B38" i="22" s="1"/>
  <c r="A38" i="22" s="1"/>
  <c r="C39" i="22"/>
  <c r="B39" i="22" s="1"/>
  <c r="A39" i="22" s="1"/>
  <c r="C40" i="22"/>
  <c r="B40" i="22" s="1"/>
  <c r="A40" i="22" s="1"/>
  <c r="C41" i="22"/>
  <c r="B41" i="22" s="1"/>
  <c r="A41" i="22" s="1"/>
  <c r="B42" i="22"/>
  <c r="A42" i="22" s="1"/>
  <c r="C42" i="22"/>
  <c r="B2" i="25" l="1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C33" i="22" l="1"/>
  <c r="B33" i="22" s="1"/>
  <c r="A33" i="22" s="1"/>
  <c r="C34" i="22"/>
  <c r="B34" i="22" s="1"/>
  <c r="A34" i="22" s="1"/>
  <c r="C35" i="22"/>
  <c r="B35" i="22" s="1"/>
  <c r="A35" i="22" s="1"/>
  <c r="HI13" i="17"/>
  <c r="HJ13" i="17" s="1"/>
  <c r="HI14" i="17"/>
  <c r="HJ14" i="17" s="1"/>
  <c r="HI15" i="17"/>
  <c r="HJ15" i="17" s="1"/>
  <c r="HI16" i="17"/>
  <c r="HJ16" i="17" s="1"/>
  <c r="HI17" i="17"/>
  <c r="HJ17" i="17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 s="1"/>
  <c r="HI29" i="17"/>
  <c r="HJ29" i="17" s="1"/>
  <c r="HI30" i="17"/>
  <c r="HJ30" i="17" s="1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/>
  <c r="HI40" i="17"/>
  <c r="HJ40" i="17" s="1"/>
  <c r="HI41" i="17"/>
  <c r="HJ41" i="17" s="1"/>
  <c r="HI42" i="17"/>
  <c r="HJ42" i="17"/>
  <c r="HI43" i="17"/>
  <c r="HJ43" i="17" s="1"/>
  <c r="HI44" i="17"/>
  <c r="HJ44" i="17" s="1"/>
  <c r="HI45" i="17"/>
  <c r="HJ45" i="17" s="1"/>
  <c r="HI46" i="17"/>
  <c r="HJ46" i="17" s="1"/>
  <c r="HI47" i="17"/>
  <c r="HJ47" i="17" s="1"/>
  <c r="HI48" i="17"/>
  <c r="HJ48" i="17" s="1"/>
  <c r="HI49" i="17"/>
  <c r="HJ49" i="17" s="1"/>
  <c r="HI50" i="17"/>
  <c r="HJ50" i="17"/>
  <c r="HI51" i="17"/>
  <c r="HJ51" i="17" s="1"/>
  <c r="HI52" i="17"/>
  <c r="HJ52" i="17"/>
  <c r="HI53" i="17"/>
  <c r="HJ53" i="17" s="1"/>
  <c r="HI54" i="17"/>
  <c r="HJ54" i="17" s="1"/>
  <c r="HI55" i="17"/>
  <c r="HJ55" i="17"/>
  <c r="HI56" i="17"/>
  <c r="HJ56" i="17"/>
  <c r="HI57" i="17"/>
  <c r="HJ57" i="17" s="1"/>
  <c r="HI58" i="17"/>
  <c r="HJ58" i="17" s="1"/>
  <c r="HI59" i="17"/>
  <c r="HJ59" i="17" s="1"/>
  <c r="HI60" i="17"/>
  <c r="HJ60" i="17" s="1"/>
  <c r="HI61" i="17"/>
  <c r="HJ61" i="17"/>
  <c r="HI62" i="17"/>
  <c r="HJ62" i="17" s="1"/>
  <c r="HI63" i="17"/>
  <c r="HJ63" i="17" s="1"/>
  <c r="HI64" i="17"/>
  <c r="HJ64" i="17" s="1"/>
  <c r="HI65" i="17"/>
  <c r="HJ65" i="17"/>
  <c r="HI66" i="17"/>
  <c r="HJ66" i="17"/>
  <c r="HI67" i="17"/>
  <c r="HJ67" i="17" s="1"/>
  <c r="HI68" i="17"/>
  <c r="HJ68" i="17" s="1"/>
  <c r="HI69" i="17"/>
  <c r="HJ69" i="17" s="1"/>
  <c r="HI70" i="17"/>
  <c r="HJ70" i="17" s="1"/>
  <c r="HI71" i="17"/>
  <c r="HJ71" i="17" s="1"/>
  <c r="HI72" i="17"/>
  <c r="HJ72" i="17"/>
  <c r="HI73" i="17"/>
  <c r="HJ73" i="17" s="1"/>
  <c r="HI12" i="17"/>
  <c r="HJ12" i="17" s="1"/>
  <c r="EZO31" i="18"/>
  <c r="EZP31" i="18" s="1"/>
  <c r="EZO32" i="18"/>
  <c r="EZP32" i="18" s="1"/>
  <c r="EZO33" i="18"/>
  <c r="EZP33" i="18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/>
  <c r="EZO40" i="18"/>
  <c r="EZP40" i="18"/>
  <c r="EZO41" i="18"/>
  <c r="EZP41" i="18"/>
  <c r="EZO42" i="18"/>
  <c r="EZP42" i="18"/>
  <c r="EZO43" i="18"/>
  <c r="EZP43" i="18" s="1"/>
  <c r="EZO44" i="18"/>
  <c r="EZP44" i="18"/>
  <c r="EZO45" i="18"/>
  <c r="EZP45" i="18" s="1"/>
  <c r="EZO46" i="18"/>
  <c r="EZP46" i="18"/>
  <c r="EZO47" i="18"/>
  <c r="EZP47" i="18" s="1"/>
  <c r="EZO48" i="18"/>
  <c r="EZP48" i="18" s="1"/>
  <c r="EZO49" i="18"/>
  <c r="EZP49" i="18"/>
  <c r="EZO50" i="18"/>
  <c r="EZP50" i="18"/>
  <c r="EZO51" i="18"/>
  <c r="EZP51" i="18"/>
  <c r="EZO52" i="18"/>
  <c r="EZP52" i="18"/>
  <c r="EZO53" i="18"/>
  <c r="EZP53" i="18"/>
  <c r="EZO54" i="18"/>
  <c r="EZP54" i="18"/>
  <c r="EZO55" i="18"/>
  <c r="EZP55" i="18"/>
  <c r="EZO56" i="18"/>
  <c r="EZP56" i="18" s="1"/>
  <c r="EZO57" i="18"/>
  <c r="EZP57" i="18"/>
  <c r="EZO58" i="18"/>
  <c r="EZP58" i="18"/>
  <c r="EZO59" i="18"/>
  <c r="EZP59" i="18"/>
  <c r="EZO30" i="18"/>
  <c r="EZP30" i="18" s="1"/>
  <c r="EZO8" i="18"/>
  <c r="EZP8" i="18" s="1"/>
  <c r="EZO9" i="18"/>
  <c r="EZP9" i="18"/>
  <c r="EZO10" i="18"/>
  <c r="EZP10" i="18" s="1"/>
  <c r="EZO11" i="18"/>
  <c r="EZP11" i="18"/>
  <c r="EZO12" i="18"/>
  <c r="EZP12" i="18"/>
  <c r="EZO13" i="18"/>
  <c r="EZP13" i="18" s="1"/>
  <c r="EZO14" i="18"/>
  <c r="EZP14" i="18"/>
  <c r="EZO15" i="18"/>
  <c r="EZP15" i="18" s="1"/>
  <c r="EZO16" i="18"/>
  <c r="EZP16" i="18" s="1"/>
  <c r="EZO17" i="18"/>
  <c r="EZP17" i="18" s="1"/>
  <c r="EZO18" i="18"/>
  <c r="EZP18" i="18" s="1"/>
  <c r="EZO19" i="18"/>
  <c r="EZP19" i="18"/>
  <c r="EZO20" i="18"/>
  <c r="EZP20" i="18"/>
  <c r="EZO21" i="18"/>
  <c r="EZP21" i="18"/>
  <c r="EZO7" i="18"/>
  <c r="EZP7" i="18" s="1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 s="1"/>
  <c r="FAF15" i="15"/>
  <c r="FAG15" i="15"/>
  <c r="FAF16" i="15"/>
  <c r="FAG16" i="15" s="1"/>
  <c r="FAF17" i="15"/>
  <c r="FAG17" i="15" s="1"/>
  <c r="FAF18" i="15"/>
  <c r="FAG18" i="15"/>
  <c r="FAF19" i="15"/>
  <c r="FAG19" i="15" s="1"/>
  <c r="FAF20" i="15"/>
  <c r="FAG20" i="15" s="1"/>
  <c r="FAF21" i="15"/>
  <c r="FAG21" i="15" s="1"/>
  <c r="FAF22" i="15"/>
  <c r="FAG22" i="15"/>
  <c r="FAF23" i="15"/>
  <c r="FAG23" i="15" s="1"/>
  <c r="FAF7" i="15"/>
  <c r="FAG7" i="15" s="1"/>
  <c r="H2" i="23"/>
  <c r="C28" i="22"/>
  <c r="B28" i="22" s="1"/>
  <c r="A28" i="22" s="1"/>
  <c r="C29" i="22"/>
  <c r="B29" i="22" s="1"/>
  <c r="A29" i="22" s="1"/>
  <c r="C30" i="22"/>
  <c r="B30" i="22" s="1"/>
  <c r="A30" i="22" s="1"/>
  <c r="C31" i="22"/>
  <c r="B31" i="22" s="1"/>
  <c r="A31" i="22" s="1"/>
  <c r="C32" i="22"/>
  <c r="B32" i="22" s="1"/>
  <c r="A32" i="22" s="1"/>
  <c r="F85" i="17"/>
  <c r="C14" i="22"/>
  <c r="B14" i="22" s="1"/>
  <c r="A14" i="22" s="1"/>
  <c r="C15" i="22"/>
  <c r="B15" i="22" s="1"/>
  <c r="A15" i="22" s="1"/>
  <c r="C16" i="22"/>
  <c r="B16" i="22" s="1"/>
  <c r="A16" i="22" s="1"/>
  <c r="C17" i="22"/>
  <c r="B17" i="22" s="1"/>
  <c r="A17" i="22" s="1"/>
  <c r="C18" i="22"/>
  <c r="B18" i="22" s="1"/>
  <c r="A18" i="22" s="1"/>
  <c r="C19" i="22"/>
  <c r="B19" i="22" s="1"/>
  <c r="A19" i="22" s="1"/>
  <c r="C20" i="22"/>
  <c r="B20" i="22" s="1"/>
  <c r="A20" i="22" s="1"/>
  <c r="C21" i="22"/>
  <c r="B21" i="22" s="1"/>
  <c r="A21" i="22" s="1"/>
  <c r="C22" i="22"/>
  <c r="B22" i="22" s="1"/>
  <c r="A22" i="22" s="1"/>
  <c r="C23" i="22"/>
  <c r="B23" i="22" s="1"/>
  <c r="A23" i="22" s="1"/>
  <c r="C24" i="22"/>
  <c r="B24" i="22" s="1"/>
  <c r="A24" i="22" s="1"/>
  <c r="C25" i="22"/>
  <c r="B25" i="22" s="1"/>
  <c r="A25" i="22" s="1"/>
  <c r="C26" i="22"/>
  <c r="B26" i="22" s="1"/>
  <c r="A26" i="22" s="1"/>
  <c r="C27" i="22"/>
  <c r="B27" i="22" s="1"/>
  <c r="A27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 s="1"/>
  <c r="HA49" i="17"/>
  <c r="HB49" i="17"/>
  <c r="HA50" i="17"/>
  <c r="HB50" i="17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 s="1"/>
  <c r="HA57" i="17"/>
  <c r="HB57" i="17"/>
  <c r="HA58" i="17"/>
  <c r="HB58" i="17"/>
  <c r="HA59" i="17"/>
  <c r="HB59" i="17"/>
  <c r="HA60" i="17"/>
  <c r="HB60" i="17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 s="1"/>
  <c r="HA70" i="17"/>
  <c r="HB70" i="17"/>
  <c r="HA71" i="17"/>
  <c r="HB71" i="17"/>
  <c r="HA72" i="17"/>
  <c r="HB72" i="17"/>
  <c r="HA12" i="17"/>
  <c r="HB12" i="17" s="1"/>
  <c r="EZG31" i="18"/>
  <c r="EZH31" i="18" s="1"/>
  <c r="EZG32" i="18"/>
  <c r="EZH32" i="18" s="1"/>
  <c r="EZG33" i="18"/>
  <c r="EZH33" i="18"/>
  <c r="EZG34" i="18"/>
  <c r="EZH34" i="18" s="1"/>
  <c r="EZG35" i="18"/>
  <c r="EZH35" i="18" s="1"/>
  <c r="EZG36" i="18"/>
  <c r="EZH36" i="18"/>
  <c r="EZG37" i="18"/>
  <c r="EZH37" i="18" s="1"/>
  <c r="EZG38" i="18"/>
  <c r="EZH38" i="18"/>
  <c r="EZG39" i="18"/>
  <c r="EZH39" i="18" s="1"/>
  <c r="EZG40" i="18"/>
  <c r="EZH40" i="18"/>
  <c r="EZG41" i="18"/>
  <c r="EZH41" i="18"/>
  <c r="EZG42" i="18"/>
  <c r="EZH42" i="18"/>
  <c r="EZG43" i="18"/>
  <c r="EZH43" i="18" s="1"/>
  <c r="EZG44" i="18"/>
  <c r="EZH44" i="18"/>
  <c r="EZG45" i="18"/>
  <c r="EZH45" i="18" s="1"/>
  <c r="EZG46" i="18"/>
  <c r="EZH46" i="18" s="1"/>
  <c r="EZG47" i="18"/>
  <c r="EZH47" i="18" s="1"/>
  <c r="EZG48" i="18"/>
  <c r="EZH48" i="18"/>
  <c r="EZG49" i="18"/>
  <c r="EZH49" i="18" s="1"/>
  <c r="EZG50" i="18"/>
  <c r="EZH50" i="18" s="1"/>
  <c r="EZG51" i="18"/>
  <c r="EZH51" i="18"/>
  <c r="EZG52" i="18"/>
  <c r="EZH52" i="18"/>
  <c r="EZG53" i="18"/>
  <c r="EZH53" i="18" s="1"/>
  <c r="EZG54" i="18"/>
  <c r="EZH54" i="18"/>
  <c r="EZG55" i="18"/>
  <c r="EZH55" i="18"/>
  <c r="EZG56" i="18"/>
  <c r="EZH56" i="18"/>
  <c r="EZG57" i="18"/>
  <c r="EZH57" i="18"/>
  <c r="EZG58" i="18"/>
  <c r="EZH58" i="18" s="1"/>
  <c r="EZG59" i="18"/>
  <c r="EZH59" i="18" s="1"/>
  <c r="EZG30" i="18"/>
  <c r="EZH30" i="18" s="1"/>
  <c r="EZG8" i="18"/>
  <c r="EZH8" i="18" s="1"/>
  <c r="EZG9" i="18"/>
  <c r="EZH9" i="18" s="1"/>
  <c r="EZG10" i="18"/>
  <c r="EZH10" i="18" s="1"/>
  <c r="EZG11" i="18"/>
  <c r="EZH11" i="18"/>
  <c r="EZG12" i="18"/>
  <c r="EZH12" i="18"/>
  <c r="EZG13" i="18"/>
  <c r="EZH13" i="18" s="1"/>
  <c r="EZG14" i="18"/>
  <c r="EZH14" i="18" s="1"/>
  <c r="EZG15" i="18"/>
  <c r="EZH15" i="18" s="1"/>
  <c r="EZG16" i="18"/>
  <c r="EZH16" i="18" s="1"/>
  <c r="EZG17" i="18"/>
  <c r="EZH17" i="18"/>
  <c r="EZG18" i="18"/>
  <c r="EZH18" i="18" s="1"/>
  <c r="EZG19" i="18"/>
  <c r="EZH19" i="18" s="1"/>
  <c r="EZG20" i="18"/>
  <c r="EZH20" i="18" s="1"/>
  <c r="EZG21" i="18"/>
  <c r="EZH21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F61" i="18" l="1"/>
  <c r="G61" i="18"/>
  <c r="H61" i="18"/>
  <c r="I61" i="18"/>
  <c r="K61" i="18"/>
  <c r="N61" i="18"/>
  <c r="O61" i="18"/>
  <c r="P61" i="18"/>
  <c r="Q61" i="18"/>
  <c r="R61" i="18"/>
  <c r="S61" i="18"/>
  <c r="T61" i="18"/>
  <c r="U61" i="18"/>
  <c r="V61" i="18"/>
  <c r="X61" i="18"/>
  <c r="E61" i="18"/>
  <c r="F60" i="18"/>
  <c r="G60" i="18"/>
  <c r="H60" i="18"/>
  <c r="I60" i="18"/>
  <c r="N60" i="18"/>
  <c r="P60" i="18"/>
  <c r="R60" i="18"/>
  <c r="S60" i="18"/>
  <c r="U60" i="18"/>
  <c r="X60" i="18"/>
  <c r="E60" i="18"/>
  <c r="C16" i="20"/>
  <c r="D9" i="20"/>
  <c r="D16" i="20" s="1"/>
  <c r="E9" i="20"/>
  <c r="E16" i="20" s="1"/>
  <c r="F9" i="20"/>
  <c r="F16" i="20" s="1"/>
  <c r="G9" i="20"/>
  <c r="G16" i="20" s="1"/>
  <c r="I9" i="20"/>
  <c r="I16" i="20" s="1"/>
  <c r="C9" i="20"/>
  <c r="W57" i="18"/>
  <c r="W58" i="18"/>
  <c r="W59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9" i="18"/>
  <c r="EYZ9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/>
  <c r="EYY19" i="18"/>
  <c r="EYZ19" i="18" s="1"/>
  <c r="EYY20" i="18"/>
  <c r="EYZ20" i="18" s="1"/>
  <c r="EYY21" i="18"/>
  <c r="EYZ21" i="18" s="1"/>
  <c r="EYY7" i="18"/>
  <c r="EYZ7" i="18" s="1"/>
  <c r="EYY31" i="18"/>
  <c r="EYZ31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59" i="18"/>
  <c r="EYZ59" i="18" s="1"/>
  <c r="EYY30" i="18"/>
  <c r="EYZ30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/>
  <c r="GS20" i="17"/>
  <c r="GT20" i="17" s="1"/>
  <c r="GS21" i="17"/>
  <c r="GT21" i="17" s="1"/>
  <c r="GS22" i="17"/>
  <c r="GT22" i="17"/>
  <c r="GS23" i="17"/>
  <c r="GT23" i="17" s="1"/>
  <c r="GS24" i="17"/>
  <c r="GT24" i="17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 s="1"/>
  <c r="GS52" i="17"/>
  <c r="GT52" i="17"/>
  <c r="GS53" i="17"/>
  <c r="GT53" i="17" s="1"/>
  <c r="GS54" i="17"/>
  <c r="GT54" i="17" s="1"/>
  <c r="GS55" i="17"/>
  <c r="GT55" i="17"/>
  <c r="GS56" i="17"/>
  <c r="GT56" i="17" s="1"/>
  <c r="GS57" i="17"/>
  <c r="GT57" i="17" s="1"/>
  <c r="GS58" i="17"/>
  <c r="GT58" i="17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 s="1"/>
  <c r="GS67" i="17"/>
  <c r="GT67" i="17"/>
  <c r="GS68" i="17"/>
  <c r="GT68" i="17" s="1"/>
  <c r="GS69" i="17"/>
  <c r="GT69" i="17" s="1"/>
  <c r="GS70" i="17"/>
  <c r="GT70" i="17" s="1"/>
  <c r="GS71" i="17"/>
  <c r="GT71" i="17" s="1"/>
  <c r="GS72" i="17"/>
  <c r="GT72" i="17" s="1"/>
  <c r="GS73" i="17"/>
  <c r="GT73" i="17" s="1"/>
  <c r="GS12" i="17"/>
  <c r="GT12" i="17" s="1"/>
  <c r="W61" i="18" l="1"/>
  <c r="X41" i="17"/>
  <c r="X42" i="17"/>
  <c r="X43" i="17"/>
  <c r="X44" i="17"/>
  <c r="X45" i="17"/>
  <c r="X46" i="17"/>
  <c r="X47" i="17"/>
  <c r="X48" i="17"/>
  <c r="X49" i="17"/>
  <c r="X50" i="17"/>
  <c r="X51" i="17"/>
  <c r="X52" i="17"/>
  <c r="W18" i="15"/>
  <c r="O18" i="15"/>
  <c r="Q10" i="15"/>
  <c r="Q18" i="15"/>
  <c r="R18" i="15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3" i="17"/>
  <c r="S44" i="17"/>
  <c r="S45" i="17"/>
  <c r="S46" i="17"/>
  <c r="S48" i="17"/>
  <c r="S49" i="17"/>
  <c r="S50" i="17"/>
  <c r="S52" i="17"/>
  <c r="A137" i="25" l="1"/>
  <c r="G143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1" i="18"/>
  <c r="EYR31" i="18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59" i="18"/>
  <c r="EYR59" i="18" s="1"/>
  <c r="EYQ30" i="18"/>
  <c r="EYR30" i="18" s="1"/>
  <c r="EYQ8" i="18"/>
  <c r="EYR8" i="18" s="1"/>
  <c r="EYQ9" i="18"/>
  <c r="EYR9" i="18" s="1"/>
  <c r="EYQ10" i="18"/>
  <c r="EYR10" i="18" s="1"/>
  <c r="EYQ11" i="18"/>
  <c r="EYR11" i="18" s="1"/>
  <c r="EYQ12" i="18"/>
  <c r="EYR12" i="18"/>
  <c r="EYQ13" i="18"/>
  <c r="EYR13" i="18" s="1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0" i="17"/>
  <c r="GL50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72" i="17"/>
  <c r="GL72" i="17"/>
  <c r="GK12" i="17"/>
  <c r="GL12" i="17" s="1"/>
  <c r="A141" i="25" l="1"/>
  <c r="A142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1" i="18"/>
  <c r="EYJ31" i="18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/>
  <c r="EYI41" i="18"/>
  <c r="EYJ41" i="18"/>
  <c r="EYI42" i="18"/>
  <c r="EYJ42" i="18" s="1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/>
  <c r="EYI55" i="18"/>
  <c r="EYJ55" i="18" s="1"/>
  <c r="EYI56" i="18"/>
  <c r="EYJ56" i="18"/>
  <c r="EYI59" i="18"/>
  <c r="EYJ59" i="18"/>
  <c r="EYI30" i="18"/>
  <c r="EYJ30" i="18" s="1"/>
  <c r="EYI8" i="18"/>
  <c r="EYJ8" i="18" s="1"/>
  <c r="EYI9" i="18"/>
  <c r="EYJ9" i="18" s="1"/>
  <c r="EYI10" i="18"/>
  <c r="EYJ10" i="18" s="1"/>
  <c r="EYI11" i="18"/>
  <c r="EYJ11" i="18" s="1"/>
  <c r="EYI12" i="18"/>
  <c r="EYJ12" i="18" s="1"/>
  <c r="EYI13" i="18"/>
  <c r="EYJ13" i="18"/>
  <c r="EYI14" i="18"/>
  <c r="EYJ14" i="18" s="1"/>
  <c r="EYI15" i="18"/>
  <c r="EYJ15" i="18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0" i="17"/>
  <c r="GD50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 s="1"/>
  <c r="GC69" i="17"/>
  <c r="GD69" i="17"/>
  <c r="GC70" i="17"/>
  <c r="GD70" i="17" s="1"/>
  <c r="GC71" i="17"/>
  <c r="GD71" i="17"/>
  <c r="GC72" i="17"/>
  <c r="GD72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1" i="18"/>
  <c r="EYB31" i="18" s="1"/>
  <c r="EYA32" i="18"/>
  <c r="EYB32" i="18" s="1"/>
  <c r="EYA33" i="18"/>
  <c r="EYB33" i="18"/>
  <c r="EYA34" i="18"/>
  <c r="EYB34" i="18" s="1"/>
  <c r="EYA35" i="18"/>
  <c r="EYB35" i="18" s="1"/>
  <c r="EYA36" i="18"/>
  <c r="EYB36" i="18" s="1"/>
  <c r="EYA37" i="18"/>
  <c r="EYB37" i="18" s="1"/>
  <c r="EYA38" i="18"/>
  <c r="EYB38" i="18"/>
  <c r="EYA39" i="18"/>
  <c r="EYB39" i="18" s="1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/>
  <c r="EYA53" i="18"/>
  <c r="EYB53" i="18" s="1"/>
  <c r="EYA54" i="18"/>
  <c r="EYB54" i="18" s="1"/>
  <c r="EYA55" i="18"/>
  <c r="EYB55" i="18" s="1"/>
  <c r="EYA56" i="18"/>
  <c r="EYB56" i="18" s="1"/>
  <c r="EYA59" i="18"/>
  <c r="EYB59" i="18"/>
  <c r="EYA30" i="18"/>
  <c r="EYB30" i="18" s="1"/>
  <c r="EYA8" i="18"/>
  <c r="EYB8" i="18" s="1"/>
  <c r="EYA9" i="18"/>
  <c r="EYB9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0" i="17"/>
  <c r="FV50" i="17" s="1"/>
  <c r="FU52" i="17"/>
  <c r="FV52" i="17" s="1"/>
  <c r="FU53" i="17"/>
  <c r="FV53" i="17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 s="1"/>
  <c r="FU60" i="17"/>
  <c r="FV60" i="17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 s="1"/>
  <c r="FU69" i="17"/>
  <c r="FV69" i="17"/>
  <c r="FU70" i="17"/>
  <c r="FV70" i="17" s="1"/>
  <c r="FU71" i="17"/>
  <c r="FV71" i="17" s="1"/>
  <c r="FU72" i="17"/>
  <c r="FV72" i="17" s="1"/>
  <c r="FU73" i="17"/>
  <c r="FV73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0" i="17"/>
  <c r="FN50" i="17" s="1"/>
  <c r="FM52" i="17"/>
  <c r="FN52" i="17" s="1"/>
  <c r="FM53" i="17"/>
  <c r="FN53" i="17" s="1"/>
  <c r="FM54" i="17"/>
  <c r="FN54" i="17" s="1"/>
  <c r="FM55" i="17"/>
  <c r="FN55" i="17" s="1"/>
  <c r="FM56" i="17"/>
  <c r="FN56" i="17" s="1"/>
  <c r="FM57" i="17"/>
  <c r="FN57" i="17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73" i="17"/>
  <c r="FN73" i="17" s="1"/>
  <c r="FM12" i="17"/>
  <c r="FN12" i="17" s="1"/>
  <c r="EXS31" i="18"/>
  <c r="EXT31" i="18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/>
  <c r="EXS55" i="18"/>
  <c r="EXT55" i="18" s="1"/>
  <c r="EXS56" i="18"/>
  <c r="EXT56" i="18"/>
  <c r="EXS59" i="18"/>
  <c r="EXT59" i="18" s="1"/>
  <c r="EXS30" i="18"/>
  <c r="EXT30" i="18" s="1"/>
  <c r="EXS8" i="18"/>
  <c r="EXT8" i="18" s="1"/>
  <c r="EXS9" i="18"/>
  <c r="EXT9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1" i="18"/>
  <c r="EXL31" i="18"/>
  <c r="EXK32" i="18"/>
  <c r="EXL32" i="18" s="1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59" i="18"/>
  <c r="EXL59" i="18" s="1"/>
  <c r="EXK30" i="18"/>
  <c r="EXL30" i="18" s="1"/>
  <c r="EXK8" i="18"/>
  <c r="EXL8" i="18" s="1"/>
  <c r="EXK9" i="18"/>
  <c r="EXL9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0" i="17"/>
  <c r="FF50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 s="1"/>
  <c r="FE65" i="17"/>
  <c r="FF65" i="17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73" i="17"/>
  <c r="FF73" i="17" s="1"/>
  <c r="FE12" i="17"/>
  <c r="FF12" i="17" s="1"/>
  <c r="F22" i="18" l="1"/>
  <c r="F17" i="19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0" i="17"/>
  <c r="EX50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 s="1"/>
  <c r="EW62" i="17"/>
  <c r="EX62" i="17"/>
  <c r="EW63" i="17"/>
  <c r="EX63" i="17" s="1"/>
  <c r="EW64" i="17"/>
  <c r="EX64" i="17" s="1"/>
  <c r="EW65" i="17"/>
  <c r="EX65" i="17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72" i="17"/>
  <c r="EX72" i="17" s="1"/>
  <c r="EW12" i="17"/>
  <c r="EX12" i="17" s="1"/>
  <c r="EXC31" i="18"/>
  <c r="EXD31" i="18"/>
  <c r="EXC32" i="18"/>
  <c r="EXD32" i="18"/>
  <c r="EXC33" i="18"/>
  <c r="EXD33" i="18"/>
  <c r="EXC34" i="18"/>
  <c r="EXD34" i="18" s="1"/>
  <c r="EXC35" i="18"/>
  <c r="EXD35" i="18" s="1"/>
  <c r="EXC36" i="18"/>
  <c r="EXD36" i="18" s="1"/>
  <c r="EXC37" i="18"/>
  <c r="EXD37" i="18" s="1"/>
  <c r="EXC38" i="18"/>
  <c r="EXD38" i="18" s="1"/>
  <c r="EXC39" i="18"/>
  <c r="EXD39" i="18"/>
  <c r="EXC40" i="18"/>
  <c r="EXD40" i="18" s="1"/>
  <c r="EXC41" i="18"/>
  <c r="EXD41" i="18" s="1"/>
  <c r="EXC42" i="18"/>
  <c r="EXD42" i="18"/>
  <c r="EXC43" i="18"/>
  <c r="EXD43" i="18" s="1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/>
  <c r="EXC51" i="18"/>
  <c r="EXD51" i="18"/>
  <c r="EXC52" i="18"/>
  <c r="EXD52" i="18" s="1"/>
  <c r="EXC53" i="18"/>
  <c r="EXD53" i="18" s="1"/>
  <c r="EXC54" i="18"/>
  <c r="EXD54" i="18" s="1"/>
  <c r="EXC55" i="18"/>
  <c r="EXD55" i="18" s="1"/>
  <c r="EXC56" i="18"/>
  <c r="EXD56" i="18" s="1"/>
  <c r="EXC59" i="18"/>
  <c r="EXD59" i="18" s="1"/>
  <c r="EXC30" i="18"/>
  <c r="EXD30" i="18" s="1"/>
  <c r="EXC8" i="18"/>
  <c r="EXD8" i="18" s="1"/>
  <c r="EXC9" i="18"/>
  <c r="EXD9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/>
  <c r="EXC19" i="18"/>
  <c r="EXD19" i="18" s="1"/>
  <c r="EXC20" i="18"/>
  <c r="EXD20" i="18" s="1"/>
  <c r="EXC21" i="18"/>
  <c r="EXD21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0" i="17"/>
  <c r="EP50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72" i="17"/>
  <c r="EP72" i="17" s="1"/>
  <c r="EO12" i="17"/>
  <c r="EP12" i="17" s="1"/>
  <c r="EWU31" i="18"/>
  <c r="EWV31" i="18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/>
  <c r="EWU45" i="18"/>
  <c r="EWV45" i="18"/>
  <c r="EWU46" i="18"/>
  <c r="EWV46" i="18" s="1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/>
  <c r="EWU56" i="18"/>
  <c r="EWV56" i="18"/>
  <c r="EWU59" i="18"/>
  <c r="EWV59" i="18" s="1"/>
  <c r="EWU30" i="18"/>
  <c r="EWV30" i="18" s="1"/>
  <c r="EWU8" i="18"/>
  <c r="EWV8" i="18" s="1"/>
  <c r="EWU9" i="18"/>
  <c r="EWV9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4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0" i="17"/>
  <c r="EH50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73" i="17"/>
  <c r="EH73" i="17" s="1"/>
  <c r="EG12" i="17"/>
  <c r="EH12" i="17" s="1"/>
  <c r="EWM8" i="18"/>
  <c r="EWN8" i="18" s="1"/>
  <c r="EWM9" i="18"/>
  <c r="EWN9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7" i="18"/>
  <c r="EWN7" i="18" s="1"/>
  <c r="EWM31" i="18"/>
  <c r="EWN31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/>
  <c r="EWM55" i="18"/>
  <c r="EWN55" i="18" s="1"/>
  <c r="EWM56" i="18"/>
  <c r="EWN56" i="18" s="1"/>
  <c r="EWM59" i="18"/>
  <c r="EWN59" i="18"/>
  <c r="EWM30" i="18"/>
  <c r="EWN30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0" i="17"/>
  <c r="DZ50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 s="1"/>
  <c r="DY67" i="17"/>
  <c r="DZ67" i="17"/>
  <c r="DY68" i="17"/>
  <c r="DZ68" i="17" s="1"/>
  <c r="DY69" i="17"/>
  <c r="DZ69" i="17" s="1"/>
  <c r="DY70" i="17"/>
  <c r="DZ70" i="17" s="1"/>
  <c r="DY71" i="17"/>
  <c r="DZ71" i="17" s="1"/>
  <c r="DY72" i="17"/>
  <c r="DZ72" i="17" s="1"/>
  <c r="DY73" i="17"/>
  <c r="DZ73" i="17" s="1"/>
  <c r="DY12" i="17"/>
  <c r="DZ12" i="17" s="1"/>
  <c r="EWE31" i="18"/>
  <c r="EWF31" i="18" s="1"/>
  <c r="EWE32" i="18"/>
  <c r="EWF32" i="18"/>
  <c r="EWE33" i="18"/>
  <c r="EWF33" i="18"/>
  <c r="EWE34" i="18"/>
  <c r="EWF34" i="18" s="1"/>
  <c r="EWE35" i="18"/>
  <c r="EWF35" i="18" s="1"/>
  <c r="EWE36" i="18"/>
  <c r="EWF36" i="18" s="1"/>
  <c r="EWE37" i="18"/>
  <c r="EWF37" i="18" s="1"/>
  <c r="EWE38" i="18"/>
  <c r="EWF38" i="18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/>
  <c r="EWE52" i="18"/>
  <c r="EWF52" i="18"/>
  <c r="EWE53" i="18"/>
  <c r="EWF53" i="18" s="1"/>
  <c r="EWE54" i="18"/>
  <c r="EWF54" i="18" s="1"/>
  <c r="EWE55" i="18"/>
  <c r="EWF55" i="18" s="1"/>
  <c r="EWE56" i="18"/>
  <c r="EWF56" i="18" s="1"/>
  <c r="EWE59" i="18"/>
  <c r="EWF59" i="18" s="1"/>
  <c r="EWE30" i="18"/>
  <c r="EWF30" i="18" s="1"/>
  <c r="EWE8" i="18"/>
  <c r="EWF8" i="18" s="1"/>
  <c r="EWE9" i="18"/>
  <c r="EWF9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1" i="18"/>
  <c r="EVX31" i="18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59" i="18"/>
  <c r="EVX59" i="18" s="1"/>
  <c r="EVW30" i="18"/>
  <c r="EVX30" i="18" s="1"/>
  <c r="EVW8" i="18"/>
  <c r="EVX8" i="18" s="1"/>
  <c r="EVW9" i="18"/>
  <c r="EVX9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/>
  <c r="EVW17" i="18"/>
  <c r="EVX17" i="18" s="1"/>
  <c r="EVW18" i="18"/>
  <c r="EVX18" i="18" s="1"/>
  <c r="EVW19" i="18"/>
  <c r="EVX19" i="18" s="1"/>
  <c r="EVW20" i="18"/>
  <c r="EVX20" i="18" s="1"/>
  <c r="EVW21" i="18"/>
  <c r="EVX21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/>
  <c r="DQ50" i="17"/>
  <c r="DR50" i="17" s="1"/>
  <c r="DQ52" i="17"/>
  <c r="DR52" i="17" s="1"/>
  <c r="DQ53" i="17"/>
  <c r="DR53" i="17"/>
  <c r="DQ54" i="17"/>
  <c r="DR54" i="17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 s="1"/>
  <c r="DQ66" i="17"/>
  <c r="DR66" i="17"/>
  <c r="DQ67" i="17"/>
  <c r="DR67" i="17" s="1"/>
  <c r="DQ68" i="17"/>
  <c r="DR68" i="17"/>
  <c r="DQ69" i="17"/>
  <c r="DR69" i="17" s="1"/>
  <c r="DQ70" i="17"/>
  <c r="DR70" i="17" s="1"/>
  <c r="DQ71" i="17"/>
  <c r="DR71" i="17" s="1"/>
  <c r="DQ72" i="17"/>
  <c r="DR72" i="17" s="1"/>
  <c r="DQ73" i="17"/>
  <c r="DR73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0" i="17"/>
  <c r="DJ50" i="17" s="1"/>
  <c r="DI52" i="17"/>
  <c r="DJ52" i="17" s="1"/>
  <c r="DI53" i="17"/>
  <c r="DJ53" i="17" s="1"/>
  <c r="DI54" i="17"/>
  <c r="DJ54" i="17"/>
  <c r="DI55" i="17"/>
  <c r="DJ55" i="17" s="1"/>
  <c r="DI56" i="17"/>
  <c r="DJ56" i="17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72" i="17"/>
  <c r="DJ72" i="17" s="1"/>
  <c r="DI12" i="17"/>
  <c r="DJ12" i="17" s="1"/>
  <c r="EVO46" i="18"/>
  <c r="EVP46" i="18" s="1"/>
  <c r="EVO8" i="18"/>
  <c r="EVP8" i="18" s="1"/>
  <c r="EVO9" i="18"/>
  <c r="EVP9" i="18"/>
  <c r="EVO10" i="18"/>
  <c r="EVP10" i="18" s="1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/>
  <c r="EVO17" i="18"/>
  <c r="EVP17" i="18" s="1"/>
  <c r="EVO18" i="18"/>
  <c r="EVP18" i="18" s="1"/>
  <c r="EVO19" i="18"/>
  <c r="EVP19" i="18" s="1"/>
  <c r="EVO20" i="18"/>
  <c r="EVP20" i="18" s="1"/>
  <c r="EVO21" i="18"/>
  <c r="EVP21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0" i="17"/>
  <c r="DB50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 s="1"/>
  <c r="DA70" i="17"/>
  <c r="DB70" i="17"/>
  <c r="DA71" i="17"/>
  <c r="DB71" i="17" s="1"/>
  <c r="DA72" i="17"/>
  <c r="DB72" i="17" s="1"/>
  <c r="DA12" i="17"/>
  <c r="DB12" i="17" s="1"/>
  <c r="EVG31" i="18"/>
  <c r="EVH31" i="18" s="1"/>
  <c r="EVG32" i="18"/>
  <c r="EVH32" i="18" s="1"/>
  <c r="EVG33" i="18"/>
  <c r="EVH33" i="18" s="1"/>
  <c r="EVG34" i="18"/>
  <c r="EVH34" i="18" s="1"/>
  <c r="EVG35" i="18"/>
  <c r="EVH35" i="18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/>
  <c r="EVG59" i="18"/>
  <c r="EVH59" i="18" s="1"/>
  <c r="EVG8" i="18"/>
  <c r="EVH8" i="18" s="1"/>
  <c r="EVG9" i="18"/>
  <c r="EVH9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30" i="18"/>
  <c r="EVH30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2" i="18" l="1"/>
  <c r="V33" i="18"/>
  <c r="V49" i="18"/>
  <c r="X29" i="17"/>
  <c r="X3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0" i="17"/>
  <c r="CT50" i="17" s="1"/>
  <c r="CS52" i="17"/>
  <c r="CT52" i="17" s="1"/>
  <c r="CS53" i="17"/>
  <c r="CT53" i="17" s="1"/>
  <c r="CS54" i="17"/>
  <c r="CT54" i="17"/>
  <c r="CS55" i="17"/>
  <c r="CT55" i="17" s="1"/>
  <c r="CS56" i="17"/>
  <c r="CT56" i="17" s="1"/>
  <c r="CS57" i="17"/>
  <c r="CT57" i="17" s="1"/>
  <c r="CS58" i="17"/>
  <c r="CT58" i="17" s="1"/>
  <c r="CS59" i="17"/>
  <c r="CT59" i="17"/>
  <c r="CS60" i="17"/>
  <c r="CT60" i="17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/>
  <c r="CS70" i="17"/>
  <c r="CT70" i="17"/>
  <c r="CS71" i="17"/>
  <c r="CT71" i="17"/>
  <c r="CS72" i="17"/>
  <c r="CT72" i="17" s="1"/>
  <c r="CS73" i="17"/>
  <c r="CT73" i="17"/>
  <c r="CS12" i="17"/>
  <c r="CT12" i="17" s="1"/>
  <c r="EUY31" i="18"/>
  <c r="EUZ31" i="18" s="1"/>
  <c r="EUY32" i="18"/>
  <c r="EUZ32" i="18" s="1"/>
  <c r="EUY33" i="18"/>
  <c r="EUZ33" i="18" s="1"/>
  <c r="EUY34" i="18"/>
  <c r="EUZ34" i="18" s="1"/>
  <c r="EUY35" i="18"/>
  <c r="EUZ35" i="18" s="1"/>
  <c r="EUY36" i="18"/>
  <c r="EUZ36" i="18"/>
  <c r="EUY37" i="18"/>
  <c r="EUZ37" i="18" s="1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/>
  <c r="EUY47" i="18"/>
  <c r="EUZ47" i="18" s="1"/>
  <c r="EUY48" i="18"/>
  <c r="EUZ48" i="18"/>
  <c r="EUY49" i="18"/>
  <c r="EUZ49" i="18" s="1"/>
  <c r="EUY50" i="18"/>
  <c r="EUZ50" i="18" s="1"/>
  <c r="EUY51" i="18"/>
  <c r="EUZ51" i="18" s="1"/>
  <c r="EUY52" i="18"/>
  <c r="EUZ52" i="18" s="1"/>
  <c r="EUY53" i="18"/>
  <c r="EUZ53" i="18" s="1"/>
  <c r="EUY54" i="18"/>
  <c r="EUZ54" i="18"/>
  <c r="EUY55" i="18"/>
  <c r="EUZ55" i="18" s="1"/>
  <c r="EUY56" i="18"/>
  <c r="EUZ56" i="18" s="1"/>
  <c r="EUY59" i="18"/>
  <c r="EUZ59" i="18" s="1"/>
  <c r="EUY30" i="18"/>
  <c r="EUZ30" i="18" s="1"/>
  <c r="EUY8" i="18"/>
  <c r="EUZ8" i="18" s="1"/>
  <c r="EUY9" i="18"/>
  <c r="EUZ9" i="18" s="1"/>
  <c r="EUY10" i="18"/>
  <c r="EUZ10" i="18" s="1"/>
  <c r="EUY11" i="18"/>
  <c r="EUZ11" i="18" s="1"/>
  <c r="EUY12" i="18"/>
  <c r="EUZ12" i="18" s="1"/>
  <c r="EUY13" i="18"/>
  <c r="EUZ13" i="18"/>
  <c r="EUY14" i="18"/>
  <c r="EUZ14" i="18" s="1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29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1" i="18"/>
  <c r="EUR31" i="18" s="1"/>
  <c r="EUQ32" i="18"/>
  <c r="EUR32" i="18" s="1"/>
  <c r="EUQ33" i="18"/>
  <c r="EUR33" i="18" s="1"/>
  <c r="EUQ34" i="18"/>
  <c r="EUR34" i="18"/>
  <c r="EUQ35" i="18"/>
  <c r="EUR35" i="18" s="1"/>
  <c r="EUQ36" i="18"/>
  <c r="EUR36" i="18" s="1"/>
  <c r="EUQ37" i="18"/>
  <c r="EUR37" i="18" s="1"/>
  <c r="EUQ38" i="18"/>
  <c r="EUR38" i="18"/>
  <c r="EUQ39" i="18"/>
  <c r="EUR39" i="18" s="1"/>
  <c r="EUQ40" i="18"/>
  <c r="EUR40" i="18"/>
  <c r="EUQ41" i="18"/>
  <c r="EUR41" i="18" s="1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/>
  <c r="EUQ52" i="18"/>
  <c r="EUR52" i="18" s="1"/>
  <c r="EUQ53" i="18"/>
  <c r="EUR53" i="18"/>
  <c r="EUQ54" i="18"/>
  <c r="EUR54" i="18" s="1"/>
  <c r="EUQ55" i="18"/>
  <c r="EUR55" i="18"/>
  <c r="EUQ56" i="18"/>
  <c r="EUR56" i="18" s="1"/>
  <c r="EUQ59" i="18"/>
  <c r="EUR59" i="18"/>
  <c r="EUQ30" i="18"/>
  <c r="EUR30" i="18" s="1"/>
  <c r="EUQ21" i="18"/>
  <c r="EUR21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/>
  <c r="CK49" i="17"/>
  <c r="CL49" i="17" s="1"/>
  <c r="CK50" i="17"/>
  <c r="CL50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 s="1"/>
  <c r="CK68" i="17"/>
  <c r="CL68" i="17"/>
  <c r="CK69" i="17"/>
  <c r="CL69" i="17" s="1"/>
  <c r="CK70" i="17"/>
  <c r="CL70" i="17" s="1"/>
  <c r="CK71" i="17"/>
  <c r="CL71" i="17" s="1"/>
  <c r="CK72" i="17"/>
  <c r="CL72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0" i="18"/>
  <c r="Z60" i="18"/>
  <c r="AA60" i="18"/>
  <c r="AB60" i="18"/>
  <c r="F74" i="17"/>
  <c r="G74" i="17"/>
  <c r="H74" i="17"/>
  <c r="F5" i="20" s="1"/>
  <c r="I74" i="17"/>
  <c r="G5" i="20" s="1"/>
  <c r="K74" i="17"/>
  <c r="N74" i="17"/>
  <c r="N75" i="17" s="1"/>
  <c r="P74" i="17"/>
  <c r="P75" i="17" s="1"/>
  <c r="Q74" i="17"/>
  <c r="R74" i="17"/>
  <c r="S74" i="17"/>
  <c r="T74" i="17"/>
  <c r="T75" i="17" s="1"/>
  <c r="U74" i="17"/>
  <c r="V74" i="17"/>
  <c r="V75" i="17" s="1"/>
  <c r="E74" i="17"/>
  <c r="G75" i="17" l="1"/>
  <c r="E5" i="20"/>
  <c r="F75" i="17"/>
  <c r="D6" i="20" s="1"/>
  <c r="D5" i="20"/>
  <c r="D13" i="20" s="1"/>
  <c r="E75" i="17"/>
  <c r="C6" i="20" s="1"/>
  <c r="C5" i="20"/>
  <c r="K75" i="17"/>
  <c r="I5" i="20"/>
  <c r="I75" i="17"/>
  <c r="H75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0" i="17"/>
  <c r="CD50" i="17" s="1"/>
  <c r="CC52" i="17"/>
  <c r="CD52" i="17" s="1"/>
  <c r="CC53" i="17"/>
  <c r="CD53" i="17"/>
  <c r="CC54" i="17"/>
  <c r="CD54" i="17" s="1"/>
  <c r="CC55" i="17"/>
  <c r="CD55" i="17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73" i="17"/>
  <c r="CD73" i="17" s="1"/>
  <c r="CC12" i="17"/>
  <c r="CD12" i="17" s="1"/>
  <c r="EUI31" i="18"/>
  <c r="EUJ31" i="18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/>
  <c r="EUI43" i="18"/>
  <c r="EUJ43" i="18" s="1"/>
  <c r="EUI44" i="18"/>
  <c r="EUJ44" i="18" s="1"/>
  <c r="EUI45" i="18"/>
  <c r="EUJ45" i="18"/>
  <c r="EUI46" i="18"/>
  <c r="EUJ46" i="18" s="1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59" i="18"/>
  <c r="EUJ59" i="18" s="1"/>
  <c r="EUI30" i="18"/>
  <c r="EUJ30" i="18" s="1"/>
  <c r="EUI8" i="18"/>
  <c r="EUJ8" i="18" s="1"/>
  <c r="EUI9" i="18"/>
  <c r="EUJ9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39" i="17"/>
  <c r="W40" i="17"/>
  <c r="W44" i="17"/>
  <c r="W45" i="17"/>
  <c r="W48" i="17"/>
  <c r="W53" i="17"/>
  <c r="W72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1" i="18"/>
  <c r="EUB31" i="18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/>
  <c r="EUA44" i="18"/>
  <c r="EUB44" i="18" s="1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/>
  <c r="EUA53" i="18"/>
  <c r="EUB53" i="18"/>
  <c r="EUA54" i="18"/>
  <c r="EUB54" i="18" s="1"/>
  <c r="EUA55" i="18"/>
  <c r="EUB55" i="18" s="1"/>
  <c r="EUA56" i="18"/>
  <c r="EUB56" i="18" s="1"/>
  <c r="EUA59" i="18"/>
  <c r="EUB59" i="18" s="1"/>
  <c r="EUA30" i="18"/>
  <c r="EUB30" i="18" s="1"/>
  <c r="EUA8" i="18"/>
  <c r="EUB8" i="18" s="1"/>
  <c r="EUA9" i="18"/>
  <c r="EUB9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/>
  <c r="EUA17" i="18"/>
  <c r="EUB17" i="18"/>
  <c r="EUA18" i="18"/>
  <c r="EUB18" i="18" s="1"/>
  <c r="EUA19" i="18"/>
  <c r="EUB19" i="18"/>
  <c r="EUA20" i="18"/>
  <c r="EUB20" i="18" s="1"/>
  <c r="EUA21" i="18"/>
  <c r="EUB21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0" i="17"/>
  <c r="BV50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 s="1"/>
  <c r="BU59" i="17"/>
  <c r="BV59" i="17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 s="1"/>
  <c r="BU73" i="17"/>
  <c r="BV73" i="17"/>
  <c r="BU12" i="17"/>
  <c r="BV12" i="17" s="1"/>
  <c r="W74" i="17" l="1"/>
  <c r="F32" i="20"/>
  <c r="X53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1" i="18"/>
  <c r="ETT31" i="18" s="1"/>
  <c r="ETS32" i="18"/>
  <c r="ETT32" i="18" s="1"/>
  <c r="ETS33" i="18"/>
  <c r="ETT33" i="18" s="1"/>
  <c r="ETS34" i="18"/>
  <c r="ETT34" i="18" s="1"/>
  <c r="ETS35" i="18"/>
  <c r="ETT35" i="18" s="1"/>
  <c r="ETS36" i="18"/>
  <c r="ETT36" i="18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/>
  <c r="ETS56" i="18"/>
  <c r="ETT56" i="18"/>
  <c r="ETS59" i="18"/>
  <c r="ETT59" i="18" s="1"/>
  <c r="ETS30" i="18"/>
  <c r="ETT30" i="18" s="1"/>
  <c r="ETS8" i="18"/>
  <c r="ETT8" i="18" s="1"/>
  <c r="ETS9" i="18"/>
  <c r="ETT9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/>
  <c r="ETS16" i="18"/>
  <c r="ETT16" i="18" s="1"/>
  <c r="ETS17" i="18"/>
  <c r="ETT17" i="18" s="1"/>
  <c r="ETS18" i="18"/>
  <c r="ETT18" i="18" s="1"/>
  <c r="ETS19" i="18"/>
  <c r="ETT19" i="18" s="1"/>
  <c r="ETS20" i="18"/>
  <c r="ETT20" i="18" s="1"/>
  <c r="ETS21" i="18"/>
  <c r="ETT21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0" i="17"/>
  <c r="BN50" i="17" s="1"/>
  <c r="BM52" i="17"/>
  <c r="BN52" i="17"/>
  <c r="BM53" i="17"/>
  <c r="BN53" i="17" s="1"/>
  <c r="BM54" i="17"/>
  <c r="BN54" i="17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73" i="17"/>
  <c r="BN73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1" i="18"/>
  <c r="ETL31" i="18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/>
  <c r="ETK44" i="18"/>
  <c r="ETL44" i="18" s="1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/>
  <c r="ETK54" i="18"/>
  <c r="ETL54" i="18" s="1"/>
  <c r="ETK55" i="18"/>
  <c r="ETL55" i="18" s="1"/>
  <c r="ETK56" i="18"/>
  <c r="ETL56" i="18" s="1"/>
  <c r="ETK59" i="18"/>
  <c r="ETL59" i="18"/>
  <c r="ETK30" i="18"/>
  <c r="ETL30" i="18" s="1"/>
  <c r="ETK8" i="18"/>
  <c r="ETL8" i="18" s="1"/>
  <c r="ETK9" i="18"/>
  <c r="ETL9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/>
  <c r="ETK20" i="18"/>
  <c r="ETL20" i="18"/>
  <c r="ETK21" i="18"/>
  <c r="ETL21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0" i="17"/>
  <c r="BF50" i="17" s="1"/>
  <c r="BE52" i="17"/>
  <c r="BF52" i="17" s="1"/>
  <c r="BE53" i="17"/>
  <c r="BF53" i="17" s="1"/>
  <c r="BE54" i="17"/>
  <c r="BF54" i="17" s="1"/>
  <c r="BE55" i="17"/>
  <c r="BF55" i="17" s="1"/>
  <c r="BE56" i="17"/>
  <c r="BF56" i="17" s="1"/>
  <c r="BE57" i="17"/>
  <c r="BF57" i="17"/>
  <c r="BE58" i="17"/>
  <c r="BF58" i="17" s="1"/>
  <c r="BE59" i="17"/>
  <c r="BF59" i="17" s="1"/>
  <c r="BE60" i="17"/>
  <c r="BF60" i="17" s="1"/>
  <c r="BE61" i="17"/>
  <c r="BF61" i="17" s="1"/>
  <c r="BE62" i="17"/>
  <c r="BF62" i="17"/>
  <c r="BE63" i="17"/>
  <c r="BF63" i="17" s="1"/>
  <c r="BE64" i="17"/>
  <c r="BF64" i="17" s="1"/>
  <c r="BE65" i="17"/>
  <c r="BF65" i="17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73" i="17"/>
  <c r="BF73" i="17" s="1"/>
  <c r="BE12" i="17"/>
  <c r="BF12" i="17" s="1"/>
  <c r="Q52" i="18"/>
  <c r="R52" i="18"/>
  <c r="V52" i="18" s="1"/>
  <c r="Q53" i="18"/>
  <c r="R53" i="18"/>
  <c r="V53" i="18" s="1"/>
  <c r="Q54" i="18"/>
  <c r="R54" i="18"/>
  <c r="Q55" i="18"/>
  <c r="R55" i="18"/>
  <c r="V55" i="18" s="1"/>
  <c r="Q56" i="18"/>
  <c r="R56" i="18"/>
  <c r="V56" i="18" s="1"/>
  <c r="T56" i="18" l="1"/>
  <c r="T53" i="18"/>
  <c r="T52" i="18"/>
  <c r="T55" i="18"/>
  <c r="T54" i="18"/>
  <c r="V54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1" i="18"/>
  <c r="ETD31" i="18" s="1"/>
  <c r="ETC32" i="18"/>
  <c r="ETD32" i="18" s="1"/>
  <c r="ETC33" i="18"/>
  <c r="ETD33" i="18" s="1"/>
  <c r="ETC34" i="18"/>
  <c r="ETD34" i="18" s="1"/>
  <c r="ETC35" i="18"/>
  <c r="ETD35" i="18"/>
  <c r="ETC36" i="18"/>
  <c r="ETD36" i="18"/>
  <c r="ETC37" i="18"/>
  <c r="ETD37" i="18"/>
  <c r="ETC38" i="18"/>
  <c r="ETD38" i="18" s="1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/>
  <c r="ETC56" i="18"/>
  <c r="ETD56" i="18" s="1"/>
  <c r="ETC59" i="18"/>
  <c r="ETD59" i="18"/>
  <c r="ETC30" i="18"/>
  <c r="ETD30" i="18" s="1"/>
  <c r="ETC8" i="18"/>
  <c r="ETD8" i="18" s="1"/>
  <c r="ETC9" i="18"/>
  <c r="ETD9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/>
  <c r="ETC16" i="18"/>
  <c r="ETD16" i="18" s="1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0" i="17"/>
  <c r="AX50" i="17" s="1"/>
  <c r="AW52" i="17"/>
  <c r="AX52" i="17" s="1"/>
  <c r="AW53" i="17"/>
  <c r="AX53" i="17" s="1"/>
  <c r="AW54" i="17"/>
  <c r="AX54" i="17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 s="1"/>
  <c r="AW66" i="17"/>
  <c r="AX66" i="17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73" i="17"/>
  <c r="AX73" i="17" s="1"/>
  <c r="AW12" i="17"/>
  <c r="AX12" i="17" s="1"/>
  <c r="A138" i="25" l="1"/>
  <c r="A146" i="25"/>
  <c r="A147" i="25"/>
  <c r="A117" i="25"/>
  <c r="A121" i="25"/>
  <c r="A125" i="25"/>
  <c r="A129" i="25"/>
  <c r="A94" i="25"/>
  <c r="A102" i="25"/>
  <c r="A110" i="25"/>
  <c r="A113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2" i="25"/>
  <c r="A63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B150" i="25"/>
  <c r="A150" i="25" s="1"/>
  <c r="B149" i="25"/>
  <c r="A149" i="25" s="1"/>
  <c r="B148" i="25"/>
  <c r="A148" i="25" s="1"/>
  <c r="A145" i="25"/>
  <c r="A143" i="25"/>
  <c r="A140" i="25"/>
  <c r="A139" i="25"/>
  <c r="A136" i="25"/>
  <c r="A135" i="25"/>
  <c r="A134" i="25"/>
  <c r="A133" i="25"/>
  <c r="A132" i="25"/>
  <c r="A131" i="25"/>
  <c r="A130" i="25"/>
  <c r="A128" i="25"/>
  <c r="A127" i="25"/>
  <c r="A126" i="25"/>
  <c r="A124" i="25"/>
  <c r="A123" i="25"/>
  <c r="A122" i="25"/>
  <c r="A120" i="25"/>
  <c r="A119" i="25"/>
  <c r="A118" i="25"/>
  <c r="A116" i="25"/>
  <c r="A115" i="25"/>
  <c r="A114" i="25"/>
  <c r="A112" i="25"/>
  <c r="A111" i="25"/>
  <c r="A109" i="25"/>
  <c r="A108" i="25"/>
  <c r="A107" i="25"/>
  <c r="A105" i="25"/>
  <c r="A101" i="25"/>
  <c r="A100" i="25"/>
  <c r="A99" i="25"/>
  <c r="A98" i="25"/>
  <c r="A97" i="25"/>
  <c r="A96" i="25"/>
  <c r="A95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4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1" i="18"/>
  <c r="ESV31" i="18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59" i="18"/>
  <c r="ESV59" i="18" s="1"/>
  <c r="ESU30" i="18"/>
  <c r="ESV30" i="18" s="1"/>
  <c r="ESU8" i="18"/>
  <c r="ESV8" i="18" s="1"/>
  <c r="ESU9" i="18"/>
  <c r="ESV9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 s="1"/>
  <c r="AO49" i="17"/>
  <c r="AP49" i="17"/>
  <c r="AO50" i="17"/>
  <c r="AP50" i="17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 s="1"/>
  <c r="AO69" i="17"/>
  <c r="AP69" i="17"/>
  <c r="AO70" i="17"/>
  <c r="AP70" i="17" s="1"/>
  <c r="AO71" i="17"/>
  <c r="AP71" i="17" s="1"/>
  <c r="AO72" i="17"/>
  <c r="AP72" i="17" s="1"/>
  <c r="AO73" i="17"/>
  <c r="AP73" i="17" s="1"/>
  <c r="AO12" i="17"/>
  <c r="AP12" i="17" s="1"/>
  <c r="X40" i="17" l="1"/>
  <c r="ETD8" i="15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1" i="18"/>
  <c r="ESN31" i="18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/>
  <c r="ESM44" i="18"/>
  <c r="ESN44" i="18" s="1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/>
  <c r="ESM55" i="18"/>
  <c r="ESN55" i="18" s="1"/>
  <c r="ESM56" i="18"/>
  <c r="ESN56" i="18"/>
  <c r="ESM59" i="18"/>
  <c r="ESN59" i="18"/>
  <c r="ESM30" i="18"/>
  <c r="ESN30" i="18" s="1"/>
  <c r="ESM8" i="18"/>
  <c r="ESN8" i="18" s="1"/>
  <c r="ESM9" i="18"/>
  <c r="ESN9" i="18"/>
  <c r="ESM10" i="18"/>
  <c r="ESN10" i="18" s="1"/>
  <c r="ESM11" i="18"/>
  <c r="ESN11" i="18" s="1"/>
  <c r="ESM12" i="18"/>
  <c r="ESN12" i="18"/>
  <c r="ESM13" i="18"/>
  <c r="ESN13" i="18" s="1"/>
  <c r="ESM14" i="18"/>
  <c r="ESN14" i="18" s="1"/>
  <c r="ESM15" i="18"/>
  <c r="ESN15" i="18" s="1"/>
  <c r="ESM16" i="18"/>
  <c r="ESN16" i="18" s="1"/>
  <c r="ESM17" i="18"/>
  <c r="ESN17" i="18" s="1"/>
  <c r="ESM18" i="18"/>
  <c r="ESN18" i="18"/>
  <c r="ESM19" i="18"/>
  <c r="ESN19" i="18" s="1"/>
  <c r="ESM20" i="18"/>
  <c r="ESN20" i="18"/>
  <c r="ESM21" i="18"/>
  <c r="ESN21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0" i="17"/>
  <c r="AH50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73" i="17"/>
  <c r="AH73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1" i="18"/>
  <c r="ESF31" i="18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59" i="18"/>
  <c r="ESF59" i="18" s="1"/>
  <c r="ESE30" i="18"/>
  <c r="ESF30" i="18" s="1"/>
  <c r="ESE8" i="18"/>
  <c r="ESF8" i="18" s="1"/>
  <c r="ESE9" i="18"/>
  <c r="ESF9" i="18" s="1"/>
  <c r="ESE10" i="18"/>
  <c r="ESF10" i="18" s="1"/>
  <c r="ESE11" i="18"/>
  <c r="ESF11" i="18" s="1"/>
  <c r="ESE12" i="18"/>
  <c r="ESF12" i="18"/>
  <c r="ESE13" i="18"/>
  <c r="ESF13" i="18" s="1"/>
  <c r="ESE14" i="18"/>
  <c r="ESF14" i="18" s="1"/>
  <c r="ESE15" i="18"/>
  <c r="ESF15" i="18" s="1"/>
  <c r="ESE16" i="18"/>
  <c r="ESF16" i="18" s="1"/>
  <c r="ESE17" i="18"/>
  <c r="ESF17" i="18"/>
  <c r="ESE18" i="18"/>
  <c r="ESF18" i="18" s="1"/>
  <c r="ESE19" i="18"/>
  <c r="ESF19" i="18" s="1"/>
  <c r="ESE20" i="18"/>
  <c r="ESF20" i="18" s="1"/>
  <c r="ESE21" i="18"/>
  <c r="ESF21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1" i="18"/>
  <c r="ERX31" i="18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/>
  <c r="ERW43" i="18"/>
  <c r="ERX43" i="18" s="1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/>
  <c r="ERW53" i="18"/>
  <c r="ERX53" i="18" s="1"/>
  <c r="ERW54" i="18"/>
  <c r="ERX54" i="18"/>
  <c r="ERW55" i="18"/>
  <c r="ERX55" i="18" s="1"/>
  <c r="ERW56" i="18"/>
  <c r="ERX56" i="18" s="1"/>
  <c r="ERW59" i="18"/>
  <c r="ERX59" i="18"/>
  <c r="ERW30" i="18"/>
  <c r="ERX30" i="18" s="1"/>
  <c r="ERW8" i="18"/>
  <c r="ERX8" i="18" s="1"/>
  <c r="ERW9" i="18"/>
  <c r="ERX9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/>
  <c r="ERW19" i="18"/>
  <c r="ERX19" i="18" s="1"/>
  <c r="ERW20" i="18"/>
  <c r="ERX20" i="18" s="1"/>
  <c r="ERW21" i="18"/>
  <c r="ERX21" i="18" s="1"/>
  <c r="ERW7" i="18"/>
  <c r="ERX7" i="18" s="1"/>
  <c r="W12" i="19" l="1"/>
  <c r="ERO31" i="18"/>
  <c r="ERP31" i="18" s="1"/>
  <c r="ERO32" i="18"/>
  <c r="ERP32" i="18" s="1"/>
  <c r="ERO33" i="18"/>
  <c r="ERP33" i="18" s="1"/>
  <c r="ERO34" i="18"/>
  <c r="ERP34" i="18"/>
  <c r="ERO35" i="18"/>
  <c r="ERP35" i="18"/>
  <c r="ERO36" i="18"/>
  <c r="ERP36" i="18" s="1"/>
  <c r="ERO37" i="18"/>
  <c r="ERP37" i="18"/>
  <c r="ERO38" i="18"/>
  <c r="ERP38" i="18"/>
  <c r="ERO39" i="18"/>
  <c r="ERP39" i="18" s="1"/>
  <c r="ERO40" i="18"/>
  <c r="ERP40" i="18" s="1"/>
  <c r="ERO41" i="18"/>
  <c r="ERP41" i="18" s="1"/>
  <c r="ERO42" i="18"/>
  <c r="ERP42" i="18"/>
  <c r="ERO43" i="18"/>
  <c r="ERP43" i="18" s="1"/>
  <c r="ERO44" i="18"/>
  <c r="ERP44" i="18" s="1"/>
  <c r="ERO45" i="18"/>
  <c r="ERP45" i="18"/>
  <c r="ERO46" i="18"/>
  <c r="ERP46" i="18" s="1"/>
  <c r="ERO47" i="18"/>
  <c r="ERP47" i="18" s="1"/>
  <c r="ERO48" i="18"/>
  <c r="ERP48" i="18"/>
  <c r="ERO49" i="18"/>
  <c r="ERP49" i="18" s="1"/>
  <c r="ERO50" i="18"/>
  <c r="ERP50" i="18" s="1"/>
  <c r="ERO51" i="18"/>
  <c r="ERP51" i="18" s="1"/>
  <c r="ERO52" i="18"/>
  <c r="ERP52" i="18" s="1"/>
  <c r="ERO53" i="18"/>
  <c r="ERP53" i="18" s="1"/>
  <c r="ERO54" i="18"/>
  <c r="ERP54" i="18"/>
  <c r="ERO55" i="18"/>
  <c r="ERP55" i="18" s="1"/>
  <c r="ERO56" i="18"/>
  <c r="ERP56" i="18" s="1"/>
  <c r="ERO59" i="18"/>
  <c r="ERP59" i="18"/>
  <c r="ERO30" i="18"/>
  <c r="ERP30" i="18" s="1"/>
  <c r="ERO8" i="18"/>
  <c r="ERP8" i="18" s="1"/>
  <c r="ERO9" i="18"/>
  <c r="ERP9" i="18" s="1"/>
  <c r="ERO10" i="18"/>
  <c r="ERP10" i="18" s="1"/>
  <c r="ERO11" i="18"/>
  <c r="ERP11" i="18" s="1"/>
  <c r="ERO12" i="18"/>
  <c r="ERP12" i="18" s="1"/>
  <c r="ERO13" i="18"/>
  <c r="ERP13" i="18"/>
  <c r="ERO14" i="18"/>
  <c r="ERP14" i="18"/>
  <c r="ERO15" i="18"/>
  <c r="ERP15" i="18"/>
  <c r="ERO16" i="18"/>
  <c r="ERP16" i="18" s="1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1" i="18"/>
  <c r="ERH31" i="18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/>
  <c r="ERG45" i="18"/>
  <c r="ERH45" i="18"/>
  <c r="ERG46" i="18"/>
  <c r="ERH46" i="18"/>
  <c r="ERG47" i="18"/>
  <c r="ERH47" i="18" s="1"/>
  <c r="ERG48" i="18"/>
  <c r="ERH48" i="18" s="1"/>
  <c r="ERG49" i="18"/>
  <c r="ERH49" i="18"/>
  <c r="ERG50" i="18"/>
  <c r="ERH50" i="18" s="1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/>
  <c r="ERG59" i="18"/>
  <c r="ERH59" i="18" s="1"/>
  <c r="ERG30" i="18"/>
  <c r="ERH30" i="18" s="1"/>
  <c r="ERG8" i="18"/>
  <c r="ERH8" i="18" s="1"/>
  <c r="ERG9" i="18"/>
  <c r="ERH9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/>
  <c r="ERG19" i="18"/>
  <c r="ERH19" i="18" s="1"/>
  <c r="ERG20" i="18"/>
  <c r="ERH20" i="18" s="1"/>
  <c r="ERG21" i="18"/>
  <c r="ERH21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1" i="18"/>
  <c r="EQZ31" i="18" s="1"/>
  <c r="EQY32" i="18"/>
  <c r="EQZ32" i="18" s="1"/>
  <c r="EQY33" i="18"/>
  <c r="EQZ33" i="18" s="1"/>
  <c r="EQY34" i="18"/>
  <c r="EQZ34" i="18" s="1"/>
  <c r="EQY35" i="18"/>
  <c r="EQZ35" i="18"/>
  <c r="EQY36" i="18"/>
  <c r="EQZ36" i="18" s="1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/>
  <c r="EQY54" i="18"/>
  <c r="EQZ54" i="18" s="1"/>
  <c r="EQY55" i="18"/>
  <c r="EQZ55" i="18" s="1"/>
  <c r="EQY56" i="18"/>
  <c r="EQZ56" i="18" s="1"/>
  <c r="EQY59" i="18"/>
  <c r="EQZ59" i="18" s="1"/>
  <c r="EQY30" i="18"/>
  <c r="EQZ30" i="18" s="1"/>
  <c r="EQY8" i="18"/>
  <c r="EQZ8" i="18" s="1"/>
  <c r="EQY9" i="18"/>
  <c r="EQZ9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/>
  <c r="EQY21" i="18"/>
  <c r="EQZ21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1" i="18"/>
  <c r="EQR31" i="18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/>
  <c r="EQQ50" i="18"/>
  <c r="EQR50" i="18" s="1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59" i="18"/>
  <c r="EQR59" i="18" s="1"/>
  <c r="EQQ30" i="18"/>
  <c r="EQR30" i="18" s="1"/>
  <c r="EQQ8" i="18"/>
  <c r="EQR8" i="18" s="1"/>
  <c r="EQQ9" i="18"/>
  <c r="EQR9" i="18" s="1"/>
  <c r="EQQ10" i="18"/>
  <c r="EQR10" i="18" s="1"/>
  <c r="EQQ11" i="18"/>
  <c r="EQR11" i="18" s="1"/>
  <c r="EQQ12" i="18"/>
  <c r="EQR12" i="18" s="1"/>
  <c r="EQQ13" i="18"/>
  <c r="EQR13" i="18"/>
  <c r="EQQ14" i="18"/>
  <c r="EQR14" i="18" s="1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7" i="18"/>
  <c r="EQR7" i="18" s="1"/>
  <c r="X28" i="17"/>
  <c r="X30" i="17"/>
  <c r="X31" i="17"/>
  <c r="X32" i="17"/>
  <c r="X33" i="17"/>
  <c r="G9" i="24"/>
  <c r="EQI31" i="18"/>
  <c r="EQJ31" i="18" s="1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/>
  <c r="EQI47" i="18"/>
  <c r="EQJ47" i="18"/>
  <c r="EQI48" i="18"/>
  <c r="EQJ48" i="18" s="1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59" i="18"/>
  <c r="EQJ59" i="18" s="1"/>
  <c r="EQI30" i="18"/>
  <c r="EQJ30" i="18" s="1"/>
  <c r="EQI8" i="18"/>
  <c r="EQJ8" i="18" s="1"/>
  <c r="EQI9" i="18"/>
  <c r="EQJ9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0" i="18"/>
  <c r="W10" i="18"/>
  <c r="W11" i="18"/>
  <c r="K10" i="18"/>
  <c r="K11" i="18"/>
  <c r="K55" i="18"/>
  <c r="W55" i="18" l="1"/>
  <c r="EQA47" i="18"/>
  <c r="EQB47" i="18" s="1"/>
  <c r="EQA48" i="18"/>
  <c r="EQB48" i="18"/>
  <c r="EQA49" i="18"/>
  <c r="EQB49" i="18" s="1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6" i="18"/>
  <c r="EQB56" i="18" s="1"/>
  <c r="EQA59" i="18"/>
  <c r="EQB59" i="18" s="1"/>
  <c r="EQA8" i="18"/>
  <c r="EQB8" i="18" s="1"/>
  <c r="EQA9" i="18"/>
  <c r="EQB9" i="18" s="1"/>
  <c r="EQA11" i="18"/>
  <c r="EQB11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1" i="18" l="1"/>
  <c r="EPT31" i="18" s="1"/>
  <c r="EPS32" i="18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6" i="18"/>
  <c r="EPT56" i="18" s="1"/>
  <c r="EPS59" i="18"/>
  <c r="EPT59" i="18" s="1"/>
  <c r="EPS30" i="18"/>
  <c r="EPT30" i="18" s="1"/>
  <c r="EPS8" i="18"/>
  <c r="EPT8" i="18" s="1"/>
  <c r="EPS9" i="18"/>
  <c r="EPT9" i="18" s="1"/>
  <c r="EPS11" i="18"/>
  <c r="EPT11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1" i="18"/>
  <c r="EPL31" i="18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/>
  <c r="EPK47" i="18"/>
  <c r="EPL47" i="18" s="1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6" i="18"/>
  <c r="EPL56" i="18" s="1"/>
  <c r="EPK59" i="18"/>
  <c r="EPL59" i="18" s="1"/>
  <c r="EPK30" i="18"/>
  <c r="EPL30" i="18" s="1"/>
  <c r="EPC31" i="18"/>
  <c r="EPD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6" i="18"/>
  <c r="EPD56" i="18" s="1"/>
  <c r="EPC59" i="18"/>
  <c r="EPD59" i="18" s="1"/>
  <c r="EPC30" i="18"/>
  <c r="EPD30" i="18" s="1"/>
  <c r="EPC8" i="18"/>
  <c r="EPD8" i="18" s="1"/>
  <c r="EPC9" i="18"/>
  <c r="EPD9" i="18" s="1"/>
  <c r="EPC11" i="18"/>
  <c r="EPD11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1" i="18"/>
  <c r="EOV31" i="18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6" i="18"/>
  <c r="EOV56" i="18" s="1"/>
  <c r="EOU59" i="18"/>
  <c r="EOV59" i="18" s="1"/>
  <c r="EOU30" i="18"/>
  <c r="EOV30" i="18" s="1"/>
  <c r="EOU8" i="18"/>
  <c r="EOV8" i="18" s="1"/>
  <c r="EOU9" i="18"/>
  <c r="EOV9" i="18" s="1"/>
  <c r="EOU11" i="18"/>
  <c r="EOV11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1" i="18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6" i="18"/>
  <c r="EON59" i="18"/>
  <c r="EON30" i="18"/>
  <c r="EOM21" i="18"/>
  <c r="EON21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1" i="18"/>
  <c r="EOF31" i="18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6" i="18"/>
  <c r="EOF56" i="18" s="1"/>
  <c r="EOE59" i="18"/>
  <c r="EOF59" i="18" s="1"/>
  <c r="EOE30" i="18"/>
  <c r="EOF30" i="18" s="1"/>
  <c r="EOE8" i="18"/>
  <c r="EOF8" i="18" s="1"/>
  <c r="EOE9" i="18"/>
  <c r="EOF9" i="18" s="1"/>
  <c r="EOE11" i="18"/>
  <c r="EOF11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1" i="18"/>
  <c r="ENX31" i="18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6" i="18"/>
  <c r="ENX56" i="18" s="1"/>
  <c r="ENW59" i="18"/>
  <c r="ENX59" i="18" s="1"/>
  <c r="ENW30" i="18"/>
  <c r="ENX30" i="18" s="1"/>
  <c r="ENW8" i="18"/>
  <c r="ENX8" i="18" s="1"/>
  <c r="ENW9" i="18"/>
  <c r="ENX9" i="18" s="1"/>
  <c r="ENW11" i="18"/>
  <c r="ENX11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1" i="18"/>
  <c r="ENP31" i="18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6" i="18"/>
  <c r="ENP56" i="18" s="1"/>
  <c r="ENO59" i="18"/>
  <c r="ENP59" i="18" s="1"/>
  <c r="ENO30" i="18"/>
  <c r="ENP30" i="18" s="1"/>
  <c r="ENO8" i="18"/>
  <c r="ENP8" i="18" s="1"/>
  <c r="ENO9" i="18"/>
  <c r="ENP9" i="18" s="1"/>
  <c r="ENO11" i="18"/>
  <c r="ENP11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1" i="18" l="1"/>
  <c r="ENH31" i="18" s="1"/>
  <c r="ENG32" i="18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6" i="18"/>
  <c r="ENH56" i="18" s="1"/>
  <c r="ENG59" i="18"/>
  <c r="ENH59" i="18" s="1"/>
  <c r="ENG30" i="18"/>
  <c r="ENH30" i="18" s="1"/>
  <c r="ENG8" i="18"/>
  <c r="ENH8" i="18" s="1"/>
  <c r="ENG9" i="18"/>
  <c r="ENH9" i="18" s="1"/>
  <c r="ENG11" i="18"/>
  <c r="ENH11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49" i="18"/>
  <c r="W50" i="18"/>
  <c r="W51" i="18"/>
  <c r="W52" i="18"/>
  <c r="W53" i="18"/>
  <c r="W54" i="18"/>
  <c r="W56" i="18"/>
  <c r="EMY31" i="18"/>
  <c r="EMZ31" i="18" s="1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6" i="18"/>
  <c r="EMZ56" i="18" s="1"/>
  <c r="EMY59" i="18"/>
  <c r="EMZ59" i="18"/>
  <c r="EMY30" i="18"/>
  <c r="EMZ30" i="18" s="1"/>
  <c r="EMY8" i="18"/>
  <c r="EMZ8" i="18" s="1"/>
  <c r="EMY9" i="18"/>
  <c r="EMZ9" i="18"/>
  <c r="EMY11" i="18"/>
  <c r="EMZ11" i="18" s="1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1" i="18" l="1"/>
  <c r="EMR31" i="18" s="1"/>
  <c r="EMQ32" i="18"/>
  <c r="EMR32" i="18" s="1"/>
  <c r="EMQ33" i="18"/>
  <c r="EMR33" i="18" s="1"/>
  <c r="EMQ34" i="18"/>
  <c r="EMR34" i="18" s="1"/>
  <c r="EMQ35" i="18"/>
  <c r="EMR35" i="18"/>
  <c r="EMQ36" i="18"/>
  <c r="EMR36" i="18" s="1"/>
  <c r="EMQ37" i="18"/>
  <c r="EMR37" i="18" s="1"/>
  <c r="EMQ38" i="18"/>
  <c r="EMR38" i="18" s="1"/>
  <c r="EMQ39" i="18"/>
  <c r="EMR39" i="18" s="1"/>
  <c r="EMQ40" i="18"/>
  <c r="EMR40" i="18" s="1"/>
  <c r="EMQ41" i="18"/>
  <c r="EMR41" i="18"/>
  <c r="EMQ42" i="18"/>
  <c r="EMR42" i="18" s="1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/>
  <c r="EMQ50" i="18"/>
  <c r="EMR50" i="18" s="1"/>
  <c r="EMQ51" i="18"/>
  <c r="EMR51" i="18" s="1"/>
  <c r="EMQ52" i="18"/>
  <c r="EMR52" i="18"/>
  <c r="EMQ53" i="18"/>
  <c r="EMR53" i="18" s="1"/>
  <c r="EMQ54" i="18"/>
  <c r="EMR54" i="18" s="1"/>
  <c r="EMQ56" i="18"/>
  <c r="EMR56" i="18" s="1"/>
  <c r="EMQ59" i="18"/>
  <c r="EMR59" i="18" s="1"/>
  <c r="EMQ30" i="18"/>
  <c r="EMR30" i="18" s="1"/>
  <c r="EMQ8" i="18"/>
  <c r="EMR8" i="18" s="1"/>
  <c r="EMQ9" i="18"/>
  <c r="EMR9" i="18" s="1"/>
  <c r="EMQ11" i="18"/>
  <c r="EMR11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49" i="18"/>
  <c r="K50" i="18"/>
  <c r="K51" i="18"/>
  <c r="K52" i="18"/>
  <c r="K53" i="18"/>
  <c r="K54" i="18"/>
  <c r="K56" i="18"/>
  <c r="EMI31" i="18" l="1"/>
  <c r="EMJ31" i="18" s="1"/>
  <c r="EMI32" i="18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/>
  <c r="EMI46" i="18"/>
  <c r="EMJ46" i="18" s="1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/>
  <c r="EMI56" i="18"/>
  <c r="EMJ56" i="18"/>
  <c r="EMI59" i="18"/>
  <c r="EMJ59" i="18" s="1"/>
  <c r="EMI30" i="18"/>
  <c r="EMJ30" i="18" s="1"/>
  <c r="EMI8" i="18"/>
  <c r="EMJ8" i="18" s="1"/>
  <c r="EMI9" i="18"/>
  <c r="EMJ9" i="18" s="1"/>
  <c r="EMI11" i="18"/>
  <c r="EMJ11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1" i="18"/>
  <c r="EMB31" i="18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/>
  <c r="EMA45" i="18"/>
  <c r="EMB45" i="18" s="1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6" i="18"/>
  <c r="EMB56" i="18" s="1"/>
  <c r="EMA59" i="18"/>
  <c r="EMB59" i="18" s="1"/>
  <c r="EMA30" i="18"/>
  <c r="EMB30" i="18" s="1"/>
  <c r="EMA8" i="18"/>
  <c r="EMB8" i="18" s="1"/>
  <c r="EMA9" i="18"/>
  <c r="EMB9" i="18" s="1"/>
  <c r="EMA11" i="18"/>
  <c r="EMB11" i="18"/>
  <c r="EMA12" i="18"/>
  <c r="EMB12" i="18" s="1"/>
  <c r="EMA13" i="18"/>
  <c r="EMB13" i="18" s="1"/>
  <c r="EMA14" i="18"/>
  <c r="EMB14" i="18" s="1"/>
  <c r="EMA15" i="18"/>
  <c r="EMB15" i="18"/>
  <c r="EMA16" i="18"/>
  <c r="EMB16" i="18" s="1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0" i="18"/>
  <c r="R50" i="18"/>
  <c r="CPZ50" i="18"/>
  <c r="CQA50" i="18" s="1"/>
  <c r="CQH50" i="18"/>
  <c r="CQI50" i="18" s="1"/>
  <c r="CQP50" i="18"/>
  <c r="CQQ50" i="18" s="1"/>
  <c r="CQX50" i="18"/>
  <c r="CQY50" i="18" s="1"/>
  <c r="CRF50" i="18"/>
  <c r="CRG50" i="18" s="1"/>
  <c r="CRN50" i="18"/>
  <c r="CRO50" i="18" s="1"/>
  <c r="CRV50" i="18"/>
  <c r="CRW50" i="18" s="1"/>
  <c r="CSD50" i="18"/>
  <c r="CSE50" i="18" s="1"/>
  <c r="CST50" i="18"/>
  <c r="CSU50" i="18" s="1"/>
  <c r="CTB50" i="18"/>
  <c r="CTC50" i="18" s="1"/>
  <c r="CTJ50" i="18"/>
  <c r="CTK50" i="18" s="1"/>
  <c r="CTR50" i="18"/>
  <c r="CTS50" i="18" s="1"/>
  <c r="CTZ50" i="18"/>
  <c r="CUA50" i="18" s="1"/>
  <c r="CUH50" i="18"/>
  <c r="CUI50" i="18" s="1"/>
  <c r="CUP50" i="18"/>
  <c r="CUQ50" i="18" s="1"/>
  <c r="CUX50" i="18"/>
  <c r="CUY50" i="18" s="1"/>
  <c r="CVF50" i="18"/>
  <c r="CVG50" i="18" s="1"/>
  <c r="CVN50" i="18"/>
  <c r="CVO50" i="18" s="1"/>
  <c r="CVV50" i="18"/>
  <c r="CVW50" i="18" s="1"/>
  <c r="CWD50" i="18"/>
  <c r="CWE50" i="18" s="1"/>
  <c r="CWL50" i="18"/>
  <c r="CWM50" i="18" s="1"/>
  <c r="CWT50" i="18"/>
  <c r="CWU50" i="18" s="1"/>
  <c r="CXB50" i="18"/>
  <c r="CXC50" i="18" s="1"/>
  <c r="CXJ50" i="18"/>
  <c r="CXK50" i="18" s="1"/>
  <c r="CXR50" i="18"/>
  <c r="CXS50" i="18" s="1"/>
  <c r="CXZ50" i="18"/>
  <c r="CYA50" i="18" s="1"/>
  <c r="CYH50" i="18"/>
  <c r="CYI50" i="18" s="1"/>
  <c r="CYP50" i="18"/>
  <c r="CYQ50" i="18" s="1"/>
  <c r="CYX50" i="18"/>
  <c r="CYY50" i="18" s="1"/>
  <c r="CZF50" i="18"/>
  <c r="CZG50" i="18" s="1"/>
  <c r="CZN50" i="18"/>
  <c r="CZO50" i="18" s="1"/>
  <c r="CZV50" i="18"/>
  <c r="CZW50" i="18" s="1"/>
  <c r="DAD50" i="18"/>
  <c r="DAE50" i="18" s="1"/>
  <c r="DAL50" i="18"/>
  <c r="DAM50" i="18" s="1"/>
  <c r="DAT50" i="18"/>
  <c r="DAU50" i="18" s="1"/>
  <c r="DBB50" i="18"/>
  <c r="DBC50" i="18" s="1"/>
  <c r="DBJ50" i="18"/>
  <c r="DBK50" i="18" s="1"/>
  <c r="DBR50" i="18"/>
  <c r="DBS50" i="18" s="1"/>
  <c r="DBZ50" i="18"/>
  <c r="DCA50" i="18" s="1"/>
  <c r="DCH50" i="18"/>
  <c r="DCI50" i="18" s="1"/>
  <c r="DCP50" i="18"/>
  <c r="DCQ50" i="18" s="1"/>
  <c r="DCX50" i="18"/>
  <c r="DCY50" i="18" s="1"/>
  <c r="DDF50" i="18"/>
  <c r="DDG50" i="18" s="1"/>
  <c r="DDN50" i="18"/>
  <c r="DDO50" i="18" s="1"/>
  <c r="DDV50" i="18"/>
  <c r="DDW50" i="18" s="1"/>
  <c r="DED50" i="18"/>
  <c r="DEE50" i="18" s="1"/>
  <c r="DEL50" i="18"/>
  <c r="DEM50" i="18" s="1"/>
  <c r="DET50" i="18"/>
  <c r="DEU50" i="18" s="1"/>
  <c r="DFB50" i="18"/>
  <c r="DFC50" i="18" s="1"/>
  <c r="DFJ50" i="18"/>
  <c r="DFK50" i="18" s="1"/>
  <c r="DFR50" i="18"/>
  <c r="DFS50" i="18" s="1"/>
  <c r="DFZ50" i="18"/>
  <c r="DGA50" i="18" s="1"/>
  <c r="DGH50" i="18"/>
  <c r="DGI50" i="18" s="1"/>
  <c r="DGP50" i="18"/>
  <c r="DGQ50" i="18" s="1"/>
  <c r="DGX50" i="18"/>
  <c r="DGY50" i="18" s="1"/>
  <c r="DHF50" i="18"/>
  <c r="DHG50" i="18" s="1"/>
  <c r="DHN50" i="18"/>
  <c r="DHO50" i="18" s="1"/>
  <c r="DHV50" i="18"/>
  <c r="DHW50" i="18" s="1"/>
  <c r="DID50" i="18"/>
  <c r="DIE50" i="18" s="1"/>
  <c r="DIL50" i="18"/>
  <c r="DIM50" i="18" s="1"/>
  <c r="DIT50" i="18"/>
  <c r="DIU50" i="18" s="1"/>
  <c r="DJB50" i="18"/>
  <c r="DJC50" i="18" s="1"/>
  <c r="DJJ50" i="18"/>
  <c r="DJK50" i="18" s="1"/>
  <c r="DJR50" i="18"/>
  <c r="DJS50" i="18" s="1"/>
  <c r="DJZ50" i="18"/>
  <c r="DKA50" i="18" s="1"/>
  <c r="DKH50" i="18"/>
  <c r="DKI50" i="18" s="1"/>
  <c r="DKP50" i="18"/>
  <c r="DKQ50" i="18" s="1"/>
  <c r="DKX50" i="18"/>
  <c r="DKY50" i="18" s="1"/>
  <c r="DLF50" i="18"/>
  <c r="DLG50" i="18" s="1"/>
  <c r="DLN50" i="18"/>
  <c r="DLO50" i="18" s="1"/>
  <c r="DLV50" i="18"/>
  <c r="DLW50" i="18" s="1"/>
  <c r="DMD50" i="18"/>
  <c r="DME50" i="18" s="1"/>
  <c r="DML50" i="18"/>
  <c r="DMM50" i="18" s="1"/>
  <c r="DMT50" i="18"/>
  <c r="DMU50" i="18" s="1"/>
  <c r="DNB50" i="18"/>
  <c r="DNC50" i="18" s="1"/>
  <c r="DNJ50" i="18"/>
  <c r="DNK50" i="18" s="1"/>
  <c r="DNR50" i="18"/>
  <c r="DNS50" i="18" s="1"/>
  <c r="DNZ50" i="18"/>
  <c r="DOA50" i="18" s="1"/>
  <c r="DOH50" i="18"/>
  <c r="DOI50" i="18" s="1"/>
  <c r="DOP50" i="18"/>
  <c r="DOQ50" i="18"/>
  <c r="DOX50" i="18"/>
  <c r="DOY50" i="18" s="1"/>
  <c r="DPF50" i="18"/>
  <c r="DPG50" i="18" s="1"/>
  <c r="DPN50" i="18"/>
  <c r="DPO50" i="18" s="1"/>
  <c r="DPV50" i="18"/>
  <c r="DPW50" i="18" s="1"/>
  <c r="DQD50" i="18"/>
  <c r="DQE50" i="18" s="1"/>
  <c r="DQL50" i="18"/>
  <c r="DQM50" i="18" s="1"/>
  <c r="DQT50" i="18"/>
  <c r="DQU50" i="18" s="1"/>
  <c r="DRB50" i="18"/>
  <c r="DRC50" i="18" s="1"/>
  <c r="DRJ50" i="18"/>
  <c r="DRK50" i="18" s="1"/>
  <c r="DRR50" i="18"/>
  <c r="DRS50" i="18" s="1"/>
  <c r="DRZ50" i="18"/>
  <c r="DSA50" i="18" s="1"/>
  <c r="DSH50" i="18"/>
  <c r="DSI50" i="18" s="1"/>
  <c r="DSP50" i="18"/>
  <c r="DSQ50" i="18" s="1"/>
  <c r="DSX50" i="18"/>
  <c r="DSY50" i="18" s="1"/>
  <c r="DTF50" i="18"/>
  <c r="DTG50" i="18" s="1"/>
  <c r="DTN50" i="18"/>
  <c r="DTO50" i="18" s="1"/>
  <c r="DTV50" i="18"/>
  <c r="DTW50" i="18" s="1"/>
  <c r="DUD50" i="18"/>
  <c r="DUE50" i="18" s="1"/>
  <c r="DUL50" i="18"/>
  <c r="DUM50" i="18" s="1"/>
  <c r="DUT50" i="18"/>
  <c r="DUU50" i="18" s="1"/>
  <c r="DVB50" i="18"/>
  <c r="DVC50" i="18" s="1"/>
  <c r="DVJ50" i="18"/>
  <c r="DVK50" i="18" s="1"/>
  <c r="DVR50" i="18"/>
  <c r="DVS50" i="18" s="1"/>
  <c r="DVZ50" i="18"/>
  <c r="DWA50" i="18" s="1"/>
  <c r="DWH50" i="18"/>
  <c r="DWI50" i="18" s="1"/>
  <c r="DWP50" i="18"/>
  <c r="DWQ50" i="18" s="1"/>
  <c r="DWX50" i="18"/>
  <c r="DWY50" i="18" s="1"/>
  <c r="DXF50" i="18"/>
  <c r="DXG50" i="18" s="1"/>
  <c r="DXN50" i="18"/>
  <c r="DXO50" i="18" s="1"/>
  <c r="DXV50" i="18"/>
  <c r="DXW50" i="18" s="1"/>
  <c r="DYD50" i="18"/>
  <c r="DYE50" i="18" s="1"/>
  <c r="DYL50" i="18"/>
  <c r="DYM50" i="18" s="1"/>
  <c r="DYT50" i="18"/>
  <c r="DYU50" i="18" s="1"/>
  <c r="DZB50" i="18"/>
  <c r="DZC50" i="18" s="1"/>
  <c r="DZJ50" i="18"/>
  <c r="DZK50" i="18" s="1"/>
  <c r="DZR50" i="18"/>
  <c r="DZS50" i="18" s="1"/>
  <c r="DZZ50" i="18"/>
  <c r="EAA50" i="18" s="1"/>
  <c r="EAH50" i="18"/>
  <c r="EAI50" i="18" s="1"/>
  <c r="EAP50" i="18"/>
  <c r="EAQ50" i="18" s="1"/>
  <c r="EAX50" i="18"/>
  <c r="EAY50" i="18" s="1"/>
  <c r="EBF50" i="18"/>
  <c r="EBG50" i="18" s="1"/>
  <c r="EBN50" i="18"/>
  <c r="EBO50" i="18" s="1"/>
  <c r="EBV50" i="18"/>
  <c r="EBW50" i="18" s="1"/>
  <c r="ECD50" i="18"/>
  <c r="ECE50" i="18" s="1"/>
  <c r="ECL50" i="18"/>
  <c r="ECM50" i="18" s="1"/>
  <c r="ECT50" i="18"/>
  <c r="ECU50" i="18" s="1"/>
  <c r="EDB50" i="18"/>
  <c r="EDC50" i="18" s="1"/>
  <c r="EDJ50" i="18"/>
  <c r="EDK50" i="18" s="1"/>
  <c r="EDR50" i="18"/>
  <c r="EDS50" i="18" s="1"/>
  <c r="EDZ50" i="18"/>
  <c r="EEA50" i="18" s="1"/>
  <c r="EEH50" i="18"/>
  <c r="EEI50" i="18" s="1"/>
  <c r="EEP50" i="18"/>
  <c r="EEQ50" i="18" s="1"/>
  <c r="EEX50" i="18"/>
  <c r="EEY50" i="18" s="1"/>
  <c r="EFF50" i="18"/>
  <c r="EFG50" i="18" s="1"/>
  <c r="EFN50" i="18"/>
  <c r="EFO50" i="18" s="1"/>
  <c r="EFV50" i="18"/>
  <c r="EFW50" i="18" s="1"/>
  <c r="EGD50" i="18"/>
  <c r="EGE50" i="18" s="1"/>
  <c r="EGL50" i="18"/>
  <c r="EGM50" i="18" s="1"/>
  <c r="EGT50" i="18"/>
  <c r="EGU50" i="18" s="1"/>
  <c r="EHB50" i="18"/>
  <c r="EHC50" i="18" s="1"/>
  <c r="EHJ50" i="18"/>
  <c r="EHK50" i="18" s="1"/>
  <c r="EHR50" i="18"/>
  <c r="EHS50" i="18" s="1"/>
  <c r="EHZ50" i="18"/>
  <c r="EIA50" i="18" s="1"/>
  <c r="EIH50" i="18"/>
  <c r="EII50" i="18" s="1"/>
  <c r="EIP50" i="18"/>
  <c r="EIQ50" i="18" s="1"/>
  <c r="EIX50" i="18"/>
  <c r="EIY50" i="18" s="1"/>
  <c r="EJF50" i="18"/>
  <c r="EJG50" i="18" s="1"/>
  <c r="EJN50" i="18"/>
  <c r="EJO50" i="18" s="1"/>
  <c r="EJV50" i="18"/>
  <c r="EJW50" i="18" s="1"/>
  <c r="EKD50" i="18"/>
  <c r="EKE50" i="18" s="1"/>
  <c r="EKL50" i="18"/>
  <c r="EKM50" i="18" s="1"/>
  <c r="EKT50" i="18"/>
  <c r="EKU50" i="18" s="1"/>
  <c r="ELC50" i="18"/>
  <c r="ELD50" i="18" s="1"/>
  <c r="ELK50" i="18"/>
  <c r="ELL50" i="18" s="1"/>
  <c r="ELS50" i="18"/>
  <c r="ELT50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1" i="18"/>
  <c r="ELT31" i="18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51" i="18"/>
  <c r="ELT51" i="18" s="1"/>
  <c r="ELS52" i="18"/>
  <c r="ELT52" i="18" s="1"/>
  <c r="ELS53" i="18"/>
  <c r="ELT53" i="18" s="1"/>
  <c r="ELS54" i="18"/>
  <c r="ELT54" i="18" s="1"/>
  <c r="ELS59" i="18"/>
  <c r="ELT59" i="18" s="1"/>
  <c r="ELS30" i="18"/>
  <c r="ELT30" i="18" s="1"/>
  <c r="ELS8" i="18"/>
  <c r="ELT8" i="18" s="1"/>
  <c r="ELS9" i="18"/>
  <c r="ELT9" i="18" s="1"/>
  <c r="ELS11" i="18"/>
  <c r="ELT11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7" i="18"/>
  <c r="ELT7" i="18" s="1"/>
  <c r="ELK31" i="18"/>
  <c r="ELL31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51" i="18"/>
  <c r="ELL51" i="18" s="1"/>
  <c r="ELK52" i="18"/>
  <c r="ELL52" i="18" s="1"/>
  <c r="ELK53" i="18"/>
  <c r="ELL53" i="18" s="1"/>
  <c r="ELK54" i="18"/>
  <c r="ELL54" i="18" s="1"/>
  <c r="ELK59" i="18"/>
  <c r="ELL59" i="18" s="1"/>
  <c r="ELK30" i="18"/>
  <c r="ELL30" i="18" s="1"/>
  <c r="ELK8" i="18"/>
  <c r="ELL8" i="18" s="1"/>
  <c r="ELK9" i="18"/>
  <c r="ELL9" i="18" s="1"/>
  <c r="ELK11" i="18"/>
  <c r="ELL11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8" i="18" l="1"/>
  <c r="W31" i="18"/>
  <c r="W32" i="18"/>
  <c r="W33" i="18"/>
  <c r="W34" i="18"/>
  <c r="W35" i="18"/>
  <c r="W36" i="18"/>
  <c r="W37" i="18"/>
  <c r="W38" i="18"/>
  <c r="W39" i="18"/>
  <c r="W4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W8" i="18"/>
  <c r="W9" i="18"/>
  <c r="W12" i="18"/>
  <c r="W13" i="18"/>
  <c r="W14" i="18"/>
  <c r="W15" i="18"/>
  <c r="W16" i="18"/>
  <c r="W17" i="18"/>
  <c r="W18" i="18"/>
  <c r="W19" i="18"/>
  <c r="W41" i="18"/>
  <c r="W42" i="18"/>
  <c r="W43" i="18"/>
  <c r="W44" i="18"/>
  <c r="W45" i="18"/>
  <c r="W46" i="18"/>
  <c r="W47" i="18"/>
  <c r="X34" i="17"/>
  <c r="X35" i="17"/>
  <c r="X36" i="17"/>
  <c r="X37" i="17"/>
  <c r="X38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X73" i="17"/>
  <c r="ELC31" i="18"/>
  <c r="ELD31" i="18" s="1"/>
  <c r="ELC32" i="18"/>
  <c r="ELD32" i="18" s="1"/>
  <c r="ELC34" i="18"/>
  <c r="ELD34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51" i="18"/>
  <c r="ELD51" i="18" s="1"/>
  <c r="ELC59" i="18"/>
  <c r="ELD59" i="18" s="1"/>
  <c r="ELC30" i="18"/>
  <c r="ELD30" i="18" s="1"/>
  <c r="ELC8" i="18"/>
  <c r="ELD8" i="18" s="1"/>
  <c r="ELC9" i="18"/>
  <c r="ELD9" i="18" s="1"/>
  <c r="ELC11" i="18"/>
  <c r="ELD11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1" i="18"/>
  <c r="EKU31" i="18" s="1"/>
  <c r="EKT34" i="18"/>
  <c r="EKU34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51" i="18"/>
  <c r="EKU51" i="18" s="1"/>
  <c r="EKT59" i="18"/>
  <c r="EKU59" i="18" s="1"/>
  <c r="EKT30" i="18"/>
  <c r="EKU30" i="18" s="1"/>
  <c r="EKT8" i="18"/>
  <c r="EKU8" i="18" s="1"/>
  <c r="EKT9" i="18"/>
  <c r="EKU9" i="18" s="1"/>
  <c r="EKT11" i="18"/>
  <c r="EKU11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1" i="18"/>
  <c r="EKM31" i="18" s="1"/>
  <c r="EKL34" i="18"/>
  <c r="EKM34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51" i="18"/>
  <c r="EKM51" i="18" s="1"/>
  <c r="EKL59" i="18"/>
  <c r="EKM59" i="18" s="1"/>
  <c r="EKL30" i="18"/>
  <c r="EKM30" i="18" s="1"/>
  <c r="EKL8" i="18"/>
  <c r="EKM8" i="18" s="1"/>
  <c r="EKL9" i="18"/>
  <c r="EKM9" i="18" s="1"/>
  <c r="EKL11" i="18"/>
  <c r="EKM11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1" i="18"/>
  <c r="EKE31" i="18" s="1"/>
  <c r="EKD34" i="18"/>
  <c r="EKE34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51" i="18"/>
  <c r="EKE51" i="18" s="1"/>
  <c r="EKD59" i="18"/>
  <c r="EKE59" i="18" s="1"/>
  <c r="EKD30" i="18"/>
  <c r="EKE30" i="18" s="1"/>
  <c r="EKD8" i="18"/>
  <c r="EKE8" i="18" s="1"/>
  <c r="EKD9" i="18"/>
  <c r="EKE9" i="18" s="1"/>
  <c r="EKD11" i="18"/>
  <c r="EKE11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7" i="18"/>
  <c r="EKE7" i="18" s="1"/>
  <c r="P8" i="19"/>
  <c r="P10" i="19"/>
  <c r="P11" i="19"/>
  <c r="P13" i="19"/>
  <c r="P14" i="19"/>
  <c r="P15" i="19"/>
  <c r="EJV31" i="18" l="1"/>
  <c r="EJW31" i="18" s="1"/>
  <c r="EJV34" i="18"/>
  <c r="EJW34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51" i="18"/>
  <c r="EJW51" i="18" s="1"/>
  <c r="EJV59" i="18"/>
  <c r="EJW59" i="18" s="1"/>
  <c r="EJV30" i="18"/>
  <c r="EJW30" i="18" s="1"/>
  <c r="EJV8" i="18"/>
  <c r="EJW8" i="18" s="1"/>
  <c r="EJV9" i="18"/>
  <c r="EJW9" i="18" s="1"/>
  <c r="EJV11" i="18"/>
  <c r="EJW11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1" i="18"/>
  <c r="EJO31" i="18" s="1"/>
  <c r="EJN34" i="18"/>
  <c r="EJO34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51" i="18"/>
  <c r="EJO51" i="18" s="1"/>
  <c r="EJN59" i="18"/>
  <c r="EJO59" i="18" s="1"/>
  <c r="EJN30" i="18"/>
  <c r="EJO30" i="18" s="1"/>
  <c r="EJN8" i="18"/>
  <c r="EJO8" i="18" s="1"/>
  <c r="EJN9" i="18"/>
  <c r="EJO9" i="18" s="1"/>
  <c r="EJN11" i="18"/>
  <c r="EJO11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7" i="18"/>
  <c r="EJO7" i="18" s="1"/>
  <c r="EJF31" i="18" l="1"/>
  <c r="EJG31" i="18" s="1"/>
  <c r="EJF34" i="18"/>
  <c r="EJG34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51" i="18"/>
  <c r="EJG51" i="18" s="1"/>
  <c r="EJF59" i="18"/>
  <c r="EJG59" i="18" s="1"/>
  <c r="EJF30" i="18"/>
  <c r="EJG30" i="18" s="1"/>
  <c r="EJF8" i="18"/>
  <c r="EJG8" i="18" s="1"/>
  <c r="EJF9" i="18"/>
  <c r="EJG9" i="18" s="1"/>
  <c r="EJF11" i="18"/>
  <c r="EJG11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1" i="18"/>
  <c r="EIY31" i="18" s="1"/>
  <c r="EIX34" i="18"/>
  <c r="EIY34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51" i="18"/>
  <c r="EIY51" i="18" s="1"/>
  <c r="EIX59" i="18"/>
  <c r="EIY59" i="18" s="1"/>
  <c r="EIX30" i="18"/>
  <c r="EIY30" i="18" s="1"/>
  <c r="EIX8" i="18"/>
  <c r="EIY8" i="18" s="1"/>
  <c r="EIX9" i="18"/>
  <c r="EIY9" i="18" s="1"/>
  <c r="EIX11" i="18"/>
  <c r="EIY11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1" i="18"/>
  <c r="EIQ31" i="18" s="1"/>
  <c r="EIP34" i="18"/>
  <c r="EIQ34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51" i="18"/>
  <c r="EIQ51" i="18" s="1"/>
  <c r="EIP59" i="18"/>
  <c r="EIQ59" i="18" s="1"/>
  <c r="EIP30" i="18"/>
  <c r="EIQ30" i="18" s="1"/>
  <c r="EIP8" i="18"/>
  <c r="EIQ8" i="18" s="1"/>
  <c r="EIP9" i="18"/>
  <c r="EIQ9" i="18" s="1"/>
  <c r="EIP11" i="18"/>
  <c r="EIQ11" i="18" s="1"/>
  <c r="EIP12" i="18"/>
  <c r="EIQ12" i="18" s="1"/>
  <c r="EIP13" i="18"/>
  <c r="EIQ13" i="18" s="1"/>
  <c r="EIP14" i="18"/>
  <c r="EIQ14" i="18" s="1"/>
  <c r="EIP15" i="18"/>
  <c r="EIQ15" i="18" s="1"/>
  <c r="EIP16" i="18"/>
  <c r="EIQ16" i="18"/>
  <c r="EIP17" i="18"/>
  <c r="EIQ17" i="18" s="1"/>
  <c r="EIP18" i="18"/>
  <c r="EIQ18" i="18" s="1"/>
  <c r="EIP19" i="18"/>
  <c r="EIQ19" i="18" s="1"/>
  <c r="EIP20" i="18"/>
  <c r="EIQ20" i="18" s="1"/>
  <c r="EIP21" i="18"/>
  <c r="EIQ21" i="18" s="1"/>
  <c r="EIP7" i="18"/>
  <c r="EIQ7" i="18" s="1"/>
  <c r="EIH31" i="18"/>
  <c r="EII31" i="18" s="1"/>
  <c r="EIH34" i="18"/>
  <c r="EII34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51" i="18"/>
  <c r="EII51" i="18" s="1"/>
  <c r="EIH59" i="18"/>
  <c r="EII59" i="18" s="1"/>
  <c r="EIH30" i="18"/>
  <c r="EII30" i="18" s="1"/>
  <c r="EIH8" i="18"/>
  <c r="EII8" i="18" s="1"/>
  <c r="EIH9" i="18"/>
  <c r="EII9" i="18" s="1"/>
  <c r="EIH11" i="18"/>
  <c r="EII11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1" i="18"/>
  <c r="EIA31" i="18" s="1"/>
  <c r="EHZ34" i="18"/>
  <c r="EIA34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51" i="18"/>
  <c r="EIA51" i="18" s="1"/>
  <c r="EHZ59" i="18"/>
  <c r="EIA59" i="18" s="1"/>
  <c r="EHZ30" i="18"/>
  <c r="EIA30" i="18" s="1"/>
  <c r="EHZ8" i="18"/>
  <c r="EIA8" i="18" s="1"/>
  <c r="EHZ9" i="18"/>
  <c r="EIA9" i="18" s="1"/>
  <c r="EHZ11" i="18"/>
  <c r="EIA11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7" i="18"/>
  <c r="EIA7" i="18" s="1"/>
  <c r="R46" i="18"/>
  <c r="R47" i="18"/>
  <c r="R48" i="18"/>
  <c r="Q47" i="18"/>
  <c r="Q48" i="18"/>
  <c r="T46" i="18" l="1"/>
  <c r="V46" i="18"/>
  <c r="T47" i="18"/>
  <c r="V47" i="18"/>
  <c r="EHR31" i="18"/>
  <c r="EHS31" i="18" s="1"/>
  <c r="EHR34" i="18"/>
  <c r="EHS34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51" i="18"/>
  <c r="EHS51" i="18" s="1"/>
  <c r="EHR59" i="18"/>
  <c r="EHS59" i="18" s="1"/>
  <c r="EHR30" i="18"/>
  <c r="EHS30" i="18" s="1"/>
  <c r="EHR8" i="18"/>
  <c r="EHS8" i="18" s="1"/>
  <c r="EHR9" i="18"/>
  <c r="EHS9" i="18" s="1"/>
  <c r="EHR11" i="18"/>
  <c r="EHS11" i="18" s="1"/>
  <c r="EHR12" i="18"/>
  <c r="EHS12" i="18" s="1"/>
  <c r="EHR13" i="18"/>
  <c r="EHS13" i="18"/>
  <c r="EHR14" i="18"/>
  <c r="EHS14" i="18" s="1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/>
  <c r="EHR21" i="18"/>
  <c r="EHS21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1" i="18"/>
  <c r="EHK31" i="18" s="1"/>
  <c r="EHJ34" i="18"/>
  <c r="EHK34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51" i="18"/>
  <c r="EHK51" i="18" s="1"/>
  <c r="EHJ59" i="18"/>
  <c r="EHK59" i="18" s="1"/>
  <c r="EHJ30" i="18"/>
  <c r="EHK30" i="18" s="1"/>
  <c r="EHJ8" i="18"/>
  <c r="EHK8" i="18" s="1"/>
  <c r="EHJ9" i="18"/>
  <c r="EHK9" i="18" s="1"/>
  <c r="EHJ11" i="18"/>
  <c r="EHK11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7" i="18"/>
  <c r="EHK7" i="18" s="1"/>
  <c r="Q68" i="17"/>
  <c r="U72" i="17"/>
  <c r="Q53" i="17" l="1"/>
  <c r="Q48" i="17"/>
  <c r="EHB59" i="18" l="1"/>
  <c r="EHC59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1" i="18"/>
  <c r="EHC31" i="18" s="1"/>
  <c r="EHB34" i="18"/>
  <c r="EHC34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51" i="18"/>
  <c r="EHC51" i="18" s="1"/>
  <c r="EHB30" i="18"/>
  <c r="EHC30" i="18" s="1"/>
  <c r="EHB8" i="18"/>
  <c r="EHC8" i="18" s="1"/>
  <c r="EHB9" i="18"/>
  <c r="EHC9" i="18" s="1"/>
  <c r="EHB11" i="18"/>
  <c r="EHC11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7" i="18"/>
  <c r="EHC7" i="18" s="1"/>
  <c r="EGT8" i="18"/>
  <c r="EGU8" i="18" s="1"/>
  <c r="EGT9" i="18"/>
  <c r="EGU9" i="18" s="1"/>
  <c r="EGT11" i="18"/>
  <c r="EGU11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7" i="18"/>
  <c r="EGU7" i="18" s="1"/>
  <c r="EGT31" i="18"/>
  <c r="EGU31" i="18" s="1"/>
  <c r="EGT34" i="18"/>
  <c r="EGU34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51" i="18"/>
  <c r="EGU51" i="18" s="1"/>
  <c r="EGT59" i="18"/>
  <c r="EGU59" i="18" s="1"/>
  <c r="EGT30" i="18"/>
  <c r="EGU30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1" i="18"/>
  <c r="EGM31" i="18" s="1"/>
  <c r="EGL34" i="18"/>
  <c r="EGM34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51" i="18"/>
  <c r="EGM51" i="18" s="1"/>
  <c r="EGL59" i="18"/>
  <c r="EGM59" i="18" s="1"/>
  <c r="EGL30" i="18"/>
  <c r="EGM30" i="18" s="1"/>
  <c r="EGL8" i="18"/>
  <c r="EGM8" i="18" s="1"/>
  <c r="EGL9" i="18"/>
  <c r="EGM9" i="18" s="1"/>
  <c r="EGL11" i="18"/>
  <c r="EGM11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1" i="18"/>
  <c r="EGE31" i="18" s="1"/>
  <c r="EGD34" i="18"/>
  <c r="EGE34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51" i="18"/>
  <c r="EGE51" i="18" s="1"/>
  <c r="EGD59" i="18"/>
  <c r="EGE59" i="18" s="1"/>
  <c r="EGD30" i="18"/>
  <c r="EGE30" i="18" s="1"/>
  <c r="EGD8" i="18"/>
  <c r="EGE8" i="18" s="1"/>
  <c r="EGD9" i="18"/>
  <c r="EGE9" i="18" s="1"/>
  <c r="EGD11" i="18"/>
  <c r="EGE11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1" i="18"/>
  <c r="EFW31" i="18" s="1"/>
  <c r="EFV34" i="18"/>
  <c r="EFW34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51" i="18"/>
  <c r="EFW51" i="18" s="1"/>
  <c r="EFV59" i="18"/>
  <c r="EFW59" i="18" s="1"/>
  <c r="EFV30" i="18"/>
  <c r="EFW30" i="18" s="1"/>
  <c r="EFV8" i="18"/>
  <c r="EFW8" i="18" s="1"/>
  <c r="EFV9" i="18"/>
  <c r="EFW9" i="18" s="1"/>
  <c r="EFV11" i="18"/>
  <c r="EFW11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1" i="18"/>
  <c r="EFO31" i="18" s="1"/>
  <c r="EFN34" i="18"/>
  <c r="EFO34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8" i="18"/>
  <c r="EFO48" i="18" s="1"/>
  <c r="EFN51" i="18"/>
  <c r="EFO51" i="18" s="1"/>
  <c r="EFN59" i="18"/>
  <c r="EFO59" i="18" s="1"/>
  <c r="EFN30" i="18"/>
  <c r="EFO30" i="18" s="1"/>
  <c r="EFN8" i="18"/>
  <c r="EFO8" i="18" s="1"/>
  <c r="EFN9" i="18"/>
  <c r="EFO9" i="18" s="1"/>
  <c r="EFN11" i="18"/>
  <c r="EFO11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F31" i="18" l="1"/>
  <c r="EFG31" i="18" s="1"/>
  <c r="EFF34" i="18"/>
  <c r="EFG34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8" i="18"/>
  <c r="EFG48" i="18" s="1"/>
  <c r="EFF51" i="18"/>
  <c r="EFG51" i="18" s="1"/>
  <c r="EFF59" i="18"/>
  <c r="EFG59" i="18" s="1"/>
  <c r="EFF30" i="18"/>
  <c r="EFG30" i="18" s="1"/>
  <c r="EFF8" i="18"/>
  <c r="EFG8" i="18" s="1"/>
  <c r="EFF9" i="18"/>
  <c r="EFG9" i="18" s="1"/>
  <c r="EFF11" i="18"/>
  <c r="EFG11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1" i="18"/>
  <c r="EEY31" i="18" s="1"/>
  <c r="EEX34" i="18"/>
  <c r="EEY34" i="18" s="1"/>
  <c r="EEX35" i="18"/>
  <c r="EEY35" i="18" s="1"/>
  <c r="EEX36" i="18"/>
  <c r="EEY36" i="18"/>
  <c r="EEX37" i="18"/>
  <c r="EEY37" i="18" s="1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8" i="18"/>
  <c r="EEY48" i="18" s="1"/>
  <c r="EEX51" i="18"/>
  <c r="EEY51" i="18" s="1"/>
  <c r="EEX59" i="18"/>
  <c r="EEY59" i="18" s="1"/>
  <c r="EEX30" i="18"/>
  <c r="EEY30" i="18" s="1"/>
  <c r="EEX8" i="18"/>
  <c r="EEY8" i="18" s="1"/>
  <c r="EEX9" i="18"/>
  <c r="EEY9" i="18" s="1"/>
  <c r="EEX11" i="18"/>
  <c r="EEY11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7" i="18"/>
  <c r="EEY7" i="18" s="1"/>
  <c r="U48" i="17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1" i="18"/>
  <c r="EEQ31" i="18" s="1"/>
  <c r="EEP34" i="18"/>
  <c r="EEQ34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8" i="18"/>
  <c r="EEQ48" i="18" s="1"/>
  <c r="EEP51" i="18"/>
  <c r="EEQ51" i="18" s="1"/>
  <c r="EEP59" i="18"/>
  <c r="EEQ59" i="18" s="1"/>
  <c r="EEP30" i="18"/>
  <c r="EEQ30" i="18" s="1"/>
  <c r="EEP8" i="18"/>
  <c r="EEQ8" i="18" s="1"/>
  <c r="EEP9" i="18"/>
  <c r="EEQ9" i="18" s="1"/>
  <c r="EEP11" i="18"/>
  <c r="EEQ11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7" i="18"/>
  <c r="EEQ7" i="18" s="1"/>
  <c r="EEH31" i="18"/>
  <c r="EEI31" i="18" s="1"/>
  <c r="EEH34" i="18"/>
  <c r="EEI34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8" i="18"/>
  <c r="EEI48" i="18" s="1"/>
  <c r="EEH51" i="18"/>
  <c r="EEI51" i="18" s="1"/>
  <c r="EEH59" i="18"/>
  <c r="EEI59" i="18" s="1"/>
  <c r="EEH30" i="18"/>
  <c r="EEI30" i="18" s="1"/>
  <c r="EEH8" i="18"/>
  <c r="EEI8" i="18" s="1"/>
  <c r="EEH9" i="18"/>
  <c r="EEI9" i="18" s="1"/>
  <c r="EEH11" i="18"/>
  <c r="EEI11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1" i="18"/>
  <c r="EEA31" i="18" s="1"/>
  <c r="EDZ34" i="18"/>
  <c r="EEA34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8" i="18"/>
  <c r="EEA48" i="18" s="1"/>
  <c r="EDZ51" i="18"/>
  <c r="EEA51" i="18" s="1"/>
  <c r="EDZ59" i="18"/>
  <c r="EEA59" i="18" s="1"/>
  <c r="EDZ30" i="18"/>
  <c r="EEA30" i="18" s="1"/>
  <c r="EDZ8" i="18"/>
  <c r="EEA8" i="18" s="1"/>
  <c r="EDZ9" i="18"/>
  <c r="EEA9" i="18" s="1"/>
  <c r="EDZ11" i="18"/>
  <c r="EEA11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7" i="18"/>
  <c r="EEA7" i="18" s="1"/>
  <c r="EDR31" i="18"/>
  <c r="EDS31" i="18" s="1"/>
  <c r="EDR34" i="18"/>
  <c r="EDS34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8" i="18"/>
  <c r="EDS48" i="18" s="1"/>
  <c r="EDR51" i="18"/>
  <c r="EDS51" i="18" s="1"/>
  <c r="EDR59" i="18"/>
  <c r="EDS59" i="18" s="1"/>
  <c r="EDR30" i="18"/>
  <c r="EDS30" i="18" s="1"/>
  <c r="EDR21" i="18"/>
  <c r="EDS21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0" i="18"/>
  <c r="R31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1" i="18"/>
  <c r="EDK31" i="18" s="1"/>
  <c r="EDJ34" i="18"/>
  <c r="EDK34" i="18" s="1"/>
  <c r="EDJ35" i="18"/>
  <c r="EDK35" i="18" s="1"/>
  <c r="EDJ36" i="18"/>
  <c r="EDK36" i="18" s="1"/>
  <c r="EDJ37" i="18"/>
  <c r="EDK37" i="18" s="1"/>
  <c r="EDJ38" i="18"/>
  <c r="EDK38" i="18"/>
  <c r="EDJ39" i="18"/>
  <c r="EDK39" i="18" s="1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8" i="18"/>
  <c r="EDK48" i="18" s="1"/>
  <c r="EDJ51" i="18"/>
  <c r="EDK51" i="18"/>
  <c r="EDJ59" i="18"/>
  <c r="EDK59" i="18" s="1"/>
  <c r="EDJ30" i="18"/>
  <c r="EDK30" i="18" s="1"/>
  <c r="EDJ8" i="18"/>
  <c r="EDK8" i="18" s="1"/>
  <c r="EDJ9" i="18"/>
  <c r="EDK9" i="18" s="1"/>
  <c r="EDJ11" i="18"/>
  <c r="EDK11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7" i="18"/>
  <c r="EDK7" i="18" s="1"/>
  <c r="EDB31" i="18" l="1"/>
  <c r="EDC31" i="18" s="1"/>
  <c r="EDB34" i="18"/>
  <c r="EDC34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8" i="18"/>
  <c r="EDC48" i="18" s="1"/>
  <c r="EDB51" i="18"/>
  <c r="EDC51" i="18" s="1"/>
  <c r="EDB59" i="18"/>
  <c r="EDC59" i="18" s="1"/>
  <c r="EDB30" i="18"/>
  <c r="EDC30" i="18" s="1"/>
  <c r="EDB8" i="18"/>
  <c r="EDC8" i="18" s="1"/>
  <c r="EDB9" i="18"/>
  <c r="EDC9" i="18" s="1"/>
  <c r="EDB11" i="18"/>
  <c r="EDC11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1" i="18" l="1"/>
  <c r="ECU31" i="18" s="1"/>
  <c r="ECT34" i="18"/>
  <c r="ECU34" i="18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8" i="18"/>
  <c r="ECU48" i="18" s="1"/>
  <c r="ECT51" i="18"/>
  <c r="ECU51" i="18" s="1"/>
  <c r="ECT59" i="18"/>
  <c r="ECU59" i="18" s="1"/>
  <c r="ECT30" i="18"/>
  <c r="ECU30" i="18" s="1"/>
  <c r="ECT8" i="18"/>
  <c r="ECU8" i="18" s="1"/>
  <c r="ECT9" i="18"/>
  <c r="ECU9" i="18" s="1"/>
  <c r="ECT11" i="18"/>
  <c r="ECU11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1" i="18" l="1"/>
  <c r="ECM31" i="18" s="1"/>
  <c r="ECL34" i="18"/>
  <c r="ECM34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8" i="18"/>
  <c r="ECM48" i="18" s="1"/>
  <c r="ECL51" i="18"/>
  <c r="ECM51" i="18" s="1"/>
  <c r="ECL59" i="18"/>
  <c r="ECM59" i="18" s="1"/>
  <c r="ECL30" i="18"/>
  <c r="ECM30" i="18" s="1"/>
  <c r="ECL8" i="18"/>
  <c r="ECM8" i="18" s="1"/>
  <c r="ECL9" i="18"/>
  <c r="ECM9" i="18" s="1"/>
  <c r="ECL11" i="18"/>
  <c r="ECM11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1" i="18" l="1"/>
  <c r="ECE31" i="18" s="1"/>
  <c r="ECD34" i="18"/>
  <c r="ECE34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8" i="18"/>
  <c r="ECE48" i="18" s="1"/>
  <c r="ECD51" i="18"/>
  <c r="ECE51" i="18" s="1"/>
  <c r="ECD59" i="18"/>
  <c r="ECE59" i="18" s="1"/>
  <c r="ECD30" i="18"/>
  <c r="ECE30" i="18" s="1"/>
  <c r="ECD8" i="18"/>
  <c r="ECE8" i="18" s="1"/>
  <c r="ECD9" i="18"/>
  <c r="ECE9" i="18" s="1"/>
  <c r="ECD11" i="18"/>
  <c r="ECE11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1" i="18"/>
  <c r="EBW31" i="18" s="1"/>
  <c r="EBV34" i="18"/>
  <c r="EBW34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8" i="18"/>
  <c r="EBW48" i="18" s="1"/>
  <c r="EBV51" i="18"/>
  <c r="EBW51" i="18" s="1"/>
  <c r="EBV59" i="18"/>
  <c r="EBW59" i="18" s="1"/>
  <c r="EBV30" i="18"/>
  <c r="EBW30" i="18" s="1"/>
  <c r="EBV8" i="18"/>
  <c r="EBW8" i="18" s="1"/>
  <c r="EBV9" i="18"/>
  <c r="EBW9" i="18" s="1"/>
  <c r="EBV11" i="18"/>
  <c r="EBW11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1" i="18"/>
  <c r="EBO31" i="18" s="1"/>
  <c r="EBN34" i="18"/>
  <c r="EBO34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8" i="18"/>
  <c r="EBO48" i="18" s="1"/>
  <c r="EBN51" i="18"/>
  <c r="EBO51" i="18" s="1"/>
  <c r="EBN59" i="18"/>
  <c r="EBO59" i="18" s="1"/>
  <c r="EBN30" i="18"/>
  <c r="EBO30" i="18" s="1"/>
  <c r="EBN8" i="18"/>
  <c r="EBO8" i="18" s="1"/>
  <c r="EBN9" i="18"/>
  <c r="EBO9" i="18" s="1"/>
  <c r="EBN11" i="18"/>
  <c r="EBO11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7" i="18"/>
  <c r="EBO7" i="18" s="1"/>
  <c r="EBF31" i="18"/>
  <c r="EBG31" i="18" s="1"/>
  <c r="EBF34" i="18"/>
  <c r="EBG34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8" i="18"/>
  <c r="EBG48" i="18" s="1"/>
  <c r="EBF51" i="18"/>
  <c r="EBG51" i="18" s="1"/>
  <c r="EBF59" i="18"/>
  <c r="EBG59" i="18" s="1"/>
  <c r="EBF30" i="18"/>
  <c r="EBG30" i="18" s="1"/>
  <c r="EBF8" i="18"/>
  <c r="EBG8" i="18" s="1"/>
  <c r="EBF9" i="18"/>
  <c r="EBG9" i="18" s="1"/>
  <c r="EBF11" i="18"/>
  <c r="EBG11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1" i="18"/>
  <c r="EAY31" i="18" s="1"/>
  <c r="EAX34" i="18"/>
  <c r="EAY34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8" i="18"/>
  <c r="EAY48" i="18" s="1"/>
  <c r="EAX51" i="18"/>
  <c r="EAY51" i="18" s="1"/>
  <c r="EAX59" i="18"/>
  <c r="EAY59" i="18" s="1"/>
  <c r="EAX30" i="18"/>
  <c r="EAY30" i="18" s="1"/>
  <c r="EAX8" i="18"/>
  <c r="EAY8" i="18" s="1"/>
  <c r="EAX9" i="18"/>
  <c r="EAY9" i="18" s="1"/>
  <c r="EAX11" i="18"/>
  <c r="EAY11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9" i="18"/>
  <c r="EAQ9" i="18" s="1"/>
  <c r="EAP11" i="18"/>
  <c r="EAQ11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7" i="18"/>
  <c r="EAQ7" i="18" s="1"/>
  <c r="EAP31" i="18"/>
  <c r="EAQ31" i="18" s="1"/>
  <c r="EAP34" i="18"/>
  <c r="EAQ34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8" i="18"/>
  <c r="EAQ48" i="18" s="1"/>
  <c r="EAP51" i="18"/>
  <c r="EAQ51" i="18" s="1"/>
  <c r="EAP59" i="18"/>
  <c r="EAQ59" i="18" s="1"/>
  <c r="EAP30" i="18"/>
  <c r="EAQ30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1" i="18"/>
  <c r="EAI31" i="18" s="1"/>
  <c r="EAH34" i="18"/>
  <c r="EAI34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8" i="18"/>
  <c r="EAI48" i="18" s="1"/>
  <c r="EAH51" i="18"/>
  <c r="EAI51" i="18" s="1"/>
  <c r="EAH59" i="18"/>
  <c r="EAI59" i="18" s="1"/>
  <c r="EAH30" i="18"/>
  <c r="EAI30" i="18" s="1"/>
  <c r="EAH8" i="18"/>
  <c r="EAI8" i="18" s="1"/>
  <c r="EAH9" i="18"/>
  <c r="EAI9" i="18" s="1"/>
  <c r="EAH11" i="18"/>
  <c r="EAI11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7" i="18"/>
  <c r="EAI7" i="18" s="1"/>
  <c r="DZZ31" i="18"/>
  <c r="EAA31" i="18" s="1"/>
  <c r="DZZ34" i="18"/>
  <c r="EAA34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8" i="18"/>
  <c r="EAA48" i="18" s="1"/>
  <c r="DZZ51" i="18"/>
  <c r="EAA51" i="18" s="1"/>
  <c r="DZZ59" i="18"/>
  <c r="EAA59" i="18" s="1"/>
  <c r="DZZ30" i="18"/>
  <c r="EAA30" i="18" s="1"/>
  <c r="DZZ8" i="18"/>
  <c r="EAA8" i="18" s="1"/>
  <c r="DZZ9" i="18"/>
  <c r="EAA9" i="18" s="1"/>
  <c r="DZZ11" i="18"/>
  <c r="EAA11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1" i="18"/>
  <c r="DZS31" i="18" s="1"/>
  <c r="DZR34" i="18"/>
  <c r="DZS34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8" i="18"/>
  <c r="DZS48" i="18" s="1"/>
  <c r="DZR51" i="18"/>
  <c r="DZS51" i="18" s="1"/>
  <c r="DZR59" i="18"/>
  <c r="DZS59" i="18" s="1"/>
  <c r="DZR30" i="18"/>
  <c r="DZS30" i="18" s="1"/>
  <c r="DZR8" i="18"/>
  <c r="DZS8" i="18" s="1"/>
  <c r="DZR9" i="18"/>
  <c r="DZS9" i="18" s="1"/>
  <c r="DZR11" i="18"/>
  <c r="DZS11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1" i="18" l="1"/>
  <c r="DZK31" i="18" s="1"/>
  <c r="DZJ34" i="18"/>
  <c r="DZK34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8" i="18"/>
  <c r="DZK48" i="18" s="1"/>
  <c r="DZJ51" i="18"/>
  <c r="DZK51" i="18" s="1"/>
  <c r="DZJ59" i="18"/>
  <c r="DZK59" i="18" s="1"/>
  <c r="DZJ30" i="18"/>
  <c r="DZK30" i="18" s="1"/>
  <c r="DZJ21" i="18"/>
  <c r="DZK21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1" i="18"/>
  <c r="DZC31" i="18" s="1"/>
  <c r="DZB34" i="18"/>
  <c r="DZC34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8" i="18"/>
  <c r="DZC48" i="18" s="1"/>
  <c r="DZB51" i="18"/>
  <c r="DZC51" i="18" s="1"/>
  <c r="DZB59" i="18"/>
  <c r="DZC59" i="18" s="1"/>
  <c r="DZB30" i="18"/>
  <c r="DZC30" i="18" s="1"/>
  <c r="DZB8" i="18"/>
  <c r="DZC8" i="18" s="1"/>
  <c r="DZB9" i="18"/>
  <c r="DZC9" i="18" s="1"/>
  <c r="DZB11" i="18"/>
  <c r="DZC11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2" i="18"/>
  <c r="E7" i="20" s="1"/>
  <c r="H22" i="18"/>
  <c r="F7" i="20" s="1"/>
  <c r="I22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1" i="18"/>
  <c r="DYU31" i="18" s="1"/>
  <c r="DYT34" i="18"/>
  <c r="DYU34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8" i="18"/>
  <c r="DYU48" i="18" s="1"/>
  <c r="DYT51" i="18"/>
  <c r="DYU51" i="18" s="1"/>
  <c r="DYT59" i="18"/>
  <c r="DYU59" i="18" s="1"/>
  <c r="DYT30" i="18"/>
  <c r="DYU30" i="18" s="1"/>
  <c r="DYT8" i="18"/>
  <c r="DYU8" i="18" s="1"/>
  <c r="DYT9" i="18"/>
  <c r="DYU9" i="18" s="1"/>
  <c r="DYT11" i="18"/>
  <c r="DYU11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7" i="18"/>
  <c r="DYU7" i="18" s="1"/>
  <c r="DYL31" i="18" l="1"/>
  <c r="DYM31" i="18" s="1"/>
  <c r="DYL34" i="18"/>
  <c r="DYM34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8" i="18"/>
  <c r="DYM48" i="18" s="1"/>
  <c r="DYL51" i="18"/>
  <c r="DYM51" i="18" s="1"/>
  <c r="DYL59" i="18"/>
  <c r="DYM59" i="18" s="1"/>
  <c r="DYL30" i="18"/>
  <c r="DYM30" i="18" s="1"/>
  <c r="DYL8" i="18"/>
  <c r="DYM8" i="18" s="1"/>
  <c r="DYL9" i="18"/>
  <c r="DYM9" i="18" s="1"/>
  <c r="DYL11" i="18"/>
  <c r="DYM11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1" i="18" l="1"/>
  <c r="DYE31" i="18" s="1"/>
  <c r="DYD34" i="18"/>
  <c r="DYE34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8" i="18"/>
  <c r="DYE48" i="18" s="1"/>
  <c r="DYD51" i="18"/>
  <c r="DYE51" i="18" s="1"/>
  <c r="DYD59" i="18"/>
  <c r="DYE59" i="18" s="1"/>
  <c r="DYD30" i="18"/>
  <c r="DYE30" i="18" s="1"/>
  <c r="DYD8" i="18"/>
  <c r="DYE8" i="18" s="1"/>
  <c r="DYD9" i="18"/>
  <c r="DYE9" i="18" s="1"/>
  <c r="DYD11" i="18"/>
  <c r="DYE11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0" i="18" l="1"/>
  <c r="Q31" i="18"/>
  <c r="W30" i="18"/>
  <c r="W60" i="18" s="1"/>
  <c r="DXV31" i="18"/>
  <c r="DXW31" i="18" s="1"/>
  <c r="DXV34" i="18"/>
  <c r="DXW34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8" i="18"/>
  <c r="DXW48" i="18" s="1"/>
  <c r="DXV51" i="18"/>
  <c r="DXW51" i="18" s="1"/>
  <c r="DXV59" i="18"/>
  <c r="DXW59" i="18" s="1"/>
  <c r="DXV30" i="18"/>
  <c r="DXW30" i="18" s="1"/>
  <c r="DXV8" i="18"/>
  <c r="DXW8" i="18" s="1"/>
  <c r="DXV9" i="18"/>
  <c r="DXW9" i="18" s="1"/>
  <c r="DXV11" i="18"/>
  <c r="DXW11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0" i="18"/>
  <c r="K60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4" i="18"/>
  <c r="DXO34" i="18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8" i="18"/>
  <c r="DXO48" i="18" s="1"/>
  <c r="DXN51" i="18"/>
  <c r="DXO51" i="18" s="1"/>
  <c r="DXN59" i="18"/>
  <c r="DXO59" i="18" s="1"/>
  <c r="DXN8" i="18"/>
  <c r="DXO8" i="18" s="1"/>
  <c r="DXN9" i="18"/>
  <c r="DXO9" i="18" s="1"/>
  <c r="DXN11" i="18"/>
  <c r="DXO11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4" i="18"/>
  <c r="DXG34" i="18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8" i="18"/>
  <c r="DXG48" i="18" s="1"/>
  <c r="DXF51" i="18"/>
  <c r="DXG51" i="18" s="1"/>
  <c r="DXF59" i="18"/>
  <c r="DXG59" i="18" s="1"/>
  <c r="DXF8" i="18"/>
  <c r="DXG8" i="18" s="1"/>
  <c r="DXF9" i="18"/>
  <c r="DXG9" i="18" s="1"/>
  <c r="DXF11" i="18"/>
  <c r="DXG11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7" i="18"/>
  <c r="DXG7" i="18" s="1"/>
  <c r="DWX8" i="18" l="1"/>
  <c r="DWY8" i="18" s="1"/>
  <c r="DWX9" i="18"/>
  <c r="DWY9" i="18" s="1"/>
  <c r="DWX11" i="18"/>
  <c r="DWY11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7" i="18"/>
  <c r="DWY7" i="18" s="1"/>
  <c r="DWX34" i="18"/>
  <c r="DWY34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8" i="18"/>
  <c r="DWY48" i="18" s="1"/>
  <c r="DWX51" i="18"/>
  <c r="DWY51" i="18" s="1"/>
  <c r="DWX59" i="18"/>
  <c r="DWY59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4" i="18" l="1"/>
  <c r="DWQ34" i="18" s="1"/>
  <c r="DWP35" i="18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8" i="18"/>
  <c r="DWQ48" i="18" s="1"/>
  <c r="DWP51" i="18"/>
  <c r="DWQ51" i="18" s="1"/>
  <c r="DWP59" i="18"/>
  <c r="DWQ59" i="18" s="1"/>
  <c r="DWP8" i="18"/>
  <c r="DWQ8" i="18" s="1"/>
  <c r="DWP9" i="18"/>
  <c r="DWQ9" i="18" s="1"/>
  <c r="DWP11" i="18"/>
  <c r="DWQ11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4" i="18"/>
  <c r="DWI34" i="18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8" i="18"/>
  <c r="DWI48" i="18" s="1"/>
  <c r="DWH51" i="18"/>
  <c r="DWI51" i="18" s="1"/>
  <c r="DWH59" i="18"/>
  <c r="DWI59" i="18" s="1"/>
  <c r="DWH8" i="18"/>
  <c r="DWI8" i="18" s="1"/>
  <c r="DWH9" i="18"/>
  <c r="DWI9" i="18" s="1"/>
  <c r="DWH11" i="18"/>
  <c r="DWI11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4" i="18" l="1"/>
  <c r="DWA34" i="18" s="1"/>
  <c r="DVZ35" i="18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8" i="18"/>
  <c r="DWA48" i="18" s="1"/>
  <c r="DVZ51" i="18"/>
  <c r="DWA51" i="18" s="1"/>
  <c r="DVZ59" i="18"/>
  <c r="DWA59" i="18" s="1"/>
  <c r="DVZ8" i="18"/>
  <c r="DWA8" i="18" s="1"/>
  <c r="DVZ9" i="18"/>
  <c r="DWA9" i="18" s="1"/>
  <c r="DVZ11" i="18"/>
  <c r="DWA11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4" i="18"/>
  <c r="DVS34" i="18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8" i="18"/>
  <c r="DVS48" i="18" s="1"/>
  <c r="DVR51" i="18"/>
  <c r="DVS51" i="18" s="1"/>
  <c r="DVR59" i="18"/>
  <c r="DVS59" i="18" s="1"/>
  <c r="DVR8" i="18"/>
  <c r="DVS8" i="18" s="1"/>
  <c r="DVR9" i="18"/>
  <c r="DVS9" i="18" s="1"/>
  <c r="DVR11" i="18"/>
  <c r="DVS11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7" i="18"/>
  <c r="DVS7" i="18" s="1"/>
  <c r="DVJ34" i="18" l="1"/>
  <c r="DVK34" i="18" s="1"/>
  <c r="DVJ35" i="18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8" i="18"/>
  <c r="DVK48" i="18" s="1"/>
  <c r="DVJ51" i="18"/>
  <c r="DVK51" i="18" s="1"/>
  <c r="DVJ59" i="18"/>
  <c r="DVK59" i="18" s="1"/>
  <c r="DVJ8" i="18"/>
  <c r="DVK8" i="18" s="1"/>
  <c r="DVJ9" i="18"/>
  <c r="DVK9" i="18" s="1"/>
  <c r="DVJ11" i="18"/>
  <c r="DVK11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4" i="18"/>
  <c r="DVC34" i="18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8" i="18"/>
  <c r="DVC48" i="18" s="1"/>
  <c r="DVB51" i="18"/>
  <c r="DVC51" i="18" s="1"/>
  <c r="DVB59" i="18"/>
  <c r="DVC59" i="18" s="1"/>
  <c r="DVB8" i="18"/>
  <c r="DVC8" i="18" s="1"/>
  <c r="DVB9" i="18"/>
  <c r="DVC9" i="18" s="1"/>
  <c r="DVB11" i="18"/>
  <c r="DVC11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4" i="18"/>
  <c r="DUU34" i="18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8" i="18"/>
  <c r="DUU48" i="18" s="1"/>
  <c r="DUT51" i="18"/>
  <c r="DUU51" i="18" s="1"/>
  <c r="DUT59" i="18"/>
  <c r="DUU59" i="18" s="1"/>
  <c r="DUT8" i="18"/>
  <c r="DUU8" i="18" s="1"/>
  <c r="DUT9" i="18"/>
  <c r="DUU9" i="18" s="1"/>
  <c r="DUT11" i="18"/>
  <c r="DUU11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7" i="18"/>
  <c r="DUU7" i="18" s="1"/>
  <c r="DUL34" i="18"/>
  <c r="DUM34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8" i="18"/>
  <c r="DUM48" i="18" s="1"/>
  <c r="DUL51" i="18"/>
  <c r="DUM51" i="18" s="1"/>
  <c r="DUL59" i="18"/>
  <c r="DUM59" i="18" s="1"/>
  <c r="DUL8" i="18"/>
  <c r="DUM8" i="18" s="1"/>
  <c r="DUL9" i="18"/>
  <c r="DUM9" i="18" s="1"/>
  <c r="DUL11" i="18"/>
  <c r="DUM11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4" i="18"/>
  <c r="DUE34" i="18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8" i="18"/>
  <c r="DUE48" i="18" s="1"/>
  <c r="DUD51" i="18"/>
  <c r="DUE51" i="18" s="1"/>
  <c r="DUD59" i="18"/>
  <c r="DUE59" i="18" s="1"/>
  <c r="DUD8" i="18"/>
  <c r="DUE8" i="18" s="1"/>
  <c r="DUD9" i="18"/>
  <c r="DUE9" i="18" s="1"/>
  <c r="DUD11" i="18"/>
  <c r="DUE11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4" i="18"/>
  <c r="DTW34" i="18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8" i="18"/>
  <c r="DTW48" i="18" s="1"/>
  <c r="DTV51" i="18"/>
  <c r="DTW51" i="18" s="1"/>
  <c r="DTV59" i="18"/>
  <c r="DTW59" i="18" s="1"/>
  <c r="DTV8" i="18"/>
  <c r="DTW8" i="18" s="1"/>
  <c r="DTV9" i="18"/>
  <c r="DTW9" i="18" s="1"/>
  <c r="DTV11" i="18"/>
  <c r="DTW11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7" i="18"/>
  <c r="DTW7" i="18" s="1"/>
  <c r="DTN34" i="18" l="1"/>
  <c r="DTO34" i="18" s="1"/>
  <c r="DTN35" i="18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8" i="18"/>
  <c r="DTO48" i="18" s="1"/>
  <c r="DTN51" i="18"/>
  <c r="DTO51" i="18" s="1"/>
  <c r="DTN59" i="18"/>
  <c r="DTO59" i="18" s="1"/>
  <c r="DTN8" i="18"/>
  <c r="DTO8" i="18" s="1"/>
  <c r="DTN9" i="18"/>
  <c r="DTO9" i="18" s="1"/>
  <c r="DTN11" i="18"/>
  <c r="DTO11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4" i="18" l="1"/>
  <c r="DTG34" i="18" s="1"/>
  <c r="DTF35" i="18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8" i="18"/>
  <c r="DTG48" i="18" s="1"/>
  <c r="DTF51" i="18"/>
  <c r="DTG51" i="18" s="1"/>
  <c r="DTF59" i="18"/>
  <c r="DTG59" i="18" s="1"/>
  <c r="DTF8" i="18"/>
  <c r="DTG8" i="18" s="1"/>
  <c r="DTF9" i="18"/>
  <c r="DTG9" i="18" s="1"/>
  <c r="DTF11" i="18"/>
  <c r="DTG11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4" i="18" l="1"/>
  <c r="DSY34" i="18" s="1"/>
  <c r="DSX35" i="18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8" i="18"/>
  <c r="DSY48" i="18" s="1"/>
  <c r="DSX51" i="18"/>
  <c r="DSY51" i="18" s="1"/>
  <c r="DSX59" i="18"/>
  <c r="DSY59" i="18" s="1"/>
  <c r="DSX8" i="18"/>
  <c r="DSY8" i="18" s="1"/>
  <c r="DSX9" i="18"/>
  <c r="DSY9" i="18" s="1"/>
  <c r="DSX11" i="18"/>
  <c r="DSY11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1" i="18"/>
  <c r="DSQ21" i="18" s="1"/>
  <c r="DSP34" i="18"/>
  <c r="DSQ34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8" i="18"/>
  <c r="DSQ48" i="18" s="1"/>
  <c r="DSP51" i="18"/>
  <c r="DSQ51" i="18" s="1"/>
  <c r="DSP59" i="18"/>
  <c r="DSQ59" i="18" s="1"/>
  <c r="DSP8" i="18"/>
  <c r="DSQ8" i="18" s="1"/>
  <c r="DSP9" i="18"/>
  <c r="DSQ9" i="18" s="1"/>
  <c r="DSP11" i="18"/>
  <c r="DSQ11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7" i="18"/>
  <c r="DSQ7" i="18" s="1"/>
  <c r="DSH34" i="18" l="1"/>
  <c r="DSI34" i="18" s="1"/>
  <c r="DSH35" i="18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8" i="18"/>
  <c r="DSI48" i="18" s="1"/>
  <c r="DSH51" i="18"/>
  <c r="DSI51" i="18" s="1"/>
  <c r="DSH59" i="18"/>
  <c r="DSI59" i="18" s="1"/>
  <c r="DSH8" i="18"/>
  <c r="DSI8" i="18" s="1"/>
  <c r="DSH9" i="18"/>
  <c r="DSI9" i="18" s="1"/>
  <c r="DSH11" i="18"/>
  <c r="DSI11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4" i="18"/>
  <c r="DSA34" i="18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8" i="18"/>
  <c r="DSA48" i="18" s="1"/>
  <c r="DRZ51" i="18"/>
  <c r="DSA51" i="18" s="1"/>
  <c r="DRZ59" i="18"/>
  <c r="DSA59" i="18" s="1"/>
  <c r="DRZ8" i="18"/>
  <c r="DSA8" i="18" s="1"/>
  <c r="DRZ9" i="18"/>
  <c r="DSA9" i="18" s="1"/>
  <c r="DRZ11" i="18"/>
  <c r="DSA11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4" i="18"/>
  <c r="DRS34" i="18" s="1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8" i="18"/>
  <c r="DRS48" i="18" s="1"/>
  <c r="DRR51" i="18"/>
  <c r="DRS51" i="18" s="1"/>
  <c r="DRR59" i="18"/>
  <c r="DRS59" i="18" s="1"/>
  <c r="DRR8" i="18"/>
  <c r="DRS8" i="18" s="1"/>
  <c r="DRR9" i="18"/>
  <c r="DRS9" i="18" s="1"/>
  <c r="DRR11" i="18"/>
  <c r="DRS11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5" i="18" l="1"/>
  <c r="DRK35" i="18" s="1"/>
  <c r="DRJ36" i="18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8" i="18"/>
  <c r="DRK48" i="18" s="1"/>
  <c r="DRJ51" i="18"/>
  <c r="DRK51" i="18" s="1"/>
  <c r="DRJ59" i="18"/>
  <c r="DRK59" i="18" s="1"/>
  <c r="DRJ34" i="18"/>
  <c r="DRK34" i="18" s="1"/>
  <c r="DRJ8" i="18"/>
  <c r="DRK8" i="18" s="1"/>
  <c r="DRJ9" i="18"/>
  <c r="DRK9" i="18" s="1"/>
  <c r="DRJ11" i="18"/>
  <c r="DRK11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5" i="18"/>
  <c r="DRC35" i="18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8" i="18"/>
  <c r="DRC48" i="18" s="1"/>
  <c r="DRB51" i="18"/>
  <c r="DRC51" i="18" s="1"/>
  <c r="DRB59" i="18"/>
  <c r="DRC59" i="18" s="1"/>
  <c r="DRB34" i="18"/>
  <c r="DRC34" i="18" s="1"/>
  <c r="DRB8" i="18"/>
  <c r="DRC8" i="18" s="1"/>
  <c r="DRB9" i="18"/>
  <c r="DRC9" i="18" s="1"/>
  <c r="DRB11" i="18"/>
  <c r="DRC11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2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5" i="18"/>
  <c r="DQU35" i="18" s="1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8" i="18"/>
  <c r="DQU48" i="18" s="1"/>
  <c r="DQT51" i="18"/>
  <c r="DQU51" i="18" s="1"/>
  <c r="DQT59" i="18"/>
  <c r="DQU59" i="18" s="1"/>
  <c r="DQT34" i="18"/>
  <c r="DQU34" i="18" s="1"/>
  <c r="DQT8" i="18"/>
  <c r="DQU8" i="18" s="1"/>
  <c r="DQT9" i="18"/>
  <c r="DQU9" i="18" s="1"/>
  <c r="DQT11" i="18"/>
  <c r="DQU11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5" i="18"/>
  <c r="DQM35" i="18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8" i="18"/>
  <c r="DQM48" i="18" s="1"/>
  <c r="DQL51" i="18"/>
  <c r="DQM51" i="18" s="1"/>
  <c r="DQL59" i="18"/>
  <c r="DQM59" i="18" s="1"/>
  <c r="DQL34" i="18"/>
  <c r="DQM34" i="18" s="1"/>
  <c r="DQL8" i="18"/>
  <c r="DQM8" i="18" s="1"/>
  <c r="DQL9" i="18"/>
  <c r="DQM9" i="18" s="1"/>
  <c r="DQL11" i="18"/>
  <c r="DQM11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7" i="18"/>
  <c r="DQM7" i="18" s="1"/>
  <c r="DQD35" i="18"/>
  <c r="DQE35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8" i="18"/>
  <c r="DQE48" i="18" s="1"/>
  <c r="DQD51" i="18"/>
  <c r="DQE51" i="18" s="1"/>
  <c r="DQD59" i="18"/>
  <c r="DQE59" i="18" s="1"/>
  <c r="DQD34" i="18"/>
  <c r="DQE34" i="18" s="1"/>
  <c r="DQD8" i="18"/>
  <c r="DQE8" i="18" s="1"/>
  <c r="DQD9" i="18"/>
  <c r="DQE9" i="18" s="1"/>
  <c r="DQD11" i="18"/>
  <c r="DQE11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5" i="18"/>
  <c r="DPW35" i="18" s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8" i="18"/>
  <c r="DPW48" i="18" s="1"/>
  <c r="DPV51" i="18"/>
  <c r="DPW51" i="18" s="1"/>
  <c r="DPV59" i="18"/>
  <c r="DPW59" i="18" s="1"/>
  <c r="DPV34" i="18"/>
  <c r="DPW34" i="18" s="1"/>
  <c r="DPV8" i="18"/>
  <c r="DPW8" i="18" s="1"/>
  <c r="DPV9" i="18"/>
  <c r="DPW9" i="18" s="1"/>
  <c r="DPV11" i="18"/>
  <c r="DPW11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5" i="18"/>
  <c r="DPO35" i="18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8" i="18"/>
  <c r="DPO48" i="18" s="1"/>
  <c r="DPN51" i="18"/>
  <c r="DPO51" i="18" s="1"/>
  <c r="DPN59" i="18"/>
  <c r="DPO59" i="18" s="1"/>
  <c r="DPN34" i="18"/>
  <c r="DPO34" i="18" s="1"/>
  <c r="DPN8" i="18"/>
  <c r="DPO8" i="18" s="1"/>
  <c r="DPN9" i="18"/>
  <c r="DPO9" i="18" s="1"/>
  <c r="DPN11" i="18"/>
  <c r="DPO11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5" i="18"/>
  <c r="DPG35" i="18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8" i="18"/>
  <c r="DPG48" i="18" s="1"/>
  <c r="DPF51" i="18"/>
  <c r="DPG51" i="18" s="1"/>
  <c r="DPF59" i="18"/>
  <c r="DPG59" i="18" s="1"/>
  <c r="DPF34" i="18"/>
  <c r="DPG34" i="18" s="1"/>
  <c r="DPF8" i="18"/>
  <c r="DPG8" i="18" s="1"/>
  <c r="DPF9" i="18"/>
  <c r="DPG9" i="18" s="1"/>
  <c r="DPF11" i="18"/>
  <c r="DPG11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5" i="18"/>
  <c r="DOY35" i="18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8" i="18"/>
  <c r="DOY48" i="18" s="1"/>
  <c r="DOX51" i="18"/>
  <c r="DOY51" i="18" s="1"/>
  <c r="DOX59" i="18"/>
  <c r="DOY59" i="18" s="1"/>
  <c r="DOX34" i="18"/>
  <c r="DOY34" i="18" s="1"/>
  <c r="DOX8" i="18"/>
  <c r="DOY8" i="18" s="1"/>
  <c r="DOX9" i="18"/>
  <c r="DOY9" i="18" s="1"/>
  <c r="DOX11" i="18"/>
  <c r="DOY11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5" i="18"/>
  <c r="DOQ35" i="18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8" i="18"/>
  <c r="DOQ48" i="18" s="1"/>
  <c r="DOP51" i="18"/>
  <c r="DOQ51" i="18" s="1"/>
  <c r="DOP59" i="18"/>
  <c r="DOQ59" i="18" s="1"/>
  <c r="DOP34" i="18"/>
  <c r="DOQ34" i="18" s="1"/>
  <c r="DOP8" i="18"/>
  <c r="DOQ8" i="18" s="1"/>
  <c r="DOP9" i="18"/>
  <c r="DOQ9" i="18" s="1"/>
  <c r="DOP11" i="18"/>
  <c r="DOQ11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7" i="18"/>
  <c r="DOQ7" i="18" s="1"/>
  <c r="DOH35" i="18" l="1"/>
  <c r="DOI35" i="18" s="1"/>
  <c r="DOH36" i="18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8" i="18"/>
  <c r="DOI48" i="18" s="1"/>
  <c r="DOH51" i="18"/>
  <c r="DOI51" i="18" s="1"/>
  <c r="DOH59" i="18"/>
  <c r="DOI59" i="18" s="1"/>
  <c r="DOH34" i="18"/>
  <c r="DOI34" i="18" s="1"/>
  <c r="DOH8" i="18"/>
  <c r="DOI8" i="18" s="1"/>
  <c r="DOH9" i="18"/>
  <c r="DOI9" i="18" s="1"/>
  <c r="DOH11" i="18"/>
  <c r="DOI11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5" i="18"/>
  <c r="DOA35" i="18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8" i="18"/>
  <c r="DOA48" i="18" s="1"/>
  <c r="DNZ51" i="18"/>
  <c r="DOA51" i="18" s="1"/>
  <c r="DNZ59" i="18"/>
  <c r="DOA59" i="18" s="1"/>
  <c r="DNZ34" i="18"/>
  <c r="DOA34" i="18" s="1"/>
  <c r="DNZ8" i="18"/>
  <c r="DOA8" i="18" s="1"/>
  <c r="DNZ9" i="18"/>
  <c r="DOA9" i="18" s="1"/>
  <c r="DNZ11" i="18"/>
  <c r="DOA11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7" i="18"/>
  <c r="DOA7" i="18" s="1"/>
  <c r="DNR35" i="18"/>
  <c r="DNS35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8" i="18"/>
  <c r="DNS48" i="18" s="1"/>
  <c r="DNR51" i="18"/>
  <c r="DNS51" i="18" s="1"/>
  <c r="DNR59" i="18"/>
  <c r="DNS59" i="18" s="1"/>
  <c r="DNR34" i="18"/>
  <c r="DNS34" i="18" s="1"/>
  <c r="DNR8" i="18"/>
  <c r="DNS8" i="18" s="1"/>
  <c r="DNR9" i="18"/>
  <c r="DNS9" i="18" s="1"/>
  <c r="DNR11" i="18"/>
  <c r="DNS11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5" i="18" l="1"/>
  <c r="DNK35" i="18" s="1"/>
  <c r="DNJ36" i="18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8" i="18"/>
  <c r="DNK48" i="18" s="1"/>
  <c r="DNJ51" i="18"/>
  <c r="DNK51" i="18" s="1"/>
  <c r="DNJ59" i="18"/>
  <c r="DNK59" i="18" s="1"/>
  <c r="DNJ34" i="18"/>
  <c r="DNK34" i="18" s="1"/>
  <c r="DNJ8" i="18"/>
  <c r="DNK8" i="18" s="1"/>
  <c r="DNJ9" i="18"/>
  <c r="DNK9" i="18" s="1"/>
  <c r="DNJ11" i="18"/>
  <c r="DNK11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5" i="18"/>
  <c r="DNC35" i="18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8" i="18"/>
  <c r="DNC48" i="18" s="1"/>
  <c r="DNB51" i="18"/>
  <c r="DNC51" i="18" s="1"/>
  <c r="DNB59" i="18"/>
  <c r="DNC59" i="18" s="1"/>
  <c r="DNB8" i="18"/>
  <c r="DNC8" i="18" s="1"/>
  <c r="DNB9" i="18"/>
  <c r="DNC9" i="18" s="1"/>
  <c r="DNB11" i="18"/>
  <c r="DNC11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34" i="18"/>
  <c r="DNC34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5" i="18"/>
  <c r="DMU35" i="18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8" i="18"/>
  <c r="DMU48" i="18" s="1"/>
  <c r="DMT51" i="18"/>
  <c r="DMU51" i="18" s="1"/>
  <c r="DMT59" i="18"/>
  <c r="DMU59" i="18" s="1"/>
  <c r="DMT34" i="18"/>
  <c r="DMU34" i="18" s="1"/>
  <c r="DMT8" i="18"/>
  <c r="DMU8" i="18" s="1"/>
  <c r="DMT9" i="18"/>
  <c r="DMU9" i="18" s="1"/>
  <c r="DMT11" i="18"/>
  <c r="DMU11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5" i="18"/>
  <c r="DMM35" i="18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8" i="18"/>
  <c r="DMM48" i="18" s="1"/>
  <c r="DML51" i="18"/>
  <c r="DMM51" i="18" s="1"/>
  <c r="DML59" i="18"/>
  <c r="DMM59" i="18" s="1"/>
  <c r="DML34" i="18"/>
  <c r="DMM34" i="18" s="1"/>
  <c r="DML8" i="18"/>
  <c r="DMM8" i="18" s="1"/>
  <c r="DML9" i="18"/>
  <c r="DMM9" i="18" s="1"/>
  <c r="DML11" i="18"/>
  <c r="DMM11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7" i="18"/>
  <c r="DMM7" i="18" s="1"/>
  <c r="E30" i="19"/>
  <c r="DMD35" i="18"/>
  <c r="DME35" i="18" s="1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8" i="18"/>
  <c r="DME48" i="18" s="1"/>
  <c r="DMD51" i="18"/>
  <c r="DME51" i="18" s="1"/>
  <c r="DMD59" i="18"/>
  <c r="DME59" i="18" s="1"/>
  <c r="DMD34" i="18"/>
  <c r="DME34" i="18" s="1"/>
  <c r="DMD8" i="18"/>
  <c r="DME8" i="18" s="1"/>
  <c r="DMD9" i="18"/>
  <c r="DME9" i="18" s="1"/>
  <c r="DMD11" i="18"/>
  <c r="DME11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5" i="18"/>
  <c r="DLW35" i="18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8" i="18"/>
  <c r="DLW48" i="18" s="1"/>
  <c r="DLV51" i="18"/>
  <c r="DLW51" i="18" s="1"/>
  <c r="DLV59" i="18"/>
  <c r="DLW59" i="18" s="1"/>
  <c r="DLV34" i="18"/>
  <c r="DLW34" i="18" s="1"/>
  <c r="DLV8" i="18"/>
  <c r="DLW8" i="18" s="1"/>
  <c r="DLV9" i="18"/>
  <c r="DLW9" i="18" s="1"/>
  <c r="DLV11" i="18"/>
  <c r="DLW11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7" i="18"/>
  <c r="DLW7" i="18" s="1"/>
  <c r="DLN35" i="18"/>
  <c r="DLO35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8" i="18"/>
  <c r="DLO48" i="18" s="1"/>
  <c r="DLN51" i="18"/>
  <c r="DLO51" i="18" s="1"/>
  <c r="DLN59" i="18"/>
  <c r="DLO59" i="18" s="1"/>
  <c r="DLN34" i="18"/>
  <c r="DLO34" i="18" s="1"/>
  <c r="DLN21" i="18"/>
  <c r="DLO21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5" i="18"/>
  <c r="DLG35" i="18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8" i="18"/>
  <c r="DLG48" i="18" s="1"/>
  <c r="DLF51" i="18"/>
  <c r="DLG51" i="18" s="1"/>
  <c r="DLF59" i="18"/>
  <c r="DLG59" i="18" s="1"/>
  <c r="DLF34" i="18"/>
  <c r="DLG34" i="18" s="1"/>
  <c r="DLF8" i="18"/>
  <c r="DLG8" i="18" s="1"/>
  <c r="DLF9" i="18"/>
  <c r="DLG9" i="18" s="1"/>
  <c r="DLF11" i="18"/>
  <c r="DLG11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5" i="18" l="1"/>
  <c r="DKY35" i="18" s="1"/>
  <c r="DKX36" i="18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8" i="18"/>
  <c r="DKY48" i="18" s="1"/>
  <c r="DKX51" i="18"/>
  <c r="DKY51" i="18" s="1"/>
  <c r="DKX59" i="18"/>
  <c r="DKY59" i="18" s="1"/>
  <c r="DKX34" i="18"/>
  <c r="DKY34" i="18" s="1"/>
  <c r="DKX8" i="18"/>
  <c r="DKY8" i="18" s="1"/>
  <c r="DKX9" i="18"/>
  <c r="DKY9" i="18" s="1"/>
  <c r="DKX11" i="18"/>
  <c r="DKY11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5" i="18"/>
  <c r="DKQ35" i="18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8" i="18"/>
  <c r="DKQ48" i="18" s="1"/>
  <c r="DKP51" i="18"/>
  <c r="DKQ51" i="18" s="1"/>
  <c r="DKP59" i="18"/>
  <c r="DKQ59" i="18" s="1"/>
  <c r="DKP34" i="18"/>
  <c r="DKQ34" i="18" s="1"/>
  <c r="DKP8" i="18"/>
  <c r="DKQ8" i="18" s="1"/>
  <c r="DKP9" i="18"/>
  <c r="DKQ9" i="18" s="1"/>
  <c r="DKP11" i="18"/>
  <c r="DKQ11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7" i="18"/>
  <c r="DKQ7" i="18" s="1"/>
  <c r="DKH35" i="18" l="1"/>
  <c r="DKI35" i="18" s="1"/>
  <c r="DKH36" i="18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8" i="18"/>
  <c r="DKI48" i="18" s="1"/>
  <c r="DKH51" i="18"/>
  <c r="DKI51" i="18" s="1"/>
  <c r="DKH59" i="18"/>
  <c r="DKI59" i="18" s="1"/>
  <c r="DKH34" i="18"/>
  <c r="DKI34" i="18" s="1"/>
  <c r="DKH8" i="18"/>
  <c r="DKI8" i="18" s="1"/>
  <c r="DKH9" i="18"/>
  <c r="DKI9" i="18" s="1"/>
  <c r="DKH11" i="18"/>
  <c r="DKI11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5" i="18"/>
  <c r="DKA35" i="18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8" i="18"/>
  <c r="DKA48" i="18" s="1"/>
  <c r="DJZ51" i="18"/>
  <c r="DKA51" i="18" s="1"/>
  <c r="DJZ59" i="18"/>
  <c r="DKA59" i="18" s="1"/>
  <c r="DJZ34" i="18"/>
  <c r="DKA34" i="18" s="1"/>
  <c r="DJZ8" i="18"/>
  <c r="DKA8" i="18" s="1"/>
  <c r="DJZ9" i="18"/>
  <c r="DKA9" i="18" s="1"/>
  <c r="DJZ11" i="18"/>
  <c r="DKA11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5" i="18"/>
  <c r="DJS35" i="18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8" i="18"/>
  <c r="DJS48" i="18" s="1"/>
  <c r="DJR51" i="18"/>
  <c r="DJS51" i="18" s="1"/>
  <c r="DJR59" i="18"/>
  <c r="DJS59" i="18" s="1"/>
  <c r="DJR34" i="18"/>
  <c r="DJS34" i="18" s="1"/>
  <c r="DJR8" i="18"/>
  <c r="DJS8" i="18" s="1"/>
  <c r="DJR9" i="18"/>
  <c r="DJS9" i="18" s="1"/>
  <c r="DJR11" i="18"/>
  <c r="DJS11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5" i="18"/>
  <c r="DJK35" i="18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8" i="18"/>
  <c r="DJK48" i="18" s="1"/>
  <c r="DJJ51" i="18"/>
  <c r="DJK51" i="18" s="1"/>
  <c r="DJJ59" i="18"/>
  <c r="DJK59" i="18" s="1"/>
  <c r="DJJ34" i="18"/>
  <c r="DJK34" i="18" s="1"/>
  <c r="DJJ8" i="18"/>
  <c r="DJK8" i="18" s="1"/>
  <c r="DJJ9" i="18"/>
  <c r="DJK9" i="18" s="1"/>
  <c r="DJJ11" i="18"/>
  <c r="DJK11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5" i="18"/>
  <c r="DJC35" i="18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8" i="18"/>
  <c r="DJC48" i="18" s="1"/>
  <c r="DJB51" i="18"/>
  <c r="DJC51" i="18" s="1"/>
  <c r="DJB59" i="18"/>
  <c r="DJC59" i="18" s="1"/>
  <c r="DJB34" i="18"/>
  <c r="DJC34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5" i="18"/>
  <c r="DIU35" i="18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8" i="18"/>
  <c r="DIU48" i="18" s="1"/>
  <c r="DIT51" i="18"/>
  <c r="DIU51" i="18" s="1"/>
  <c r="DIT59" i="18"/>
  <c r="DIU59" i="18" s="1"/>
  <c r="DIT34" i="18"/>
  <c r="DIU34" i="18" s="1"/>
  <c r="DIT8" i="18"/>
  <c r="DIU8" i="18" s="1"/>
  <c r="DIT9" i="18"/>
  <c r="DIU9" i="18" s="1"/>
  <c r="DIT11" i="18"/>
  <c r="DIU11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7" i="18"/>
  <c r="DIU7" i="18" s="1"/>
  <c r="DIL35" i="18"/>
  <c r="DIM35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8" i="18"/>
  <c r="DIM48" i="18" s="1"/>
  <c r="DIL51" i="18"/>
  <c r="DIM51" i="18" s="1"/>
  <c r="DIL59" i="18"/>
  <c r="DIM59" i="18" s="1"/>
  <c r="DIL34" i="18"/>
  <c r="DIM34" i="18" s="1"/>
  <c r="DIL8" i="18"/>
  <c r="DIM8" i="18" s="1"/>
  <c r="DIL9" i="18"/>
  <c r="DIM9" i="18" s="1"/>
  <c r="DIL11" i="18"/>
  <c r="DIM11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5" i="18"/>
  <c r="DIE35" i="18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8" i="18"/>
  <c r="DIE48" i="18" s="1"/>
  <c r="DID51" i="18"/>
  <c r="DIE51" i="18" s="1"/>
  <c r="DID59" i="18"/>
  <c r="DIE59" i="18" s="1"/>
  <c r="DID34" i="18"/>
  <c r="DIE34" i="18" s="1"/>
  <c r="DID8" i="18"/>
  <c r="DIE8" i="18" s="1"/>
  <c r="DID9" i="18"/>
  <c r="DIE9" i="18" s="1"/>
  <c r="DID11" i="18"/>
  <c r="DIE11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5" i="18"/>
  <c r="DHW35" i="18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8" i="18"/>
  <c r="DHW48" i="18" s="1"/>
  <c r="DHV51" i="18"/>
  <c r="DHW51" i="18" s="1"/>
  <c r="DHV59" i="18"/>
  <c r="DHW59" i="18" s="1"/>
  <c r="DHV34" i="18"/>
  <c r="DHW34" i="18" s="1"/>
  <c r="DHV8" i="18"/>
  <c r="DHW8" i="18" s="1"/>
  <c r="DHV9" i="18"/>
  <c r="DHW9" i="18" s="1"/>
  <c r="DHV11" i="18"/>
  <c r="DHW11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5" i="18"/>
  <c r="DHO35" i="18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8" i="18"/>
  <c r="DHO48" i="18" s="1"/>
  <c r="DHN51" i="18"/>
  <c r="DHO51" i="18" s="1"/>
  <c r="DHN59" i="18"/>
  <c r="DHO59" i="18" s="1"/>
  <c r="DHN34" i="18"/>
  <c r="DHO34" i="18" s="1"/>
  <c r="DHN8" i="18"/>
  <c r="DHO8" i="18" s="1"/>
  <c r="DHN9" i="18"/>
  <c r="DHO9" i="18" s="1"/>
  <c r="DHN11" i="18"/>
  <c r="DHO11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7" i="18"/>
  <c r="DHO7" i="18" s="1"/>
  <c r="DHF35" i="18"/>
  <c r="DHG35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8" i="18"/>
  <c r="DHG48" i="18" s="1"/>
  <c r="DHF51" i="18"/>
  <c r="DHG51" i="18" s="1"/>
  <c r="DHF59" i="18"/>
  <c r="DHG59" i="18" s="1"/>
  <c r="DHF34" i="18"/>
  <c r="DHG34" i="18" s="1"/>
  <c r="DHF8" i="18"/>
  <c r="DHG8" i="18" s="1"/>
  <c r="DHF9" i="18"/>
  <c r="DHG9" i="18" s="1"/>
  <c r="DHF11" i="18"/>
  <c r="DHG11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5" i="18"/>
  <c r="DGY35" i="18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8" i="18"/>
  <c r="DGY48" i="18" s="1"/>
  <c r="DGX51" i="18"/>
  <c r="DGY51" i="18" s="1"/>
  <c r="DGX59" i="18"/>
  <c r="DGY59" i="18" s="1"/>
  <c r="DGX34" i="18"/>
  <c r="DGY34" i="18" s="1"/>
  <c r="DGX8" i="18"/>
  <c r="DGY8" i="18" s="1"/>
  <c r="DGX9" i="18"/>
  <c r="DGY9" i="18" s="1"/>
  <c r="DGX11" i="18"/>
  <c r="DGY11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5" i="18" l="1"/>
  <c r="DGQ35" i="18" s="1"/>
  <c r="DGP36" i="18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8" i="18"/>
  <c r="DGQ48" i="18" s="1"/>
  <c r="DGP51" i="18"/>
  <c r="DGQ51" i="18" s="1"/>
  <c r="DGP59" i="18"/>
  <c r="DGQ59" i="18" s="1"/>
  <c r="DGP34" i="18"/>
  <c r="DGQ34" i="18" s="1"/>
  <c r="DGP8" i="18"/>
  <c r="DGQ8" i="18" s="1"/>
  <c r="DGP9" i="18"/>
  <c r="DGQ9" i="18" s="1"/>
  <c r="DGP11" i="18"/>
  <c r="DGQ11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0" i="18" l="1"/>
  <c r="DGH35" i="18" l="1"/>
  <c r="DGI35" i="18" s="1"/>
  <c r="DGH36" i="18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8" i="18"/>
  <c r="DGI48" i="18" s="1"/>
  <c r="DGH51" i="18"/>
  <c r="DGI51" i="18" s="1"/>
  <c r="DGH59" i="18"/>
  <c r="DGI59" i="18" s="1"/>
  <c r="DGH34" i="18"/>
  <c r="DGI34" i="18" s="1"/>
  <c r="DGH8" i="18"/>
  <c r="DGI8" i="18" s="1"/>
  <c r="DGH9" i="18"/>
  <c r="DGI9" i="18" s="1"/>
  <c r="DGH11" i="18"/>
  <c r="DGI11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5" i="18"/>
  <c r="DGA35" i="18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8" i="18"/>
  <c r="DGA48" i="18" s="1"/>
  <c r="DFZ51" i="18"/>
  <c r="DGA51" i="18" s="1"/>
  <c r="DFZ59" i="18"/>
  <c r="DGA59" i="18" s="1"/>
  <c r="DFZ34" i="18"/>
  <c r="DGA34" i="18" s="1"/>
  <c r="DFZ8" i="18"/>
  <c r="DGA8" i="18" s="1"/>
  <c r="DFZ9" i="18"/>
  <c r="DGA9" i="18" s="1"/>
  <c r="DFZ11" i="18"/>
  <c r="DGA11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5" i="18"/>
  <c r="DFS35" i="18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8" i="18"/>
  <c r="DFS48" i="18" s="1"/>
  <c r="DFR51" i="18"/>
  <c r="DFS51" i="18" s="1"/>
  <c r="DFR59" i="18"/>
  <c r="DFS59" i="18" s="1"/>
  <c r="DFR34" i="18"/>
  <c r="DFS34" i="18" s="1"/>
  <c r="DFR8" i="18"/>
  <c r="DFS8" i="18" s="1"/>
  <c r="DFR9" i="18"/>
  <c r="DFS9" i="18" s="1"/>
  <c r="DFR11" i="18"/>
  <c r="DFS11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5" i="18"/>
  <c r="DFK35" i="18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8" i="18"/>
  <c r="DFK48" i="18" s="1"/>
  <c r="DFJ51" i="18"/>
  <c r="DFK51" i="18" s="1"/>
  <c r="DFJ59" i="18"/>
  <c r="DFK59" i="18" s="1"/>
  <c r="DFJ34" i="18"/>
  <c r="DFK34" i="18" s="1"/>
  <c r="DFJ8" i="18"/>
  <c r="DFK8" i="18" s="1"/>
  <c r="DFJ9" i="18"/>
  <c r="DFK9" i="18" s="1"/>
  <c r="DFJ11" i="18"/>
  <c r="DFK11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7" i="18"/>
  <c r="DFK7" i="18" s="1"/>
  <c r="DFB35" i="18" l="1"/>
  <c r="DFC35" i="18" s="1"/>
  <c r="DFB36" i="18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8" i="18"/>
  <c r="DFC48" i="18" s="1"/>
  <c r="DFB51" i="18"/>
  <c r="DFC51" i="18" s="1"/>
  <c r="DFB59" i="18"/>
  <c r="DFC59" i="18" s="1"/>
  <c r="DFB34" i="18"/>
  <c r="DFC34" i="18" s="1"/>
  <c r="DFB8" i="18"/>
  <c r="DFC8" i="18" s="1"/>
  <c r="DFB9" i="18"/>
  <c r="DFC9" i="18" s="1"/>
  <c r="DFB11" i="18"/>
  <c r="DFC11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5" i="18"/>
  <c r="DEU35" i="18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8" i="18"/>
  <c r="DEU48" i="18" s="1"/>
  <c r="DET51" i="18"/>
  <c r="DEU51" i="18" s="1"/>
  <c r="DET59" i="18"/>
  <c r="DEU59" i="18" s="1"/>
  <c r="DET34" i="18"/>
  <c r="DEU34" i="18" s="1"/>
  <c r="DET8" i="18"/>
  <c r="DEU8" i="18" s="1"/>
  <c r="DET9" i="18"/>
  <c r="DEU9" i="18" s="1"/>
  <c r="DET11" i="18"/>
  <c r="DEU11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39" i="18"/>
  <c r="DEM39" i="18" s="1"/>
  <c r="DEL41" i="18"/>
  <c r="DEM41" i="18" s="1"/>
  <c r="DEL42" i="18"/>
  <c r="DEM42" i="18" s="1"/>
  <c r="DEL43" i="18"/>
  <c r="DEM43" i="18" s="1"/>
  <c r="DEL44" i="18"/>
  <c r="DEM44" i="18" s="1"/>
  <c r="DEL45" i="18"/>
  <c r="DEM45" i="18" s="1"/>
  <c r="DEL48" i="18"/>
  <c r="DEM48" i="18" s="1"/>
  <c r="DEL51" i="18"/>
  <c r="DEM51" i="18" s="1"/>
  <c r="DEL59" i="18"/>
  <c r="DEM59" i="18" s="1"/>
  <c r="DEL8" i="18"/>
  <c r="DEM8" i="18" s="1"/>
  <c r="DEL9" i="18"/>
  <c r="DEM9" i="18" s="1"/>
  <c r="DEL11" i="18"/>
  <c r="DEM11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5" i="18"/>
  <c r="DEE35" i="18" s="1"/>
  <c r="DED36" i="18"/>
  <c r="DEE36" i="18" s="1"/>
  <c r="DED37" i="18"/>
  <c r="DEE37" i="18" s="1"/>
  <c r="DED38" i="18"/>
  <c r="DEE38" i="18" s="1"/>
  <c r="DED39" i="18"/>
  <c r="DEE39" i="18" s="1"/>
  <c r="DED41" i="18"/>
  <c r="DEE41" i="18" s="1"/>
  <c r="DED42" i="18"/>
  <c r="DEE42" i="18" s="1"/>
  <c r="DED43" i="18"/>
  <c r="DEE43" i="18" s="1"/>
  <c r="DED44" i="18"/>
  <c r="DEE44" i="18" s="1"/>
  <c r="DED45" i="18"/>
  <c r="DEE45" i="18" s="1"/>
  <c r="DED48" i="18"/>
  <c r="DEE48" i="18" s="1"/>
  <c r="DED51" i="18"/>
  <c r="DEE51" i="18" s="1"/>
  <c r="DED59" i="18"/>
  <c r="DEE59" i="18" s="1"/>
  <c r="DED34" i="18"/>
  <c r="DEE34" i="18" s="1"/>
  <c r="DED8" i="18"/>
  <c r="DEE8" i="18" s="1"/>
  <c r="DED9" i="18"/>
  <c r="DEE9" i="18" s="1"/>
  <c r="DED11" i="18"/>
  <c r="DEE11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7" i="18"/>
  <c r="DEE7" i="18" s="1"/>
  <c r="DDV35" i="18" l="1"/>
  <c r="DDW35" i="18" s="1"/>
  <c r="DDV36" i="18"/>
  <c r="DDW36" i="18" s="1"/>
  <c r="DDV37" i="18"/>
  <c r="DDW37" i="18" s="1"/>
  <c r="DDV38" i="18"/>
  <c r="DDW38" i="18" s="1"/>
  <c r="DDV39" i="18"/>
  <c r="DDW39" i="18" s="1"/>
  <c r="DDV41" i="18"/>
  <c r="DDW41" i="18" s="1"/>
  <c r="DDV42" i="18"/>
  <c r="DDW42" i="18" s="1"/>
  <c r="DDV43" i="18"/>
  <c r="DDW43" i="18" s="1"/>
  <c r="DDV44" i="18"/>
  <c r="DDW44" i="18" s="1"/>
  <c r="DDV45" i="18"/>
  <c r="DDW45" i="18" s="1"/>
  <c r="DDV48" i="18"/>
  <c r="DDW48" i="18" s="1"/>
  <c r="DDV51" i="18"/>
  <c r="DDW51" i="18" s="1"/>
  <c r="DDV59" i="18"/>
  <c r="DDW59" i="18" s="1"/>
  <c r="DDV34" i="18"/>
  <c r="DDW34" i="18" s="1"/>
  <c r="DDV8" i="18"/>
  <c r="DDW8" i="18" s="1"/>
  <c r="DDV9" i="18"/>
  <c r="DDW9" i="18" s="1"/>
  <c r="DDV11" i="18"/>
  <c r="DDW11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5" i="18" l="1"/>
  <c r="DDO35" i="18" s="1"/>
  <c r="DDN36" i="18"/>
  <c r="DDO36" i="18" s="1"/>
  <c r="DDN37" i="18"/>
  <c r="DDO37" i="18" s="1"/>
  <c r="DDN38" i="18"/>
  <c r="DDO38" i="18" s="1"/>
  <c r="DDN39" i="18"/>
  <c r="DDO39" i="18" s="1"/>
  <c r="DDN41" i="18"/>
  <c r="DDO41" i="18" s="1"/>
  <c r="DDN42" i="18"/>
  <c r="DDO42" i="18" s="1"/>
  <c r="DDN43" i="18"/>
  <c r="DDO43" i="18" s="1"/>
  <c r="DDN44" i="18"/>
  <c r="DDO44" i="18" s="1"/>
  <c r="DDN45" i="18"/>
  <c r="DDO45" i="18" s="1"/>
  <c r="DDN48" i="18"/>
  <c r="DDO48" i="18" s="1"/>
  <c r="DDN51" i="18"/>
  <c r="DDO51" i="18" s="1"/>
  <c r="DDN59" i="18"/>
  <c r="DDO59" i="18" s="1"/>
  <c r="DDN34" i="18"/>
  <c r="DDO34" i="18" s="1"/>
  <c r="DDN8" i="18"/>
  <c r="DDO8" i="18" s="1"/>
  <c r="DDN9" i="18"/>
  <c r="DDO9" i="18" s="1"/>
  <c r="DDN11" i="18"/>
  <c r="DDO11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5" i="18"/>
  <c r="DDG35" i="18" s="1"/>
  <c r="DDF36" i="18"/>
  <c r="DDG36" i="18" s="1"/>
  <c r="DDF37" i="18"/>
  <c r="DDG37" i="18" s="1"/>
  <c r="DDF38" i="18"/>
  <c r="DDG38" i="18" s="1"/>
  <c r="DDF39" i="18"/>
  <c r="DDG39" i="18" s="1"/>
  <c r="DDF41" i="18"/>
  <c r="DDG41" i="18" s="1"/>
  <c r="DDF42" i="18"/>
  <c r="DDG42" i="18" s="1"/>
  <c r="DDF43" i="18"/>
  <c r="DDG43" i="18" s="1"/>
  <c r="DDF44" i="18"/>
  <c r="DDG44" i="18" s="1"/>
  <c r="DDF45" i="18"/>
  <c r="DDG45" i="18" s="1"/>
  <c r="DDF48" i="18"/>
  <c r="DDG48" i="18" s="1"/>
  <c r="DDF51" i="18"/>
  <c r="DDG51" i="18" s="1"/>
  <c r="DDF59" i="18"/>
  <c r="DDG59" i="18" s="1"/>
  <c r="DDF34" i="18"/>
  <c r="DDG34" i="18" s="1"/>
  <c r="DDF8" i="18"/>
  <c r="DDG8" i="18" s="1"/>
  <c r="DDF9" i="18"/>
  <c r="DDG9" i="18" s="1"/>
  <c r="DDF11" i="18"/>
  <c r="DDG11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7" i="18"/>
  <c r="DDG7" i="18" s="1"/>
  <c r="DCX35" i="18" l="1"/>
  <c r="DCY35" i="18" s="1"/>
  <c r="DCX36" i="18"/>
  <c r="DCY36" i="18" s="1"/>
  <c r="DCX37" i="18"/>
  <c r="DCY37" i="18" s="1"/>
  <c r="DCX38" i="18"/>
  <c r="DCY38" i="18" s="1"/>
  <c r="DCX39" i="18"/>
  <c r="DCY39" i="18" s="1"/>
  <c r="DCX41" i="18"/>
  <c r="DCY41" i="18" s="1"/>
  <c r="DCX42" i="18"/>
  <c r="DCY42" i="18" s="1"/>
  <c r="DCX43" i="18"/>
  <c r="DCY43" i="18" s="1"/>
  <c r="DCX44" i="18"/>
  <c r="DCY44" i="18" s="1"/>
  <c r="DCX45" i="18"/>
  <c r="DCY45" i="18" s="1"/>
  <c r="DCX48" i="18"/>
  <c r="DCY48" i="18" s="1"/>
  <c r="DCX51" i="18"/>
  <c r="DCY51" i="18" s="1"/>
  <c r="DCX59" i="18"/>
  <c r="DCY59" i="18" s="1"/>
  <c r="DCX34" i="18"/>
  <c r="DCY34" i="18" s="1"/>
  <c r="DCX8" i="18"/>
  <c r="DCY8" i="18" s="1"/>
  <c r="DCX9" i="18"/>
  <c r="DCY9" i="18" s="1"/>
  <c r="DCX11" i="18"/>
  <c r="DCY11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4" i="17" l="1"/>
  <c r="K8" i="18"/>
  <c r="K9" i="18"/>
  <c r="K12" i="18"/>
  <c r="K13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5" i="18"/>
  <c r="DCQ35" i="18" s="1"/>
  <c r="DCP36" i="18"/>
  <c r="DCQ36" i="18" s="1"/>
  <c r="DCP37" i="18"/>
  <c r="DCQ37" i="18" s="1"/>
  <c r="DCP38" i="18"/>
  <c r="DCQ38" i="18" s="1"/>
  <c r="DCP39" i="18"/>
  <c r="DCQ39" i="18" s="1"/>
  <c r="DCP41" i="18"/>
  <c r="DCQ41" i="18" s="1"/>
  <c r="DCP42" i="18"/>
  <c r="DCQ42" i="18" s="1"/>
  <c r="DCP43" i="18"/>
  <c r="DCQ43" i="18" s="1"/>
  <c r="DCP44" i="18"/>
  <c r="DCQ44" i="18" s="1"/>
  <c r="DCP45" i="18"/>
  <c r="DCQ45" i="18" s="1"/>
  <c r="DCP48" i="18"/>
  <c r="DCQ48" i="18" s="1"/>
  <c r="DCP51" i="18"/>
  <c r="DCQ51" i="18" s="1"/>
  <c r="DCP59" i="18"/>
  <c r="DCQ59" i="18" s="1"/>
  <c r="DCP34" i="18"/>
  <c r="DCQ34" i="18" s="1"/>
  <c r="DCP8" i="18"/>
  <c r="DCQ8" i="18" s="1"/>
  <c r="DCP9" i="18"/>
  <c r="DCQ9" i="18" s="1"/>
  <c r="DCP11" i="18"/>
  <c r="DCQ11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7" i="18"/>
  <c r="DCQ7" i="18" s="1"/>
  <c r="J84" i="17" l="1"/>
  <c r="DCG41" i="18"/>
  <c r="DCH41" i="18" s="1"/>
  <c r="DCI41" i="18" s="1"/>
  <c r="DCG13" i="18"/>
  <c r="DCH13" i="18" s="1"/>
  <c r="DCI13" i="18" s="1"/>
  <c r="DCE38" i="18"/>
  <c r="DCH38" i="18" s="1"/>
  <c r="DCI38" i="18" s="1"/>
  <c r="DCB15" i="18"/>
  <c r="DCH15" i="18" s="1"/>
  <c r="DCI15" i="18" s="1"/>
  <c r="DCB14" i="18"/>
  <c r="DCH14" i="18" s="1"/>
  <c r="DCI14" i="18" s="1"/>
  <c r="DCH35" i="18"/>
  <c r="DCI35" i="18" s="1"/>
  <c r="DCH36" i="18"/>
  <c r="DCI36" i="18" s="1"/>
  <c r="DCH37" i="18"/>
  <c r="DCI37" i="18" s="1"/>
  <c r="DCH39" i="18"/>
  <c r="DCI39" i="18" s="1"/>
  <c r="DCH42" i="18"/>
  <c r="DCI42" i="18" s="1"/>
  <c r="DCH43" i="18"/>
  <c r="DCI43" i="18" s="1"/>
  <c r="DCH44" i="18"/>
  <c r="DCI44" i="18" s="1"/>
  <c r="DCH45" i="18"/>
  <c r="DCI45" i="18" s="1"/>
  <c r="DCH48" i="18"/>
  <c r="DCI48" i="18" s="1"/>
  <c r="DCH51" i="18"/>
  <c r="DCI51" i="18" s="1"/>
  <c r="DCH59" i="18"/>
  <c r="DCI59" i="18" s="1"/>
  <c r="DCH34" i="18"/>
  <c r="DCI34" i="18" s="1"/>
  <c r="DCH8" i="18"/>
  <c r="DCI8" i="18" s="1"/>
  <c r="DCH9" i="18"/>
  <c r="DCI9" i="18" s="1"/>
  <c r="DCH11" i="18"/>
  <c r="DCI11" i="18" s="1"/>
  <c r="DCH12" i="18"/>
  <c r="DCI12" i="18" s="1"/>
  <c r="DCH16" i="18"/>
  <c r="DCI16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5" i="18" l="1"/>
  <c r="DCA35" i="18" s="1"/>
  <c r="DBZ36" i="18"/>
  <c r="DCA36" i="18" s="1"/>
  <c r="DBZ37" i="18"/>
  <c r="DCA37" i="18" s="1"/>
  <c r="DBZ38" i="18"/>
  <c r="DCA38" i="18" s="1"/>
  <c r="DBZ39" i="18"/>
  <c r="DCA39" i="18" s="1"/>
  <c r="DBZ41" i="18"/>
  <c r="DCA41" i="18" s="1"/>
  <c r="DBZ42" i="18"/>
  <c r="DCA42" i="18" s="1"/>
  <c r="DBZ43" i="18"/>
  <c r="DCA43" i="18" s="1"/>
  <c r="DBZ44" i="18"/>
  <c r="DCA44" i="18" s="1"/>
  <c r="DBZ45" i="18"/>
  <c r="DCA45" i="18" s="1"/>
  <c r="DBZ48" i="18"/>
  <c r="DCA48" i="18" s="1"/>
  <c r="DBZ51" i="18"/>
  <c r="DCA51" i="18" s="1"/>
  <c r="DBZ59" i="18"/>
  <c r="DCA59" i="18" s="1"/>
  <c r="DBZ34" i="18"/>
  <c r="DCA34" i="18" s="1"/>
  <c r="DBZ8" i="18"/>
  <c r="DCA8" i="18" s="1"/>
  <c r="DBZ9" i="18"/>
  <c r="DCA9" i="18" s="1"/>
  <c r="DBZ11" i="18"/>
  <c r="DCA11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5" i="18"/>
  <c r="R36" i="18"/>
  <c r="R37" i="18"/>
  <c r="R38" i="18"/>
  <c r="V38" i="18" s="1"/>
  <c r="R39" i="18"/>
  <c r="R41" i="18"/>
  <c r="R42" i="18"/>
  <c r="R43" i="18"/>
  <c r="R44" i="18"/>
  <c r="R45" i="18"/>
  <c r="R51" i="18"/>
  <c r="V51" i="18" s="1"/>
  <c r="R8" i="19"/>
  <c r="R10" i="19"/>
  <c r="V10" i="19" s="1"/>
  <c r="R11" i="19"/>
  <c r="R13" i="19"/>
  <c r="R14" i="19"/>
  <c r="R16" i="19"/>
  <c r="DBR35" i="18"/>
  <c r="DBS35" i="18" s="1"/>
  <c r="DBR36" i="18"/>
  <c r="DBS36" i="18" s="1"/>
  <c r="DBR37" i="18"/>
  <c r="DBS37" i="18" s="1"/>
  <c r="DBR38" i="18"/>
  <c r="DBS38" i="18" s="1"/>
  <c r="DBR39" i="18"/>
  <c r="DBS39" i="18" s="1"/>
  <c r="DBR41" i="18"/>
  <c r="DBS41" i="18" s="1"/>
  <c r="DBR42" i="18"/>
  <c r="DBS42" i="18" s="1"/>
  <c r="DBR43" i="18"/>
  <c r="DBS43" i="18" s="1"/>
  <c r="DBR44" i="18"/>
  <c r="DBS44" i="18" s="1"/>
  <c r="DBR45" i="18"/>
  <c r="DBS45" i="18" s="1"/>
  <c r="DBR48" i="18"/>
  <c r="DBS48" i="18" s="1"/>
  <c r="DBR51" i="18"/>
  <c r="DBS51" i="18" s="1"/>
  <c r="DBR59" i="18"/>
  <c r="DBS59" i="18" s="1"/>
  <c r="DBR34" i="18"/>
  <c r="DBS34" i="18" s="1"/>
  <c r="DBR8" i="18"/>
  <c r="DBS8" i="18" s="1"/>
  <c r="DBR9" i="18"/>
  <c r="DBS9" i="18" s="1"/>
  <c r="DBR11" i="18"/>
  <c r="DBS11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8" i="18" l="1"/>
  <c r="E22" i="18"/>
  <c r="DBJ35" i="18"/>
  <c r="DBK35" i="18" s="1"/>
  <c r="DBJ36" i="18"/>
  <c r="DBK36" i="18" s="1"/>
  <c r="DBJ37" i="18"/>
  <c r="DBK37" i="18" s="1"/>
  <c r="DBJ38" i="18"/>
  <c r="DBK38" i="18" s="1"/>
  <c r="DBJ39" i="18"/>
  <c r="DBK39" i="18" s="1"/>
  <c r="DBJ41" i="18"/>
  <c r="DBK41" i="18" s="1"/>
  <c r="DBJ42" i="18"/>
  <c r="DBK42" i="18" s="1"/>
  <c r="DBJ43" i="18"/>
  <c r="DBK43" i="18" s="1"/>
  <c r="DBJ44" i="18"/>
  <c r="DBK44" i="18" s="1"/>
  <c r="DBJ45" i="18"/>
  <c r="DBK45" i="18" s="1"/>
  <c r="DBJ48" i="18"/>
  <c r="DBK48" i="18" s="1"/>
  <c r="DBJ51" i="18"/>
  <c r="DBK51" i="18" s="1"/>
  <c r="DBJ59" i="18"/>
  <c r="DBK59" i="18" s="1"/>
  <c r="DBJ34" i="18"/>
  <c r="DBK34" i="18" s="1"/>
  <c r="DBJ8" i="18"/>
  <c r="DBK8" i="18" s="1"/>
  <c r="DBJ9" i="18"/>
  <c r="DBK9" i="18" s="1"/>
  <c r="DBJ11" i="18"/>
  <c r="DBK11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5" i="18"/>
  <c r="DBC35" i="18" s="1"/>
  <c r="DBB36" i="18"/>
  <c r="DBC36" i="18" s="1"/>
  <c r="DBB37" i="18"/>
  <c r="DBC37" i="18" s="1"/>
  <c r="DBB38" i="18"/>
  <c r="DBC38" i="18" s="1"/>
  <c r="DBB39" i="18"/>
  <c r="DBC39" i="18" s="1"/>
  <c r="DBB41" i="18"/>
  <c r="DBC41" i="18" s="1"/>
  <c r="DBB42" i="18"/>
  <c r="DBC42" i="18" s="1"/>
  <c r="DBB43" i="18"/>
  <c r="DBC43" i="18" s="1"/>
  <c r="DBB44" i="18"/>
  <c r="DBC44" i="18" s="1"/>
  <c r="DBB45" i="18"/>
  <c r="DBC45" i="18" s="1"/>
  <c r="DBB48" i="18"/>
  <c r="DBC48" i="18" s="1"/>
  <c r="DBB51" i="18"/>
  <c r="DBC51" i="18" s="1"/>
  <c r="DBB59" i="18"/>
  <c r="DBC59" i="18" s="1"/>
  <c r="DBB34" i="18"/>
  <c r="DBC34" i="18" s="1"/>
  <c r="DBB8" i="18"/>
  <c r="DBC8" i="18" s="1"/>
  <c r="DBB9" i="18"/>
  <c r="DBC9" i="18" s="1"/>
  <c r="DBB11" i="18"/>
  <c r="DBC11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7" i="18"/>
  <c r="DBC7" i="18" s="1"/>
  <c r="DAT35" i="18"/>
  <c r="DAU35" i="18" s="1"/>
  <c r="DAT36" i="18"/>
  <c r="DAU36" i="18" s="1"/>
  <c r="DAT37" i="18"/>
  <c r="DAU37" i="18" s="1"/>
  <c r="DAT38" i="18"/>
  <c r="DAU38" i="18" s="1"/>
  <c r="DAT39" i="18"/>
  <c r="DAU39" i="18" s="1"/>
  <c r="DAT41" i="18"/>
  <c r="DAU41" i="18" s="1"/>
  <c r="DAT42" i="18"/>
  <c r="DAU42" i="18" s="1"/>
  <c r="DAT43" i="18"/>
  <c r="DAU43" i="18" s="1"/>
  <c r="DAT44" i="18"/>
  <c r="DAU44" i="18" s="1"/>
  <c r="DAT45" i="18"/>
  <c r="DAU45" i="18" s="1"/>
  <c r="DAT48" i="18"/>
  <c r="DAU48" i="18" s="1"/>
  <c r="DAT51" i="18"/>
  <c r="DAU51" i="18" s="1"/>
  <c r="DAT59" i="18"/>
  <c r="DAU59" i="18" s="1"/>
  <c r="DAT34" i="18"/>
  <c r="DAU34" i="18" s="1"/>
  <c r="DAT8" i="18"/>
  <c r="DAU8" i="18" s="1"/>
  <c r="DAT9" i="18"/>
  <c r="DAU9" i="18" s="1"/>
  <c r="DAT11" i="18"/>
  <c r="DAU11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5" i="18"/>
  <c r="DAM35" i="18" s="1"/>
  <c r="DAL36" i="18"/>
  <c r="DAM36" i="18" s="1"/>
  <c r="DAL37" i="18"/>
  <c r="DAM37" i="18" s="1"/>
  <c r="DAL38" i="18"/>
  <c r="DAM38" i="18" s="1"/>
  <c r="DAL39" i="18"/>
  <c r="DAM39" i="18" s="1"/>
  <c r="DAL41" i="18"/>
  <c r="DAM41" i="18" s="1"/>
  <c r="DAL42" i="18"/>
  <c r="DAM42" i="18" s="1"/>
  <c r="DAL43" i="18"/>
  <c r="DAM43" i="18" s="1"/>
  <c r="DAL44" i="18"/>
  <c r="DAM44" i="18" s="1"/>
  <c r="DAL45" i="18"/>
  <c r="DAM45" i="18" s="1"/>
  <c r="DAL48" i="18"/>
  <c r="DAM48" i="18" s="1"/>
  <c r="DAL51" i="18"/>
  <c r="DAM51" i="18" s="1"/>
  <c r="DAL59" i="18"/>
  <c r="DAM59" i="18" s="1"/>
  <c r="DAL34" i="18"/>
  <c r="DAM34" i="18" s="1"/>
  <c r="DAL8" i="18"/>
  <c r="DAM8" i="18" s="1"/>
  <c r="DAL9" i="18"/>
  <c r="DAM9" i="18" s="1"/>
  <c r="DAL11" i="18"/>
  <c r="DAM11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7" i="18"/>
  <c r="DAM7" i="18" s="1"/>
  <c r="DAD35" i="18"/>
  <c r="DAE35" i="18" s="1"/>
  <c r="DAD36" i="18"/>
  <c r="DAE36" i="18" s="1"/>
  <c r="DAD37" i="18"/>
  <c r="DAE37" i="18" s="1"/>
  <c r="DAD38" i="18"/>
  <c r="DAE38" i="18" s="1"/>
  <c r="DAD39" i="18"/>
  <c r="DAE39" i="18" s="1"/>
  <c r="DAD41" i="18"/>
  <c r="DAE41" i="18" s="1"/>
  <c r="DAD42" i="18"/>
  <c r="DAE42" i="18" s="1"/>
  <c r="DAD43" i="18"/>
  <c r="DAE43" i="18" s="1"/>
  <c r="DAD44" i="18"/>
  <c r="DAE44" i="18" s="1"/>
  <c r="DAD45" i="18"/>
  <c r="DAE45" i="18" s="1"/>
  <c r="DAD48" i="18"/>
  <c r="DAE48" i="18" s="1"/>
  <c r="DAD51" i="18"/>
  <c r="DAE51" i="18" s="1"/>
  <c r="DAD59" i="18"/>
  <c r="DAE59" i="18" s="1"/>
  <c r="DAD34" i="18"/>
  <c r="DAE34" i="18" s="1"/>
  <c r="DAD8" i="18"/>
  <c r="DAE8" i="18" s="1"/>
  <c r="DAD9" i="18"/>
  <c r="DAE9" i="18" s="1"/>
  <c r="DAD11" i="18"/>
  <c r="DAE11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5" i="18"/>
  <c r="CZW35" i="18" s="1"/>
  <c r="CZV36" i="18"/>
  <c r="CZW36" i="18" s="1"/>
  <c r="CZV37" i="18"/>
  <c r="CZW37" i="18" s="1"/>
  <c r="CZV38" i="18"/>
  <c r="CZW38" i="18" s="1"/>
  <c r="CZV39" i="18"/>
  <c r="CZW39" i="18" s="1"/>
  <c r="CZV41" i="18"/>
  <c r="CZW41" i="18" s="1"/>
  <c r="CZV42" i="18"/>
  <c r="CZW42" i="18" s="1"/>
  <c r="CZV43" i="18"/>
  <c r="CZW43" i="18" s="1"/>
  <c r="CZV44" i="18"/>
  <c r="CZW44" i="18" s="1"/>
  <c r="CZV45" i="18"/>
  <c r="CZW45" i="18" s="1"/>
  <c r="CZV48" i="18"/>
  <c r="CZW48" i="18" s="1"/>
  <c r="CZV51" i="18"/>
  <c r="CZW51" i="18" s="1"/>
  <c r="CZV59" i="18"/>
  <c r="CZW59" i="18" s="1"/>
  <c r="CZV34" i="18"/>
  <c r="CZW34" i="18" s="1"/>
  <c r="CZV8" i="18"/>
  <c r="CZW8" i="18" s="1"/>
  <c r="CZV9" i="18"/>
  <c r="CZW9" i="18" s="1"/>
  <c r="CZV11" i="18"/>
  <c r="CZW11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5" i="18"/>
  <c r="CZO35" i="18" s="1"/>
  <c r="CZN36" i="18"/>
  <c r="CZO36" i="18" s="1"/>
  <c r="CZN37" i="18"/>
  <c r="CZO37" i="18" s="1"/>
  <c r="CZN38" i="18"/>
  <c r="CZO38" i="18" s="1"/>
  <c r="CZN39" i="18"/>
  <c r="CZO39" i="18" s="1"/>
  <c r="CZN41" i="18"/>
  <c r="CZO41" i="18" s="1"/>
  <c r="CZN42" i="18"/>
  <c r="CZO42" i="18" s="1"/>
  <c r="CZN43" i="18"/>
  <c r="CZO43" i="18" s="1"/>
  <c r="CZN44" i="18"/>
  <c r="CZO44" i="18" s="1"/>
  <c r="CZN45" i="18"/>
  <c r="CZO45" i="18" s="1"/>
  <c r="CZN48" i="18"/>
  <c r="CZO48" i="18" s="1"/>
  <c r="CZN51" i="18"/>
  <c r="CZO51" i="18" s="1"/>
  <c r="CZN59" i="18"/>
  <c r="CZO59" i="18" s="1"/>
  <c r="CZN34" i="18"/>
  <c r="CZO34" i="18" s="1"/>
  <c r="CZN8" i="18"/>
  <c r="CZO8" i="18" s="1"/>
  <c r="CZN9" i="18"/>
  <c r="CZO9" i="18" s="1"/>
  <c r="CZN11" i="18"/>
  <c r="CZO11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7" i="18"/>
  <c r="CZO7" i="18" s="1"/>
  <c r="CZF35" i="18"/>
  <c r="CZG35" i="18" s="1"/>
  <c r="CZF36" i="18"/>
  <c r="CZG36" i="18" s="1"/>
  <c r="CZF37" i="18"/>
  <c r="CZG37" i="18" s="1"/>
  <c r="CZF38" i="18"/>
  <c r="CZG38" i="18" s="1"/>
  <c r="CZF39" i="18"/>
  <c r="CZG39" i="18" s="1"/>
  <c r="CZF41" i="18"/>
  <c r="CZG41" i="18" s="1"/>
  <c r="CZF42" i="18"/>
  <c r="CZG42" i="18" s="1"/>
  <c r="CZF43" i="18"/>
  <c r="CZG43" i="18" s="1"/>
  <c r="CZF44" i="18"/>
  <c r="CZG44" i="18" s="1"/>
  <c r="CZF45" i="18"/>
  <c r="CZG45" i="18" s="1"/>
  <c r="CZF48" i="18"/>
  <c r="CZG48" i="18" s="1"/>
  <c r="CZF51" i="18"/>
  <c r="CZG51" i="18" s="1"/>
  <c r="CZF59" i="18"/>
  <c r="CZG59" i="18" s="1"/>
  <c r="CZF34" i="18"/>
  <c r="CZG34" i="18" s="1"/>
  <c r="CZF8" i="18"/>
  <c r="CZG8" i="18" s="1"/>
  <c r="CZF9" i="18"/>
  <c r="CZG9" i="18" s="1"/>
  <c r="CZF11" i="18"/>
  <c r="CZG11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5" i="18"/>
  <c r="CYY35" i="18" s="1"/>
  <c r="CYX36" i="18"/>
  <c r="CYY36" i="18" s="1"/>
  <c r="CYX37" i="18"/>
  <c r="CYY37" i="18" s="1"/>
  <c r="CYX38" i="18"/>
  <c r="CYY38" i="18" s="1"/>
  <c r="CYX39" i="18"/>
  <c r="CYY39" i="18" s="1"/>
  <c r="CYX41" i="18"/>
  <c r="CYY41" i="18" s="1"/>
  <c r="CYX42" i="18"/>
  <c r="CYY42" i="18" s="1"/>
  <c r="CYX43" i="18"/>
  <c r="CYY43" i="18" s="1"/>
  <c r="CYX44" i="18"/>
  <c r="CYY44" i="18" s="1"/>
  <c r="CYX45" i="18"/>
  <c r="CYY45" i="18" s="1"/>
  <c r="CYX48" i="18"/>
  <c r="CYY48" i="18" s="1"/>
  <c r="CYX51" i="18"/>
  <c r="CYY51" i="18" s="1"/>
  <c r="CYX59" i="18"/>
  <c r="CYY59" i="18" s="1"/>
  <c r="CYX34" i="18"/>
  <c r="CYY34" i="18" s="1"/>
  <c r="CYX8" i="18"/>
  <c r="CYY8" i="18" s="1"/>
  <c r="CYX9" i="18"/>
  <c r="CYY9" i="18" s="1"/>
  <c r="CYX11" i="18"/>
  <c r="CYY11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5" i="18"/>
  <c r="CYQ35" i="18" s="1"/>
  <c r="CYP36" i="18"/>
  <c r="CYQ36" i="18" s="1"/>
  <c r="CYP37" i="18"/>
  <c r="CYQ37" i="18" s="1"/>
  <c r="CYP38" i="18"/>
  <c r="CYQ38" i="18" s="1"/>
  <c r="CYP39" i="18"/>
  <c r="CYQ39" i="18" s="1"/>
  <c r="CYP41" i="18"/>
  <c r="CYQ41" i="18" s="1"/>
  <c r="CYP42" i="18"/>
  <c r="CYQ42" i="18" s="1"/>
  <c r="CYP43" i="18"/>
  <c r="CYQ43" i="18" s="1"/>
  <c r="CYP44" i="18"/>
  <c r="CYQ44" i="18" s="1"/>
  <c r="CYP45" i="18"/>
  <c r="CYQ45" i="18" s="1"/>
  <c r="CYP48" i="18"/>
  <c r="CYQ48" i="18" s="1"/>
  <c r="CYP51" i="18"/>
  <c r="CYQ51" i="18" s="1"/>
  <c r="CYP59" i="18"/>
  <c r="CYQ59" i="18" s="1"/>
  <c r="CYP34" i="18"/>
  <c r="CYQ34" i="18" s="1"/>
  <c r="CYP8" i="18"/>
  <c r="CYQ8" i="18" s="1"/>
  <c r="CYP9" i="18"/>
  <c r="CYQ9" i="18" s="1"/>
  <c r="CYP11" i="18"/>
  <c r="CYQ11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5" i="18"/>
  <c r="CYI35" i="18" s="1"/>
  <c r="CYH36" i="18"/>
  <c r="CYI36" i="18" s="1"/>
  <c r="CYH37" i="18"/>
  <c r="CYI37" i="18" s="1"/>
  <c r="CYH38" i="18"/>
  <c r="CYI38" i="18" s="1"/>
  <c r="CYH39" i="18"/>
  <c r="CYI39" i="18" s="1"/>
  <c r="CYH41" i="18"/>
  <c r="CYI41" i="18" s="1"/>
  <c r="CYH42" i="18"/>
  <c r="CYI42" i="18" s="1"/>
  <c r="CYH43" i="18"/>
  <c r="CYI43" i="18" s="1"/>
  <c r="CYH44" i="18"/>
  <c r="CYI44" i="18" s="1"/>
  <c r="CYH45" i="18"/>
  <c r="CYI45" i="18" s="1"/>
  <c r="CYH48" i="18"/>
  <c r="CYI48" i="18" s="1"/>
  <c r="CYH51" i="18"/>
  <c r="CYI51" i="18" s="1"/>
  <c r="CYH59" i="18"/>
  <c r="CYI59" i="18" s="1"/>
  <c r="CYH34" i="18"/>
  <c r="CYI34" i="18" s="1"/>
  <c r="CYH8" i="18"/>
  <c r="CYI8" i="18" s="1"/>
  <c r="CYH9" i="18"/>
  <c r="CYI9" i="18" s="1"/>
  <c r="CYH11" i="18"/>
  <c r="CYI11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5" i="18"/>
  <c r="CYA35" i="18" s="1"/>
  <c r="CXZ36" i="18"/>
  <c r="CYA36" i="18" s="1"/>
  <c r="CXZ37" i="18"/>
  <c r="CYA37" i="18" s="1"/>
  <c r="CXZ38" i="18"/>
  <c r="CYA38" i="18" s="1"/>
  <c r="CXZ39" i="18"/>
  <c r="CYA39" i="18" s="1"/>
  <c r="CXZ41" i="18"/>
  <c r="CYA41" i="18" s="1"/>
  <c r="CXZ42" i="18"/>
  <c r="CYA42" i="18" s="1"/>
  <c r="CXZ43" i="18"/>
  <c r="CYA43" i="18" s="1"/>
  <c r="CXZ44" i="18"/>
  <c r="CYA44" i="18" s="1"/>
  <c r="CXZ45" i="18"/>
  <c r="CYA45" i="18" s="1"/>
  <c r="CXZ48" i="18"/>
  <c r="CYA48" i="18" s="1"/>
  <c r="CXZ51" i="18"/>
  <c r="CYA51" i="18" s="1"/>
  <c r="CXZ59" i="18"/>
  <c r="CYA59" i="18" s="1"/>
  <c r="CXZ34" i="18"/>
  <c r="CYA34" i="18" s="1"/>
  <c r="CXZ8" i="18"/>
  <c r="CYA8" i="18" s="1"/>
  <c r="CXZ9" i="18"/>
  <c r="CYA9" i="18" s="1"/>
  <c r="CXZ11" i="18"/>
  <c r="CYA11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5" i="18"/>
  <c r="CXS35" i="18" s="1"/>
  <c r="CXR36" i="18"/>
  <c r="CXS36" i="18" s="1"/>
  <c r="CXR37" i="18"/>
  <c r="CXS37" i="18" s="1"/>
  <c r="CXR38" i="18"/>
  <c r="CXS38" i="18" s="1"/>
  <c r="CXR39" i="18"/>
  <c r="CXS39" i="18" s="1"/>
  <c r="CXR41" i="18"/>
  <c r="CXS41" i="18" s="1"/>
  <c r="CXR42" i="18"/>
  <c r="CXS42" i="18" s="1"/>
  <c r="CXR43" i="18"/>
  <c r="CXS43" i="18" s="1"/>
  <c r="CXR44" i="18"/>
  <c r="CXS44" i="18" s="1"/>
  <c r="CXR45" i="18"/>
  <c r="CXS45" i="18" s="1"/>
  <c r="CXR48" i="18"/>
  <c r="CXS48" i="18" s="1"/>
  <c r="CXR51" i="18"/>
  <c r="CXS51" i="18" s="1"/>
  <c r="CXR59" i="18"/>
  <c r="CXS59" i="18" s="1"/>
  <c r="CXR34" i="18"/>
  <c r="CXS34" i="18" s="1"/>
  <c r="CXR8" i="18"/>
  <c r="CXS8" i="18" s="1"/>
  <c r="CXR9" i="18"/>
  <c r="CXS9" i="18" s="1"/>
  <c r="CXR11" i="18"/>
  <c r="CXS11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5" i="18" l="1"/>
  <c r="CXK35" i="18" s="1"/>
  <c r="CXJ36" i="18"/>
  <c r="CXK36" i="18" s="1"/>
  <c r="CXJ37" i="18"/>
  <c r="CXK37" i="18" s="1"/>
  <c r="CXJ38" i="18"/>
  <c r="CXK38" i="18" s="1"/>
  <c r="CXJ39" i="18"/>
  <c r="CXK39" i="18" s="1"/>
  <c r="CXJ41" i="18"/>
  <c r="CXK41" i="18" s="1"/>
  <c r="CXJ42" i="18"/>
  <c r="CXK42" i="18" s="1"/>
  <c r="CXJ43" i="18"/>
  <c r="CXK43" i="18" s="1"/>
  <c r="CXJ44" i="18"/>
  <c r="CXK44" i="18" s="1"/>
  <c r="CXJ45" i="18"/>
  <c r="CXK45" i="18" s="1"/>
  <c r="CXJ48" i="18"/>
  <c r="CXK48" i="18" s="1"/>
  <c r="CXJ51" i="18"/>
  <c r="CXK51" i="18" s="1"/>
  <c r="CXJ59" i="18"/>
  <c r="CXK59" i="18" s="1"/>
  <c r="CXJ34" i="18"/>
  <c r="CXK34" i="18" s="1"/>
  <c r="CXJ8" i="18"/>
  <c r="CXK8" i="18" s="1"/>
  <c r="CXJ9" i="18"/>
  <c r="CXK9" i="18" s="1"/>
  <c r="CXJ11" i="18"/>
  <c r="CXK11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5" i="18" l="1"/>
  <c r="CXC35" i="18" s="1"/>
  <c r="CXB36" i="18"/>
  <c r="CXC36" i="18" s="1"/>
  <c r="CXB37" i="18"/>
  <c r="CXC37" i="18" s="1"/>
  <c r="CXB38" i="18"/>
  <c r="CXC38" i="18" s="1"/>
  <c r="CXB39" i="18"/>
  <c r="CXC39" i="18" s="1"/>
  <c r="CXB41" i="18"/>
  <c r="CXC41" i="18" s="1"/>
  <c r="CXB42" i="18"/>
  <c r="CXC42" i="18" s="1"/>
  <c r="CXB43" i="18"/>
  <c r="CXC43" i="18" s="1"/>
  <c r="CXB44" i="18"/>
  <c r="CXC44" i="18" s="1"/>
  <c r="CXB45" i="18"/>
  <c r="CXC45" i="18" s="1"/>
  <c r="CXB48" i="18"/>
  <c r="CXC48" i="18" s="1"/>
  <c r="CXB51" i="18"/>
  <c r="CXC51" i="18" s="1"/>
  <c r="CXB59" i="18"/>
  <c r="CXC59" i="18" s="1"/>
  <c r="CXB34" i="18"/>
  <c r="CXC34" i="18" s="1"/>
  <c r="CXB8" i="18"/>
  <c r="CXC8" i="18" s="1"/>
  <c r="CXB9" i="18"/>
  <c r="CXC9" i="18" s="1"/>
  <c r="CXB11" i="18"/>
  <c r="CXC11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5" i="18"/>
  <c r="CWU35" i="18" s="1"/>
  <c r="CWT36" i="18"/>
  <c r="CWU36" i="18" s="1"/>
  <c r="CWT37" i="18"/>
  <c r="CWU37" i="18" s="1"/>
  <c r="CWT38" i="18"/>
  <c r="CWU38" i="18" s="1"/>
  <c r="CWT39" i="18"/>
  <c r="CWU39" i="18" s="1"/>
  <c r="CWT41" i="18"/>
  <c r="CWU41" i="18" s="1"/>
  <c r="CWT42" i="18"/>
  <c r="CWU42" i="18" s="1"/>
  <c r="CWT43" i="18"/>
  <c r="CWU43" i="18" s="1"/>
  <c r="CWT44" i="18"/>
  <c r="CWU44" i="18" s="1"/>
  <c r="CWT45" i="18"/>
  <c r="CWU45" i="18" s="1"/>
  <c r="CWT48" i="18"/>
  <c r="CWU48" i="18" s="1"/>
  <c r="CWT51" i="18"/>
  <c r="CWU51" i="18" s="1"/>
  <c r="CWT59" i="18"/>
  <c r="CWU59" i="18" s="1"/>
  <c r="CWT34" i="18"/>
  <c r="CWU34" i="18" s="1"/>
  <c r="CWT8" i="18"/>
  <c r="CWU8" i="18" s="1"/>
  <c r="CWT9" i="18"/>
  <c r="CWU9" i="18" s="1"/>
  <c r="CWT11" i="18"/>
  <c r="CWU11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5" i="18"/>
  <c r="CWM35" i="18" s="1"/>
  <c r="CWL36" i="18"/>
  <c r="CWM36" i="18" s="1"/>
  <c r="CWL37" i="18"/>
  <c r="CWM37" i="18" s="1"/>
  <c r="CWL38" i="18"/>
  <c r="CWM38" i="18" s="1"/>
  <c r="CWL39" i="18"/>
  <c r="CWM39" i="18" s="1"/>
  <c r="CWL41" i="18"/>
  <c r="CWM41" i="18" s="1"/>
  <c r="CWL42" i="18"/>
  <c r="CWM42" i="18" s="1"/>
  <c r="CWL43" i="18"/>
  <c r="CWM43" i="18" s="1"/>
  <c r="CWL44" i="18"/>
  <c r="CWM44" i="18" s="1"/>
  <c r="CWL45" i="18"/>
  <c r="CWM45" i="18" s="1"/>
  <c r="CWL48" i="18"/>
  <c r="CWM48" i="18" s="1"/>
  <c r="CWL51" i="18"/>
  <c r="CWM51" i="18" s="1"/>
  <c r="CWL59" i="18"/>
  <c r="CWM59" i="18" s="1"/>
  <c r="CWL34" i="18"/>
  <c r="CWM34" i="18" s="1"/>
  <c r="CWL8" i="18"/>
  <c r="CWM8" i="18" s="1"/>
  <c r="CWL9" i="18"/>
  <c r="CWM9" i="18" s="1"/>
  <c r="CWL11" i="18"/>
  <c r="CWM11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7" i="18"/>
  <c r="CWM7" i="18" s="1"/>
  <c r="CWD35" i="18" l="1"/>
  <c r="CWE35" i="18" s="1"/>
  <c r="CWD36" i="18"/>
  <c r="CWE36" i="18" s="1"/>
  <c r="CWD37" i="18"/>
  <c r="CWE37" i="18" s="1"/>
  <c r="CWD38" i="18"/>
  <c r="CWE38" i="18" s="1"/>
  <c r="CWD39" i="18"/>
  <c r="CWE39" i="18" s="1"/>
  <c r="CWD41" i="18"/>
  <c r="CWE41" i="18" s="1"/>
  <c r="CWD42" i="18"/>
  <c r="CWE42" i="18" s="1"/>
  <c r="CWD43" i="18"/>
  <c r="CWE43" i="18" s="1"/>
  <c r="CWD44" i="18"/>
  <c r="CWE44" i="18" s="1"/>
  <c r="CWD45" i="18"/>
  <c r="CWE45" i="18" s="1"/>
  <c r="CWD48" i="18"/>
  <c r="CWE48" i="18" s="1"/>
  <c r="CWD51" i="18"/>
  <c r="CWE51" i="18" s="1"/>
  <c r="CWD59" i="18"/>
  <c r="CWE59" i="18" s="1"/>
  <c r="CWD34" i="18"/>
  <c r="CWE34" i="18" s="1"/>
  <c r="CWD8" i="18"/>
  <c r="CWE8" i="18" s="1"/>
  <c r="CWD9" i="18"/>
  <c r="CWE9" i="18" s="1"/>
  <c r="CWD11" i="18"/>
  <c r="CWE11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5" i="17"/>
  <c r="CVV35" i="18"/>
  <c r="CVW35" i="18" s="1"/>
  <c r="CVV36" i="18"/>
  <c r="CVW36" i="18" s="1"/>
  <c r="CVV37" i="18"/>
  <c r="CVW37" i="18" s="1"/>
  <c r="CVV38" i="18"/>
  <c r="CVW38" i="18" s="1"/>
  <c r="CVV39" i="18"/>
  <c r="CVW39" i="18" s="1"/>
  <c r="CVV41" i="18"/>
  <c r="CVW41" i="18" s="1"/>
  <c r="CVV42" i="18"/>
  <c r="CVW42" i="18" s="1"/>
  <c r="CVV43" i="18"/>
  <c r="CVW43" i="18" s="1"/>
  <c r="CVV44" i="18"/>
  <c r="CVW44" i="18" s="1"/>
  <c r="CVV45" i="18"/>
  <c r="CVW45" i="18" s="1"/>
  <c r="CVV48" i="18"/>
  <c r="CVW48" i="18" s="1"/>
  <c r="CVV51" i="18"/>
  <c r="CVW51" i="18" s="1"/>
  <c r="CVV59" i="18"/>
  <c r="CVW59" i="18" s="1"/>
  <c r="CVV34" i="18"/>
  <c r="CVW34" i="18" s="1"/>
  <c r="CVV8" i="18"/>
  <c r="CVW8" i="18" s="1"/>
  <c r="CVV9" i="18"/>
  <c r="CVW9" i="18" s="1"/>
  <c r="CVV11" i="18"/>
  <c r="CVW11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5" i="18"/>
  <c r="CVO35" i="18" s="1"/>
  <c r="CVN36" i="18"/>
  <c r="CVO36" i="18" s="1"/>
  <c r="CVN37" i="18"/>
  <c r="CVO37" i="18" s="1"/>
  <c r="CVN38" i="18"/>
  <c r="CVO38" i="18" s="1"/>
  <c r="CVN39" i="18"/>
  <c r="CVO39" i="18" s="1"/>
  <c r="CVN41" i="18"/>
  <c r="CVO41" i="18" s="1"/>
  <c r="CVN42" i="18"/>
  <c r="CVO42" i="18" s="1"/>
  <c r="CVN43" i="18"/>
  <c r="CVO43" i="18" s="1"/>
  <c r="CVN44" i="18"/>
  <c r="CVO44" i="18" s="1"/>
  <c r="CVN45" i="18"/>
  <c r="CVO45" i="18" s="1"/>
  <c r="CVN48" i="18"/>
  <c r="CVO48" i="18" s="1"/>
  <c r="CVN51" i="18"/>
  <c r="CVO51" i="18" s="1"/>
  <c r="CVN59" i="18"/>
  <c r="CVO59" i="18" s="1"/>
  <c r="CVN34" i="18"/>
  <c r="CVO34" i="18" s="1"/>
  <c r="CVN8" i="18"/>
  <c r="CVO8" i="18" s="1"/>
  <c r="CVN9" i="18"/>
  <c r="CVO9" i="18" s="1"/>
  <c r="CVN11" i="18"/>
  <c r="CVO11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5" i="18"/>
  <c r="CVG35" i="18" s="1"/>
  <c r="CVF36" i="18"/>
  <c r="CVG36" i="18" s="1"/>
  <c r="CVF37" i="18"/>
  <c r="CVG37" i="18" s="1"/>
  <c r="CVF38" i="18"/>
  <c r="CVG38" i="18" s="1"/>
  <c r="CVF39" i="18"/>
  <c r="CVG39" i="18" s="1"/>
  <c r="CVF41" i="18"/>
  <c r="CVG41" i="18" s="1"/>
  <c r="CVF42" i="18"/>
  <c r="CVG42" i="18" s="1"/>
  <c r="CVF43" i="18"/>
  <c r="CVG43" i="18" s="1"/>
  <c r="CVF44" i="18"/>
  <c r="CVG44" i="18" s="1"/>
  <c r="CVF45" i="18"/>
  <c r="CVG45" i="18" s="1"/>
  <c r="CVF48" i="18"/>
  <c r="CVG48" i="18" s="1"/>
  <c r="CVF51" i="18"/>
  <c r="CVG51" i="18" s="1"/>
  <c r="CVF59" i="18"/>
  <c r="CVG59" i="18" s="1"/>
  <c r="CVF34" i="18"/>
  <c r="CVG34" i="18" s="1"/>
  <c r="CVF8" i="18"/>
  <c r="CVG8" i="18" s="1"/>
  <c r="CVF9" i="18"/>
  <c r="CVG9" i="18" s="1"/>
  <c r="CVF11" i="18"/>
  <c r="CVG11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7" i="18"/>
  <c r="CVG7" i="18" s="1"/>
  <c r="CUV16" i="18"/>
  <c r="CUX16" i="18" s="1"/>
  <c r="CUY16" i="18" s="1"/>
  <c r="CUX35" i="18"/>
  <c r="CUY35" i="18" s="1"/>
  <c r="CUX36" i="18"/>
  <c r="CUY36" i="18" s="1"/>
  <c r="CUX37" i="18"/>
  <c r="CUY37" i="18" s="1"/>
  <c r="CUX38" i="18"/>
  <c r="CUY38" i="18" s="1"/>
  <c r="CUX39" i="18"/>
  <c r="CUY39" i="18" s="1"/>
  <c r="CUX41" i="18"/>
  <c r="CUY41" i="18" s="1"/>
  <c r="CUX42" i="18"/>
  <c r="CUY42" i="18" s="1"/>
  <c r="CUX43" i="18"/>
  <c r="CUY43" i="18" s="1"/>
  <c r="CUX44" i="18"/>
  <c r="CUY44" i="18" s="1"/>
  <c r="CUX45" i="18"/>
  <c r="CUY45" i="18" s="1"/>
  <c r="CUX48" i="18"/>
  <c r="CUY48" i="18" s="1"/>
  <c r="CUX51" i="18"/>
  <c r="CUY51" i="18" s="1"/>
  <c r="CUX59" i="18"/>
  <c r="CUY59" i="18" s="1"/>
  <c r="CUX34" i="18"/>
  <c r="CUY34" i="18" s="1"/>
  <c r="CUX8" i="18"/>
  <c r="CUY8" i="18" s="1"/>
  <c r="CUX9" i="18"/>
  <c r="CUY9" i="18" s="1"/>
  <c r="CUX11" i="18"/>
  <c r="CUY11" i="18" s="1"/>
  <c r="CUX12" i="18"/>
  <c r="CUY12" i="18" s="1"/>
  <c r="CUX13" i="18"/>
  <c r="CUY13" i="18" s="1"/>
  <c r="CUX14" i="18"/>
  <c r="CUY14" i="18" s="1"/>
  <c r="CUX15" i="18"/>
  <c r="CUY15" i="18" s="1"/>
  <c r="CUX17" i="18"/>
  <c r="CUY17" i="18" s="1"/>
  <c r="CUX18" i="18"/>
  <c r="CUY18" i="18" s="1"/>
  <c r="CUX19" i="18"/>
  <c r="CUY19" i="18" s="1"/>
  <c r="CUX20" i="18"/>
  <c r="CUY20" i="18" s="1"/>
  <c r="CUX21" i="18"/>
  <c r="CUY21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8" i="18"/>
  <c r="CUP38" i="18" s="1"/>
  <c r="CUQ38" i="18" s="1"/>
  <c r="CUL14" i="18"/>
  <c r="CUP14" i="18" s="1"/>
  <c r="CUQ14" i="18" s="1"/>
  <c r="CUP35" i="18"/>
  <c r="CUQ35" i="18" s="1"/>
  <c r="CUP36" i="18"/>
  <c r="CUQ36" i="18" s="1"/>
  <c r="CUP37" i="18"/>
  <c r="CUQ37" i="18" s="1"/>
  <c r="CUP39" i="18"/>
  <c r="CUQ39" i="18" s="1"/>
  <c r="CUP41" i="18"/>
  <c r="CUQ41" i="18" s="1"/>
  <c r="CUP42" i="18"/>
  <c r="CUQ42" i="18" s="1"/>
  <c r="CUP43" i="18"/>
  <c r="CUQ43" i="18" s="1"/>
  <c r="CUP44" i="18"/>
  <c r="CUQ44" i="18" s="1"/>
  <c r="CUP45" i="18"/>
  <c r="CUQ45" i="18" s="1"/>
  <c r="CUP48" i="18"/>
  <c r="CUQ48" i="18" s="1"/>
  <c r="CUP51" i="18"/>
  <c r="CUQ51" i="18" s="1"/>
  <c r="CUP59" i="18"/>
  <c r="CUQ59" i="18" s="1"/>
  <c r="CUP34" i="18"/>
  <c r="CUQ34" i="18" s="1"/>
  <c r="CUP8" i="18"/>
  <c r="CUQ8" i="18" s="1"/>
  <c r="CUP9" i="18"/>
  <c r="CUQ9" i="18" s="1"/>
  <c r="CUP11" i="18"/>
  <c r="CUQ11" i="18" s="1"/>
  <c r="CUP12" i="18"/>
  <c r="CUQ12" i="18" s="1"/>
  <c r="CUP13" i="18"/>
  <c r="CUQ13" i="18" s="1"/>
  <c r="CUP15" i="18"/>
  <c r="CUQ15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5" i="18"/>
  <c r="CUI35" i="18" s="1"/>
  <c r="CUH36" i="18"/>
  <c r="CUI36" i="18" s="1"/>
  <c r="CUH37" i="18"/>
  <c r="CUI37" i="18" s="1"/>
  <c r="CUH38" i="18"/>
  <c r="CUI38" i="18" s="1"/>
  <c r="CUH39" i="18"/>
  <c r="CUI39" i="18" s="1"/>
  <c r="CUH41" i="18"/>
  <c r="CUI41" i="18" s="1"/>
  <c r="CUH42" i="18"/>
  <c r="CUI42" i="18" s="1"/>
  <c r="CUH43" i="18"/>
  <c r="CUI43" i="18" s="1"/>
  <c r="CUH44" i="18"/>
  <c r="CUI44" i="18" s="1"/>
  <c r="CUH45" i="18"/>
  <c r="CUI45" i="18" s="1"/>
  <c r="CUH48" i="18"/>
  <c r="CUI48" i="18" s="1"/>
  <c r="CUH51" i="18"/>
  <c r="CUI51" i="18" s="1"/>
  <c r="CUH59" i="18"/>
  <c r="CUI59" i="18" s="1"/>
  <c r="CUH34" i="18"/>
  <c r="CUI34" i="18" s="1"/>
  <c r="CUH8" i="18"/>
  <c r="CUI8" i="18" s="1"/>
  <c r="CUH9" i="18"/>
  <c r="CUI9" i="18" s="1"/>
  <c r="CUH11" i="18"/>
  <c r="CUI11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5" i="18"/>
  <c r="CUA35" i="18" s="1"/>
  <c r="CTZ36" i="18"/>
  <c r="CUA36" i="18" s="1"/>
  <c r="CTZ37" i="18"/>
  <c r="CUA37" i="18" s="1"/>
  <c r="CTZ38" i="18"/>
  <c r="CUA38" i="18" s="1"/>
  <c r="CTZ39" i="18"/>
  <c r="CUA39" i="18" s="1"/>
  <c r="CTZ41" i="18"/>
  <c r="CUA41" i="18" s="1"/>
  <c r="CTZ42" i="18"/>
  <c r="CUA42" i="18" s="1"/>
  <c r="CTZ43" i="18"/>
  <c r="CUA43" i="18" s="1"/>
  <c r="CTZ44" i="18"/>
  <c r="CUA44" i="18" s="1"/>
  <c r="CTZ45" i="18"/>
  <c r="CUA45" i="18" s="1"/>
  <c r="CTZ48" i="18"/>
  <c r="CUA48" i="18" s="1"/>
  <c r="CTZ51" i="18"/>
  <c r="CUA51" i="18" s="1"/>
  <c r="CTZ59" i="18"/>
  <c r="CUA59" i="18" s="1"/>
  <c r="CTZ34" i="18"/>
  <c r="CUA34" i="18" s="1"/>
  <c r="CTZ8" i="18"/>
  <c r="CUA8" i="18" s="1"/>
  <c r="CTZ9" i="18"/>
  <c r="CUA9" i="18" s="1"/>
  <c r="CTZ11" i="18"/>
  <c r="CUA11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UA19" i="18"/>
  <c r="CTZ20" i="18"/>
  <c r="CUA20" i="18" s="1"/>
  <c r="CTZ21" i="18"/>
  <c r="CUA21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W30" i="17"/>
  <c r="Q32" i="17"/>
  <c r="Q34" i="17"/>
  <c r="Q35" i="17"/>
  <c r="Q37" i="17"/>
  <c r="Q38" i="17"/>
  <c r="Q41" i="17"/>
  <c r="Q43" i="17"/>
  <c r="Q46" i="17"/>
  <c r="Q49" i="17"/>
  <c r="Q50" i="17"/>
  <c r="Q52" i="17"/>
  <c r="Q54" i="17"/>
  <c r="W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7" i="17"/>
  <c r="Q69" i="17"/>
  <c r="Q70" i="17"/>
  <c r="Q71" i="17"/>
  <c r="Q73" i="17"/>
  <c r="S73" i="17"/>
  <c r="CTN9" i="18"/>
  <c r="CTR9" i="18" s="1"/>
  <c r="CTS9" i="18" s="1"/>
  <c r="CTR35" i="18"/>
  <c r="CTS35" i="18" s="1"/>
  <c r="CTR36" i="18"/>
  <c r="CTS36" i="18" s="1"/>
  <c r="CTR37" i="18"/>
  <c r="CTS37" i="18" s="1"/>
  <c r="CTR38" i="18"/>
  <c r="CTS38" i="18" s="1"/>
  <c r="CTR39" i="18"/>
  <c r="CTS39" i="18" s="1"/>
  <c r="CTR41" i="18"/>
  <c r="CTS41" i="18" s="1"/>
  <c r="CTR42" i="18"/>
  <c r="CTS42" i="18" s="1"/>
  <c r="CTR43" i="18"/>
  <c r="CTS43" i="18" s="1"/>
  <c r="CTR44" i="18"/>
  <c r="CTS44" i="18" s="1"/>
  <c r="CTR45" i="18"/>
  <c r="CTS45" i="18" s="1"/>
  <c r="CTR48" i="18"/>
  <c r="CTS48" i="18" s="1"/>
  <c r="CTR51" i="18"/>
  <c r="CTS51" i="18" s="1"/>
  <c r="CTR59" i="18"/>
  <c r="CTS59" i="18" s="1"/>
  <c r="CTR34" i="18"/>
  <c r="CTS34" i="18" s="1"/>
  <c r="CTR8" i="18"/>
  <c r="CTS8" i="18" s="1"/>
  <c r="CTR11" i="18"/>
  <c r="CTS11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5" i="18"/>
  <c r="CTK35" i="18" s="1"/>
  <c r="CTJ36" i="18"/>
  <c r="CTK36" i="18" s="1"/>
  <c r="CTJ37" i="18"/>
  <c r="CTK37" i="18" s="1"/>
  <c r="CTJ38" i="18"/>
  <c r="CTK38" i="18" s="1"/>
  <c r="CTJ39" i="18"/>
  <c r="CTK39" i="18" s="1"/>
  <c r="CTJ41" i="18"/>
  <c r="CTK41" i="18" s="1"/>
  <c r="CTJ42" i="18"/>
  <c r="CTK42" i="18" s="1"/>
  <c r="CTJ43" i="18"/>
  <c r="CTK43" i="18" s="1"/>
  <c r="CTJ44" i="18"/>
  <c r="CTK44" i="18" s="1"/>
  <c r="CTJ45" i="18"/>
  <c r="CTK45" i="18" s="1"/>
  <c r="CTJ48" i="18"/>
  <c r="CTK48" i="18" s="1"/>
  <c r="CTJ51" i="18"/>
  <c r="CTK51" i="18" s="1"/>
  <c r="CTJ59" i="18"/>
  <c r="CTK59" i="18" s="1"/>
  <c r="CTJ34" i="18"/>
  <c r="CTK34" i="18" s="1"/>
  <c r="CTJ8" i="18"/>
  <c r="CTK8" i="18" s="1"/>
  <c r="CTJ9" i="18"/>
  <c r="CTK9" i="18" s="1"/>
  <c r="CTJ11" i="18"/>
  <c r="CTK11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5" i="18"/>
  <c r="CTC35" i="18" s="1"/>
  <c r="CTB36" i="18"/>
  <c r="CTC36" i="18" s="1"/>
  <c r="CTB37" i="18"/>
  <c r="CTC37" i="18" s="1"/>
  <c r="CTB38" i="18"/>
  <c r="CTC38" i="18" s="1"/>
  <c r="CTB39" i="18"/>
  <c r="CTC39" i="18" s="1"/>
  <c r="CTB41" i="18"/>
  <c r="CTC41" i="18" s="1"/>
  <c r="CTB42" i="18"/>
  <c r="CTC42" i="18" s="1"/>
  <c r="CTB43" i="18"/>
  <c r="CTC43" i="18" s="1"/>
  <c r="CTB44" i="18"/>
  <c r="CTC44" i="18" s="1"/>
  <c r="CTB45" i="18"/>
  <c r="CTC45" i="18" s="1"/>
  <c r="CTB48" i="18"/>
  <c r="CTC48" i="18" s="1"/>
  <c r="CTB51" i="18"/>
  <c r="CTC51" i="18" s="1"/>
  <c r="CTB59" i="18"/>
  <c r="CTC59" i="18" s="1"/>
  <c r="CTB34" i="18"/>
  <c r="CTC34" i="18" s="1"/>
  <c r="CTB8" i="18"/>
  <c r="CTC8" i="18" s="1"/>
  <c r="CTB9" i="18"/>
  <c r="CTC9" i="18" s="1"/>
  <c r="CTB11" i="18"/>
  <c r="CTC11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5" i="18"/>
  <c r="CSU35" i="18" s="1"/>
  <c r="CST36" i="18"/>
  <c r="CSU36" i="18" s="1"/>
  <c r="CST37" i="18"/>
  <c r="CSU37" i="18" s="1"/>
  <c r="CST38" i="18"/>
  <c r="CSU38" i="18" s="1"/>
  <c r="CST39" i="18"/>
  <c r="CSU39" i="18" s="1"/>
  <c r="CST41" i="18"/>
  <c r="CSU41" i="18" s="1"/>
  <c r="CST42" i="18"/>
  <c r="CSU42" i="18" s="1"/>
  <c r="CST43" i="18"/>
  <c r="CSU43" i="18" s="1"/>
  <c r="CST44" i="18"/>
  <c r="CSU44" i="18" s="1"/>
  <c r="CST45" i="18"/>
  <c r="CSU45" i="18" s="1"/>
  <c r="CST48" i="18"/>
  <c r="CSU48" i="18" s="1"/>
  <c r="CST51" i="18"/>
  <c r="CSU51" i="18" s="1"/>
  <c r="CST59" i="18"/>
  <c r="CSU59" i="18" s="1"/>
  <c r="CST34" i="18"/>
  <c r="CSU34" i="18" s="1"/>
  <c r="CST8" i="18"/>
  <c r="CSU8" i="18" s="1"/>
  <c r="CST9" i="18"/>
  <c r="CSU9" i="18" s="1"/>
  <c r="CST11" i="18"/>
  <c r="CSU11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U30" i="17" l="1"/>
  <c r="CSL44" i="18"/>
  <c r="CSM44" i="18" s="1"/>
  <c r="CSL8" i="18"/>
  <c r="CSM8" i="18" s="1"/>
  <c r="CSL9" i="18"/>
  <c r="CSM9" i="18" s="1"/>
  <c r="CSL11" i="18"/>
  <c r="CSM11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5" i="18"/>
  <c r="CSE35" i="18" s="1"/>
  <c r="CSD36" i="18"/>
  <c r="CSE36" i="18" s="1"/>
  <c r="CSD37" i="18"/>
  <c r="CSE37" i="18" s="1"/>
  <c r="CSD38" i="18"/>
  <c r="CSE38" i="18" s="1"/>
  <c r="CSD39" i="18"/>
  <c r="CSE39" i="18" s="1"/>
  <c r="CSD41" i="18"/>
  <c r="CSE41" i="18" s="1"/>
  <c r="CSD42" i="18"/>
  <c r="CSE42" i="18" s="1"/>
  <c r="CSD43" i="18"/>
  <c r="CSE43" i="18" s="1"/>
  <c r="CSD44" i="18"/>
  <c r="CSE44" i="18" s="1"/>
  <c r="CSD45" i="18"/>
  <c r="CSE45" i="18" s="1"/>
  <c r="CSD48" i="18"/>
  <c r="CSE48" i="18" s="1"/>
  <c r="CSD51" i="18"/>
  <c r="CSE51" i="18" s="1"/>
  <c r="CSD59" i="18"/>
  <c r="CSE59" i="18" s="1"/>
  <c r="CSD34" i="18"/>
  <c r="CSE34" i="18" s="1"/>
  <c r="CSD8" i="18"/>
  <c r="CSE8" i="18" s="1"/>
  <c r="CSD9" i="18"/>
  <c r="CSE9" i="18" s="1"/>
  <c r="CSD11" i="18"/>
  <c r="CSE11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7" i="18"/>
  <c r="CSE7" i="18" s="1"/>
  <c r="CRV35" i="18"/>
  <c r="CRW35" i="18" s="1"/>
  <c r="CRV36" i="18"/>
  <c r="CRW36" i="18" s="1"/>
  <c r="CRV37" i="18"/>
  <c r="CRW37" i="18" s="1"/>
  <c r="CRV38" i="18"/>
  <c r="CRW38" i="18" s="1"/>
  <c r="CRV39" i="18"/>
  <c r="CRW39" i="18" s="1"/>
  <c r="CRV41" i="18"/>
  <c r="CRW41" i="18" s="1"/>
  <c r="CRV42" i="18"/>
  <c r="CRW42" i="18" s="1"/>
  <c r="CRV43" i="18"/>
  <c r="CRW43" i="18" s="1"/>
  <c r="CRV44" i="18"/>
  <c r="CRW44" i="18" s="1"/>
  <c r="CRV45" i="18"/>
  <c r="CRW45" i="18" s="1"/>
  <c r="CRV48" i="18"/>
  <c r="CRW48" i="18" s="1"/>
  <c r="CRV51" i="18"/>
  <c r="CRW51" i="18" s="1"/>
  <c r="CRV59" i="18"/>
  <c r="CRW59" i="18" s="1"/>
  <c r="CRV34" i="18"/>
  <c r="CRW34" i="18" s="1"/>
  <c r="CRV8" i="18"/>
  <c r="CRW8" i="18" s="1"/>
  <c r="CRV9" i="18"/>
  <c r="CRW9" i="18" s="1"/>
  <c r="CRV11" i="18"/>
  <c r="CRW11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5" i="18" l="1"/>
  <c r="CRO35" i="18" s="1"/>
  <c r="CRN36" i="18"/>
  <c r="CRO36" i="18" s="1"/>
  <c r="CRN37" i="18"/>
  <c r="CRO37" i="18" s="1"/>
  <c r="CRN38" i="18"/>
  <c r="CRO38" i="18" s="1"/>
  <c r="CRN39" i="18"/>
  <c r="CRO39" i="18" s="1"/>
  <c r="CRN41" i="18"/>
  <c r="CRO41" i="18" s="1"/>
  <c r="CRN42" i="18"/>
  <c r="CRO42" i="18" s="1"/>
  <c r="CRN43" i="18"/>
  <c r="CRO43" i="18" s="1"/>
  <c r="CRN44" i="18"/>
  <c r="CRO44" i="18" s="1"/>
  <c r="CRN45" i="18"/>
  <c r="CRO45" i="18" s="1"/>
  <c r="CRN48" i="18"/>
  <c r="CRO48" i="18" s="1"/>
  <c r="CRN51" i="18"/>
  <c r="CRO51" i="18" s="1"/>
  <c r="CRN59" i="18"/>
  <c r="CRO59" i="18" s="1"/>
  <c r="CRN34" i="18"/>
  <c r="CRO34" i="18" s="1"/>
  <c r="CRN8" i="18"/>
  <c r="CRO8" i="18" s="1"/>
  <c r="CRN9" i="18"/>
  <c r="CRO9" i="18" s="1"/>
  <c r="CRN11" i="18"/>
  <c r="CRO11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5" i="18"/>
  <c r="CRG35" i="18" s="1"/>
  <c r="CRF36" i="18"/>
  <c r="CRG36" i="18" s="1"/>
  <c r="CRF37" i="18"/>
  <c r="CRG37" i="18" s="1"/>
  <c r="CRF38" i="18"/>
  <c r="CRG38" i="18" s="1"/>
  <c r="CRF39" i="18"/>
  <c r="CRG39" i="18" s="1"/>
  <c r="CRF41" i="18"/>
  <c r="CRG41" i="18" s="1"/>
  <c r="CRF42" i="18"/>
  <c r="CRG42" i="18" s="1"/>
  <c r="CRF43" i="18"/>
  <c r="CRG43" i="18" s="1"/>
  <c r="CRF44" i="18"/>
  <c r="CRG44" i="18" s="1"/>
  <c r="CRF45" i="18"/>
  <c r="CRG45" i="18" s="1"/>
  <c r="CRF48" i="18"/>
  <c r="CRG48" i="18" s="1"/>
  <c r="CRF51" i="18"/>
  <c r="CRG51" i="18" s="1"/>
  <c r="CRF59" i="18"/>
  <c r="CRG59" i="18" s="1"/>
  <c r="CRF34" i="18"/>
  <c r="CRG34" i="18" s="1"/>
  <c r="CRF21" i="18"/>
  <c r="CRG21" i="18" s="1"/>
  <c r="CRF8" i="18"/>
  <c r="CRG8" i="18" s="1"/>
  <c r="CRF9" i="18"/>
  <c r="CRG9" i="18" s="1"/>
  <c r="CRF11" i="18"/>
  <c r="CRG11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5" i="18"/>
  <c r="CQY35" i="18" s="1"/>
  <c r="CQX36" i="18"/>
  <c r="CQY36" i="18" s="1"/>
  <c r="CQX37" i="18"/>
  <c r="CQY37" i="18" s="1"/>
  <c r="CQX38" i="18"/>
  <c r="CQY38" i="18" s="1"/>
  <c r="CQX39" i="18"/>
  <c r="CQY39" i="18" s="1"/>
  <c r="CQX41" i="18"/>
  <c r="CQY41" i="18" s="1"/>
  <c r="CQX42" i="18"/>
  <c r="CQY42" i="18" s="1"/>
  <c r="CQX43" i="18"/>
  <c r="CQY43" i="18" s="1"/>
  <c r="CQX44" i="18"/>
  <c r="CQY44" i="18" s="1"/>
  <c r="CQX45" i="18"/>
  <c r="CQY45" i="18" s="1"/>
  <c r="CQX48" i="18"/>
  <c r="CQY48" i="18" s="1"/>
  <c r="CQX51" i="18"/>
  <c r="CQY51" i="18" s="1"/>
  <c r="CQX59" i="18"/>
  <c r="CQY59" i="18" s="1"/>
  <c r="CQX34" i="18"/>
  <c r="CQY34" i="18" s="1"/>
  <c r="CQX8" i="18"/>
  <c r="CQY8" i="18" s="1"/>
  <c r="CQX9" i="18"/>
  <c r="CQY9" i="18" s="1"/>
  <c r="CQX11" i="18"/>
  <c r="CQY11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5" i="18"/>
  <c r="CQQ35" i="18" s="1"/>
  <c r="CQP36" i="18"/>
  <c r="CQQ36" i="18" s="1"/>
  <c r="CQP37" i="18"/>
  <c r="CQQ37" i="18" s="1"/>
  <c r="CQP38" i="18"/>
  <c r="CQQ38" i="18" s="1"/>
  <c r="CQP39" i="18"/>
  <c r="CQQ39" i="18" s="1"/>
  <c r="CQP41" i="18"/>
  <c r="CQQ41" i="18" s="1"/>
  <c r="CQP42" i="18"/>
  <c r="CQQ42" i="18" s="1"/>
  <c r="CQP43" i="18"/>
  <c r="CQQ43" i="18" s="1"/>
  <c r="CQP44" i="18"/>
  <c r="CQQ44" i="18" s="1"/>
  <c r="CQP45" i="18"/>
  <c r="CQQ45" i="18" s="1"/>
  <c r="CQP48" i="18"/>
  <c r="CQQ48" i="18" s="1"/>
  <c r="CQP51" i="18"/>
  <c r="CQQ51" i="18" s="1"/>
  <c r="CQP59" i="18"/>
  <c r="CQQ59" i="18" s="1"/>
  <c r="CQP34" i="18"/>
  <c r="CQQ34" i="18" s="1"/>
  <c r="CQP8" i="18"/>
  <c r="CQQ8" i="18" s="1"/>
  <c r="CQP9" i="18"/>
  <c r="CQQ9" i="18" s="1"/>
  <c r="CQP11" i="18"/>
  <c r="CQQ11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7" i="18"/>
  <c r="CQQ7" i="18" s="1"/>
  <c r="CQH35" i="18"/>
  <c r="CQI35" i="18" s="1"/>
  <c r="CQH36" i="18"/>
  <c r="CQI36" i="18" s="1"/>
  <c r="CQH37" i="18"/>
  <c r="CQI37" i="18" s="1"/>
  <c r="CQH38" i="18"/>
  <c r="CQI38" i="18" s="1"/>
  <c r="CQH39" i="18"/>
  <c r="CQI39" i="18" s="1"/>
  <c r="CQH41" i="18"/>
  <c r="CQI41" i="18" s="1"/>
  <c r="CQH42" i="18"/>
  <c r="CQI42" i="18" s="1"/>
  <c r="CQH43" i="18"/>
  <c r="CQI43" i="18" s="1"/>
  <c r="CQH44" i="18"/>
  <c r="CQI44" i="18" s="1"/>
  <c r="CQH45" i="18"/>
  <c r="CQI45" i="18" s="1"/>
  <c r="CQH48" i="18"/>
  <c r="CQI48" i="18" s="1"/>
  <c r="CQH51" i="18"/>
  <c r="CQI51" i="18" s="1"/>
  <c r="CQH59" i="18"/>
  <c r="CQI59" i="18" s="1"/>
  <c r="CQH34" i="18"/>
  <c r="CQI34" i="18" s="1"/>
  <c r="CQH8" i="18"/>
  <c r="CQI8" i="18" s="1"/>
  <c r="CQH9" i="18"/>
  <c r="CQI9" i="18" s="1"/>
  <c r="CQH11" i="18"/>
  <c r="CQI11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7" i="18"/>
  <c r="CQI7" i="18" s="1"/>
  <c r="P1" i="22" l="1"/>
  <c r="CPZ35" i="18"/>
  <c r="CQA35" i="18" s="1"/>
  <c r="CPZ36" i="18"/>
  <c r="CQA36" i="18" s="1"/>
  <c r="CPZ37" i="18"/>
  <c r="CQA37" i="18" s="1"/>
  <c r="CPZ38" i="18"/>
  <c r="CQA38" i="18" s="1"/>
  <c r="CPZ39" i="18"/>
  <c r="CQA39" i="18" s="1"/>
  <c r="CPZ41" i="18"/>
  <c r="CQA41" i="18" s="1"/>
  <c r="CPZ42" i="18"/>
  <c r="CQA42" i="18" s="1"/>
  <c r="CPZ43" i="18"/>
  <c r="CQA43" i="18" s="1"/>
  <c r="CPZ44" i="18"/>
  <c r="CQA44" i="18" s="1"/>
  <c r="CPZ45" i="18"/>
  <c r="CQA45" i="18" s="1"/>
  <c r="CPZ48" i="18"/>
  <c r="CQA48" i="18" s="1"/>
  <c r="CPZ51" i="18"/>
  <c r="CQA51" i="18" s="1"/>
  <c r="CPZ59" i="18"/>
  <c r="CQA59" i="18" s="1"/>
  <c r="CPZ34" i="18"/>
  <c r="CQA34" i="18" s="1"/>
  <c r="CPZ8" i="18"/>
  <c r="CQA8" i="18" s="1"/>
  <c r="CPZ9" i="18"/>
  <c r="CQA9" i="18" s="1"/>
  <c r="CPZ11" i="18"/>
  <c r="CQA11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5" i="18"/>
  <c r="CPS35" i="18" s="1"/>
  <c r="CPR36" i="18"/>
  <c r="CPS36" i="18" s="1"/>
  <c r="CPR37" i="18"/>
  <c r="CPS37" i="18" s="1"/>
  <c r="CPR38" i="18"/>
  <c r="CPS38" i="18" s="1"/>
  <c r="CPR39" i="18"/>
  <c r="CPS39" i="18" s="1"/>
  <c r="CPR41" i="18"/>
  <c r="CPS41" i="18" s="1"/>
  <c r="CPR42" i="18"/>
  <c r="CPS42" i="18" s="1"/>
  <c r="CPR43" i="18"/>
  <c r="CPS43" i="18" s="1"/>
  <c r="CPR44" i="18"/>
  <c r="CPS44" i="18" s="1"/>
  <c r="CPR45" i="18"/>
  <c r="CPS45" i="18" s="1"/>
  <c r="CPR48" i="18"/>
  <c r="CPS48" i="18" s="1"/>
  <c r="CPR59" i="18"/>
  <c r="CPS59" i="18" s="1"/>
  <c r="CPR34" i="18"/>
  <c r="CPS34" i="18" s="1"/>
  <c r="CPR8" i="18"/>
  <c r="CPS8" i="18" s="1"/>
  <c r="CPR9" i="18"/>
  <c r="CPS9" i="18" s="1"/>
  <c r="CPR11" i="18"/>
  <c r="CPS11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5" i="18"/>
  <c r="CPK35" i="18" s="1"/>
  <c r="CPJ36" i="18"/>
  <c r="CPK36" i="18" s="1"/>
  <c r="CPJ37" i="18"/>
  <c r="CPK37" i="18" s="1"/>
  <c r="CPJ38" i="18"/>
  <c r="CPK38" i="18" s="1"/>
  <c r="CPJ39" i="18"/>
  <c r="CPK39" i="18" s="1"/>
  <c r="CPJ41" i="18"/>
  <c r="CPK41" i="18" s="1"/>
  <c r="CPJ42" i="18"/>
  <c r="CPK42" i="18" s="1"/>
  <c r="CPJ43" i="18"/>
  <c r="CPK43" i="18" s="1"/>
  <c r="CPJ44" i="18"/>
  <c r="CPK44" i="18" s="1"/>
  <c r="CPJ45" i="18"/>
  <c r="CPK45" i="18" s="1"/>
  <c r="CPJ48" i="18"/>
  <c r="CPK48" i="18" s="1"/>
  <c r="CPJ59" i="18"/>
  <c r="CPK59" i="18" s="1"/>
  <c r="CPJ34" i="18"/>
  <c r="CPK34" i="18" s="1"/>
  <c r="CPJ8" i="18"/>
  <c r="CPK8" i="18" s="1"/>
  <c r="CPJ9" i="18"/>
  <c r="CPK9" i="18" s="1"/>
  <c r="CPJ11" i="18"/>
  <c r="CPK11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5" i="18"/>
  <c r="CPC35" i="18" s="1"/>
  <c r="CPB36" i="18"/>
  <c r="CPC36" i="18" s="1"/>
  <c r="CPB37" i="18"/>
  <c r="CPC37" i="18" s="1"/>
  <c r="CPB38" i="18"/>
  <c r="CPC38" i="18" s="1"/>
  <c r="CPB39" i="18"/>
  <c r="CPC39" i="18" s="1"/>
  <c r="CPB41" i="18"/>
  <c r="CPC41" i="18" s="1"/>
  <c r="CPB42" i="18"/>
  <c r="CPC42" i="18" s="1"/>
  <c r="CPB43" i="18"/>
  <c r="CPC43" i="18" s="1"/>
  <c r="CPB44" i="18"/>
  <c r="CPC44" i="18" s="1"/>
  <c r="CPB45" i="18"/>
  <c r="CPC45" i="18" s="1"/>
  <c r="CPB48" i="18"/>
  <c r="CPC48" i="18" s="1"/>
  <c r="CPB59" i="18"/>
  <c r="CPC59" i="18" s="1"/>
  <c r="CPB34" i="18"/>
  <c r="CPC34" i="18" s="1"/>
  <c r="CPB8" i="18"/>
  <c r="CPC8" i="18" s="1"/>
  <c r="CPB9" i="18"/>
  <c r="CPC9" i="18" s="1"/>
  <c r="CPB11" i="18"/>
  <c r="CPC11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5" i="18"/>
  <c r="COU35" i="18" s="1"/>
  <c r="COT36" i="18"/>
  <c r="COU36" i="18" s="1"/>
  <c r="COT37" i="18"/>
  <c r="COU37" i="18" s="1"/>
  <c r="COT38" i="18"/>
  <c r="COU38" i="18" s="1"/>
  <c r="COT39" i="18"/>
  <c r="COU39" i="18" s="1"/>
  <c r="COT41" i="18"/>
  <c r="COU41" i="18" s="1"/>
  <c r="COT42" i="18"/>
  <c r="COU42" i="18" s="1"/>
  <c r="COT43" i="18"/>
  <c r="COU43" i="18" s="1"/>
  <c r="COT44" i="18"/>
  <c r="COU44" i="18" s="1"/>
  <c r="COT45" i="18"/>
  <c r="COU45" i="18" s="1"/>
  <c r="COT48" i="18"/>
  <c r="COU48" i="18" s="1"/>
  <c r="COT59" i="18"/>
  <c r="COU59" i="18" s="1"/>
  <c r="COT34" i="18"/>
  <c r="COU34" i="18" s="1"/>
  <c r="COT8" i="18"/>
  <c r="COU8" i="18" s="1"/>
  <c r="COT9" i="18"/>
  <c r="COU9" i="18" s="1"/>
  <c r="COT11" i="18"/>
  <c r="COU11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5" i="18"/>
  <c r="COM35" i="18" s="1"/>
  <c r="COL36" i="18"/>
  <c r="COM36" i="18" s="1"/>
  <c r="COL37" i="18"/>
  <c r="COM37" i="18" s="1"/>
  <c r="COL38" i="18"/>
  <c r="COM38" i="18" s="1"/>
  <c r="COL39" i="18"/>
  <c r="COM39" i="18" s="1"/>
  <c r="COL41" i="18"/>
  <c r="COM41" i="18" s="1"/>
  <c r="COL42" i="18"/>
  <c r="COM42" i="18" s="1"/>
  <c r="COL43" i="18"/>
  <c r="COM43" i="18" s="1"/>
  <c r="COL44" i="18"/>
  <c r="COM44" i="18" s="1"/>
  <c r="COL45" i="18"/>
  <c r="COM45" i="18" s="1"/>
  <c r="COL48" i="18"/>
  <c r="COM48" i="18" s="1"/>
  <c r="COL59" i="18"/>
  <c r="COM59" i="18" s="1"/>
  <c r="COL34" i="18"/>
  <c r="COM34" i="18" s="1"/>
  <c r="COL8" i="18"/>
  <c r="COM8" i="18" s="1"/>
  <c r="COL9" i="18"/>
  <c r="COM9" i="18" s="1"/>
  <c r="COL11" i="18"/>
  <c r="COM11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7" i="18"/>
  <c r="COM7" i="18" s="1"/>
  <c r="COD35" i="18"/>
  <c r="COE35" i="18" s="1"/>
  <c r="COD36" i="18"/>
  <c r="COE36" i="18" s="1"/>
  <c r="COD37" i="18"/>
  <c r="COE37" i="18" s="1"/>
  <c r="COD38" i="18"/>
  <c r="COE38" i="18" s="1"/>
  <c r="COD39" i="18"/>
  <c r="COE39" i="18" s="1"/>
  <c r="COD41" i="18"/>
  <c r="COE41" i="18" s="1"/>
  <c r="COD42" i="18"/>
  <c r="COE42" i="18" s="1"/>
  <c r="COD43" i="18"/>
  <c r="COE43" i="18" s="1"/>
  <c r="COD44" i="18"/>
  <c r="COE44" i="18" s="1"/>
  <c r="COD45" i="18"/>
  <c r="COE45" i="18" s="1"/>
  <c r="COD34" i="18"/>
  <c r="COE34" i="18" s="1"/>
  <c r="COD8" i="18"/>
  <c r="COE8" i="18" s="1"/>
  <c r="COD9" i="18"/>
  <c r="COE9" i="18" s="1"/>
  <c r="COD11" i="18"/>
  <c r="COE11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5" i="18"/>
  <c r="CNW35" i="18" s="1"/>
  <c r="CNV36" i="18"/>
  <c r="CNW36" i="18" s="1"/>
  <c r="CNV37" i="18"/>
  <c r="CNW37" i="18" s="1"/>
  <c r="CNV38" i="18"/>
  <c r="CNW38" i="18" s="1"/>
  <c r="CNV39" i="18"/>
  <c r="CNW39" i="18" s="1"/>
  <c r="CNV41" i="18"/>
  <c r="CNW41" i="18" s="1"/>
  <c r="CNV42" i="18"/>
  <c r="CNW42" i="18" s="1"/>
  <c r="CNV43" i="18"/>
  <c r="CNW43" i="18" s="1"/>
  <c r="CNV44" i="18"/>
  <c r="CNW44" i="18" s="1"/>
  <c r="CNV45" i="18"/>
  <c r="CNW45" i="18" s="1"/>
  <c r="CNV34" i="18"/>
  <c r="CNW34" i="18" s="1"/>
  <c r="CNV8" i="18"/>
  <c r="CNW8" i="18" s="1"/>
  <c r="CNV9" i="18"/>
  <c r="CNW9" i="18" s="1"/>
  <c r="CNV11" i="18"/>
  <c r="CNW11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5" i="18"/>
  <c r="CNO35" i="18" s="1"/>
  <c r="CNN36" i="18"/>
  <c r="CNO36" i="18" s="1"/>
  <c r="CNN37" i="18"/>
  <c r="CNO37" i="18" s="1"/>
  <c r="CNN38" i="18"/>
  <c r="CNO38" i="18" s="1"/>
  <c r="CNN39" i="18"/>
  <c r="CNO39" i="18" s="1"/>
  <c r="CNN41" i="18"/>
  <c r="CNO41" i="18" s="1"/>
  <c r="CNN42" i="18"/>
  <c r="CNO42" i="18" s="1"/>
  <c r="CNN43" i="18"/>
  <c r="CNO43" i="18" s="1"/>
  <c r="CNN44" i="18"/>
  <c r="CNO44" i="18" s="1"/>
  <c r="CNN45" i="18"/>
  <c r="CNO45" i="18" s="1"/>
  <c r="CNN34" i="18"/>
  <c r="CNO34" i="18" s="1"/>
  <c r="CNN8" i="18"/>
  <c r="CNO8" i="18" s="1"/>
  <c r="CNN9" i="18"/>
  <c r="CNO9" i="18" s="1"/>
  <c r="CNN11" i="18"/>
  <c r="CNO11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9" i="18"/>
  <c r="CNF9" i="18" s="1"/>
  <c r="CNG9" i="18" s="1"/>
  <c r="CNF35" i="18"/>
  <c r="CNG35" i="18" s="1"/>
  <c r="CNF36" i="18"/>
  <c r="CNG36" i="18" s="1"/>
  <c r="CNF37" i="18"/>
  <c r="CNG37" i="18" s="1"/>
  <c r="CNF38" i="18"/>
  <c r="CNG38" i="18" s="1"/>
  <c r="CNF39" i="18"/>
  <c r="CNG39" i="18" s="1"/>
  <c r="CNF41" i="18"/>
  <c r="CNG41" i="18" s="1"/>
  <c r="CNF42" i="18"/>
  <c r="CNG42" i="18" s="1"/>
  <c r="CNF43" i="18"/>
  <c r="CNG43" i="18" s="1"/>
  <c r="CNF44" i="18"/>
  <c r="CNG44" i="18" s="1"/>
  <c r="CNF45" i="18"/>
  <c r="CNG45" i="18" s="1"/>
  <c r="CNF34" i="18"/>
  <c r="CNG34" i="18" s="1"/>
  <c r="CNF8" i="18"/>
  <c r="CNG8" i="18" s="1"/>
  <c r="CNF11" i="18"/>
  <c r="CNG11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5" i="18"/>
  <c r="CMY35" i="18" s="1"/>
  <c r="CMX36" i="18"/>
  <c r="CMY36" i="18" s="1"/>
  <c r="CMX37" i="18"/>
  <c r="CMY37" i="18" s="1"/>
  <c r="CMX38" i="18"/>
  <c r="CMY38" i="18" s="1"/>
  <c r="CMX39" i="18"/>
  <c r="CMY39" i="18" s="1"/>
  <c r="CMX41" i="18"/>
  <c r="CMY41" i="18" s="1"/>
  <c r="CMX42" i="18"/>
  <c r="CMY42" i="18" s="1"/>
  <c r="CMX43" i="18"/>
  <c r="CMY43" i="18" s="1"/>
  <c r="CMX44" i="18"/>
  <c r="CMY44" i="18" s="1"/>
  <c r="CMX45" i="18"/>
  <c r="CMY45" i="18" s="1"/>
  <c r="CMX34" i="18"/>
  <c r="CMY34" i="18" s="1"/>
  <c r="CMX8" i="18"/>
  <c r="CMY8" i="18" s="1"/>
  <c r="CMX9" i="18"/>
  <c r="CMY9" i="18" s="1"/>
  <c r="CMX11" i="18"/>
  <c r="CMY11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5" i="18"/>
  <c r="CMQ35" i="18" s="1"/>
  <c r="CMP36" i="18"/>
  <c r="CMQ36" i="18" s="1"/>
  <c r="CMP37" i="18"/>
  <c r="CMQ37" i="18" s="1"/>
  <c r="CMP38" i="18"/>
  <c r="CMQ38" i="18" s="1"/>
  <c r="CMP39" i="18"/>
  <c r="CMQ39" i="18" s="1"/>
  <c r="CMP41" i="18"/>
  <c r="CMQ41" i="18" s="1"/>
  <c r="CMP42" i="18"/>
  <c r="CMQ42" i="18" s="1"/>
  <c r="CMP43" i="18"/>
  <c r="CMQ43" i="18" s="1"/>
  <c r="CMP44" i="18"/>
  <c r="CMQ44" i="18" s="1"/>
  <c r="CMP45" i="18"/>
  <c r="CMQ45" i="18" s="1"/>
  <c r="CMP34" i="18"/>
  <c r="CMQ34" i="18" s="1"/>
  <c r="CMP8" i="18"/>
  <c r="CMQ8" i="18" s="1"/>
  <c r="CMP9" i="18"/>
  <c r="CMQ9" i="18" s="1"/>
  <c r="CMP11" i="18"/>
  <c r="CMQ11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7" i="18"/>
  <c r="CMQ7" i="18" s="1"/>
  <c r="CNG7" i="15"/>
  <c r="CNH7" i="15" s="1"/>
  <c r="G34" i="23" l="1"/>
  <c r="H34" i="23" s="1"/>
  <c r="G35" i="23"/>
  <c r="H35" i="23" s="1"/>
  <c r="G36" i="23"/>
  <c r="H36" i="23" s="1"/>
  <c r="J17" i="15"/>
  <c r="J42" i="17"/>
  <c r="L42" i="17" s="1"/>
  <c r="M42" i="17" s="1"/>
  <c r="G30" i="25" s="1"/>
  <c r="J47" i="17"/>
  <c r="L47" i="17" s="1"/>
  <c r="M47" i="17" s="1"/>
  <c r="G33" i="25" s="1"/>
  <c r="J31" i="18"/>
  <c r="J51" i="18"/>
  <c r="J24" i="17"/>
  <c r="L24" i="17" s="1"/>
  <c r="J45" i="17"/>
  <c r="L45" i="17" s="1"/>
  <c r="M45" i="17" s="1"/>
  <c r="J65" i="17"/>
  <c r="J8" i="15"/>
  <c r="J46" i="17"/>
  <c r="L46" i="17" s="1"/>
  <c r="M46" i="17" s="1"/>
  <c r="G32" i="25" s="1"/>
  <c r="J66" i="17"/>
  <c r="J9" i="15"/>
  <c r="J41" i="17"/>
  <c r="L41" i="17" s="1"/>
  <c r="M41" i="17" s="1"/>
  <c r="G29" i="25" s="1"/>
  <c r="J32" i="18"/>
  <c r="J52" i="18"/>
  <c r="J25" i="17"/>
  <c r="J33" i="18"/>
  <c r="J53" i="18"/>
  <c r="J26" i="17"/>
  <c r="J67" i="17"/>
  <c r="J10" i="15"/>
  <c r="J49" i="17"/>
  <c r="L49" i="17" s="1"/>
  <c r="M49" i="17" s="1"/>
  <c r="G35" i="25" s="1"/>
  <c r="J18" i="15"/>
  <c r="J19" i="15"/>
  <c r="J61" i="17"/>
  <c r="J34" i="18"/>
  <c r="J54" i="18"/>
  <c r="J27" i="17"/>
  <c r="J48" i="17"/>
  <c r="L48" i="17" s="1"/>
  <c r="M48" i="17" s="1"/>
  <c r="G34" i="25" s="1"/>
  <c r="J68" i="17"/>
  <c r="J11" i="15"/>
  <c r="J69" i="17"/>
  <c r="J12" i="15"/>
  <c r="J50" i="17"/>
  <c r="L50" i="17" s="1"/>
  <c r="M50" i="17" s="1"/>
  <c r="G36" i="25" s="1"/>
  <c r="J70" i="17"/>
  <c r="J13" i="15"/>
  <c r="J51" i="17"/>
  <c r="L51" i="17" s="1"/>
  <c r="M51" i="17" s="1"/>
  <c r="G37" i="25" s="1"/>
  <c r="J71" i="17"/>
  <c r="J14" i="15"/>
  <c r="J12" i="18"/>
  <c r="J22" i="15"/>
  <c r="J63" i="17"/>
  <c r="J35" i="18"/>
  <c r="J55" i="18"/>
  <c r="L55" i="18" s="1"/>
  <c r="M55" i="18" s="1"/>
  <c r="G99" i="25" s="1"/>
  <c r="J28" i="17"/>
  <c r="J36" i="18"/>
  <c r="J56" i="18"/>
  <c r="L56" i="18" s="1"/>
  <c r="M56" i="18" s="1"/>
  <c r="G100" i="25" s="1"/>
  <c r="J29" i="17"/>
  <c r="J17" i="18"/>
  <c r="J37" i="18"/>
  <c r="J57" i="18"/>
  <c r="L57" i="18" s="1"/>
  <c r="M57" i="18" s="1"/>
  <c r="G101" i="25" s="1"/>
  <c r="J30" i="17"/>
  <c r="J38" i="18"/>
  <c r="J58" i="18"/>
  <c r="J31" i="17"/>
  <c r="J52" i="17"/>
  <c r="L52" i="17" s="1"/>
  <c r="M52" i="17" s="1"/>
  <c r="G38" i="25" s="1"/>
  <c r="J8" i="18"/>
  <c r="J15" i="15"/>
  <c r="J53" i="17"/>
  <c r="L53" i="17" s="1"/>
  <c r="M53" i="17" s="1"/>
  <c r="G39" i="25" s="1"/>
  <c r="J9" i="18"/>
  <c r="J16" i="15"/>
  <c r="J36" i="17"/>
  <c r="J23" i="15"/>
  <c r="J19" i="18"/>
  <c r="J39" i="18"/>
  <c r="J59" i="18"/>
  <c r="L59" i="18" s="1"/>
  <c r="M59" i="18" s="1"/>
  <c r="G103" i="25" s="1"/>
  <c r="J32" i="17"/>
  <c r="J40" i="18"/>
  <c r="J13" i="17"/>
  <c r="L13" i="17" s="1"/>
  <c r="J34" i="17"/>
  <c r="J54" i="17"/>
  <c r="L54" i="17" s="1"/>
  <c r="M54" i="17" s="1"/>
  <c r="G40" i="25" s="1"/>
  <c r="J10" i="18"/>
  <c r="J35" i="17"/>
  <c r="J55" i="17"/>
  <c r="J11" i="18"/>
  <c r="J56" i="17"/>
  <c r="J21" i="15"/>
  <c r="J41" i="18"/>
  <c r="J14" i="17"/>
  <c r="L14" i="17" s="1"/>
  <c r="J42" i="18"/>
  <c r="J15" i="17"/>
  <c r="L15" i="17" s="1"/>
  <c r="J43" i="18"/>
  <c r="J16" i="17"/>
  <c r="L16" i="17" s="1"/>
  <c r="J37" i="17"/>
  <c r="J57" i="17"/>
  <c r="J13" i="18"/>
  <c r="J20" i="15"/>
  <c r="J44" i="18"/>
  <c r="J17" i="17"/>
  <c r="L17" i="17" s="1"/>
  <c r="J38" i="17"/>
  <c r="L38" i="17" s="1"/>
  <c r="M38" i="17" s="1"/>
  <c r="G28" i="25" s="1"/>
  <c r="J58" i="17"/>
  <c r="J14" i="18"/>
  <c r="J45" i="18"/>
  <c r="J18" i="17"/>
  <c r="L18" i="17" s="1"/>
  <c r="J39" i="17"/>
  <c r="L39" i="17" s="1"/>
  <c r="M39" i="17" s="1"/>
  <c r="J59" i="17"/>
  <c r="J15" i="18"/>
  <c r="J46" i="18"/>
  <c r="J19" i="17"/>
  <c r="L19" i="17" s="1"/>
  <c r="J40" i="17"/>
  <c r="L40" i="17" s="1"/>
  <c r="M40" i="17" s="1"/>
  <c r="J60" i="17"/>
  <c r="J16" i="18"/>
  <c r="J47" i="18"/>
  <c r="J20" i="17"/>
  <c r="L20" i="17" s="1"/>
  <c r="J48" i="18"/>
  <c r="J21" i="17"/>
  <c r="L21" i="17" s="1"/>
  <c r="J62" i="17"/>
  <c r="J18" i="18"/>
  <c r="J43" i="17"/>
  <c r="L43" i="17" s="1"/>
  <c r="M43" i="17" s="1"/>
  <c r="G31" i="25" s="1"/>
  <c r="J49" i="18"/>
  <c r="J22" i="17"/>
  <c r="L22" i="17" s="1"/>
  <c r="J50" i="18"/>
  <c r="J23" i="17"/>
  <c r="L23" i="17" s="1"/>
  <c r="J44" i="17"/>
  <c r="L44" i="17" s="1"/>
  <c r="M44" i="17" s="1"/>
  <c r="J64" i="17"/>
  <c r="J20" i="18"/>
  <c r="J72" i="17"/>
  <c r="J73" i="17"/>
  <c r="L18" i="15"/>
  <c r="M18" i="15" s="1"/>
  <c r="G132" i="25" s="1"/>
  <c r="G33" i="23"/>
  <c r="H33" i="23" s="1"/>
  <c r="G26" i="23"/>
  <c r="H26" i="23" s="1"/>
  <c r="G27" i="23"/>
  <c r="H27" i="23" s="1"/>
  <c r="G28" i="23"/>
  <c r="H28" i="23" s="1"/>
  <c r="G29" i="23"/>
  <c r="H29" i="23" s="1"/>
  <c r="G30" i="23"/>
  <c r="H30" i="23" s="1"/>
  <c r="G32" i="23"/>
  <c r="H32" i="23" s="1"/>
  <c r="G31" i="23"/>
  <c r="H31" i="23" s="1"/>
  <c r="J21" i="18"/>
  <c r="J8" i="19"/>
  <c r="L8" i="19" s="1"/>
  <c r="M8" i="19" s="1"/>
  <c r="G106" i="25" s="1"/>
  <c r="J10" i="19"/>
  <c r="J9" i="19"/>
  <c r="L9" i="19" s="1"/>
  <c r="M9" i="19" s="1"/>
  <c r="G107" i="25" s="1"/>
  <c r="J11" i="19"/>
  <c r="J12" i="19"/>
  <c r="J13" i="19"/>
  <c r="G8" i="23"/>
  <c r="H8" i="23" s="1"/>
  <c r="G3" i="23"/>
  <c r="H3" i="23" s="1"/>
  <c r="G17" i="23"/>
  <c r="H17" i="23" s="1"/>
  <c r="G22" i="23"/>
  <c r="H22" i="23" s="1"/>
  <c r="G4" i="23"/>
  <c r="H4" i="23" s="1"/>
  <c r="G18" i="23"/>
  <c r="H18" i="23" s="1"/>
  <c r="G7" i="23"/>
  <c r="H7" i="23" s="1"/>
  <c r="G15" i="23"/>
  <c r="H15" i="23" s="1"/>
  <c r="G5" i="23"/>
  <c r="H5" i="23" s="1"/>
  <c r="G19" i="23"/>
  <c r="H19" i="23" s="1"/>
  <c r="G6" i="23"/>
  <c r="H6" i="23" s="1"/>
  <c r="G20" i="23"/>
  <c r="H20" i="23" s="1"/>
  <c r="G21" i="23"/>
  <c r="H21" i="23" s="1"/>
  <c r="G23" i="23"/>
  <c r="H23" i="23" s="1"/>
  <c r="G16" i="23"/>
  <c r="H16" i="23" s="1"/>
  <c r="G24" i="23"/>
  <c r="H24" i="23" s="1"/>
  <c r="G9" i="23"/>
  <c r="H9" i="23" s="1"/>
  <c r="G25" i="23"/>
  <c r="H25" i="23" s="1"/>
  <c r="G10" i="23"/>
  <c r="H10" i="23" s="1"/>
  <c r="G11" i="23"/>
  <c r="H11" i="23" s="1"/>
  <c r="G12" i="23"/>
  <c r="H12" i="23" s="1"/>
  <c r="G13" i="23"/>
  <c r="H13" i="23" s="1"/>
  <c r="G14" i="23"/>
  <c r="H14" i="23" s="1"/>
  <c r="J15" i="19"/>
  <c r="J14" i="19"/>
  <c r="J7" i="19"/>
  <c r="J16" i="19"/>
  <c r="EVK59" i="18"/>
  <c r="EVO59" i="18" s="1"/>
  <c r="EVP59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35" i="18"/>
  <c r="EVO35" i="18" s="1"/>
  <c r="EVP35" i="18" s="1"/>
  <c r="EVK33" i="18"/>
  <c r="EVO33" i="18" s="1"/>
  <c r="EVP33" i="18" s="1"/>
  <c r="EVK54" i="18"/>
  <c r="EVO54" i="18" s="1"/>
  <c r="EVP54" i="18" s="1"/>
  <c r="EVK53" i="18"/>
  <c r="EVO53" i="18" s="1"/>
  <c r="EVP53" i="18" s="1"/>
  <c r="EVK52" i="18"/>
  <c r="EVO52" i="18" s="1"/>
  <c r="EVP52" i="18" s="1"/>
  <c r="EVK32" i="18"/>
  <c r="EVO32" i="18" s="1"/>
  <c r="EVP32" i="18" s="1"/>
  <c r="EVK30" i="18"/>
  <c r="EVO30" i="18" s="1"/>
  <c r="EVP30" i="18" s="1"/>
  <c r="EVK51" i="18"/>
  <c r="EVO51" i="18" s="1"/>
  <c r="EVP51" i="18" s="1"/>
  <c r="EVK31" i="18"/>
  <c r="EVO31" i="18" s="1"/>
  <c r="EVP3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7" i="18"/>
  <c r="EVO47" i="18" s="1"/>
  <c r="EVP47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41" i="18"/>
  <c r="EVO41" i="18" s="1"/>
  <c r="EVP41" i="18" s="1"/>
  <c r="EVK37" i="18"/>
  <c r="EVO37" i="18" s="1"/>
  <c r="EVP37" i="18" s="1"/>
  <c r="EVK40" i="18"/>
  <c r="EVO40" i="18" s="1"/>
  <c r="EVP40" i="18" s="1"/>
  <c r="EVK39" i="18"/>
  <c r="EVO39" i="18" s="1"/>
  <c r="EVP39" i="18" s="1"/>
  <c r="EVK38" i="18"/>
  <c r="EVO38" i="18" s="1"/>
  <c r="EVP38" i="18" s="1"/>
  <c r="J12" i="17"/>
  <c r="EUN20" i="18"/>
  <c r="EUQ20" i="18" s="1"/>
  <c r="EUR20" i="18" s="1"/>
  <c r="EUN15" i="18"/>
  <c r="EUQ15" i="18" s="1"/>
  <c r="EUR15" i="18" s="1"/>
  <c r="EUN10" i="18"/>
  <c r="EUQ10" i="18" s="1"/>
  <c r="EUR10" i="18" s="1"/>
  <c r="EUN7" i="18"/>
  <c r="EUQ7" i="18" s="1"/>
  <c r="EUR7" i="18" s="1"/>
  <c r="EUN19" i="18"/>
  <c r="EUQ19" i="18" s="1"/>
  <c r="EUR19" i="18" s="1"/>
  <c r="EUN14" i="18"/>
  <c r="EUQ14" i="18" s="1"/>
  <c r="EUR14" i="18" s="1"/>
  <c r="EUN8" i="18"/>
  <c r="EUQ8" i="18" s="1"/>
  <c r="EUR8" i="18" s="1"/>
  <c r="EUN18" i="18"/>
  <c r="EUQ18" i="18" s="1"/>
  <c r="EUR18" i="18" s="1"/>
  <c r="EUN16" i="18"/>
  <c r="EUQ16" i="18" s="1"/>
  <c r="EUR16" i="18" s="1"/>
  <c r="EUN11" i="18"/>
  <c r="EUQ11" i="18" s="1"/>
  <c r="EUR11" i="18" s="1"/>
  <c r="EUN17" i="18"/>
  <c r="EUQ17" i="18" s="1"/>
  <c r="EUR17" i="18" s="1"/>
  <c r="EUN12" i="18"/>
  <c r="EUQ12" i="18" s="1"/>
  <c r="EUR12" i="18" s="1"/>
  <c r="EUN9" i="18"/>
  <c r="EUQ9" i="18" s="1"/>
  <c r="EUR9" i="18" s="1"/>
  <c r="EUN13" i="18"/>
  <c r="EUQ13" i="18" s="1"/>
  <c r="EUR13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5" i="18"/>
  <c r="CMI35" i="18" s="1"/>
  <c r="CMH36" i="18"/>
  <c r="CMI36" i="18" s="1"/>
  <c r="CMH37" i="18"/>
  <c r="CMI37" i="18" s="1"/>
  <c r="CMH38" i="18"/>
  <c r="CMI38" i="18" s="1"/>
  <c r="CMH39" i="18"/>
  <c r="CMI39" i="18" s="1"/>
  <c r="CMH41" i="18"/>
  <c r="CMI41" i="18" s="1"/>
  <c r="CMH42" i="18"/>
  <c r="CMI42" i="18" s="1"/>
  <c r="CMH43" i="18"/>
  <c r="CMI43" i="18" s="1"/>
  <c r="CMH44" i="18"/>
  <c r="CMI44" i="18" s="1"/>
  <c r="CMH45" i="18"/>
  <c r="CMI45" i="18" s="1"/>
  <c r="CMH34" i="18"/>
  <c r="CMI34" i="18" s="1"/>
  <c r="CMH8" i="18"/>
  <c r="CMI8" i="18" s="1"/>
  <c r="CMH9" i="18"/>
  <c r="CMI9" i="18" s="1"/>
  <c r="CMH11" i="18"/>
  <c r="CMI11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J61" i="18" l="1"/>
  <c r="H9" i="20" s="1"/>
  <c r="H16" i="20" s="1"/>
  <c r="L58" i="18"/>
  <c r="V18" i="15"/>
  <c r="T18" i="15"/>
  <c r="J17" i="19"/>
  <c r="L46" i="18"/>
  <c r="L31" i="18"/>
  <c r="L51" i="18"/>
  <c r="M51" i="18" s="1"/>
  <c r="G95" i="25" s="1"/>
  <c r="L72" i="17"/>
  <c r="M72" i="17" s="1"/>
  <c r="L39" i="18"/>
  <c r="L71" i="17"/>
  <c r="M71" i="17" s="1"/>
  <c r="G57" i="25" s="1"/>
  <c r="L32" i="18"/>
  <c r="M32" i="18" s="1"/>
  <c r="G76" i="25" s="1"/>
  <c r="L52" i="18"/>
  <c r="M52" i="18" s="1"/>
  <c r="G96" i="25" s="1"/>
  <c r="L61" i="17"/>
  <c r="L62" i="17"/>
  <c r="M62" i="17" s="1"/>
  <c r="G48" i="25" s="1"/>
  <c r="L33" i="18"/>
  <c r="M33" i="18" s="1"/>
  <c r="G77" i="25" s="1"/>
  <c r="L53" i="18"/>
  <c r="M53" i="18" s="1"/>
  <c r="G97" i="25" s="1"/>
  <c r="L55" i="17"/>
  <c r="M55" i="17" s="1"/>
  <c r="G41" i="25" s="1"/>
  <c r="L56" i="17"/>
  <c r="M56" i="17" s="1"/>
  <c r="G42" i="25" s="1"/>
  <c r="L34" i="18"/>
  <c r="L54" i="18"/>
  <c r="M54" i="18" s="1"/>
  <c r="G98" i="25" s="1"/>
  <c r="L59" i="17"/>
  <c r="M59" i="17" s="1"/>
  <c r="G45" i="25" s="1"/>
  <c r="L40" i="18"/>
  <c r="M40" i="18" s="1"/>
  <c r="G84" i="25" s="1"/>
  <c r="L41" i="18"/>
  <c r="L35" i="18"/>
  <c r="L36" i="18"/>
  <c r="L57" i="17"/>
  <c r="M57" i="17" s="1"/>
  <c r="G43" i="25" s="1"/>
  <c r="L58" i="17"/>
  <c r="M58" i="17" s="1"/>
  <c r="G44" i="25" s="1"/>
  <c r="L38" i="18"/>
  <c r="L60" i="17"/>
  <c r="M60" i="17" s="1"/>
  <c r="G46" i="25" s="1"/>
  <c r="L37" i="18"/>
  <c r="L42" i="18"/>
  <c r="L63" i="17"/>
  <c r="M63" i="17" s="1"/>
  <c r="G49" i="25" s="1"/>
  <c r="L43" i="18"/>
  <c r="L64" i="17"/>
  <c r="M64" i="17" s="1"/>
  <c r="G50" i="25" s="1"/>
  <c r="L44" i="18"/>
  <c r="L65" i="17"/>
  <c r="M65" i="17" s="1"/>
  <c r="G51" i="25" s="1"/>
  <c r="L45" i="18"/>
  <c r="L66" i="17"/>
  <c r="M66" i="17" s="1"/>
  <c r="G52" i="25" s="1"/>
  <c r="L67" i="17"/>
  <c r="L68" i="17"/>
  <c r="M68" i="17" s="1"/>
  <c r="G54" i="25" s="1"/>
  <c r="L49" i="18"/>
  <c r="M49" i="18" s="1"/>
  <c r="G93" i="25" s="1"/>
  <c r="L70" i="17"/>
  <c r="L50" i="18"/>
  <c r="M50" i="18" s="1"/>
  <c r="G94" i="25" s="1"/>
  <c r="L48" i="18"/>
  <c r="L17" i="18"/>
  <c r="L10" i="15"/>
  <c r="L21" i="15"/>
  <c r="L11" i="18"/>
  <c r="M11" i="18" s="1"/>
  <c r="G63" i="25" s="1"/>
  <c r="L13" i="18"/>
  <c r="M13" i="18" s="1"/>
  <c r="G65" i="25" s="1"/>
  <c r="L14" i="18"/>
  <c r="L18" i="18"/>
  <c r="L11" i="15"/>
  <c r="L19" i="18"/>
  <c r="L12" i="15"/>
  <c r="L20" i="18"/>
  <c r="L13" i="15"/>
  <c r="L15" i="15"/>
  <c r="L16" i="15"/>
  <c r="L17" i="15"/>
  <c r="L19" i="15"/>
  <c r="L10" i="18"/>
  <c r="M10" i="18" s="1"/>
  <c r="G62" i="25" s="1"/>
  <c r="L23" i="15"/>
  <c r="L9" i="15"/>
  <c r="L8" i="18"/>
  <c r="M8" i="18" s="1"/>
  <c r="G60" i="25" s="1"/>
  <c r="L12" i="18"/>
  <c r="M12" i="18" s="1"/>
  <c r="G64" i="25" s="1"/>
  <c r="L8" i="15"/>
  <c r="L20" i="15"/>
  <c r="L9" i="18"/>
  <c r="M9" i="18" s="1"/>
  <c r="G61" i="25" s="1"/>
  <c r="L22" i="15"/>
  <c r="L16" i="18"/>
  <c r="L15" i="18"/>
  <c r="L15" i="19"/>
  <c r="M15" i="19" s="1"/>
  <c r="G113" i="25" s="1"/>
  <c r="L10" i="19"/>
  <c r="M10" i="19" s="1"/>
  <c r="G108" i="25" s="1"/>
  <c r="L11" i="19"/>
  <c r="L12" i="19"/>
  <c r="M12" i="19" s="1"/>
  <c r="G110" i="25" s="1"/>
  <c r="L13" i="19"/>
  <c r="M13" i="19" s="1"/>
  <c r="G111" i="25" s="1"/>
  <c r="L14" i="19"/>
  <c r="L47" i="18"/>
  <c r="M47" i="18" s="1"/>
  <c r="G91" i="25" s="1"/>
  <c r="J30" i="18"/>
  <c r="J60" i="18" s="1"/>
  <c r="L16" i="19"/>
  <c r="M16" i="19" s="1"/>
  <c r="G114" i="25" s="1"/>
  <c r="L21" i="18"/>
  <c r="L26" i="19"/>
  <c r="L27" i="19"/>
  <c r="L28" i="19"/>
  <c r="L29" i="19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40" i="18"/>
  <c r="EQA40" i="18" s="1"/>
  <c r="EQB40" i="18" s="1"/>
  <c r="EPY36" i="18"/>
  <c r="EQA36" i="18" s="1"/>
  <c r="EQB36" i="18" s="1"/>
  <c r="EPY37" i="18"/>
  <c r="EQA37" i="18" s="1"/>
  <c r="EQB37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30" i="18"/>
  <c r="EQA30" i="18" s="1"/>
  <c r="EQB30" i="18" s="1"/>
  <c r="EPY39" i="18"/>
  <c r="EQA39" i="18" s="1"/>
  <c r="EQB39" i="18" s="1"/>
  <c r="EPY38" i="18"/>
  <c r="EQA38" i="18" s="1"/>
  <c r="EQB38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1" i="18"/>
  <c r="EPK11" i="18" s="1"/>
  <c r="EPL11" i="18" s="1"/>
  <c r="EPF9" i="18"/>
  <c r="EPK9" i="18" s="1"/>
  <c r="EPL9" i="18" s="1"/>
  <c r="EPF8" i="18"/>
  <c r="EPK8" i="18" s="1"/>
  <c r="EPL8" i="18" s="1"/>
  <c r="EPF7" i="18"/>
  <c r="EPK7" i="18" s="1"/>
  <c r="EPL7" i="18" s="1"/>
  <c r="EOH9" i="18"/>
  <c r="EOM9" i="18" s="1"/>
  <c r="EON9" i="18" s="1"/>
  <c r="EBG27" i="19"/>
  <c r="EBM27" i="19" s="1"/>
  <c r="EBN27" i="19" s="1"/>
  <c r="EOH17" i="18"/>
  <c r="EOM17" i="18" s="1"/>
  <c r="EON17" i="18" s="1"/>
  <c r="EOH15" i="18"/>
  <c r="EOM15" i="18" s="1"/>
  <c r="EON15" i="18" s="1"/>
  <c r="EBG28" i="19"/>
  <c r="EBM28" i="19" s="1"/>
  <c r="EBN28" i="19" s="1"/>
  <c r="EOH14" i="18"/>
  <c r="EOM14" i="18" s="1"/>
  <c r="EON14" i="18" s="1"/>
  <c r="EOH8" i="18"/>
  <c r="EOM8" i="18" s="1"/>
  <c r="EON8" i="18" s="1"/>
  <c r="EOH20" i="18"/>
  <c r="EOM20" i="18" s="1"/>
  <c r="EON20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19" i="18"/>
  <c r="EOM19" i="18" s="1"/>
  <c r="EON19" i="18" s="1"/>
  <c r="EOH18" i="18"/>
  <c r="EOM18" i="18" s="1"/>
  <c r="EON18" i="18" s="1"/>
  <c r="EOH16" i="18"/>
  <c r="EOM16" i="18" s="1"/>
  <c r="EON16" i="18" s="1"/>
  <c r="EOH13" i="18"/>
  <c r="EOM13" i="18" s="1"/>
  <c r="EON13" i="18" s="1"/>
  <c r="EOH12" i="18"/>
  <c r="EOM12" i="18" s="1"/>
  <c r="EON12" i="18" s="1"/>
  <c r="EOH11" i="18"/>
  <c r="EOM11" i="18" s="1"/>
  <c r="EON11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0" i="18"/>
  <c r="CSL50" i="18" s="1"/>
  <c r="CSM50" i="18" s="1"/>
  <c r="A8" i="22"/>
  <c r="EDO11" i="18"/>
  <c r="EDR11" i="18" s="1"/>
  <c r="EDS11" i="18" s="1"/>
  <c r="EDO20" i="18"/>
  <c r="EDR20" i="18" s="1"/>
  <c r="EDS20" i="18" s="1"/>
  <c r="EDO17" i="18"/>
  <c r="EDR17" i="18" s="1"/>
  <c r="EDS17" i="18" s="1"/>
  <c r="EDO13" i="18"/>
  <c r="EDR13" i="18" s="1"/>
  <c r="EDS13" i="18" s="1"/>
  <c r="EDO12" i="18"/>
  <c r="EDR12" i="18" s="1"/>
  <c r="EDS12" i="18" s="1"/>
  <c r="EDO19" i="18"/>
  <c r="EDR19" i="18" s="1"/>
  <c r="EDS19" i="18" s="1"/>
  <c r="EDO18" i="18"/>
  <c r="EDR18" i="18" s="1"/>
  <c r="EDS18" i="18" s="1"/>
  <c r="EDO9" i="18"/>
  <c r="EDR9" i="18" s="1"/>
  <c r="EDS9" i="18" s="1"/>
  <c r="EDO7" i="18"/>
  <c r="EDR7" i="18" s="1"/>
  <c r="EDS7" i="18" s="1"/>
  <c r="EDO14" i="18"/>
  <c r="EDR14" i="18" s="1"/>
  <c r="EDS14" i="18" s="1"/>
  <c r="EDO8" i="18"/>
  <c r="EDR8" i="18" s="1"/>
  <c r="EDS8" i="18" s="1"/>
  <c r="EDO16" i="18"/>
  <c r="EDR16" i="18" s="1"/>
  <c r="EDS16" i="18" s="1"/>
  <c r="EDO15" i="18"/>
  <c r="EDR15" i="18" s="1"/>
  <c r="EDS15" i="18" s="1"/>
  <c r="J7" i="15"/>
  <c r="L7" i="15" s="1"/>
  <c r="L7" i="19"/>
  <c r="J7" i="18"/>
  <c r="J25" i="19"/>
  <c r="L25" i="19" s="1"/>
  <c r="DZH20" i="18"/>
  <c r="DZJ20" i="18" s="1"/>
  <c r="DZK20" i="18" s="1"/>
  <c r="DZH14" i="18"/>
  <c r="DZJ14" i="18" s="1"/>
  <c r="DZK14" i="18" s="1"/>
  <c r="DZH19" i="18"/>
  <c r="DZJ19" i="18" s="1"/>
  <c r="DZK19" i="18" s="1"/>
  <c r="DZH13" i="18"/>
  <c r="DZJ13" i="18" s="1"/>
  <c r="DZK13" i="18" s="1"/>
  <c r="DZH8" i="18"/>
  <c r="DZJ8" i="18" s="1"/>
  <c r="DZK8" i="18" s="1"/>
  <c r="DZH18" i="18"/>
  <c r="DZJ18" i="18" s="1"/>
  <c r="DZK18" i="18" s="1"/>
  <c r="DZH7" i="18"/>
  <c r="DZJ7" i="18" s="1"/>
  <c r="DZK7" i="18" s="1"/>
  <c r="DZH17" i="18"/>
  <c r="DZJ17" i="18" s="1"/>
  <c r="DZK17" i="18" s="1"/>
  <c r="DZH12" i="18"/>
  <c r="DZJ12" i="18" s="1"/>
  <c r="DZK12" i="18" s="1"/>
  <c r="DZH9" i="18"/>
  <c r="DZJ9" i="18" s="1"/>
  <c r="DZK9" i="18" s="1"/>
  <c r="DZH16" i="18"/>
  <c r="DZJ16" i="18" s="1"/>
  <c r="DZK16" i="18" s="1"/>
  <c r="DZH11" i="18"/>
  <c r="DZJ11" i="18" s="1"/>
  <c r="DZK11" i="18" s="1"/>
  <c r="DZH15" i="18"/>
  <c r="DZJ15" i="18" s="1"/>
  <c r="DZK15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6" i="18"/>
  <c r="DLN16" i="18" s="1"/>
  <c r="DLO16" i="18" s="1"/>
  <c r="DLK11" i="18"/>
  <c r="DLN11" i="18" s="1"/>
  <c r="DLO11" i="18" s="1"/>
  <c r="DLK15" i="18"/>
  <c r="DLN15" i="18" s="1"/>
  <c r="DLO15" i="18" s="1"/>
  <c r="DLK9" i="18"/>
  <c r="DLN9" i="18" s="1"/>
  <c r="DLO9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13" i="18"/>
  <c r="DLN13" i="18" s="1"/>
  <c r="DLO13" i="18" s="1"/>
  <c r="DLK18" i="18"/>
  <c r="DLN18" i="18" s="1"/>
  <c r="DLO18" i="18" s="1"/>
  <c r="DLK8" i="18"/>
  <c r="DLN8" i="18" s="1"/>
  <c r="DLO8" i="18" s="1"/>
  <c r="DLK17" i="18"/>
  <c r="DLN17" i="18" s="1"/>
  <c r="DLO17" i="18" s="1"/>
  <c r="DLK12" i="18"/>
  <c r="DLN12" i="18" s="1"/>
  <c r="DLO12" i="18" s="1"/>
  <c r="DLK7" i="18"/>
  <c r="DLN7" i="18" s="1"/>
  <c r="DLO7" i="18" s="1"/>
  <c r="DIV18" i="18"/>
  <c r="DJB18" i="18" s="1"/>
  <c r="DJC18" i="18" s="1"/>
  <c r="DIV8" i="18"/>
  <c r="DJB8" i="18" s="1"/>
  <c r="DJC8" i="18" s="1"/>
  <c r="DIV17" i="18"/>
  <c r="DJB17" i="18" s="1"/>
  <c r="DJC17" i="18" s="1"/>
  <c r="DIV12" i="18"/>
  <c r="DJB12" i="18" s="1"/>
  <c r="DJC12" i="18" s="1"/>
  <c r="DIV7" i="18"/>
  <c r="DJB7" i="18" s="1"/>
  <c r="DJC7" i="18" s="1"/>
  <c r="DIV16" i="18"/>
  <c r="DJB16" i="18" s="1"/>
  <c r="DJC16" i="18" s="1"/>
  <c r="DIV11" i="18"/>
  <c r="DJB11" i="18" s="1"/>
  <c r="DJC11" i="18" s="1"/>
  <c r="DIV15" i="18"/>
  <c r="DJB15" i="18" s="1"/>
  <c r="DJC15" i="18" s="1"/>
  <c r="DIV9" i="18"/>
  <c r="DJB9" i="18" s="1"/>
  <c r="DJC9" i="18" s="1"/>
  <c r="DIV20" i="18"/>
  <c r="DJB20" i="18" s="1"/>
  <c r="DJC20" i="18" s="1"/>
  <c r="DIV14" i="18"/>
  <c r="DJB14" i="18" s="1"/>
  <c r="DJC14" i="18" s="1"/>
  <c r="DIV21" i="18"/>
  <c r="DJB21" i="18" s="1"/>
  <c r="DJC21" i="18" s="1"/>
  <c r="DIV19" i="18"/>
  <c r="DJB19" i="18" s="1"/>
  <c r="DJC19" i="18" s="1"/>
  <c r="DIV13" i="18"/>
  <c r="DJB13" i="18" s="1"/>
  <c r="DJC13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DEK34" i="18"/>
  <c r="DEL34" i="18" s="1"/>
  <c r="DEM34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1" i="18"/>
  <c r="CSL41" i="18" s="1"/>
  <c r="CSM41" i="18" s="1"/>
  <c r="CSK36" i="18"/>
  <c r="CSL36" i="18" s="1"/>
  <c r="CSM36" i="18" s="1"/>
  <c r="CSK38" i="18"/>
  <c r="CSL38" i="18" s="1"/>
  <c r="CSM38" i="18" s="1"/>
  <c r="CSK59" i="18"/>
  <c r="CSL59" i="18" s="1"/>
  <c r="CSM59" i="18" s="1"/>
  <c r="CSK48" i="18"/>
  <c r="CSL48" i="18" s="1"/>
  <c r="CSM48" i="18" s="1"/>
  <c r="CSK35" i="18"/>
  <c r="CSL35" i="18" s="1"/>
  <c r="CSM35" i="18" s="1"/>
  <c r="CSK45" i="18"/>
  <c r="CSL45" i="18" s="1"/>
  <c r="CSM45" i="18" s="1"/>
  <c r="CSK37" i="18"/>
  <c r="CSL37" i="18" s="1"/>
  <c r="CSM37" i="18" s="1"/>
  <c r="CSK42" i="18"/>
  <c r="CSL42" i="18" s="1"/>
  <c r="CSM42" i="18" s="1"/>
  <c r="CSK39" i="18"/>
  <c r="CSL39" i="18" s="1"/>
  <c r="CSM39" i="18" s="1"/>
  <c r="CSK34" i="18"/>
  <c r="CSL34" i="18" s="1"/>
  <c r="CSM34" i="18" s="1"/>
  <c r="CSK43" i="18"/>
  <c r="CSL43" i="18" s="1"/>
  <c r="CSM43" i="18" s="1"/>
  <c r="CSK51" i="18"/>
  <c r="CSL51" i="18" s="1"/>
  <c r="CSM51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L61" i="18" l="1"/>
  <c r="J9" i="20" s="1"/>
  <c r="J16" i="20" s="1"/>
  <c r="M58" i="18"/>
  <c r="G102" i="25" s="1"/>
  <c r="O62" i="17"/>
  <c r="M31" i="18"/>
  <c r="G75" i="25" s="1"/>
  <c r="O72" i="17"/>
  <c r="M67" i="17"/>
  <c r="G53" i="25" s="1"/>
  <c r="H8" i="20"/>
  <c r="M7" i="19"/>
  <c r="G105" i="25" s="1"/>
  <c r="L17" i="19"/>
  <c r="J11" i="20" s="1"/>
  <c r="V40" i="18"/>
  <c r="V50" i="18"/>
  <c r="O71" i="17"/>
  <c r="O59" i="17"/>
  <c r="O64" i="17"/>
  <c r="O56" i="17"/>
  <c r="O54" i="17"/>
  <c r="O55" i="17"/>
  <c r="O53" i="17"/>
  <c r="O52" i="17"/>
  <c r="O68" i="17"/>
  <c r="O60" i="17"/>
  <c r="O50" i="17"/>
  <c r="O63" i="17"/>
  <c r="O58" i="17"/>
  <c r="O57" i="17"/>
  <c r="O66" i="17"/>
  <c r="O65" i="17"/>
  <c r="M20" i="15"/>
  <c r="G134" i="25" s="1"/>
  <c r="W59" i="17"/>
  <c r="W64" i="17"/>
  <c r="W63" i="17"/>
  <c r="W56" i="17"/>
  <c r="W55" i="17"/>
  <c r="W52" i="17"/>
  <c r="W68" i="17"/>
  <c r="W60" i="17"/>
  <c r="W50" i="17"/>
  <c r="W71" i="17"/>
  <c r="W58" i="17"/>
  <c r="W62" i="17"/>
  <c r="W57" i="17"/>
  <c r="W66" i="17"/>
  <c r="W65" i="17"/>
  <c r="O11" i="18"/>
  <c r="O33" i="18"/>
  <c r="O32" i="18"/>
  <c r="M61" i="17"/>
  <c r="G47" i="25" s="1"/>
  <c r="O9" i="18"/>
  <c r="O10" i="18"/>
  <c r="O8" i="18"/>
  <c r="O13" i="18"/>
  <c r="O12" i="18"/>
  <c r="O40" i="18"/>
  <c r="O51" i="18"/>
  <c r="O52" i="18"/>
  <c r="O50" i="18"/>
  <c r="T50" i="18"/>
  <c r="O54" i="18"/>
  <c r="O53" i="18"/>
  <c r="O47" i="18"/>
  <c r="L14" i="15"/>
  <c r="M14" i="15" s="1"/>
  <c r="G128" i="25" s="1"/>
  <c r="U68" i="17"/>
  <c r="L69" i="17"/>
  <c r="M69" i="17" s="1"/>
  <c r="G55" i="25" s="1"/>
  <c r="M70" i="17"/>
  <c r="G56" i="25" s="1"/>
  <c r="L73" i="17"/>
  <c r="V16" i="19"/>
  <c r="V15" i="19"/>
  <c r="J24" i="15"/>
  <c r="H12" i="20" s="1"/>
  <c r="H17" i="20" s="1"/>
  <c r="J22" i="18"/>
  <c r="H7" i="20" s="1"/>
  <c r="R54" i="17"/>
  <c r="L30" i="18"/>
  <c r="L60" i="18" s="1"/>
  <c r="O8" i="19"/>
  <c r="V8" i="19"/>
  <c r="T15" i="19"/>
  <c r="Q15" i="19"/>
  <c r="O15" i="19"/>
  <c r="T8" i="19"/>
  <c r="Q8" i="19"/>
  <c r="T16" i="19"/>
  <c r="O16" i="19"/>
  <c r="L7" i="18"/>
  <c r="L22" i="18" s="1"/>
  <c r="J7" i="20" s="1"/>
  <c r="H11" i="20"/>
  <c r="J30" i="19"/>
  <c r="H10" i="20" s="1"/>
  <c r="L30" i="19"/>
  <c r="J10" i="20" s="1"/>
  <c r="M48" i="18"/>
  <c r="G92" i="25" s="1"/>
  <c r="M46" i="18"/>
  <c r="G90" i="25" s="1"/>
  <c r="T40" i="18"/>
  <c r="U54" i="17"/>
  <c r="R58" i="17"/>
  <c r="U58" i="17"/>
  <c r="R62" i="17"/>
  <c r="U62" i="17"/>
  <c r="F1" i="23"/>
  <c r="CLZ34" i="18"/>
  <c r="CMA34" i="18" s="1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1" i="18"/>
  <c r="CMA41" i="18" s="1"/>
  <c r="CLZ42" i="18"/>
  <c r="CMA42" i="18" s="1"/>
  <c r="CLZ43" i="18"/>
  <c r="CMA43" i="18" s="1"/>
  <c r="CLZ44" i="18"/>
  <c r="CMA44" i="18" s="1"/>
  <c r="CLZ45" i="18"/>
  <c r="CMA45" i="18" s="1"/>
  <c r="CLZ8" i="18"/>
  <c r="CMA8" i="18" s="1"/>
  <c r="CLZ9" i="18"/>
  <c r="CMA9" i="18" s="1"/>
  <c r="CLZ11" i="18"/>
  <c r="CMA11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4" i="18"/>
  <c r="CLS34" i="18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1" i="18"/>
  <c r="CLS41" i="18" s="1"/>
  <c r="CLR42" i="18"/>
  <c r="CLS42" i="18" s="1"/>
  <c r="CLR43" i="18"/>
  <c r="CLS43" i="18" s="1"/>
  <c r="CLR44" i="18"/>
  <c r="CLS44" i="18" s="1"/>
  <c r="CLR45" i="18"/>
  <c r="CLS45" i="18" s="1"/>
  <c r="CLR8" i="18"/>
  <c r="CLS8" i="18" s="1"/>
  <c r="CLR9" i="18"/>
  <c r="CLS9" i="18" s="1"/>
  <c r="CLR11" i="18"/>
  <c r="CLS11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5" i="18"/>
  <c r="CLK35" i="18" s="1"/>
  <c r="CLJ36" i="18"/>
  <c r="CLK36" i="18" s="1"/>
  <c r="CLJ37" i="18"/>
  <c r="CLK37" i="18" s="1"/>
  <c r="CLJ38" i="18"/>
  <c r="CLK38" i="18" s="1"/>
  <c r="CLJ39" i="18"/>
  <c r="CLK39" i="18" s="1"/>
  <c r="CLJ41" i="18"/>
  <c r="CLK41" i="18" s="1"/>
  <c r="CLJ42" i="18"/>
  <c r="CLK42" i="18" s="1"/>
  <c r="CLJ43" i="18"/>
  <c r="CLK43" i="18" s="1"/>
  <c r="CLJ44" i="18"/>
  <c r="CLK44" i="18" s="1"/>
  <c r="CLJ45" i="18"/>
  <c r="CLK45" i="18" s="1"/>
  <c r="CLJ34" i="18"/>
  <c r="CLK34" i="18" s="1"/>
  <c r="CLJ8" i="18"/>
  <c r="CLK8" i="18" s="1"/>
  <c r="CLJ9" i="18"/>
  <c r="CLK9" i="18" s="1"/>
  <c r="CLJ11" i="18"/>
  <c r="CLK11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7" i="18"/>
  <c r="CLK7" i="18" s="1"/>
  <c r="CLB35" i="18"/>
  <c r="CLC35" i="18" s="1"/>
  <c r="CLB36" i="18"/>
  <c r="CLC36" i="18" s="1"/>
  <c r="CLB37" i="18"/>
  <c r="CLC37" i="18" s="1"/>
  <c r="CLB38" i="18"/>
  <c r="CLC38" i="18" s="1"/>
  <c r="CLB39" i="18"/>
  <c r="CLC39" i="18" s="1"/>
  <c r="CLB41" i="18"/>
  <c r="CLC41" i="18" s="1"/>
  <c r="CLB42" i="18"/>
  <c r="CLC42" i="18" s="1"/>
  <c r="CLB43" i="18"/>
  <c r="CLC43" i="18" s="1"/>
  <c r="CLB44" i="18"/>
  <c r="CLC44" i="18" s="1"/>
  <c r="CLB45" i="18"/>
  <c r="CLC45" i="18" s="1"/>
  <c r="CLB34" i="18"/>
  <c r="CLC34" i="18" s="1"/>
  <c r="CLB8" i="18"/>
  <c r="CLC8" i="18" s="1"/>
  <c r="CLB9" i="18"/>
  <c r="CLC9" i="18" s="1"/>
  <c r="CLB11" i="18"/>
  <c r="CLC11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5" i="18"/>
  <c r="CKU35" i="18" s="1"/>
  <c r="CKT36" i="18"/>
  <c r="CKU36" i="18" s="1"/>
  <c r="CKT37" i="18"/>
  <c r="CKU37" i="18" s="1"/>
  <c r="CKT38" i="18"/>
  <c r="CKU38" i="18" s="1"/>
  <c r="CKT39" i="18"/>
  <c r="CKU39" i="18" s="1"/>
  <c r="CKT41" i="18"/>
  <c r="CKU41" i="18" s="1"/>
  <c r="CKT42" i="18"/>
  <c r="CKU42" i="18" s="1"/>
  <c r="CKT43" i="18"/>
  <c r="CKU43" i="18" s="1"/>
  <c r="CKT44" i="18"/>
  <c r="CKU44" i="18" s="1"/>
  <c r="CKT45" i="18"/>
  <c r="CKU45" i="18" s="1"/>
  <c r="CKT34" i="18"/>
  <c r="CKU34" i="18" s="1"/>
  <c r="CKT8" i="18"/>
  <c r="CKU8" i="18" s="1"/>
  <c r="CKT9" i="18"/>
  <c r="CKU9" i="18" s="1"/>
  <c r="CKT11" i="18"/>
  <c r="CKU11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5" i="18"/>
  <c r="CKM35" i="18" s="1"/>
  <c r="CKL36" i="18"/>
  <c r="CKM36" i="18" s="1"/>
  <c r="CKL37" i="18"/>
  <c r="CKM37" i="18" s="1"/>
  <c r="CKL38" i="18"/>
  <c r="CKM38" i="18" s="1"/>
  <c r="CKL39" i="18"/>
  <c r="CKM39" i="18" s="1"/>
  <c r="CKL41" i="18"/>
  <c r="CKM41" i="18" s="1"/>
  <c r="CKL42" i="18"/>
  <c r="CKM42" i="18" s="1"/>
  <c r="CKL43" i="18"/>
  <c r="CKM43" i="18" s="1"/>
  <c r="CKL44" i="18"/>
  <c r="CKM44" i="18" s="1"/>
  <c r="CKL45" i="18"/>
  <c r="CKM45" i="18" s="1"/>
  <c r="CKL34" i="18"/>
  <c r="CKM34" i="18" s="1"/>
  <c r="CKL8" i="18"/>
  <c r="CKM8" i="18" s="1"/>
  <c r="CKL9" i="18"/>
  <c r="CKM9" i="18" s="1"/>
  <c r="CKL11" i="18"/>
  <c r="CKM11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5" i="18"/>
  <c r="CKE35" i="18" s="1"/>
  <c r="CKE36" i="18"/>
  <c r="CKD37" i="18"/>
  <c r="CKE37" i="18" s="1"/>
  <c r="CKD38" i="18"/>
  <c r="CKE38" i="18" s="1"/>
  <c r="CKD39" i="18"/>
  <c r="CKE39" i="18" s="1"/>
  <c r="CKD41" i="18"/>
  <c r="CKE41" i="18" s="1"/>
  <c r="CKD42" i="18"/>
  <c r="CKE42" i="18" s="1"/>
  <c r="CKD43" i="18"/>
  <c r="CKE43" i="18" s="1"/>
  <c r="CKD44" i="18"/>
  <c r="CKE44" i="18" s="1"/>
  <c r="CKD45" i="18"/>
  <c r="CKE45" i="18" s="1"/>
  <c r="CKD34" i="18"/>
  <c r="CKE34" i="18" s="1"/>
  <c r="CKD8" i="18"/>
  <c r="CKE8" i="18" s="1"/>
  <c r="CKD9" i="18"/>
  <c r="CKE9" i="18" s="1"/>
  <c r="CKD11" i="18"/>
  <c r="CKE11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M61" i="18" l="1"/>
  <c r="K9" i="20" s="1"/>
  <c r="K16" i="20" s="1"/>
  <c r="O14" i="15"/>
  <c r="Q14" i="15"/>
  <c r="O20" i="15"/>
  <c r="Q20" i="15"/>
  <c r="W61" i="17"/>
  <c r="O31" i="18"/>
  <c r="V31" i="18"/>
  <c r="T31" i="18"/>
  <c r="O67" i="17"/>
  <c r="W67" i="17"/>
  <c r="O7" i="19"/>
  <c r="J8" i="20"/>
  <c r="O69" i="17"/>
  <c r="V48" i="18"/>
  <c r="O61" i="17"/>
  <c r="T20" i="15"/>
  <c r="V20" i="15"/>
  <c r="O70" i="17"/>
  <c r="O48" i="17"/>
  <c r="W69" i="17"/>
  <c r="W70" i="17"/>
  <c r="L24" i="15"/>
  <c r="J12" i="20" s="1"/>
  <c r="J17" i="20" s="1"/>
  <c r="O46" i="18"/>
  <c r="O48" i="18"/>
  <c r="T14" i="15"/>
  <c r="V14" i="15"/>
  <c r="Q46" i="18"/>
  <c r="T48" i="18"/>
  <c r="M30" i="18"/>
  <c r="G74" i="25" s="1"/>
  <c r="Q51" i="18"/>
  <c r="M73" i="17"/>
  <c r="T51" i="18"/>
  <c r="R50" i="17"/>
  <c r="CJV35" i="18"/>
  <c r="CJW35" i="18" s="1"/>
  <c r="CJV36" i="18"/>
  <c r="CJW36" i="18" s="1"/>
  <c r="CJV37" i="18"/>
  <c r="CJW37" i="18" s="1"/>
  <c r="CJV38" i="18"/>
  <c r="CJW38" i="18" s="1"/>
  <c r="CJV39" i="18"/>
  <c r="CJW39" i="18" s="1"/>
  <c r="CJV41" i="18"/>
  <c r="CJW41" i="18" s="1"/>
  <c r="CJV42" i="18"/>
  <c r="CJW42" i="18" s="1"/>
  <c r="CJV43" i="18"/>
  <c r="CJW43" i="18" s="1"/>
  <c r="CJV44" i="18"/>
  <c r="CJW44" i="18" s="1"/>
  <c r="CJV45" i="18"/>
  <c r="CJW45" i="18" s="1"/>
  <c r="CJV34" i="18"/>
  <c r="CJW34" i="18" s="1"/>
  <c r="CJV8" i="18"/>
  <c r="CJW8" i="18" s="1"/>
  <c r="CJV9" i="18"/>
  <c r="CJW9" i="18" s="1"/>
  <c r="CJV11" i="18"/>
  <c r="CJW11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5" i="18"/>
  <c r="CJO35" i="18" s="1"/>
  <c r="CJN36" i="18"/>
  <c r="CJO36" i="18" s="1"/>
  <c r="CJN37" i="18"/>
  <c r="CJO37" i="18" s="1"/>
  <c r="CJN38" i="18"/>
  <c r="CJO38" i="18" s="1"/>
  <c r="CJN39" i="18"/>
  <c r="CJO39" i="18" s="1"/>
  <c r="CJN41" i="18"/>
  <c r="CJO41" i="18" s="1"/>
  <c r="CJN42" i="18"/>
  <c r="CJO42" i="18" s="1"/>
  <c r="CJN43" i="18"/>
  <c r="CJO43" i="18" s="1"/>
  <c r="CJN44" i="18"/>
  <c r="CJO44" i="18" s="1"/>
  <c r="CJN45" i="18"/>
  <c r="CJO45" i="18" s="1"/>
  <c r="CJN34" i="18"/>
  <c r="CJO34" i="18" s="1"/>
  <c r="CJN8" i="18"/>
  <c r="CJO8" i="18" s="1"/>
  <c r="CJN9" i="18"/>
  <c r="CJO9" i="18" s="1"/>
  <c r="CJN11" i="18"/>
  <c r="CJO11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9" i="18"/>
  <c r="CJG9" i="18" s="1"/>
  <c r="CJF11" i="18"/>
  <c r="CJG11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7" i="18"/>
  <c r="CJG7" i="18" s="1"/>
  <c r="CJF35" i="18"/>
  <c r="CJG35" i="18" s="1"/>
  <c r="CJF36" i="18"/>
  <c r="CJG36" i="18" s="1"/>
  <c r="CJF37" i="18"/>
  <c r="CJG37" i="18" s="1"/>
  <c r="CJF38" i="18"/>
  <c r="CJG38" i="18" s="1"/>
  <c r="CJF39" i="18"/>
  <c r="CJG39" i="18" s="1"/>
  <c r="CJF41" i="18"/>
  <c r="CJG41" i="18" s="1"/>
  <c r="CJF42" i="18"/>
  <c r="CJG42" i="18" s="1"/>
  <c r="CJF43" i="18"/>
  <c r="CJG43" i="18" s="1"/>
  <c r="CJF44" i="18"/>
  <c r="CJG44" i="18" s="1"/>
  <c r="CJF45" i="18"/>
  <c r="CJG45" i="18" s="1"/>
  <c r="CJF34" i="18"/>
  <c r="CJG34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5" i="18"/>
  <c r="CIY35" i="18" s="1"/>
  <c r="CIX36" i="18"/>
  <c r="CIY36" i="18" s="1"/>
  <c r="CIX37" i="18"/>
  <c r="CIY37" i="18" s="1"/>
  <c r="CIX38" i="18"/>
  <c r="CIY38" i="18" s="1"/>
  <c r="CIX39" i="18"/>
  <c r="CIY39" i="18" s="1"/>
  <c r="CIX41" i="18"/>
  <c r="CIY41" i="18" s="1"/>
  <c r="CIX42" i="18"/>
  <c r="CIY42" i="18" s="1"/>
  <c r="CIX43" i="18"/>
  <c r="CIY43" i="18" s="1"/>
  <c r="CIX44" i="18"/>
  <c r="CIY44" i="18" s="1"/>
  <c r="CIX45" i="18"/>
  <c r="CIY45" i="18" s="1"/>
  <c r="CIX34" i="18"/>
  <c r="CIY34" i="18" s="1"/>
  <c r="CIX8" i="18"/>
  <c r="CIY8" i="18" s="1"/>
  <c r="CIX9" i="18"/>
  <c r="CIY9" i="18" s="1"/>
  <c r="CIX11" i="18"/>
  <c r="CIY11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7" i="18"/>
  <c r="CIY7" i="18" s="1"/>
  <c r="CIP35" i="18"/>
  <c r="CIQ35" i="18" s="1"/>
  <c r="CIP36" i="18"/>
  <c r="CIQ36" i="18" s="1"/>
  <c r="CIP37" i="18"/>
  <c r="CIQ37" i="18" s="1"/>
  <c r="CIP38" i="18"/>
  <c r="CIQ38" i="18" s="1"/>
  <c r="CIP39" i="18"/>
  <c r="CIQ39" i="18" s="1"/>
  <c r="CIP41" i="18"/>
  <c r="CIQ41" i="18" s="1"/>
  <c r="CIP42" i="18"/>
  <c r="CIQ42" i="18" s="1"/>
  <c r="CIP43" i="18"/>
  <c r="CIQ43" i="18" s="1"/>
  <c r="CIP44" i="18"/>
  <c r="CIQ44" i="18" s="1"/>
  <c r="CIP45" i="18"/>
  <c r="CIQ45" i="18" s="1"/>
  <c r="CIP34" i="18"/>
  <c r="CIQ34" i="18" s="1"/>
  <c r="CIP8" i="18"/>
  <c r="CIQ8" i="18" s="1"/>
  <c r="CIP9" i="18"/>
  <c r="CIQ9" i="18" s="1"/>
  <c r="CIP11" i="18"/>
  <c r="CIQ11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3" i="17" l="1"/>
  <c r="W73" i="17"/>
  <c r="U73" i="17"/>
  <c r="V30" i="18"/>
  <c r="T30" i="18"/>
  <c r="O30" i="18"/>
  <c r="CIH35" i="18"/>
  <c r="CII35" i="18" s="1"/>
  <c r="CIH36" i="18"/>
  <c r="CII36" i="18" s="1"/>
  <c r="CIH37" i="18"/>
  <c r="CII37" i="18" s="1"/>
  <c r="CIH38" i="18"/>
  <c r="CII38" i="18" s="1"/>
  <c r="CIH39" i="18"/>
  <c r="CII39" i="18" s="1"/>
  <c r="CIH41" i="18"/>
  <c r="CII41" i="18" s="1"/>
  <c r="CIH42" i="18"/>
  <c r="CII42" i="18" s="1"/>
  <c r="CIH43" i="18"/>
  <c r="CII43" i="18" s="1"/>
  <c r="CIH44" i="18"/>
  <c r="CII44" i="18" s="1"/>
  <c r="CIH45" i="18"/>
  <c r="CII45" i="18" s="1"/>
  <c r="CIH34" i="18"/>
  <c r="CII34" i="18" s="1"/>
  <c r="CIH8" i="18"/>
  <c r="CII8" i="18" s="1"/>
  <c r="CIH9" i="18"/>
  <c r="CII9" i="18" s="1"/>
  <c r="CIH11" i="18"/>
  <c r="CII11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7" i="18"/>
  <c r="CHZ17" i="18" s="1"/>
  <c r="CIA17" i="18" s="1"/>
  <c r="CHZ35" i="18"/>
  <c r="CIA35" i="18" s="1"/>
  <c r="CHZ36" i="18"/>
  <c r="CIA36" i="18" s="1"/>
  <c r="CHZ37" i="18"/>
  <c r="CIA37" i="18" s="1"/>
  <c r="CHZ38" i="18"/>
  <c r="CIA38" i="18" s="1"/>
  <c r="CHZ39" i="18"/>
  <c r="CIA39" i="18" s="1"/>
  <c r="CHZ41" i="18"/>
  <c r="CIA41" i="18" s="1"/>
  <c r="CHZ42" i="18"/>
  <c r="CIA42" i="18" s="1"/>
  <c r="CHZ43" i="18"/>
  <c r="CIA43" i="18" s="1"/>
  <c r="CHZ44" i="18"/>
  <c r="CIA44" i="18" s="1"/>
  <c r="CHZ45" i="18"/>
  <c r="CIA45" i="18" s="1"/>
  <c r="CHZ34" i="18"/>
  <c r="CIA34" i="18" s="1"/>
  <c r="CHZ8" i="18"/>
  <c r="CIA8" i="18" s="1"/>
  <c r="CHZ9" i="18"/>
  <c r="CIA9" i="18" s="1"/>
  <c r="CHZ11" i="18"/>
  <c r="CIA11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8" i="18"/>
  <c r="CIA18" i="18" s="1"/>
  <c r="CHZ19" i="18"/>
  <c r="CIA19" i="18" s="1"/>
  <c r="CHZ20" i="18"/>
  <c r="CIA20" i="18" s="1"/>
  <c r="CHZ21" i="18"/>
  <c r="CIA21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5" i="18"/>
  <c r="CHS35" i="18" s="1"/>
  <c r="CHR36" i="18"/>
  <c r="CHS36" i="18" s="1"/>
  <c r="CHR37" i="18"/>
  <c r="CHS37" i="18" s="1"/>
  <c r="CHR38" i="18"/>
  <c r="CHS38" i="18" s="1"/>
  <c r="CHR39" i="18"/>
  <c r="CHS39" i="18" s="1"/>
  <c r="CHR41" i="18"/>
  <c r="CHS41" i="18" s="1"/>
  <c r="CHR42" i="18"/>
  <c r="CHS42" i="18" s="1"/>
  <c r="CHR43" i="18"/>
  <c r="CHS43" i="18" s="1"/>
  <c r="CHR44" i="18"/>
  <c r="CHS44" i="18" s="1"/>
  <c r="CHR45" i="18"/>
  <c r="CHS45" i="18" s="1"/>
  <c r="CHR34" i="18"/>
  <c r="CHS34" i="18" s="1"/>
  <c r="CHR8" i="18"/>
  <c r="CHS8" i="18" s="1"/>
  <c r="CHR9" i="18"/>
  <c r="CHS9" i="18" s="1"/>
  <c r="CHR11" i="18"/>
  <c r="CHS11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5" i="18"/>
  <c r="CHK35" i="18" s="1"/>
  <c r="CHJ36" i="18"/>
  <c r="CHK36" i="18" s="1"/>
  <c r="CHJ37" i="18"/>
  <c r="CHK37" i="18" s="1"/>
  <c r="CHJ38" i="18"/>
  <c r="CHK38" i="18" s="1"/>
  <c r="CHJ39" i="18"/>
  <c r="CHK39" i="18" s="1"/>
  <c r="CHJ41" i="18"/>
  <c r="CHK41" i="18" s="1"/>
  <c r="CHJ42" i="18"/>
  <c r="CHK42" i="18" s="1"/>
  <c r="CHJ43" i="18"/>
  <c r="CHK43" i="18" s="1"/>
  <c r="CHJ44" i="18"/>
  <c r="CHK44" i="18" s="1"/>
  <c r="CHJ45" i="18"/>
  <c r="CHK45" i="18" s="1"/>
  <c r="CHJ34" i="18"/>
  <c r="CHK34" i="18" s="1"/>
  <c r="CHJ8" i="18"/>
  <c r="CHK8" i="18" s="1"/>
  <c r="CHJ9" i="18"/>
  <c r="CHK9" i="18" s="1"/>
  <c r="CHJ11" i="18"/>
  <c r="CHK11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7" i="18"/>
  <c r="CHK7" i="18" s="1"/>
  <c r="CGY9" i="18" l="1"/>
  <c r="CHB9" i="18" s="1"/>
  <c r="CHC9" i="18" s="1"/>
  <c r="CHB7" i="18"/>
  <c r="CHC7" i="18" s="1"/>
  <c r="CHB35" i="18"/>
  <c r="CHC35" i="18" s="1"/>
  <c r="CHB36" i="18"/>
  <c r="CHC36" i="18" s="1"/>
  <c r="CHB37" i="18"/>
  <c r="CHC37" i="18" s="1"/>
  <c r="CHB38" i="18"/>
  <c r="CHC38" i="18" s="1"/>
  <c r="CHB39" i="18"/>
  <c r="CHC39" i="18" s="1"/>
  <c r="CHB41" i="18"/>
  <c r="CHC41" i="18" s="1"/>
  <c r="CHB42" i="18"/>
  <c r="CHC42" i="18" s="1"/>
  <c r="CHB43" i="18"/>
  <c r="CHC43" i="18" s="1"/>
  <c r="CHB44" i="18"/>
  <c r="CHC44" i="18" s="1"/>
  <c r="CHB45" i="18"/>
  <c r="CHC45" i="18" s="1"/>
  <c r="CHB34" i="18"/>
  <c r="CHC34" i="18" s="1"/>
  <c r="CHB8" i="18"/>
  <c r="CHC8" i="18" s="1"/>
  <c r="CHB11" i="18"/>
  <c r="CHC11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9" i="18"/>
  <c r="CGU9" i="18" s="1"/>
  <c r="CGT11" i="18"/>
  <c r="CGU11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7" i="18"/>
  <c r="CGU7" i="18" s="1"/>
  <c r="CGT35" i="18"/>
  <c r="CGU35" i="18" s="1"/>
  <c r="CGT36" i="18"/>
  <c r="CGU36" i="18" s="1"/>
  <c r="CGT37" i="18"/>
  <c r="CGU37" i="18" s="1"/>
  <c r="CGT38" i="18"/>
  <c r="CGU38" i="18" s="1"/>
  <c r="CGT39" i="18"/>
  <c r="CGU39" i="18" s="1"/>
  <c r="CGT41" i="18"/>
  <c r="CGU41" i="18" s="1"/>
  <c r="CGT42" i="18"/>
  <c r="CGU42" i="18" s="1"/>
  <c r="CGT43" i="18"/>
  <c r="CGU43" i="18" s="1"/>
  <c r="CGT44" i="18"/>
  <c r="CGU44" i="18" s="1"/>
  <c r="CGT45" i="18"/>
  <c r="CGU45" i="18" s="1"/>
  <c r="CGT34" i="18"/>
  <c r="CGU34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0" i="18"/>
  <c r="CGL35" i="18"/>
  <c r="CGM35" i="18" s="1"/>
  <c r="CGL36" i="18"/>
  <c r="CGM36" i="18" s="1"/>
  <c r="CGL37" i="18"/>
  <c r="CGM37" i="18" s="1"/>
  <c r="CGL38" i="18"/>
  <c r="CGM38" i="18" s="1"/>
  <c r="CGL39" i="18"/>
  <c r="CGM39" i="18" s="1"/>
  <c r="CGL41" i="18"/>
  <c r="CGM41" i="18" s="1"/>
  <c r="CGL42" i="18"/>
  <c r="CGM42" i="18" s="1"/>
  <c r="CGL43" i="18"/>
  <c r="CGM43" i="18" s="1"/>
  <c r="CGL44" i="18"/>
  <c r="CGM44" i="18" s="1"/>
  <c r="CGL45" i="18"/>
  <c r="CGM45" i="18" s="1"/>
  <c r="CGL34" i="18"/>
  <c r="CGM34" i="18" s="1"/>
  <c r="CGL8" i="18"/>
  <c r="CGM8" i="18" s="1"/>
  <c r="CGL9" i="18"/>
  <c r="CGM9" i="18" s="1"/>
  <c r="CGL11" i="18"/>
  <c r="CGM11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5" i="18" l="1"/>
  <c r="CGE35" i="18" s="1"/>
  <c r="CGD36" i="18"/>
  <c r="CGE36" i="18" s="1"/>
  <c r="CGD37" i="18"/>
  <c r="CGE37" i="18" s="1"/>
  <c r="CGD38" i="18"/>
  <c r="CGE38" i="18" s="1"/>
  <c r="CGD39" i="18"/>
  <c r="CGE39" i="18" s="1"/>
  <c r="CGD41" i="18"/>
  <c r="CGE41" i="18" s="1"/>
  <c r="CGD42" i="18"/>
  <c r="CGE42" i="18" s="1"/>
  <c r="CGD43" i="18"/>
  <c r="CGE43" i="18" s="1"/>
  <c r="CGD44" i="18"/>
  <c r="CGE44" i="18" s="1"/>
  <c r="CGD45" i="18"/>
  <c r="CGE45" i="18" s="1"/>
  <c r="CGD34" i="18"/>
  <c r="CGE34" i="18" s="1"/>
  <c r="CGD8" i="18"/>
  <c r="CGE8" i="18" s="1"/>
  <c r="CGD9" i="18"/>
  <c r="CGE9" i="18" s="1"/>
  <c r="CGD11" i="18"/>
  <c r="CGE11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5" i="18"/>
  <c r="CFW35" i="18" s="1"/>
  <c r="CFV36" i="18"/>
  <c r="CFW36" i="18" s="1"/>
  <c r="CFV37" i="18"/>
  <c r="CFW37" i="18" s="1"/>
  <c r="CFV38" i="18"/>
  <c r="CFW38" i="18" s="1"/>
  <c r="CFV39" i="18"/>
  <c r="CFW39" i="18" s="1"/>
  <c r="CFV41" i="18"/>
  <c r="CFW41" i="18" s="1"/>
  <c r="CFV42" i="18"/>
  <c r="CFW42" i="18" s="1"/>
  <c r="CFV43" i="18"/>
  <c r="CFW43" i="18" s="1"/>
  <c r="CFV44" i="18"/>
  <c r="CFW44" i="18" s="1"/>
  <c r="CFV45" i="18"/>
  <c r="CFW45" i="18" s="1"/>
  <c r="CFV34" i="18"/>
  <c r="CFW34" i="18" s="1"/>
  <c r="CFV8" i="18"/>
  <c r="CFW8" i="18" s="1"/>
  <c r="CFV9" i="18"/>
  <c r="CFW9" i="18" s="1"/>
  <c r="CFV11" i="18"/>
  <c r="CFW11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7" i="18"/>
  <c r="CFW7" i="18" s="1"/>
  <c r="CFN35" i="18"/>
  <c r="CFO35" i="18" s="1"/>
  <c r="CFN36" i="18"/>
  <c r="CFO36" i="18" s="1"/>
  <c r="CFN37" i="18"/>
  <c r="CFO37" i="18" s="1"/>
  <c r="CFN38" i="18"/>
  <c r="CFO38" i="18" s="1"/>
  <c r="CFN39" i="18"/>
  <c r="CFO39" i="18" s="1"/>
  <c r="CFN41" i="18"/>
  <c r="CFO41" i="18" s="1"/>
  <c r="CFN42" i="18"/>
  <c r="CFO42" i="18" s="1"/>
  <c r="CFN43" i="18"/>
  <c r="CFO43" i="18" s="1"/>
  <c r="CFN44" i="18"/>
  <c r="CFO44" i="18" s="1"/>
  <c r="CFN45" i="18"/>
  <c r="CFO45" i="18" s="1"/>
  <c r="CFN8" i="18"/>
  <c r="CFO8" i="18" s="1"/>
  <c r="CFN9" i="18"/>
  <c r="CFO9" i="18" s="1"/>
  <c r="CFN11" i="18"/>
  <c r="CFO11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7" i="18"/>
  <c r="CFO7" i="18" s="1"/>
  <c r="CFN34" i="18"/>
  <c r="CFO34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5" i="18"/>
  <c r="CFG35" i="18" s="1"/>
  <c r="CFF36" i="18"/>
  <c r="CFG36" i="18" s="1"/>
  <c r="CFF37" i="18"/>
  <c r="CFG37" i="18" s="1"/>
  <c r="CFF39" i="18"/>
  <c r="CFG39" i="18" s="1"/>
  <c r="CFF41" i="18"/>
  <c r="CFG41" i="18" s="1"/>
  <c r="CFF42" i="18"/>
  <c r="CFG42" i="18" s="1"/>
  <c r="CFF43" i="18"/>
  <c r="CFG43" i="18" s="1"/>
  <c r="CFF44" i="18"/>
  <c r="CFG44" i="18" s="1"/>
  <c r="CFF45" i="18"/>
  <c r="CFG45" i="18" s="1"/>
  <c r="CFF34" i="18"/>
  <c r="CFG34" i="18" s="1"/>
  <c r="CFF8" i="18"/>
  <c r="CFG8" i="18" s="1"/>
  <c r="CFF9" i="18"/>
  <c r="CFG9" i="18" s="1"/>
  <c r="CFF11" i="18"/>
  <c r="CFG11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3" i="18"/>
  <c r="CEY43" i="18" s="1"/>
  <c r="CEX37" i="18"/>
  <c r="CEY37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5" i="18"/>
  <c r="CEY35" i="18" s="1"/>
  <c r="CEX36" i="18"/>
  <c r="CEY36" i="18" s="1"/>
  <c r="CEX39" i="18"/>
  <c r="CEY39" i="18" s="1"/>
  <c r="CEX41" i="18"/>
  <c r="CEY41" i="18" s="1"/>
  <c r="CEX42" i="18"/>
  <c r="CEY42" i="18" s="1"/>
  <c r="CEX44" i="18"/>
  <c r="CEY44" i="18" s="1"/>
  <c r="CEX45" i="18"/>
  <c r="CEY45" i="18" s="1"/>
  <c r="CEX34" i="18"/>
  <c r="CEY34" i="18" s="1"/>
  <c r="CEX8" i="18"/>
  <c r="CEY8" i="18" s="1"/>
  <c r="CEX9" i="18"/>
  <c r="CEY9" i="18" s="1"/>
  <c r="CEX11" i="18"/>
  <c r="CEY11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7" i="18"/>
  <c r="CEY7" i="18" s="1"/>
  <c r="CEP35" i="18"/>
  <c r="CEQ35" i="18" s="1"/>
  <c r="CEP36" i="18"/>
  <c r="CEQ36" i="18" s="1"/>
  <c r="CEP37" i="18"/>
  <c r="CEQ37" i="18" s="1"/>
  <c r="CEP39" i="18"/>
  <c r="CEQ39" i="18" s="1"/>
  <c r="CEP41" i="18"/>
  <c r="CEQ41" i="18" s="1"/>
  <c r="CEP42" i="18"/>
  <c r="CEQ42" i="18" s="1"/>
  <c r="CEP43" i="18"/>
  <c r="CEQ43" i="18" s="1"/>
  <c r="CEP44" i="18"/>
  <c r="CEQ44" i="18" s="1"/>
  <c r="CEP45" i="18"/>
  <c r="CEQ45" i="18" s="1"/>
  <c r="CEP8" i="18"/>
  <c r="CEQ8" i="18" s="1"/>
  <c r="CEP9" i="18"/>
  <c r="CEQ9" i="18" s="1"/>
  <c r="CEP11" i="18"/>
  <c r="CEQ11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7" i="18"/>
  <c r="CEQ7" i="18" s="1"/>
  <c r="CEP34" i="18"/>
  <c r="CEQ34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5" i="18"/>
  <c r="CEI35" i="18" s="1"/>
  <c r="CEH36" i="18"/>
  <c r="CEI36" i="18" s="1"/>
  <c r="CEH37" i="18"/>
  <c r="CEI37" i="18" s="1"/>
  <c r="CEH39" i="18"/>
  <c r="CEI39" i="18" s="1"/>
  <c r="CEH41" i="18"/>
  <c r="CEI41" i="18" s="1"/>
  <c r="CEH42" i="18"/>
  <c r="CEI42" i="18" s="1"/>
  <c r="CEH43" i="18"/>
  <c r="CEI43" i="18" s="1"/>
  <c r="CEH44" i="18"/>
  <c r="CEI44" i="18" s="1"/>
  <c r="CEH45" i="18"/>
  <c r="CEI45" i="18" s="1"/>
  <c r="CEH34" i="18"/>
  <c r="CEI34" i="18" s="1"/>
  <c r="CEH8" i="18"/>
  <c r="CEI8" i="18" s="1"/>
  <c r="CEH9" i="18"/>
  <c r="CEI9" i="18" s="1"/>
  <c r="CEH11" i="18"/>
  <c r="CEI11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7" i="18"/>
  <c r="CEI7" i="18" s="1"/>
  <c r="CDZ35" i="18"/>
  <c r="CEA35" i="18" s="1"/>
  <c r="CDZ36" i="18"/>
  <c r="CEA36" i="18" s="1"/>
  <c r="CDZ37" i="18"/>
  <c r="CEA37" i="18" s="1"/>
  <c r="CDZ39" i="18"/>
  <c r="CEA39" i="18" s="1"/>
  <c r="CDZ41" i="18"/>
  <c r="CEA41" i="18" s="1"/>
  <c r="CDZ42" i="18"/>
  <c r="CEA42" i="18" s="1"/>
  <c r="CDZ43" i="18"/>
  <c r="CEA43" i="18" s="1"/>
  <c r="CDZ44" i="18"/>
  <c r="CEA44" i="18" s="1"/>
  <c r="CDZ45" i="18"/>
  <c r="CEA45" i="18" s="1"/>
  <c r="CDZ34" i="18"/>
  <c r="CEA34" i="18" s="1"/>
  <c r="CDZ8" i="18"/>
  <c r="CEA8" i="18" s="1"/>
  <c r="CDZ9" i="18"/>
  <c r="CEA9" i="18" s="1"/>
  <c r="CDZ11" i="18"/>
  <c r="CEA11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5" i="18"/>
  <c r="CDS35" i="18" s="1"/>
  <c r="CDR36" i="18"/>
  <c r="CDS36" i="18" s="1"/>
  <c r="CDR37" i="18"/>
  <c r="CDS37" i="18" s="1"/>
  <c r="CDR39" i="18"/>
  <c r="CDS39" i="18" s="1"/>
  <c r="CDR41" i="18"/>
  <c r="CDS41" i="18" s="1"/>
  <c r="CDR42" i="18"/>
  <c r="CDS42" i="18" s="1"/>
  <c r="CDR43" i="18"/>
  <c r="CDS43" i="18" s="1"/>
  <c r="CDR44" i="18"/>
  <c r="CDS44" i="18" s="1"/>
  <c r="CDR45" i="18"/>
  <c r="CDS45" i="18" s="1"/>
  <c r="CDR34" i="18"/>
  <c r="CDS34" i="18" s="1"/>
  <c r="CDR8" i="18"/>
  <c r="CDS8" i="18" s="1"/>
  <c r="CDR9" i="18"/>
  <c r="CDS9" i="18" s="1"/>
  <c r="CDR11" i="18"/>
  <c r="CDS11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5" i="17" s="1"/>
  <c r="S75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5" i="18"/>
  <c r="CDK35" i="18" s="1"/>
  <c r="CDJ36" i="18"/>
  <c r="CDK36" i="18" s="1"/>
  <c r="CDJ37" i="18"/>
  <c r="CDK37" i="18" s="1"/>
  <c r="CDJ39" i="18"/>
  <c r="CDK39" i="18" s="1"/>
  <c r="CDJ41" i="18"/>
  <c r="CDK41" i="18" s="1"/>
  <c r="CDJ42" i="18"/>
  <c r="CDK42" i="18" s="1"/>
  <c r="CDJ43" i="18"/>
  <c r="CDK43" i="18" s="1"/>
  <c r="CDJ44" i="18"/>
  <c r="CDK44" i="18" s="1"/>
  <c r="CDJ45" i="18"/>
  <c r="CDK45" i="18" s="1"/>
  <c r="CDJ34" i="18"/>
  <c r="CDK34" i="18" s="1"/>
  <c r="CDJ8" i="18"/>
  <c r="CDK8" i="18" s="1"/>
  <c r="CDJ9" i="18"/>
  <c r="CDK9" i="18" s="1"/>
  <c r="CDJ11" i="18"/>
  <c r="CDK11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7" i="18"/>
  <c r="CDK7" i="18" s="1"/>
  <c r="R8" i="18"/>
  <c r="V8" i="18" s="1"/>
  <c r="R9" i="18"/>
  <c r="V9" i="18" s="1"/>
  <c r="R11" i="18"/>
  <c r="V11" i="18" s="1"/>
  <c r="R12" i="18"/>
  <c r="V12" i="18" s="1"/>
  <c r="R13" i="18"/>
  <c r="V13" i="18" s="1"/>
  <c r="R14" i="18"/>
  <c r="R15" i="18"/>
  <c r="R16" i="18"/>
  <c r="R17" i="18"/>
  <c r="R18" i="18"/>
  <c r="R19" i="18"/>
  <c r="R20" i="18"/>
  <c r="R21" i="18"/>
  <c r="CDB35" i="18"/>
  <c r="CDC35" i="18" s="1"/>
  <c r="CDB36" i="18"/>
  <c r="CDC36" i="18" s="1"/>
  <c r="CDB37" i="18"/>
  <c r="CDC37" i="18" s="1"/>
  <c r="CDB39" i="18"/>
  <c r="CDC39" i="18" s="1"/>
  <c r="CDB41" i="18"/>
  <c r="CDC41" i="18" s="1"/>
  <c r="CDB42" i="18"/>
  <c r="CDC42" i="18" s="1"/>
  <c r="CDB43" i="18"/>
  <c r="CDC43" i="18" s="1"/>
  <c r="CDB44" i="18"/>
  <c r="CDC44" i="18" s="1"/>
  <c r="CDB45" i="18"/>
  <c r="CDC45" i="18" s="1"/>
  <c r="CDB34" i="18"/>
  <c r="CDC34" i="18" s="1"/>
  <c r="CDB8" i="18"/>
  <c r="CDC8" i="18" s="1"/>
  <c r="CDB9" i="18"/>
  <c r="CDC9" i="18" s="1"/>
  <c r="CDB11" i="18"/>
  <c r="CDC11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6" i="18"/>
  <c r="CCU36" i="18" s="1"/>
  <c r="CCT37" i="18"/>
  <c r="CCU37" i="18" s="1"/>
  <c r="CCT39" i="18"/>
  <c r="CCU39" i="18" s="1"/>
  <c r="CCT41" i="18"/>
  <c r="CCU41" i="18" s="1"/>
  <c r="CCT42" i="18"/>
  <c r="CCU42" i="18" s="1"/>
  <c r="CCT44" i="18"/>
  <c r="CCU44" i="18" s="1"/>
  <c r="CCT45" i="18"/>
  <c r="CCU45" i="18" s="1"/>
  <c r="CCT34" i="18"/>
  <c r="CCU34" i="18" s="1"/>
  <c r="CCT8" i="18"/>
  <c r="CCU8" i="18" s="1"/>
  <c r="CCT11" i="18"/>
  <c r="CCU11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6" i="18"/>
  <c r="CCM36" i="18" s="1"/>
  <c r="CCL37" i="18"/>
  <c r="CCM37" i="18" s="1"/>
  <c r="CCL39" i="18"/>
  <c r="CCM39" i="18" s="1"/>
  <c r="CCL41" i="18"/>
  <c r="CCM41" i="18" s="1"/>
  <c r="CCL42" i="18"/>
  <c r="CCM42" i="18" s="1"/>
  <c r="CCL44" i="18"/>
  <c r="CCM44" i="18" s="1"/>
  <c r="CCL45" i="18"/>
  <c r="CCM45" i="18" s="1"/>
  <c r="CCL34" i="18"/>
  <c r="CCM34" i="18" s="1"/>
  <c r="CCL8" i="18"/>
  <c r="CCM8" i="18" s="1"/>
  <c r="CCL11" i="18"/>
  <c r="CCM11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1" i="18" l="1"/>
  <c r="G85" i="25" s="1"/>
  <c r="M37" i="18"/>
  <c r="G81" i="25" s="1"/>
  <c r="M43" i="18"/>
  <c r="G87" i="25" s="1"/>
  <c r="M36" i="18"/>
  <c r="G80" i="25" s="1"/>
  <c r="M38" i="18"/>
  <c r="G82" i="25" s="1"/>
  <c r="M35" i="18"/>
  <c r="G79" i="25" s="1"/>
  <c r="Q9" i="18"/>
  <c r="T9" i="18"/>
  <c r="R56" i="17"/>
  <c r="R57" i="17"/>
  <c r="R59" i="17"/>
  <c r="U56" i="17"/>
  <c r="V36" i="18" l="1"/>
  <c r="V35" i="18"/>
  <c r="V37" i="18"/>
  <c r="V41" i="18"/>
  <c r="V43" i="18"/>
  <c r="O37" i="18"/>
  <c r="O38" i="18"/>
  <c r="O35" i="18"/>
  <c r="O36" i="18"/>
  <c r="O43" i="18"/>
  <c r="O41" i="18"/>
  <c r="T37" i="18"/>
  <c r="T35" i="18"/>
  <c r="T41" i="18"/>
  <c r="T43" i="18"/>
  <c r="T36" i="18"/>
  <c r="Q36" i="18"/>
  <c r="Q41" i="18"/>
  <c r="Q35" i="18"/>
  <c r="Q43" i="18" l="1"/>
  <c r="Q37" i="18"/>
  <c r="CCD36" i="18"/>
  <c r="CCE36" i="18" s="1"/>
  <c r="CCD37" i="18"/>
  <c r="CCE37" i="18" s="1"/>
  <c r="CCD39" i="18"/>
  <c r="CCE39" i="18" s="1"/>
  <c r="CCD41" i="18"/>
  <c r="CCE41" i="18" s="1"/>
  <c r="CCD42" i="18"/>
  <c r="CCE42" i="18" s="1"/>
  <c r="CCD44" i="18"/>
  <c r="CCE44" i="18" s="1"/>
  <c r="CCD45" i="18"/>
  <c r="CCE45" i="18" s="1"/>
  <c r="CCD34" i="18"/>
  <c r="CCE34" i="18" s="1"/>
  <c r="CCD8" i="18"/>
  <c r="CCE8" i="18" s="1"/>
  <c r="CCD11" i="18"/>
  <c r="CCE11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6" i="18" l="1"/>
  <c r="CBW36" i="18" s="1"/>
  <c r="CBV37" i="18"/>
  <c r="CBW37" i="18" s="1"/>
  <c r="CBV39" i="18"/>
  <c r="CBW39" i="18" s="1"/>
  <c r="CBV41" i="18"/>
  <c r="CBW41" i="18" s="1"/>
  <c r="CBV42" i="18"/>
  <c r="CBW42" i="18" s="1"/>
  <c r="CBV44" i="18"/>
  <c r="CBW44" i="18" s="1"/>
  <c r="CBV45" i="18"/>
  <c r="CBW45" i="18" s="1"/>
  <c r="CBV34" i="18"/>
  <c r="CBW34" i="18" s="1"/>
  <c r="CBV8" i="18"/>
  <c r="CBW8" i="18" s="1"/>
  <c r="CBV11" i="18"/>
  <c r="CBW11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6" i="18" l="1"/>
  <c r="CBO36" i="18" s="1"/>
  <c r="CBN37" i="18"/>
  <c r="CBO37" i="18" s="1"/>
  <c r="CBN39" i="18"/>
  <c r="CBO39" i="18" s="1"/>
  <c r="CBN41" i="18"/>
  <c r="CBO41" i="18" s="1"/>
  <c r="CBN42" i="18"/>
  <c r="CBO42" i="18" s="1"/>
  <c r="CBN44" i="18"/>
  <c r="CBO44" i="18" s="1"/>
  <c r="CBN45" i="18"/>
  <c r="CBO45" i="18" s="1"/>
  <c r="CBN34" i="18"/>
  <c r="CBO34" i="18" s="1"/>
  <c r="CBN8" i="18"/>
  <c r="CBO8" i="18" s="1"/>
  <c r="CBN11" i="18"/>
  <c r="CBO11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6" i="18"/>
  <c r="CBG36" i="18" s="1"/>
  <c r="CBF37" i="18"/>
  <c r="CBG37" i="18" s="1"/>
  <c r="CBF39" i="18"/>
  <c r="CBG39" i="18" s="1"/>
  <c r="CBF41" i="18"/>
  <c r="CBG41" i="18" s="1"/>
  <c r="CBF42" i="18"/>
  <c r="CBG42" i="18" s="1"/>
  <c r="CBF44" i="18"/>
  <c r="CBG44" i="18" s="1"/>
  <c r="CBF45" i="18"/>
  <c r="CBG45" i="18" s="1"/>
  <c r="CBF34" i="18"/>
  <c r="CBG34" i="18" s="1"/>
  <c r="CBF8" i="18"/>
  <c r="CBG8" i="18" s="1"/>
  <c r="CBF11" i="18"/>
  <c r="CBG11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7" i="18"/>
  <c r="CBG7" i="18" s="1"/>
  <c r="BTQ10" i="19" l="1"/>
  <c r="CAX36" i="18" l="1"/>
  <c r="CAY36" i="18" s="1"/>
  <c r="CAX37" i="18"/>
  <c r="CAY37" i="18" s="1"/>
  <c r="CAX39" i="18"/>
  <c r="CAY39" i="18" s="1"/>
  <c r="CAX41" i="18"/>
  <c r="CAY41" i="18" s="1"/>
  <c r="CAX42" i="18"/>
  <c r="CAY42" i="18" s="1"/>
  <c r="CAX44" i="18"/>
  <c r="CAY44" i="18" s="1"/>
  <c r="CAX45" i="18"/>
  <c r="CAY45" i="18" s="1"/>
  <c r="CAX34" i="18"/>
  <c r="CAY34" i="18" s="1"/>
  <c r="CAX8" i="18"/>
  <c r="CAY8" i="18" s="1"/>
  <c r="CAX11" i="18"/>
  <c r="CAY11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6" i="18" l="1"/>
  <c r="CAQ36" i="18" s="1"/>
  <c r="CAP37" i="18"/>
  <c r="CAQ37" i="18" s="1"/>
  <c r="CAP39" i="18"/>
  <c r="CAQ39" i="18" s="1"/>
  <c r="CAP41" i="18"/>
  <c r="CAQ41" i="18" s="1"/>
  <c r="CAP42" i="18"/>
  <c r="CAQ42" i="18" s="1"/>
  <c r="CAP44" i="18"/>
  <c r="CAQ44" i="18" s="1"/>
  <c r="CAP45" i="18"/>
  <c r="CAQ45" i="18" s="1"/>
  <c r="CAP34" i="18"/>
  <c r="CAQ34" i="18" s="1"/>
  <c r="CAP8" i="18"/>
  <c r="CAQ8" i="18" s="1"/>
  <c r="CAP11" i="18"/>
  <c r="CAQ11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6" i="18" l="1"/>
  <c r="CAI36" i="18" s="1"/>
  <c r="CAH37" i="18"/>
  <c r="CAI37" i="18" s="1"/>
  <c r="CAH39" i="18"/>
  <c r="CAI39" i="18" s="1"/>
  <c r="CAH41" i="18"/>
  <c r="CAI41" i="18" s="1"/>
  <c r="CAH42" i="18"/>
  <c r="CAI42" i="18" s="1"/>
  <c r="CAH44" i="18"/>
  <c r="CAI44" i="18" s="1"/>
  <c r="CAH45" i="18"/>
  <c r="CAI45" i="18" s="1"/>
  <c r="CAH34" i="18"/>
  <c r="CAI34" i="18" s="1"/>
  <c r="CAH8" i="18"/>
  <c r="CAI8" i="18" s="1"/>
  <c r="CAH11" i="18"/>
  <c r="CAI11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6" i="18" l="1"/>
  <c r="CAA36" i="18" s="1"/>
  <c r="BZZ37" i="18"/>
  <c r="CAA37" i="18" s="1"/>
  <c r="BZZ39" i="18"/>
  <c r="CAA39" i="18" s="1"/>
  <c r="BZZ41" i="18"/>
  <c r="CAA41" i="18" s="1"/>
  <c r="BZZ42" i="18"/>
  <c r="CAA42" i="18" s="1"/>
  <c r="BZZ44" i="18"/>
  <c r="CAA44" i="18" s="1"/>
  <c r="BZZ45" i="18"/>
  <c r="CAA45" i="18" s="1"/>
  <c r="BZZ34" i="18"/>
  <c r="CAA34" i="18" s="1"/>
  <c r="BZZ8" i="18"/>
  <c r="CAA8" i="18" s="1"/>
  <c r="BZZ11" i="18"/>
  <c r="CAA11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6" i="18" l="1"/>
  <c r="BZS36" i="18" s="1"/>
  <c r="BZR37" i="18"/>
  <c r="BZS37" i="18" s="1"/>
  <c r="BZR39" i="18"/>
  <c r="BZS39" i="18" s="1"/>
  <c r="BZR41" i="18"/>
  <c r="BZS41" i="18" s="1"/>
  <c r="BZR42" i="18"/>
  <c r="BZS42" i="18" s="1"/>
  <c r="BZR44" i="18"/>
  <c r="BZS44" i="18" s="1"/>
  <c r="BZR45" i="18"/>
  <c r="BZS45" i="18" s="1"/>
  <c r="BZR34" i="18"/>
  <c r="BZS34" i="18" s="1"/>
  <c r="BZR8" i="18"/>
  <c r="BZS8" i="18" s="1"/>
  <c r="BZR11" i="18"/>
  <c r="BZS11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6" i="18" l="1"/>
  <c r="BZK36" i="18" s="1"/>
  <c r="BZJ37" i="18"/>
  <c r="BZK37" i="18" s="1"/>
  <c r="BZJ39" i="18"/>
  <c r="BZK39" i="18" s="1"/>
  <c r="BZJ41" i="18"/>
  <c r="BZK41" i="18" s="1"/>
  <c r="BZJ42" i="18"/>
  <c r="BZK42" i="18" s="1"/>
  <c r="BZJ44" i="18"/>
  <c r="BZK44" i="18" s="1"/>
  <c r="BZJ45" i="18"/>
  <c r="BZK45" i="18" s="1"/>
  <c r="BZJ34" i="18"/>
  <c r="BZK34" i="18" s="1"/>
  <c r="BZJ8" i="18"/>
  <c r="BZK8" i="18" s="1"/>
  <c r="BZJ11" i="18"/>
  <c r="BZK11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6" i="18" l="1"/>
  <c r="BZC36" i="18" s="1"/>
  <c r="BZB37" i="18"/>
  <c r="BZC37" i="18" s="1"/>
  <c r="BZB39" i="18"/>
  <c r="BZC39" i="18" s="1"/>
  <c r="BZB41" i="18"/>
  <c r="BZC41" i="18" s="1"/>
  <c r="BZB42" i="18"/>
  <c r="BZC42" i="18" s="1"/>
  <c r="BZB44" i="18"/>
  <c r="BZC44" i="18" s="1"/>
  <c r="BZB45" i="18"/>
  <c r="BZC45" i="18" s="1"/>
  <c r="BZB34" i="18"/>
  <c r="BZC34" i="18" s="1"/>
  <c r="BZB8" i="18"/>
  <c r="BZC8" i="18" s="1"/>
  <c r="BZB11" i="18"/>
  <c r="BZC11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6" i="18"/>
  <c r="BYU36" i="18" s="1"/>
  <c r="BYT37" i="18"/>
  <c r="BYU37" i="18" s="1"/>
  <c r="BYT39" i="18"/>
  <c r="BYU39" i="18" s="1"/>
  <c r="BYT41" i="18"/>
  <c r="BYU41" i="18" s="1"/>
  <c r="BYT42" i="18"/>
  <c r="BYU42" i="18" s="1"/>
  <c r="BYT44" i="18"/>
  <c r="BYU44" i="18" s="1"/>
  <c r="BYT45" i="18"/>
  <c r="BYU45" i="18" s="1"/>
  <c r="BYT34" i="18"/>
  <c r="BYU34" i="18" s="1"/>
  <c r="BYT8" i="18"/>
  <c r="BYU8" i="18" s="1"/>
  <c r="BYT11" i="18"/>
  <c r="BYU11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7" i="18"/>
  <c r="BYU7" i="18" s="1"/>
  <c r="BYL36" i="18" l="1"/>
  <c r="BYM36" i="18" s="1"/>
  <c r="BYL37" i="18"/>
  <c r="BYM37" i="18" s="1"/>
  <c r="BYL39" i="18"/>
  <c r="BYM39" i="18" s="1"/>
  <c r="BYL41" i="18"/>
  <c r="BYM41" i="18" s="1"/>
  <c r="BYL42" i="18"/>
  <c r="BYM42" i="18" s="1"/>
  <c r="BYL44" i="18"/>
  <c r="BYM44" i="18" s="1"/>
  <c r="BYL45" i="18"/>
  <c r="BYM45" i="18" s="1"/>
  <c r="BYL34" i="18"/>
  <c r="BYM34" i="18" s="1"/>
  <c r="BYL8" i="18"/>
  <c r="BYM8" i="18" s="1"/>
  <c r="BYL11" i="18"/>
  <c r="BYM11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6" i="18"/>
  <c r="BYE36" i="18" s="1"/>
  <c r="BYD37" i="18"/>
  <c r="BYE37" i="18" s="1"/>
  <c r="BYD39" i="18"/>
  <c r="BYE39" i="18" s="1"/>
  <c r="BYD41" i="18"/>
  <c r="BYE41" i="18" s="1"/>
  <c r="BYD42" i="18"/>
  <c r="BYE42" i="18" s="1"/>
  <c r="BYD44" i="18"/>
  <c r="BYE44" i="18" s="1"/>
  <c r="BYD45" i="18"/>
  <c r="BYE45" i="18" s="1"/>
  <c r="BYD34" i="18"/>
  <c r="BYE34" i="18" s="1"/>
  <c r="BYD8" i="18"/>
  <c r="BYE8" i="18" s="1"/>
  <c r="BYD11" i="18"/>
  <c r="BYE11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7" i="18"/>
  <c r="BYE7" i="18" s="1"/>
  <c r="BXV36" i="18" l="1"/>
  <c r="BXW36" i="18" s="1"/>
  <c r="BXV37" i="18"/>
  <c r="BXW37" i="18" s="1"/>
  <c r="BXV39" i="18"/>
  <c r="BXW39" i="18" s="1"/>
  <c r="BXV41" i="18"/>
  <c r="BXW41" i="18" s="1"/>
  <c r="BXV42" i="18"/>
  <c r="BXW42" i="18" s="1"/>
  <c r="BXV44" i="18"/>
  <c r="BXW44" i="18" s="1"/>
  <c r="BXV45" i="18"/>
  <c r="BXW45" i="18" s="1"/>
  <c r="BXV34" i="18"/>
  <c r="BXW34" i="18" s="1"/>
  <c r="BXV8" i="18"/>
  <c r="BXW8" i="18" s="1"/>
  <c r="BXV11" i="18"/>
  <c r="BXW11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6" i="18"/>
  <c r="BXO36" i="18" s="1"/>
  <c r="BXN37" i="18"/>
  <c r="BXO37" i="18" s="1"/>
  <c r="BXN39" i="18"/>
  <c r="BXO39" i="18" s="1"/>
  <c r="BXN41" i="18"/>
  <c r="BXO41" i="18" s="1"/>
  <c r="BXN42" i="18"/>
  <c r="BXO42" i="18" s="1"/>
  <c r="BXN44" i="18"/>
  <c r="BXO44" i="18" s="1"/>
  <c r="BXN45" i="18"/>
  <c r="BXO45" i="18" s="1"/>
  <c r="BXN34" i="18"/>
  <c r="BXO34" i="18" s="1"/>
  <c r="BXN8" i="18"/>
  <c r="BXO8" i="18" s="1"/>
  <c r="BXN11" i="18"/>
  <c r="BXO11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6" i="18"/>
  <c r="BXG36" i="18" s="1"/>
  <c r="BXF37" i="18"/>
  <c r="BXG37" i="18" s="1"/>
  <c r="BXF39" i="18"/>
  <c r="BXG39" i="18" s="1"/>
  <c r="BXF41" i="18"/>
  <c r="BXG41" i="18" s="1"/>
  <c r="BXF42" i="18"/>
  <c r="BXG42" i="18" s="1"/>
  <c r="BXF44" i="18"/>
  <c r="BXG44" i="18" s="1"/>
  <c r="BXF45" i="18"/>
  <c r="BXG45" i="18" s="1"/>
  <c r="BXF34" i="18"/>
  <c r="BXG34" i="18" s="1"/>
  <c r="BXF8" i="18"/>
  <c r="BXG8" i="18" s="1"/>
  <c r="BXF11" i="18"/>
  <c r="BXG11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7" i="18" l="1"/>
  <c r="BXG7" i="18" s="1"/>
  <c r="BWX36" i="18" l="1"/>
  <c r="BWY36" i="18" s="1"/>
  <c r="BWX37" i="18"/>
  <c r="BWY37" i="18" s="1"/>
  <c r="BWX39" i="18"/>
  <c r="BWY39" i="18" s="1"/>
  <c r="BWX41" i="18"/>
  <c r="BWY41" i="18" s="1"/>
  <c r="BWX42" i="18"/>
  <c r="BWY42" i="18" s="1"/>
  <c r="BWX44" i="18"/>
  <c r="BWY44" i="18" s="1"/>
  <c r="BWX45" i="18"/>
  <c r="BWY45" i="18" s="1"/>
  <c r="BWX34" i="18"/>
  <c r="BWY34" i="18" s="1"/>
  <c r="BWX8" i="18"/>
  <c r="BWY8" i="18" s="1"/>
  <c r="BWX11" i="18"/>
  <c r="BWY11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4" i="18"/>
  <c r="K15" i="18"/>
  <c r="M15" i="18" s="1"/>
  <c r="G67" i="25" s="1"/>
  <c r="K16" i="18"/>
  <c r="M16" i="18" s="1"/>
  <c r="G68" i="25" s="1"/>
  <c r="K17" i="18"/>
  <c r="M17" i="18" s="1"/>
  <c r="G69" i="25" s="1"/>
  <c r="K18" i="18"/>
  <c r="M18" i="18" s="1"/>
  <c r="G70" i="25" s="1"/>
  <c r="K19" i="18"/>
  <c r="M19" i="18" s="1"/>
  <c r="G71" i="25" s="1"/>
  <c r="K20" i="18"/>
  <c r="M20" i="18" s="1"/>
  <c r="G72" i="25" s="1"/>
  <c r="O16" i="18" l="1"/>
  <c r="O17" i="18"/>
  <c r="O15" i="18"/>
  <c r="O20" i="18"/>
  <c r="O19" i="18"/>
  <c r="O18" i="18"/>
  <c r="M14" i="18"/>
  <c r="G66" i="25" s="1"/>
  <c r="V15" i="18"/>
  <c r="M7" i="18"/>
  <c r="G59" i="25" s="1"/>
  <c r="BWP36" i="18"/>
  <c r="BWQ36" i="18" s="1"/>
  <c r="BWP37" i="18"/>
  <c r="BWQ37" i="18" s="1"/>
  <c r="BWP39" i="18"/>
  <c r="BWQ39" i="18" s="1"/>
  <c r="BWP41" i="18"/>
  <c r="BWQ41" i="18" s="1"/>
  <c r="BWP42" i="18"/>
  <c r="BWQ42" i="18" s="1"/>
  <c r="BWP44" i="18"/>
  <c r="BWQ44" i="18" s="1"/>
  <c r="BWP45" i="18"/>
  <c r="BWQ45" i="18" s="1"/>
  <c r="BWP34" i="18"/>
  <c r="BWQ34" i="18" s="1"/>
  <c r="BWP8" i="18"/>
  <c r="BWQ8" i="18" s="1"/>
  <c r="BWP11" i="18"/>
  <c r="BWQ11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4" i="18" l="1"/>
  <c r="V14" i="18"/>
  <c r="BWH36" i="18"/>
  <c r="BWI36" i="18" s="1"/>
  <c r="BWH37" i="18"/>
  <c r="BWI37" i="18" s="1"/>
  <c r="BWH39" i="18"/>
  <c r="BWI39" i="18" s="1"/>
  <c r="BWH41" i="18"/>
  <c r="BWI41" i="18" s="1"/>
  <c r="BWH42" i="18"/>
  <c r="BWI42" i="18" s="1"/>
  <c r="BWH44" i="18"/>
  <c r="BWI44" i="18" s="1"/>
  <c r="BWH45" i="18"/>
  <c r="BWI45" i="18" s="1"/>
  <c r="BWH34" i="18"/>
  <c r="BWI34" i="18" s="1"/>
  <c r="BWH8" i="18"/>
  <c r="BWI8" i="18" s="1"/>
  <c r="BWH11" i="18"/>
  <c r="BWI11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5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6" i="18"/>
  <c r="BWA36" i="18" s="1"/>
  <c r="BVZ37" i="18"/>
  <c r="BWA37" i="18" s="1"/>
  <c r="BVZ39" i="18"/>
  <c r="BWA39" i="18" s="1"/>
  <c r="BVZ41" i="18"/>
  <c r="BWA41" i="18" s="1"/>
  <c r="BVZ42" i="18"/>
  <c r="BWA42" i="18" s="1"/>
  <c r="BVZ44" i="18"/>
  <c r="BWA44" i="18" s="1"/>
  <c r="BVZ45" i="18"/>
  <c r="BWA45" i="18" s="1"/>
  <c r="BVZ34" i="18"/>
  <c r="BWA34" i="18" s="1"/>
  <c r="BVZ8" i="18"/>
  <c r="BWA8" i="18" s="1"/>
  <c r="BVZ11" i="18"/>
  <c r="BWA11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6" i="18"/>
  <c r="BVS36" i="18" s="1"/>
  <c r="BVR37" i="18"/>
  <c r="BVS37" i="18" s="1"/>
  <c r="BVR39" i="18"/>
  <c r="BVS39" i="18" s="1"/>
  <c r="BVR41" i="18"/>
  <c r="BVS41" i="18" s="1"/>
  <c r="BVR42" i="18"/>
  <c r="BVS42" i="18" s="1"/>
  <c r="BVR44" i="18"/>
  <c r="BVS44" i="18" s="1"/>
  <c r="BVR45" i="18"/>
  <c r="BVS45" i="18" s="1"/>
  <c r="BVR34" i="18"/>
  <c r="BVS34" i="18" s="1"/>
  <c r="BVR8" i="18"/>
  <c r="BVS8" i="18" s="1"/>
  <c r="BVR11" i="18"/>
  <c r="BVS11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7" i="18"/>
  <c r="BVS7" i="18" s="1"/>
  <c r="BVJ36" i="18" l="1"/>
  <c r="BVK36" i="18" s="1"/>
  <c r="BVJ37" i="18"/>
  <c r="BVK37" i="18" s="1"/>
  <c r="BVJ39" i="18"/>
  <c r="BVK39" i="18" s="1"/>
  <c r="BVJ41" i="18"/>
  <c r="BVK41" i="18" s="1"/>
  <c r="BVJ42" i="18"/>
  <c r="BVK42" i="18" s="1"/>
  <c r="BVJ44" i="18"/>
  <c r="BVK44" i="18" s="1"/>
  <c r="BVJ45" i="18"/>
  <c r="BVK45" i="18" s="1"/>
  <c r="BVJ34" i="18"/>
  <c r="BVK34" i="18" s="1"/>
  <c r="BVJ8" i="18"/>
  <c r="BVK8" i="18" s="1"/>
  <c r="BVJ11" i="18"/>
  <c r="BVK11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3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6" i="18"/>
  <c r="BVC36" i="18" s="1"/>
  <c r="BVB37" i="18"/>
  <c r="BVC37" i="18" s="1"/>
  <c r="BVB39" i="18"/>
  <c r="BVC39" i="18" s="1"/>
  <c r="BVB41" i="18"/>
  <c r="BVC41" i="18" s="1"/>
  <c r="BVB42" i="18"/>
  <c r="BVC42" i="18" s="1"/>
  <c r="BVB44" i="18"/>
  <c r="BVC44" i="18" s="1"/>
  <c r="BVB45" i="18"/>
  <c r="BVC45" i="18" s="1"/>
  <c r="BVB34" i="18"/>
  <c r="BVC34" i="18" s="1"/>
  <c r="BVB8" i="18"/>
  <c r="BVC8" i="18" s="1"/>
  <c r="BVB11" i="18"/>
  <c r="BVC11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7" i="18"/>
  <c r="BVC7" i="18" s="1"/>
  <c r="BUT36" i="18" l="1"/>
  <c r="BUU36" i="18" s="1"/>
  <c r="BUT37" i="18"/>
  <c r="BUU37" i="18" s="1"/>
  <c r="BUT39" i="18"/>
  <c r="BUU39" i="18" s="1"/>
  <c r="BUT41" i="18"/>
  <c r="BUU41" i="18" s="1"/>
  <c r="BUT42" i="18"/>
  <c r="BUU42" i="18" s="1"/>
  <c r="BUT44" i="18"/>
  <c r="BUU44" i="18" s="1"/>
  <c r="BUT45" i="18"/>
  <c r="BUU45" i="18" s="1"/>
  <c r="BUT34" i="18"/>
  <c r="BUU34" i="18" s="1"/>
  <c r="BUT8" i="18"/>
  <c r="BUU8" i="18" s="1"/>
  <c r="BUT11" i="18"/>
  <c r="BUU11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6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6" i="18"/>
  <c r="BUM36" i="18" s="1"/>
  <c r="BUL37" i="18"/>
  <c r="BUM37" i="18" s="1"/>
  <c r="BUL39" i="18"/>
  <c r="BUM39" i="18" s="1"/>
  <c r="BUL41" i="18"/>
  <c r="BUM41" i="18" s="1"/>
  <c r="BUL42" i="18"/>
  <c r="BUM42" i="18" s="1"/>
  <c r="BUL44" i="18"/>
  <c r="BUM44" i="18" s="1"/>
  <c r="BUL45" i="18"/>
  <c r="BUM45" i="18" s="1"/>
  <c r="BUL34" i="18"/>
  <c r="BUM34" i="18" s="1"/>
  <c r="BUL8" i="18"/>
  <c r="BUM8" i="18" s="1"/>
  <c r="BUL11" i="18"/>
  <c r="BUM11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7" i="18"/>
  <c r="BUM7" i="18" s="1"/>
  <c r="M11" i="19" l="1"/>
  <c r="G109" i="25" s="1"/>
  <c r="V11" i="19" l="1"/>
  <c r="T11" i="19"/>
  <c r="Q11" i="19"/>
  <c r="O11" i="19"/>
  <c r="BUD36" i="18"/>
  <c r="BUE36" i="18" s="1"/>
  <c r="BUD37" i="18"/>
  <c r="BUE37" i="18" s="1"/>
  <c r="BUD39" i="18"/>
  <c r="BUE39" i="18" s="1"/>
  <c r="BUD41" i="18"/>
  <c r="BUE41" i="18" s="1"/>
  <c r="BUD42" i="18"/>
  <c r="BUE42" i="18" s="1"/>
  <c r="BUD44" i="18"/>
  <c r="BUE44" i="18" s="1"/>
  <c r="BUD45" i="18"/>
  <c r="BUE45" i="18" s="1"/>
  <c r="BUD34" i="18"/>
  <c r="BUE34" i="18" s="1"/>
  <c r="BUD8" i="18"/>
  <c r="BUE8" i="18" s="1"/>
  <c r="BUD11" i="18"/>
  <c r="BUE11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6" i="18"/>
  <c r="BTW36" i="18" s="1"/>
  <c r="BTV37" i="18"/>
  <c r="BTW37" i="18" s="1"/>
  <c r="BTV39" i="18"/>
  <c r="BTW39" i="18" s="1"/>
  <c r="BTV41" i="18"/>
  <c r="BTW41" i="18" s="1"/>
  <c r="BTV42" i="18"/>
  <c r="BTW42" i="18" s="1"/>
  <c r="BTV44" i="18"/>
  <c r="BTW44" i="18" s="1"/>
  <c r="BTV45" i="18"/>
  <c r="BTW45" i="18" s="1"/>
  <c r="BTV34" i="18"/>
  <c r="BTW34" i="18" s="1"/>
  <c r="BTV8" i="18"/>
  <c r="BTW8" i="18" s="1"/>
  <c r="BTV11" i="18"/>
  <c r="BTW11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7" i="18"/>
  <c r="BTW7" i="18" s="1"/>
  <c r="BTN36" i="18" l="1"/>
  <c r="BTO36" i="18" s="1"/>
  <c r="BTN37" i="18"/>
  <c r="BTO37" i="18" s="1"/>
  <c r="BTN39" i="18"/>
  <c r="BTO39" i="18" s="1"/>
  <c r="BTN41" i="18"/>
  <c r="BTO41" i="18" s="1"/>
  <c r="BTN42" i="18"/>
  <c r="BTO42" i="18" s="1"/>
  <c r="BTN44" i="18"/>
  <c r="BTO44" i="18" s="1"/>
  <c r="BTN45" i="18"/>
  <c r="BTO45" i="18" s="1"/>
  <c r="BTN34" i="18"/>
  <c r="BTO34" i="18" s="1"/>
  <c r="BTN8" i="18"/>
  <c r="BTO8" i="18" s="1"/>
  <c r="BTN11" i="18"/>
  <c r="BTO11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6" i="18" l="1"/>
  <c r="BTG36" i="18" s="1"/>
  <c r="BTF37" i="18"/>
  <c r="BTG37" i="18" s="1"/>
  <c r="BTF39" i="18"/>
  <c r="BTG39" i="18" s="1"/>
  <c r="BTF41" i="18"/>
  <c r="BTG41" i="18" s="1"/>
  <c r="BTF42" i="18"/>
  <c r="BTG42" i="18" s="1"/>
  <c r="BTF44" i="18"/>
  <c r="BTG44" i="18" s="1"/>
  <c r="BTF45" i="18"/>
  <c r="BTG45" i="18" s="1"/>
  <c r="BTF34" i="18"/>
  <c r="BTG34" i="18" s="1"/>
  <c r="BTF8" i="18"/>
  <c r="BTG8" i="18" s="1"/>
  <c r="BTF11" i="18"/>
  <c r="BTG11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6" i="18" l="1"/>
  <c r="BSY36" i="18" s="1"/>
  <c r="BSX37" i="18"/>
  <c r="BSY37" i="18" s="1"/>
  <c r="BSX39" i="18"/>
  <c r="BSY39" i="18" s="1"/>
  <c r="BSX41" i="18"/>
  <c r="BSY41" i="18" s="1"/>
  <c r="BSX42" i="18"/>
  <c r="BSY42" i="18" s="1"/>
  <c r="BSX44" i="18"/>
  <c r="BSY44" i="18" s="1"/>
  <c r="BSX45" i="18"/>
  <c r="BSY45" i="18" s="1"/>
  <c r="BSX34" i="18"/>
  <c r="BSY34" i="18" s="1"/>
  <c r="BSX8" i="18"/>
  <c r="BSY8" i="18" s="1"/>
  <c r="BSX11" i="18"/>
  <c r="BSY11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6" i="18" l="1"/>
  <c r="BSQ36" i="18" s="1"/>
  <c r="BSP37" i="18"/>
  <c r="BSQ37" i="18" s="1"/>
  <c r="BSP39" i="18"/>
  <c r="BSQ39" i="18" s="1"/>
  <c r="BSP41" i="18"/>
  <c r="BSQ41" i="18" s="1"/>
  <c r="BSP42" i="18"/>
  <c r="BSQ42" i="18" s="1"/>
  <c r="BSP44" i="18"/>
  <c r="BSQ44" i="18" s="1"/>
  <c r="BSP45" i="18"/>
  <c r="BSQ45" i="18" s="1"/>
  <c r="BSP34" i="18"/>
  <c r="BSQ34" i="18" s="1"/>
  <c r="BSP8" i="18"/>
  <c r="BSQ8" i="18" s="1"/>
  <c r="BSP11" i="18"/>
  <c r="BSQ11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6" i="18"/>
  <c r="BSI36" i="18" s="1"/>
  <c r="BSH37" i="18"/>
  <c r="BSI37" i="18" s="1"/>
  <c r="BSH39" i="18"/>
  <c r="BSI39" i="18" s="1"/>
  <c r="BSH41" i="18"/>
  <c r="BSI41" i="18" s="1"/>
  <c r="BSH42" i="18"/>
  <c r="BSI42" i="18" s="1"/>
  <c r="BSH44" i="18"/>
  <c r="BSI44" i="18" s="1"/>
  <c r="BSH45" i="18"/>
  <c r="BSI45" i="18" s="1"/>
  <c r="BSH34" i="18"/>
  <c r="BSI34" i="18" s="1"/>
  <c r="BSH8" i="18"/>
  <c r="BSI8" i="18" s="1"/>
  <c r="BSH11" i="18"/>
  <c r="BSI11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6" i="18"/>
  <c r="BSA36" i="18" s="1"/>
  <c r="BRZ37" i="18"/>
  <c r="BSA37" i="18" s="1"/>
  <c r="BRZ39" i="18"/>
  <c r="BSA39" i="18" s="1"/>
  <c r="BRZ41" i="18"/>
  <c r="BSA41" i="18" s="1"/>
  <c r="BRZ42" i="18"/>
  <c r="BSA42" i="18" s="1"/>
  <c r="BRZ44" i="18"/>
  <c r="BSA44" i="18" s="1"/>
  <c r="BRZ45" i="18"/>
  <c r="BSA45" i="18" s="1"/>
  <c r="BRZ34" i="18"/>
  <c r="BSA34" i="18" s="1"/>
  <c r="BRZ8" i="18"/>
  <c r="BSA8" i="18" s="1"/>
  <c r="BRZ11" i="18"/>
  <c r="BSA11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7" i="18"/>
  <c r="BSA7" i="18" s="1"/>
  <c r="BRR36" i="18" l="1"/>
  <c r="BRS36" i="18" s="1"/>
  <c r="BRR37" i="18"/>
  <c r="BRS37" i="18" s="1"/>
  <c r="BRR39" i="18"/>
  <c r="BRS39" i="18" s="1"/>
  <c r="BRR41" i="18"/>
  <c r="BRS41" i="18" s="1"/>
  <c r="BRR42" i="18"/>
  <c r="BRS42" i="18" s="1"/>
  <c r="BRR44" i="18"/>
  <c r="BRS44" i="18" s="1"/>
  <c r="BRR45" i="18"/>
  <c r="BRS45" i="18" s="1"/>
  <c r="BRR34" i="18"/>
  <c r="BRS34" i="18" s="1"/>
  <c r="BRR8" i="18"/>
  <c r="BRS8" i="18" s="1"/>
  <c r="BRR11" i="18"/>
  <c r="BRS11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6" i="18" l="1"/>
  <c r="BRK36" i="18" s="1"/>
  <c r="BRJ37" i="18"/>
  <c r="BRK37" i="18" s="1"/>
  <c r="BRJ39" i="18"/>
  <c r="BRK39" i="18" s="1"/>
  <c r="BRJ41" i="18"/>
  <c r="BRK41" i="18" s="1"/>
  <c r="BRJ42" i="18"/>
  <c r="BRK42" i="18" s="1"/>
  <c r="BRJ44" i="18"/>
  <c r="BRK44" i="18" s="1"/>
  <c r="BRJ45" i="18"/>
  <c r="BRK45" i="18" s="1"/>
  <c r="BRJ34" i="18"/>
  <c r="BRK34" i="18" s="1"/>
  <c r="BRJ8" i="18"/>
  <c r="BRK8" i="18" s="1"/>
  <c r="BRJ11" i="18"/>
  <c r="BRK11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4" i="18"/>
  <c r="BRC34" i="18" s="1"/>
  <c r="BRB8" i="18"/>
  <c r="BRC8" i="18" s="1"/>
  <c r="BRB11" i="18"/>
  <c r="BRC11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36" i="18"/>
  <c r="BRC36" i="18" s="1"/>
  <c r="BRB37" i="18"/>
  <c r="BRC37" i="18" s="1"/>
  <c r="BRB39" i="18"/>
  <c r="BRC39" i="18" s="1"/>
  <c r="BRB41" i="18"/>
  <c r="BRC41" i="18" s="1"/>
  <c r="BRB42" i="18"/>
  <c r="BRC42" i="18" s="1"/>
  <c r="BRB44" i="18"/>
  <c r="BRC44" i="18" s="1"/>
  <c r="BRB45" i="18"/>
  <c r="BRC45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6" i="18"/>
  <c r="BQU36" i="18" s="1"/>
  <c r="BQT37" i="18"/>
  <c r="BQU37" i="18" s="1"/>
  <c r="BQT39" i="18"/>
  <c r="BQU39" i="18" s="1"/>
  <c r="BQT41" i="18"/>
  <c r="BQU41" i="18" s="1"/>
  <c r="BQT42" i="18"/>
  <c r="BQU42" i="18" s="1"/>
  <c r="BQT44" i="18"/>
  <c r="BQU44" i="18" s="1"/>
  <c r="BQT45" i="18"/>
  <c r="BQU45" i="18" s="1"/>
  <c r="BQT34" i="18"/>
  <c r="BQU34" i="18" s="1"/>
  <c r="BQT8" i="18"/>
  <c r="BQU8" i="18" s="1"/>
  <c r="BQT11" i="18"/>
  <c r="BQU11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6" i="18"/>
  <c r="BQM36" i="18" s="1"/>
  <c r="BQL37" i="18"/>
  <c r="BQM37" i="18" s="1"/>
  <c r="BQL39" i="18"/>
  <c r="BQM39" i="18" s="1"/>
  <c r="BQL41" i="18"/>
  <c r="BQM41" i="18" s="1"/>
  <c r="BQL42" i="18"/>
  <c r="BQM42" i="18" s="1"/>
  <c r="BQL44" i="18"/>
  <c r="BQM44" i="18" s="1"/>
  <c r="BQL45" i="18"/>
  <c r="BQM45" i="18" s="1"/>
  <c r="BQL34" i="18"/>
  <c r="BQM34" i="18" s="1"/>
  <c r="BQL8" i="18"/>
  <c r="BQM8" i="18" s="1"/>
  <c r="BQL11" i="18"/>
  <c r="BQM11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6" i="18"/>
  <c r="BQE36" i="18" s="1"/>
  <c r="BQD37" i="18"/>
  <c r="BQE37" i="18" s="1"/>
  <c r="BQD39" i="18"/>
  <c r="BQE39" i="18" s="1"/>
  <c r="BQD41" i="18"/>
  <c r="BQE41" i="18" s="1"/>
  <c r="BQD42" i="18"/>
  <c r="BQE42" i="18" s="1"/>
  <c r="BQD44" i="18"/>
  <c r="BQE44" i="18" s="1"/>
  <c r="BQD45" i="18"/>
  <c r="BQE45" i="18" s="1"/>
  <c r="BQD34" i="18"/>
  <c r="BQE34" i="18" s="1"/>
  <c r="BQD8" i="18"/>
  <c r="BQE8" i="18" s="1"/>
  <c r="BQD11" i="18"/>
  <c r="BQE11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7" i="18"/>
  <c r="BQE7" i="18" s="1"/>
  <c r="BPV36" i="18" l="1"/>
  <c r="BPW36" i="18" s="1"/>
  <c r="BPV37" i="18"/>
  <c r="BPW37" i="18" s="1"/>
  <c r="BPV39" i="18"/>
  <c r="BPW39" i="18" s="1"/>
  <c r="BPV41" i="18"/>
  <c r="BPW41" i="18" s="1"/>
  <c r="BPV42" i="18"/>
  <c r="BPW42" i="18" s="1"/>
  <c r="BPV44" i="18"/>
  <c r="BPW44" i="18" s="1"/>
  <c r="BPV45" i="18"/>
  <c r="BPW45" i="18" s="1"/>
  <c r="BPV34" i="18"/>
  <c r="BPW34" i="18" s="1"/>
  <c r="BPV8" i="18"/>
  <c r="BPW8" i="18" s="1"/>
  <c r="BPV11" i="18"/>
  <c r="BPW11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6" i="18" l="1"/>
  <c r="BPO36" i="18" s="1"/>
  <c r="BPN37" i="18"/>
  <c r="BPO37" i="18" s="1"/>
  <c r="BPN39" i="18"/>
  <c r="BPO39" i="18" s="1"/>
  <c r="BPN41" i="18"/>
  <c r="BPO41" i="18" s="1"/>
  <c r="BPN42" i="18"/>
  <c r="BPO42" i="18" s="1"/>
  <c r="BPN44" i="18"/>
  <c r="BPO44" i="18" s="1"/>
  <c r="BPN45" i="18"/>
  <c r="BPO45" i="18" s="1"/>
  <c r="BPN34" i="18"/>
  <c r="BPO34" i="18" s="1"/>
  <c r="BPN8" i="18"/>
  <c r="BPO8" i="18" s="1"/>
  <c r="BPN11" i="18"/>
  <c r="BPO11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6" i="18"/>
  <c r="BPG36" i="18" s="1"/>
  <c r="BPF37" i="18"/>
  <c r="BPG37" i="18" s="1"/>
  <c r="BPF39" i="18"/>
  <c r="BPG39" i="18" s="1"/>
  <c r="BPF41" i="18"/>
  <c r="BPG41" i="18" s="1"/>
  <c r="BPF42" i="18"/>
  <c r="BPG42" i="18" s="1"/>
  <c r="BPF44" i="18"/>
  <c r="BPG44" i="18" s="1"/>
  <c r="BPF45" i="18"/>
  <c r="BPG45" i="18" s="1"/>
  <c r="BPF34" i="18"/>
  <c r="BPG34" i="18" s="1"/>
  <c r="BPF8" i="18"/>
  <c r="BPG8" i="18" s="1"/>
  <c r="BPF11" i="18"/>
  <c r="BPG11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7" i="18"/>
  <c r="BPG7" i="18" s="1"/>
  <c r="BOX36" i="18" l="1"/>
  <c r="BOY36" i="18" s="1"/>
  <c r="BOX37" i="18"/>
  <c r="BOY37" i="18" s="1"/>
  <c r="BOX39" i="18"/>
  <c r="BOY39" i="18" s="1"/>
  <c r="BOX41" i="18"/>
  <c r="BOY41" i="18" s="1"/>
  <c r="BOX42" i="18"/>
  <c r="BOY42" i="18" s="1"/>
  <c r="BOX44" i="18"/>
  <c r="BOY44" i="18" s="1"/>
  <c r="BOX45" i="18"/>
  <c r="BOY45" i="18" s="1"/>
  <c r="BOX34" i="18"/>
  <c r="BOY34" i="18" s="1"/>
  <c r="BOX8" i="18"/>
  <c r="BOY8" i="18" s="1"/>
  <c r="BOX11" i="18"/>
  <c r="BOY11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6" i="18" l="1"/>
  <c r="BOQ36" i="18" s="1"/>
  <c r="BOP37" i="18"/>
  <c r="BOQ37" i="18" s="1"/>
  <c r="BOP39" i="18"/>
  <c r="BOQ39" i="18" s="1"/>
  <c r="BOP41" i="18"/>
  <c r="BOQ41" i="18" s="1"/>
  <c r="BOP42" i="18"/>
  <c r="BOQ42" i="18" s="1"/>
  <c r="BOP44" i="18"/>
  <c r="BOQ44" i="18" s="1"/>
  <c r="BOP45" i="18"/>
  <c r="BOQ45" i="18" s="1"/>
  <c r="BOP34" i="18"/>
  <c r="BOQ34" i="18" s="1"/>
  <c r="BOP8" i="18"/>
  <c r="BOQ8" i="18" s="1"/>
  <c r="BOP11" i="18"/>
  <c r="BOQ11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6" i="18" l="1"/>
  <c r="BOI36" i="18" s="1"/>
  <c r="BOH37" i="18"/>
  <c r="BOI37" i="18" s="1"/>
  <c r="BOH39" i="18"/>
  <c r="BOI39" i="18" s="1"/>
  <c r="BOH41" i="18"/>
  <c r="BOI41" i="18" s="1"/>
  <c r="BOH42" i="18"/>
  <c r="BOI42" i="18" s="1"/>
  <c r="BOH44" i="18"/>
  <c r="BOI44" i="18" s="1"/>
  <c r="BOH45" i="18"/>
  <c r="BOI45" i="18" s="1"/>
  <c r="BOH34" i="18"/>
  <c r="BOI34" i="18" s="1"/>
  <c r="BOH8" i="18"/>
  <c r="BOI8" i="18" s="1"/>
  <c r="BOH11" i="18"/>
  <c r="BOI11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6" i="18"/>
  <c r="BOA36" i="18" s="1"/>
  <c r="BNZ37" i="18"/>
  <c r="BOA37" i="18" s="1"/>
  <c r="BNZ39" i="18"/>
  <c r="BOA39" i="18" s="1"/>
  <c r="BNZ41" i="18"/>
  <c r="BOA41" i="18" s="1"/>
  <c r="BNZ42" i="18"/>
  <c r="BOA42" i="18" s="1"/>
  <c r="BNZ44" i="18"/>
  <c r="BOA44" i="18" s="1"/>
  <c r="BNZ45" i="18"/>
  <c r="BOA45" i="18" s="1"/>
  <c r="BNZ34" i="18"/>
  <c r="BOA34" i="18" s="1"/>
  <c r="BNZ8" i="18"/>
  <c r="BOA8" i="18" s="1"/>
  <c r="BNZ11" i="18"/>
  <c r="BOA11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7" i="18"/>
  <c r="BOA7" i="18" s="1"/>
  <c r="BNR36" i="18" l="1"/>
  <c r="BNS36" i="18" s="1"/>
  <c r="BNR37" i="18"/>
  <c r="BNS37" i="18" s="1"/>
  <c r="BNR39" i="18"/>
  <c r="BNS39" i="18" s="1"/>
  <c r="BNR41" i="18"/>
  <c r="BNS41" i="18" s="1"/>
  <c r="BNR42" i="18"/>
  <c r="BNS42" i="18" s="1"/>
  <c r="BNR44" i="18"/>
  <c r="BNS44" i="18" s="1"/>
  <c r="BNR45" i="18"/>
  <c r="BNS45" i="18" s="1"/>
  <c r="BNR34" i="18"/>
  <c r="BNS34" i="18" s="1"/>
  <c r="BNR8" i="18"/>
  <c r="BNS8" i="18" s="1"/>
  <c r="BNR11" i="18"/>
  <c r="BNS11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6" i="18"/>
  <c r="BNK36" i="18" s="1"/>
  <c r="BNJ37" i="18"/>
  <c r="BNK37" i="18" s="1"/>
  <c r="BNJ39" i="18"/>
  <c r="BNK39" i="18" s="1"/>
  <c r="BNJ41" i="18"/>
  <c r="BNK41" i="18" s="1"/>
  <c r="BNJ42" i="18"/>
  <c r="BNK42" i="18" s="1"/>
  <c r="BNJ44" i="18"/>
  <c r="BNK44" i="18" s="1"/>
  <c r="BNJ45" i="18"/>
  <c r="BNK45" i="18" s="1"/>
  <c r="BNJ34" i="18"/>
  <c r="BNK34" i="18" s="1"/>
  <c r="BNJ8" i="18"/>
  <c r="BNK8" i="18" s="1"/>
  <c r="BNJ11" i="18"/>
  <c r="BNK11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7" i="18"/>
  <c r="BNK7" i="18" s="1"/>
  <c r="BNB36" i="18" l="1"/>
  <c r="BNC36" i="18" s="1"/>
  <c r="BNB37" i="18"/>
  <c r="BNC37" i="18" s="1"/>
  <c r="BNB39" i="18"/>
  <c r="BNC39" i="18" s="1"/>
  <c r="BNB41" i="18"/>
  <c r="BNC41" i="18" s="1"/>
  <c r="BNB42" i="18"/>
  <c r="BNC42" i="18" s="1"/>
  <c r="BNB44" i="18"/>
  <c r="BNC44" i="18" s="1"/>
  <c r="BNB45" i="18"/>
  <c r="BNC45" i="18" s="1"/>
  <c r="BNB34" i="18"/>
  <c r="BNC34" i="18" s="1"/>
  <c r="BNB8" i="18"/>
  <c r="BNC8" i="18" s="1"/>
  <c r="BNB11" i="18"/>
  <c r="BNC11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6" i="18"/>
  <c r="BMU36" i="18" s="1"/>
  <c r="BMT37" i="18"/>
  <c r="BMU37" i="18" s="1"/>
  <c r="BMT39" i="18"/>
  <c r="BMU39" i="18" s="1"/>
  <c r="BMT41" i="18"/>
  <c r="BMU41" i="18" s="1"/>
  <c r="BMT42" i="18"/>
  <c r="BMU42" i="18" s="1"/>
  <c r="BMT44" i="18"/>
  <c r="BMU44" i="18" s="1"/>
  <c r="BMT45" i="18"/>
  <c r="BMU45" i="18" s="1"/>
  <c r="BMT34" i="18"/>
  <c r="BMU34" i="18" s="1"/>
  <c r="BMT8" i="18"/>
  <c r="BMU8" i="18" s="1"/>
  <c r="BMT11" i="18"/>
  <c r="BMU11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6" i="18"/>
  <c r="BMM36" i="18" s="1"/>
  <c r="BML37" i="18"/>
  <c r="BMM37" i="18" s="1"/>
  <c r="BML39" i="18"/>
  <c r="BMM39" i="18" s="1"/>
  <c r="BML41" i="18"/>
  <c r="BMM41" i="18" s="1"/>
  <c r="BML42" i="18"/>
  <c r="BMM42" i="18" s="1"/>
  <c r="BML44" i="18"/>
  <c r="BMM44" i="18" s="1"/>
  <c r="BML45" i="18"/>
  <c r="BMM45" i="18" s="1"/>
  <c r="BML34" i="18"/>
  <c r="BMM34" i="18" s="1"/>
  <c r="BML8" i="18"/>
  <c r="BMM8" i="18" s="1"/>
  <c r="BML11" i="18"/>
  <c r="BMM11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7" i="18"/>
  <c r="BMM7" i="18" s="1"/>
  <c r="BMD36" i="18" l="1"/>
  <c r="BME36" i="18" s="1"/>
  <c r="BMD37" i="18"/>
  <c r="BME37" i="18" s="1"/>
  <c r="BMD39" i="18"/>
  <c r="BME39" i="18" s="1"/>
  <c r="BMD41" i="18"/>
  <c r="BME41" i="18" s="1"/>
  <c r="BMD42" i="18"/>
  <c r="BME42" i="18" s="1"/>
  <c r="BMD44" i="18"/>
  <c r="BME44" i="18" s="1"/>
  <c r="BMD45" i="18"/>
  <c r="BME45" i="18" s="1"/>
  <c r="BMD34" i="18"/>
  <c r="BME34" i="18" s="1"/>
  <c r="BMD8" i="18"/>
  <c r="BME8" i="18" s="1"/>
  <c r="BMD11" i="18"/>
  <c r="BME11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6" i="18" l="1"/>
  <c r="BLW36" i="18" s="1"/>
  <c r="BLV37" i="18"/>
  <c r="BLW37" i="18" s="1"/>
  <c r="BLV39" i="18"/>
  <c r="BLW39" i="18" s="1"/>
  <c r="BLV41" i="18"/>
  <c r="BLW41" i="18" s="1"/>
  <c r="BLV42" i="18"/>
  <c r="BLW42" i="18" s="1"/>
  <c r="BLV44" i="18"/>
  <c r="BLW44" i="18" s="1"/>
  <c r="BLV45" i="18"/>
  <c r="BLW45" i="18" s="1"/>
  <c r="BLV34" i="18"/>
  <c r="BLW34" i="18" s="1"/>
  <c r="BLV8" i="18"/>
  <c r="BLW8" i="18" s="1"/>
  <c r="BLV11" i="18"/>
  <c r="BLW11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6" i="18"/>
  <c r="BLO36" i="18" s="1"/>
  <c r="BLN37" i="18"/>
  <c r="BLO37" i="18" s="1"/>
  <c r="BLN39" i="18"/>
  <c r="BLO39" i="18" s="1"/>
  <c r="BLN41" i="18"/>
  <c r="BLO41" i="18" s="1"/>
  <c r="BLN42" i="18"/>
  <c r="BLO42" i="18" s="1"/>
  <c r="BLN44" i="18"/>
  <c r="BLO44" i="18" s="1"/>
  <c r="BLN45" i="18"/>
  <c r="BLO45" i="18" s="1"/>
  <c r="BLN34" i="18"/>
  <c r="BLO34" i="18" s="1"/>
  <c r="BLN8" i="18"/>
  <c r="BLO8" i="18" s="1"/>
  <c r="BLN11" i="18"/>
  <c r="BLO11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7" i="18"/>
  <c r="BLO7" i="18" s="1"/>
  <c r="T11" i="18" l="1"/>
  <c r="T12" i="18"/>
  <c r="Q11" i="18"/>
  <c r="Q12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6" i="18"/>
  <c r="BLG36" i="18" s="1"/>
  <c r="BLF37" i="18"/>
  <c r="BLG37" i="18" s="1"/>
  <c r="BLF39" i="18"/>
  <c r="BLG39" i="18" s="1"/>
  <c r="BLF41" i="18"/>
  <c r="BLG41" i="18" s="1"/>
  <c r="BLF42" i="18"/>
  <c r="BLG42" i="18" s="1"/>
  <c r="BLF44" i="18"/>
  <c r="BLG44" i="18" s="1"/>
  <c r="BLF45" i="18"/>
  <c r="BLG45" i="18" s="1"/>
  <c r="BLF34" i="18"/>
  <c r="BLG34" i="18" s="1"/>
  <c r="BLF8" i="18"/>
  <c r="BLG8" i="18" s="1"/>
  <c r="BLF11" i="18"/>
  <c r="BLG11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7" i="18"/>
  <c r="BLG7" i="18" s="1"/>
  <c r="BKX36" i="18" l="1"/>
  <c r="BKY36" i="18" s="1"/>
  <c r="BKX37" i="18"/>
  <c r="BKY37" i="18" s="1"/>
  <c r="BKX39" i="18"/>
  <c r="BKY39" i="18" s="1"/>
  <c r="BKX41" i="18"/>
  <c r="BKY41" i="18" s="1"/>
  <c r="BKX42" i="18"/>
  <c r="BKY42" i="18" s="1"/>
  <c r="BKX44" i="18"/>
  <c r="BKY44" i="18" s="1"/>
  <c r="BKX45" i="18"/>
  <c r="BKY45" i="18" s="1"/>
  <c r="BKX34" i="18"/>
  <c r="BKY34" i="18" s="1"/>
  <c r="BKX8" i="18"/>
  <c r="BKY8" i="18" s="1"/>
  <c r="BKX11" i="18"/>
  <c r="BKY11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6" i="18" l="1"/>
  <c r="BKQ36" i="18" s="1"/>
  <c r="BKP37" i="18"/>
  <c r="BKQ37" i="18" s="1"/>
  <c r="BKP39" i="18"/>
  <c r="BKQ39" i="18" s="1"/>
  <c r="BKP41" i="18"/>
  <c r="BKQ41" i="18" s="1"/>
  <c r="BKP42" i="18"/>
  <c r="BKQ42" i="18" s="1"/>
  <c r="BKP44" i="18"/>
  <c r="BKQ44" i="18" s="1"/>
  <c r="BKP45" i="18"/>
  <c r="BKQ45" i="18" s="1"/>
  <c r="BKP34" i="18"/>
  <c r="BKQ34" i="18" s="1"/>
  <c r="BKP8" i="18"/>
  <c r="BKQ8" i="18" s="1"/>
  <c r="BKP11" i="18"/>
  <c r="BKQ11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6" i="18"/>
  <c r="BKI36" i="18" s="1"/>
  <c r="BKH37" i="18"/>
  <c r="BKI37" i="18" s="1"/>
  <c r="BKH39" i="18"/>
  <c r="BKI39" i="18" s="1"/>
  <c r="BKH41" i="18"/>
  <c r="BKI41" i="18" s="1"/>
  <c r="BKH42" i="18"/>
  <c r="BKI42" i="18" s="1"/>
  <c r="BKH44" i="18"/>
  <c r="BKI44" i="18" s="1"/>
  <c r="BKH45" i="18"/>
  <c r="BKI45" i="18" s="1"/>
  <c r="BKH34" i="18"/>
  <c r="BKI34" i="18" s="1"/>
  <c r="BKH8" i="18"/>
  <c r="BKI8" i="18" s="1"/>
  <c r="BKH11" i="18"/>
  <c r="BKI11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7" i="18"/>
  <c r="BKI7" i="18" s="1"/>
  <c r="R7" i="15" l="1"/>
  <c r="BJZ36" i="18"/>
  <c r="BKA36" i="18" s="1"/>
  <c r="BJZ37" i="18"/>
  <c r="BKA37" i="18" s="1"/>
  <c r="BJZ39" i="18"/>
  <c r="BKA39" i="18" s="1"/>
  <c r="BJZ41" i="18"/>
  <c r="BKA41" i="18" s="1"/>
  <c r="BJZ42" i="18"/>
  <c r="BKA42" i="18" s="1"/>
  <c r="BJZ44" i="18"/>
  <c r="BKA44" i="18" s="1"/>
  <c r="BJZ45" i="18"/>
  <c r="BKA45" i="18" s="1"/>
  <c r="BJZ34" i="18"/>
  <c r="BKA34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1" i="18"/>
  <c r="BKA11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6" i="18"/>
  <c r="BJS36" i="18" s="1"/>
  <c r="BJR37" i="18"/>
  <c r="BJS37" i="18" s="1"/>
  <c r="BJR39" i="18"/>
  <c r="BJS39" i="18" s="1"/>
  <c r="BJR41" i="18"/>
  <c r="BJS41" i="18" s="1"/>
  <c r="BJR42" i="18"/>
  <c r="BJS42" i="18" s="1"/>
  <c r="BJR44" i="18"/>
  <c r="BJS44" i="18" s="1"/>
  <c r="BJR45" i="18"/>
  <c r="BJS45" i="18" s="1"/>
  <c r="BJR34" i="18"/>
  <c r="BJS34" i="18" s="1"/>
  <c r="BJR8" i="18"/>
  <c r="BJS8" i="18" s="1"/>
  <c r="BJR11" i="18"/>
  <c r="BJS11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6" i="18"/>
  <c r="BJK36" i="18" s="1"/>
  <c r="BJJ37" i="18"/>
  <c r="BJK37" i="18" s="1"/>
  <c r="BJJ39" i="18"/>
  <c r="BJK39" i="18" s="1"/>
  <c r="BJJ41" i="18"/>
  <c r="BJK41" i="18" s="1"/>
  <c r="BJJ42" i="18"/>
  <c r="BJK42" i="18" s="1"/>
  <c r="BJJ44" i="18"/>
  <c r="BJK44" i="18" s="1"/>
  <c r="BJJ45" i="18"/>
  <c r="BJK45" i="18" s="1"/>
  <c r="BJJ34" i="18"/>
  <c r="BJK34" i="18" s="1"/>
  <c r="BJJ8" i="18"/>
  <c r="BJK8" i="18" s="1"/>
  <c r="BJJ11" i="18"/>
  <c r="BJK11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6" i="18" l="1"/>
  <c r="BJC36" i="18" s="1"/>
  <c r="BJB37" i="18"/>
  <c r="BJC37" i="18" s="1"/>
  <c r="BJB39" i="18"/>
  <c r="BJC39" i="18" s="1"/>
  <c r="BJB41" i="18"/>
  <c r="BJC41" i="18" s="1"/>
  <c r="BJB42" i="18"/>
  <c r="BJC42" i="18" s="1"/>
  <c r="BJB44" i="18"/>
  <c r="BJC44" i="18" s="1"/>
  <c r="BJB45" i="18"/>
  <c r="BJC45" i="18" s="1"/>
  <c r="BJB34" i="18"/>
  <c r="BJC34" i="18" s="1"/>
  <c r="BJB8" i="18"/>
  <c r="BJC8" i="18" s="1"/>
  <c r="BJB11" i="18"/>
  <c r="BJC11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6" i="18" l="1"/>
  <c r="BIU36" i="18" s="1"/>
  <c r="BIT37" i="18"/>
  <c r="BIU37" i="18" s="1"/>
  <c r="BIT39" i="18"/>
  <c r="BIU39" i="18" s="1"/>
  <c r="BIT41" i="18"/>
  <c r="BIU41" i="18" s="1"/>
  <c r="BIT42" i="18"/>
  <c r="BIU42" i="18" s="1"/>
  <c r="BIT44" i="18"/>
  <c r="BIU44" i="18" s="1"/>
  <c r="BIT45" i="18"/>
  <c r="BIU45" i="18" s="1"/>
  <c r="BIT34" i="18"/>
  <c r="BIU34" i="18" s="1"/>
  <c r="BIT8" i="18"/>
  <c r="BIU8" i="18" s="1"/>
  <c r="BIT11" i="18"/>
  <c r="BIU11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6" i="18"/>
  <c r="BIM36" i="18" s="1"/>
  <c r="BIL37" i="18"/>
  <c r="BIM37" i="18" s="1"/>
  <c r="BIL39" i="18"/>
  <c r="BIM39" i="18" s="1"/>
  <c r="BIL41" i="18"/>
  <c r="BIM41" i="18" s="1"/>
  <c r="BIL42" i="18"/>
  <c r="BIM42" i="18" s="1"/>
  <c r="BIL44" i="18"/>
  <c r="BIM44" i="18" s="1"/>
  <c r="BIL45" i="18"/>
  <c r="BIM45" i="18" s="1"/>
  <c r="BIL34" i="18"/>
  <c r="BIM34" i="18" s="1"/>
  <c r="BIL8" i="18"/>
  <c r="BIM8" i="18" s="1"/>
  <c r="BIL11" i="18"/>
  <c r="BIM11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6" i="18"/>
  <c r="BIE36" i="18" s="1"/>
  <c r="BID37" i="18"/>
  <c r="BIE37" i="18" s="1"/>
  <c r="BID39" i="18"/>
  <c r="BIE39" i="18" s="1"/>
  <c r="BID41" i="18"/>
  <c r="BIE41" i="18" s="1"/>
  <c r="BID42" i="18"/>
  <c r="BIE42" i="18" s="1"/>
  <c r="BID44" i="18"/>
  <c r="BIE44" i="18" s="1"/>
  <c r="BID45" i="18"/>
  <c r="BIE45" i="18" s="1"/>
  <c r="BID34" i="18"/>
  <c r="BIE34" i="18" s="1"/>
  <c r="BID8" i="18"/>
  <c r="BIE8" i="18" s="1"/>
  <c r="BID11" i="18"/>
  <c r="BIE11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6" i="18"/>
  <c r="BHW36" i="18" s="1"/>
  <c r="BHV37" i="18"/>
  <c r="BHW37" i="18" s="1"/>
  <c r="BHV39" i="18"/>
  <c r="BHW39" i="18" s="1"/>
  <c r="BHV41" i="18"/>
  <c r="BHW41" i="18" s="1"/>
  <c r="BHV42" i="18"/>
  <c r="BHW42" i="18" s="1"/>
  <c r="BHV44" i="18"/>
  <c r="BHW44" i="18" s="1"/>
  <c r="BHV45" i="18"/>
  <c r="BHW45" i="18" s="1"/>
  <c r="BHV34" i="18"/>
  <c r="BHW34" i="18" s="1"/>
  <c r="BHV8" i="18"/>
  <c r="BHW8" i="18" s="1"/>
  <c r="BHV11" i="18"/>
  <c r="BHW11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7" i="18"/>
  <c r="BHW7" i="18" s="1"/>
  <c r="BIB23" i="15" l="1"/>
  <c r="BHN36" i="18" l="1"/>
  <c r="BHO36" i="18" s="1"/>
  <c r="BHN37" i="18"/>
  <c r="BHO37" i="18" s="1"/>
  <c r="BHN39" i="18"/>
  <c r="BHO39" i="18" s="1"/>
  <c r="BHN41" i="18"/>
  <c r="BHO41" i="18" s="1"/>
  <c r="BHN42" i="18"/>
  <c r="BHO42" i="18" s="1"/>
  <c r="BHN44" i="18"/>
  <c r="BHO44" i="18" s="1"/>
  <c r="BHN45" i="18"/>
  <c r="BHO45" i="18" s="1"/>
  <c r="BHN34" i="18"/>
  <c r="BHO34" i="18" s="1"/>
  <c r="BHN8" i="18"/>
  <c r="BHO8" i="18" s="1"/>
  <c r="BHN11" i="18"/>
  <c r="BHO11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6" i="18" l="1"/>
  <c r="BHG36" i="18" s="1"/>
  <c r="BHF37" i="18"/>
  <c r="BHG37" i="18" s="1"/>
  <c r="BHF39" i="18"/>
  <c r="BHG39" i="18" s="1"/>
  <c r="BHF41" i="18"/>
  <c r="BHG41" i="18" s="1"/>
  <c r="BHF42" i="18"/>
  <c r="BHG42" i="18" s="1"/>
  <c r="BHF44" i="18"/>
  <c r="BHG44" i="18" s="1"/>
  <c r="BHF45" i="18"/>
  <c r="BHG45" i="18" s="1"/>
  <c r="BHF34" i="18"/>
  <c r="BHG34" i="18" s="1"/>
  <c r="BHF8" i="18"/>
  <c r="BHG8" i="18" s="1"/>
  <c r="BHF11" i="18"/>
  <c r="BHG11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6" i="18"/>
  <c r="BGY36" i="18" s="1"/>
  <c r="BGX37" i="18"/>
  <c r="BGY37" i="18" s="1"/>
  <c r="BGX39" i="18"/>
  <c r="BGY39" i="18" s="1"/>
  <c r="BGX41" i="18"/>
  <c r="BGY41" i="18" s="1"/>
  <c r="BGX42" i="18"/>
  <c r="BGY42" i="18" s="1"/>
  <c r="BGX44" i="18"/>
  <c r="BGY44" i="18" s="1"/>
  <c r="BGX45" i="18"/>
  <c r="BGY45" i="18" s="1"/>
  <c r="BGX34" i="18"/>
  <c r="BGY34" i="18" s="1"/>
  <c r="BGX8" i="18"/>
  <c r="BGY8" i="18" s="1"/>
  <c r="BGX11" i="18"/>
  <c r="BGY11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1" i="18" l="1"/>
  <c r="BGP36" i="18" l="1"/>
  <c r="BGQ36" i="18" s="1"/>
  <c r="BGP37" i="18"/>
  <c r="BGQ37" i="18" s="1"/>
  <c r="BGP39" i="18"/>
  <c r="BGQ39" i="18" s="1"/>
  <c r="BGP41" i="18"/>
  <c r="BGQ41" i="18" s="1"/>
  <c r="BGP42" i="18"/>
  <c r="BGQ42" i="18" s="1"/>
  <c r="BGP44" i="18"/>
  <c r="BGQ44" i="18" s="1"/>
  <c r="BGP45" i="18"/>
  <c r="BGQ45" i="18" s="1"/>
  <c r="BGP34" i="18"/>
  <c r="BGQ34" i="18" s="1"/>
  <c r="BGP8" i="18"/>
  <c r="BGQ8" i="18" s="1"/>
  <c r="BGP11" i="18"/>
  <c r="BGQ11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60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6" i="18"/>
  <c r="BGI36" i="18" s="1"/>
  <c r="BGH37" i="18"/>
  <c r="BGI37" i="18" s="1"/>
  <c r="BGH39" i="18"/>
  <c r="BGI39" i="18" s="1"/>
  <c r="BGH41" i="18"/>
  <c r="BGI41" i="18" s="1"/>
  <c r="BGH42" i="18"/>
  <c r="BGI42" i="18" s="1"/>
  <c r="BGH44" i="18"/>
  <c r="BGI44" i="18" s="1"/>
  <c r="BGH45" i="18"/>
  <c r="BGI45" i="18" s="1"/>
  <c r="BGH34" i="18"/>
  <c r="BGI34" i="18" s="1"/>
  <c r="BGH8" i="18"/>
  <c r="BGI8" i="18" s="1"/>
  <c r="BGH11" i="18"/>
  <c r="BGI11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7" i="18"/>
  <c r="BGI7" i="18" s="1"/>
  <c r="U59" i="17" l="1"/>
  <c r="T13" i="18" l="1"/>
  <c r="Q13" i="18"/>
  <c r="F34" i="20"/>
  <c r="F33" i="20"/>
  <c r="BFZ36" i="18" l="1"/>
  <c r="BGA36" i="18" s="1"/>
  <c r="BFZ37" i="18"/>
  <c r="BGA37" i="18" s="1"/>
  <c r="BFZ39" i="18"/>
  <c r="BGA39" i="18" s="1"/>
  <c r="BFZ41" i="18"/>
  <c r="BGA41" i="18" s="1"/>
  <c r="BFZ42" i="18"/>
  <c r="BGA42" i="18" s="1"/>
  <c r="BFZ44" i="18"/>
  <c r="BGA44" i="18" s="1"/>
  <c r="BFZ45" i="18"/>
  <c r="BGA45" i="18" s="1"/>
  <c r="BFZ34" i="18"/>
  <c r="BGA34" i="18" s="1"/>
  <c r="BFZ8" i="18"/>
  <c r="BGA8" i="18" s="1"/>
  <c r="BFZ11" i="18"/>
  <c r="BGA11" i="18" s="1"/>
  <c r="BFZ12" i="18"/>
  <c r="BGA12" i="18" s="1"/>
  <c r="BFZ14" i="18"/>
  <c r="BGA14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6" i="18" l="1"/>
  <c r="BFS36" i="18" s="1"/>
  <c r="BFR37" i="18"/>
  <c r="BFS37" i="18" s="1"/>
  <c r="BFR39" i="18"/>
  <c r="BFS39" i="18" s="1"/>
  <c r="BFR41" i="18"/>
  <c r="BFS41" i="18" s="1"/>
  <c r="BFR42" i="18"/>
  <c r="BFS42" i="18" s="1"/>
  <c r="BFR44" i="18"/>
  <c r="BFS44" i="18" s="1"/>
  <c r="BFR45" i="18"/>
  <c r="BFS45" i="18" s="1"/>
  <c r="BFR34" i="18"/>
  <c r="BFS34" i="18" s="1"/>
  <c r="BFR8" i="18"/>
  <c r="BFS8" i="18" s="1"/>
  <c r="BFR11" i="18"/>
  <c r="BFS11" i="18" s="1"/>
  <c r="BFR12" i="18"/>
  <c r="BFS12" i="18" s="1"/>
  <c r="BFR14" i="18"/>
  <c r="BFS14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6" i="18"/>
  <c r="BFK36" i="18" s="1"/>
  <c r="BFJ37" i="18"/>
  <c r="BFK37" i="18" s="1"/>
  <c r="BFJ39" i="18"/>
  <c r="BFK39" i="18" s="1"/>
  <c r="BFJ41" i="18"/>
  <c r="BFK41" i="18" s="1"/>
  <c r="BFJ42" i="18"/>
  <c r="BFK42" i="18" s="1"/>
  <c r="BFJ44" i="18"/>
  <c r="BFK44" i="18" s="1"/>
  <c r="BFJ45" i="18"/>
  <c r="BFK45" i="18" s="1"/>
  <c r="BFJ34" i="18"/>
  <c r="BFK34" i="18" s="1"/>
  <c r="BFJ8" i="18"/>
  <c r="BFK8" i="18" s="1"/>
  <c r="BFJ11" i="18"/>
  <c r="BFK11" i="18" s="1"/>
  <c r="BFJ12" i="18"/>
  <c r="BFK12" i="18" s="1"/>
  <c r="BFJ14" i="18"/>
  <c r="BFK14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7" i="18"/>
  <c r="BFK7" i="18" s="1"/>
  <c r="BFB36" i="18" l="1"/>
  <c r="BFC36" i="18" s="1"/>
  <c r="BFB37" i="18"/>
  <c r="BFC37" i="18" s="1"/>
  <c r="BFB39" i="18"/>
  <c r="BFC39" i="18" s="1"/>
  <c r="BFB41" i="18"/>
  <c r="BFC41" i="18" s="1"/>
  <c r="BFB42" i="18"/>
  <c r="BFC42" i="18" s="1"/>
  <c r="BFB44" i="18"/>
  <c r="BFC44" i="18" s="1"/>
  <c r="BFB45" i="18"/>
  <c r="BFC45" i="18" s="1"/>
  <c r="BFB34" i="18"/>
  <c r="BFC34" i="18" s="1"/>
  <c r="BFB8" i="18"/>
  <c r="BFC8" i="18" s="1"/>
  <c r="BFB11" i="18"/>
  <c r="BFC11" i="18" s="1"/>
  <c r="BFB12" i="18"/>
  <c r="BFC12" i="18" s="1"/>
  <c r="BFB14" i="18"/>
  <c r="BFC14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6" i="18" l="1"/>
  <c r="BEU36" i="18" s="1"/>
  <c r="BET37" i="18"/>
  <c r="BEU37" i="18" s="1"/>
  <c r="BET39" i="18"/>
  <c r="BEU39" i="18" s="1"/>
  <c r="BET41" i="18"/>
  <c r="BEU41" i="18" s="1"/>
  <c r="BET42" i="18"/>
  <c r="BEU42" i="18" s="1"/>
  <c r="BET44" i="18"/>
  <c r="BEU44" i="18" s="1"/>
  <c r="BET45" i="18"/>
  <c r="BEU45" i="18" s="1"/>
  <c r="BET34" i="18"/>
  <c r="BEU34" i="18" s="1"/>
  <c r="BET8" i="18"/>
  <c r="BEU8" i="18" s="1"/>
  <c r="BET11" i="18"/>
  <c r="BEU11" i="18" s="1"/>
  <c r="BET12" i="18"/>
  <c r="BEU12" i="18" s="1"/>
  <c r="BET14" i="18"/>
  <c r="BEU14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6" i="18" l="1"/>
  <c r="BEM36" i="18" s="1"/>
  <c r="BEL37" i="18"/>
  <c r="BEM37" i="18" s="1"/>
  <c r="BEL39" i="18"/>
  <c r="BEM39" i="18" s="1"/>
  <c r="BEL41" i="18"/>
  <c r="BEM41" i="18" s="1"/>
  <c r="BEL42" i="18"/>
  <c r="BEM42" i="18" s="1"/>
  <c r="BEL44" i="18"/>
  <c r="BEM44" i="18" s="1"/>
  <c r="BEL45" i="18"/>
  <c r="BEM45" i="18" s="1"/>
  <c r="BEL34" i="18"/>
  <c r="BEM34" i="18" s="1"/>
  <c r="BEL8" i="18"/>
  <c r="BEM8" i="18" s="1"/>
  <c r="BEL11" i="18"/>
  <c r="BEM11" i="18" s="1"/>
  <c r="BEL12" i="18"/>
  <c r="BEM12" i="18" s="1"/>
  <c r="BEL14" i="18"/>
  <c r="BEM14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6" i="18"/>
  <c r="BEE36" i="18" s="1"/>
  <c r="BED37" i="18"/>
  <c r="BEE37" i="18" s="1"/>
  <c r="BED39" i="18"/>
  <c r="BEE39" i="18" s="1"/>
  <c r="BED41" i="18"/>
  <c r="BEE41" i="18" s="1"/>
  <c r="BED42" i="18"/>
  <c r="BEE42" i="18" s="1"/>
  <c r="BED44" i="18"/>
  <c r="BEE44" i="18" s="1"/>
  <c r="BED45" i="18"/>
  <c r="BEE45" i="18" s="1"/>
  <c r="BED34" i="18"/>
  <c r="BEE34" i="18" s="1"/>
  <c r="BED8" i="18"/>
  <c r="BEE8" i="18" s="1"/>
  <c r="BED11" i="18"/>
  <c r="BEE11" i="18" s="1"/>
  <c r="BED12" i="18"/>
  <c r="BEE12" i="18" s="1"/>
  <c r="BED14" i="18"/>
  <c r="BEE14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7" i="18"/>
  <c r="BEE7" i="18" s="1"/>
  <c r="K26" i="19" l="1"/>
  <c r="K27" i="19"/>
  <c r="K28" i="19"/>
  <c r="K29" i="19"/>
  <c r="K25" i="19"/>
  <c r="BDV36" i="18"/>
  <c r="BDW36" i="18" s="1"/>
  <c r="BDV37" i="18"/>
  <c r="BDW37" i="18" s="1"/>
  <c r="BDV39" i="18"/>
  <c r="BDW39" i="18" s="1"/>
  <c r="BDV41" i="18"/>
  <c r="BDW41" i="18" s="1"/>
  <c r="BDV42" i="18"/>
  <c r="BDW42" i="18" s="1"/>
  <c r="BDV44" i="18"/>
  <c r="BDW44" i="18" s="1"/>
  <c r="BDV45" i="18"/>
  <c r="BDW45" i="18" s="1"/>
  <c r="BDV34" i="18"/>
  <c r="BDW34" i="18" s="1"/>
  <c r="BDV8" i="18"/>
  <c r="BDW8" i="18" s="1"/>
  <c r="BDV11" i="18"/>
  <c r="BDW11" i="18" s="1"/>
  <c r="BDV12" i="18"/>
  <c r="BDW12" i="18" s="1"/>
  <c r="BDV14" i="18"/>
  <c r="BDW14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G121" i="25" s="1"/>
  <c r="O7" i="15" l="1"/>
  <c r="T7" i="15"/>
  <c r="R70" i="17" l="1"/>
  <c r="R73" i="17"/>
  <c r="R55" i="17"/>
  <c r="R66" i="17"/>
  <c r="R67" i="17"/>
  <c r="R71" i="17"/>
  <c r="R65" i="17"/>
  <c r="R63" i="17"/>
  <c r="R64" i="17"/>
  <c r="R69" i="17"/>
  <c r="R61" i="17"/>
  <c r="R52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6" i="18"/>
  <c r="BDO36" i="18" s="1"/>
  <c r="BDN37" i="18"/>
  <c r="BDO37" i="18" s="1"/>
  <c r="BDN39" i="18"/>
  <c r="BDO39" i="18" s="1"/>
  <c r="BDN41" i="18"/>
  <c r="BDO41" i="18" s="1"/>
  <c r="BDN42" i="18"/>
  <c r="BDO42" i="18" s="1"/>
  <c r="BDN44" i="18"/>
  <c r="BDO44" i="18" s="1"/>
  <c r="BDN45" i="18"/>
  <c r="BDO45" i="18" s="1"/>
  <c r="BDN34" i="18"/>
  <c r="BDO34" i="18" s="1"/>
  <c r="BDN8" i="18"/>
  <c r="BDO8" i="18" s="1"/>
  <c r="BDN11" i="18"/>
  <c r="BDO11" i="18" s="1"/>
  <c r="BDN12" i="18"/>
  <c r="BDO12" i="18" s="1"/>
  <c r="BDN14" i="18"/>
  <c r="BDO14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7" i="18"/>
  <c r="BDO7" i="18" s="1"/>
  <c r="BDF36" i="18" l="1"/>
  <c r="BDG36" i="18" s="1"/>
  <c r="BDF37" i="18"/>
  <c r="BDG37" i="18" s="1"/>
  <c r="BDF39" i="18"/>
  <c r="BDG39" i="18" s="1"/>
  <c r="BDF41" i="18"/>
  <c r="BDG41" i="18" s="1"/>
  <c r="BDF42" i="18"/>
  <c r="BDG42" i="18" s="1"/>
  <c r="BDF44" i="18"/>
  <c r="BDG44" i="18" s="1"/>
  <c r="BDF45" i="18"/>
  <c r="BDG45" i="18" s="1"/>
  <c r="BDF34" i="18"/>
  <c r="BDG34" i="18" s="1"/>
  <c r="BDF8" i="18"/>
  <c r="BDG8" i="18" s="1"/>
  <c r="BDF11" i="18"/>
  <c r="BDG11" i="18" s="1"/>
  <c r="BDF12" i="18"/>
  <c r="BDG12" i="18" s="1"/>
  <c r="BDF14" i="18"/>
  <c r="BDG14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6" i="18" l="1"/>
  <c r="BCY36" i="18" s="1"/>
  <c r="BCX37" i="18"/>
  <c r="BCY37" i="18" s="1"/>
  <c r="BCX39" i="18"/>
  <c r="BCY39" i="18" s="1"/>
  <c r="BCX41" i="18"/>
  <c r="BCY41" i="18" s="1"/>
  <c r="BCX42" i="18"/>
  <c r="BCY42" i="18" s="1"/>
  <c r="BCX44" i="18"/>
  <c r="BCY44" i="18" s="1"/>
  <c r="BCX45" i="18"/>
  <c r="BCY45" i="18" s="1"/>
  <c r="BCX34" i="18"/>
  <c r="BCY34" i="18" s="1"/>
  <c r="BCX8" i="18"/>
  <c r="BCY8" i="18" s="1"/>
  <c r="BCX11" i="18"/>
  <c r="BCY11" i="18" s="1"/>
  <c r="BCX12" i="18"/>
  <c r="BCY12" i="18" s="1"/>
  <c r="BCX14" i="18"/>
  <c r="BCY14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6" i="18"/>
  <c r="BCQ36" i="18" s="1"/>
  <c r="BCP37" i="18"/>
  <c r="BCQ37" i="18" s="1"/>
  <c r="BCP39" i="18"/>
  <c r="BCQ39" i="18" s="1"/>
  <c r="BCP41" i="18"/>
  <c r="BCQ41" i="18" s="1"/>
  <c r="BCP42" i="18"/>
  <c r="BCQ42" i="18" s="1"/>
  <c r="BCP44" i="18"/>
  <c r="BCQ44" i="18" s="1"/>
  <c r="BCP45" i="18"/>
  <c r="BCQ45" i="18" s="1"/>
  <c r="BCP34" i="18"/>
  <c r="BCQ34" i="18" s="1"/>
  <c r="BCP8" i="18"/>
  <c r="BCQ8" i="18" s="1"/>
  <c r="BCP11" i="18"/>
  <c r="BCQ11" i="18" s="1"/>
  <c r="BCP12" i="18"/>
  <c r="BCQ12" i="18" s="1"/>
  <c r="BCP14" i="18"/>
  <c r="BCQ14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7" i="18"/>
  <c r="BCQ7" i="18" s="1"/>
  <c r="BCH21" i="18" l="1"/>
  <c r="BCI21" i="18" s="1"/>
  <c r="BCW7" i="15"/>
  <c r="BCH36" i="18" l="1"/>
  <c r="BCI36" i="18" s="1"/>
  <c r="BCH37" i="18"/>
  <c r="BCI37" i="18" s="1"/>
  <c r="BCH39" i="18"/>
  <c r="BCI39" i="18" s="1"/>
  <c r="BCH41" i="18"/>
  <c r="BCI41" i="18" s="1"/>
  <c r="BCH42" i="18"/>
  <c r="BCI42" i="18" s="1"/>
  <c r="BCH44" i="18"/>
  <c r="BCI44" i="18" s="1"/>
  <c r="BCH45" i="18"/>
  <c r="BCI45" i="18" s="1"/>
  <c r="C15" i="20" l="1"/>
  <c r="BCH34" i="18" l="1"/>
  <c r="BCI34" i="18" s="1"/>
  <c r="BCH8" i="18"/>
  <c r="BCI8" i="18" s="1"/>
  <c r="BCH11" i="18"/>
  <c r="BCI11" i="18" s="1"/>
  <c r="BCH12" i="18"/>
  <c r="BCI12" i="18" s="1"/>
  <c r="BCH14" i="18"/>
  <c r="BCI14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G122" i="25" s="1"/>
  <c r="M10" i="15"/>
  <c r="G124" i="25" s="1"/>
  <c r="M11" i="15"/>
  <c r="G125" i="25" s="1"/>
  <c r="M12" i="15"/>
  <c r="G126" i="25" s="1"/>
  <c r="M13" i="15"/>
  <c r="G127" i="25" s="1"/>
  <c r="M17" i="15"/>
  <c r="G131" i="25" s="1"/>
  <c r="M19" i="15"/>
  <c r="G133" i="25" s="1"/>
  <c r="M21" i="15"/>
  <c r="G135" i="25" s="1"/>
  <c r="M22" i="15"/>
  <c r="G136" i="25" s="1"/>
  <c r="M23" i="15"/>
  <c r="G137" i="25" s="1"/>
  <c r="M26" i="19"/>
  <c r="G116" i="25" s="1"/>
  <c r="M27" i="19"/>
  <c r="G117" i="25" s="1"/>
  <c r="M28" i="19"/>
  <c r="G118" i="25" s="1"/>
  <c r="M29" i="19"/>
  <c r="G119" i="25" s="1"/>
  <c r="M25" i="19"/>
  <c r="G115" i="25" s="1"/>
  <c r="M14" i="19"/>
  <c r="G112" i="25" s="1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G130" i="25" s="1"/>
  <c r="O7" i="18"/>
  <c r="M9" i="15"/>
  <c r="G123" i="25" s="1"/>
  <c r="M15" i="15"/>
  <c r="G129" i="25" s="1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6" i="18"/>
  <c r="BCA36" i="18" s="1"/>
  <c r="BBZ37" i="18"/>
  <c r="BCA37" i="18" s="1"/>
  <c r="BBZ39" i="18"/>
  <c r="BCA39" i="18" s="1"/>
  <c r="BBZ41" i="18"/>
  <c r="BCA41" i="18" s="1"/>
  <c r="BBZ42" i="18"/>
  <c r="BCA42" i="18" s="1"/>
  <c r="BBZ44" i="18"/>
  <c r="BCA44" i="18" s="1"/>
  <c r="BBZ45" i="18"/>
  <c r="BCA45" i="18" s="1"/>
  <c r="BBZ34" i="18"/>
  <c r="BCA34" i="18" s="1"/>
  <c r="BBZ8" i="18"/>
  <c r="BCA8" i="18" s="1"/>
  <c r="BBZ11" i="18"/>
  <c r="BCA11" i="18" s="1"/>
  <c r="BBZ12" i="18"/>
  <c r="BCA12" i="18" s="1"/>
  <c r="BBZ14" i="18"/>
  <c r="BCA14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7" i="18"/>
  <c r="BCA7" i="18" s="1"/>
  <c r="O24" i="15" l="1"/>
  <c r="BBR36" i="18"/>
  <c r="BBS36" i="18" s="1"/>
  <c r="BBR37" i="18"/>
  <c r="BBS37" i="18" s="1"/>
  <c r="BBR39" i="18"/>
  <c r="BBS39" i="18" s="1"/>
  <c r="BBR41" i="18"/>
  <c r="BBS41" i="18" s="1"/>
  <c r="BBR42" i="18"/>
  <c r="BBS42" i="18" s="1"/>
  <c r="BBR44" i="18"/>
  <c r="BBS44" i="18" s="1"/>
  <c r="BBR45" i="18"/>
  <c r="BBS45" i="18" s="1"/>
  <c r="BBR34" i="18"/>
  <c r="BBS34" i="18" s="1"/>
  <c r="BBR8" i="18"/>
  <c r="BBS8" i="18" s="1"/>
  <c r="BBR11" i="18"/>
  <c r="BBS11" i="18" s="1"/>
  <c r="BBR12" i="18"/>
  <c r="BBS12" i="18" s="1"/>
  <c r="BBR14" i="18"/>
  <c r="BBS14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6" i="18" l="1"/>
  <c r="BBK36" i="18" s="1"/>
  <c r="BBJ37" i="18"/>
  <c r="BBK37" i="18" s="1"/>
  <c r="BBJ39" i="18"/>
  <c r="BBK39" i="18" s="1"/>
  <c r="BBJ41" i="18"/>
  <c r="BBK41" i="18" s="1"/>
  <c r="BBJ42" i="18"/>
  <c r="BBK42" i="18" s="1"/>
  <c r="BBJ44" i="18"/>
  <c r="BBK44" i="18" s="1"/>
  <c r="BBJ45" i="18"/>
  <c r="BBK45" i="18" s="1"/>
  <c r="BBJ34" i="18"/>
  <c r="BBK34" i="18" s="1"/>
  <c r="BBJ8" i="18"/>
  <c r="BBK8" i="18" s="1"/>
  <c r="BBJ11" i="18"/>
  <c r="BBK11" i="18" s="1"/>
  <c r="BBJ12" i="18"/>
  <c r="BBK12" i="18" s="1"/>
  <c r="BBJ14" i="18"/>
  <c r="BBK14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6" i="18"/>
  <c r="BBC36" i="18" s="1"/>
  <c r="BBB37" i="18"/>
  <c r="BBC37" i="18" s="1"/>
  <c r="BBB39" i="18"/>
  <c r="BBC39" i="18" s="1"/>
  <c r="BBB41" i="18"/>
  <c r="BBC41" i="18" s="1"/>
  <c r="BBB42" i="18"/>
  <c r="BBC42" i="18" s="1"/>
  <c r="BBB44" i="18"/>
  <c r="BBC44" i="18" s="1"/>
  <c r="BBB45" i="18"/>
  <c r="BBC45" i="18" s="1"/>
  <c r="BBB34" i="18"/>
  <c r="BBC34" i="18" s="1"/>
  <c r="BBB8" i="18"/>
  <c r="BBC8" i="18" s="1"/>
  <c r="BBB11" i="18"/>
  <c r="BBC11" i="18" s="1"/>
  <c r="BBB12" i="18"/>
  <c r="BBC12" i="18" s="1"/>
  <c r="BBB14" i="18"/>
  <c r="BBC14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6" i="18"/>
  <c r="BAU36" i="18" s="1"/>
  <c r="BAT37" i="18"/>
  <c r="BAU37" i="18" s="1"/>
  <c r="BAT39" i="18"/>
  <c r="BAU39" i="18" s="1"/>
  <c r="BAT41" i="18"/>
  <c r="BAU41" i="18" s="1"/>
  <c r="BAT42" i="18"/>
  <c r="BAU42" i="18" s="1"/>
  <c r="BAT44" i="18"/>
  <c r="BAU44" i="18" s="1"/>
  <c r="BAT45" i="18"/>
  <c r="BAU45" i="18" s="1"/>
  <c r="BAT34" i="18"/>
  <c r="BAU34" i="18" s="1"/>
  <c r="BAT8" i="18"/>
  <c r="BAU8" i="18" s="1"/>
  <c r="BAT11" i="18"/>
  <c r="BAU11" i="18" s="1"/>
  <c r="BAT12" i="18"/>
  <c r="BAU12" i="18" s="1"/>
  <c r="BAT14" i="18"/>
  <c r="BAU14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7" i="18"/>
  <c r="BAU7" i="18" s="1"/>
  <c r="BAL36" i="18" l="1"/>
  <c r="BAM36" i="18" s="1"/>
  <c r="BAL37" i="18"/>
  <c r="BAM37" i="18" s="1"/>
  <c r="BAL39" i="18"/>
  <c r="BAM39" i="18" s="1"/>
  <c r="BAL41" i="18"/>
  <c r="BAM41" i="18" s="1"/>
  <c r="BAL42" i="18"/>
  <c r="BAM42" i="18" s="1"/>
  <c r="BAL44" i="18"/>
  <c r="BAM44" i="18" s="1"/>
  <c r="BAL45" i="18"/>
  <c r="BAM45" i="18" s="1"/>
  <c r="BAL34" i="18"/>
  <c r="BAM34" i="18" s="1"/>
  <c r="BAL8" i="18"/>
  <c r="BAM8" i="18" s="1"/>
  <c r="BAL11" i="18"/>
  <c r="BAM11" i="18" s="1"/>
  <c r="BAL12" i="18"/>
  <c r="BAM12" i="18" s="1"/>
  <c r="BAL14" i="18"/>
  <c r="BAM14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6" i="18" l="1"/>
  <c r="BAE36" i="18" s="1"/>
  <c r="BAD37" i="18"/>
  <c r="BAE37" i="18" s="1"/>
  <c r="BAD39" i="18"/>
  <c r="BAE39" i="18" s="1"/>
  <c r="BAD41" i="18"/>
  <c r="BAE41" i="18" s="1"/>
  <c r="BAD42" i="18"/>
  <c r="BAE42" i="18" s="1"/>
  <c r="BAD44" i="18"/>
  <c r="BAE44" i="18" s="1"/>
  <c r="BAD45" i="18"/>
  <c r="BAE45" i="18" s="1"/>
  <c r="BAD34" i="18"/>
  <c r="BAE34" i="18" s="1"/>
  <c r="BAD8" i="18"/>
  <c r="BAE8" i="18" s="1"/>
  <c r="BAD11" i="18"/>
  <c r="BAE11" i="18" s="1"/>
  <c r="BAD12" i="18"/>
  <c r="BAE12" i="18" s="1"/>
  <c r="BAD14" i="18"/>
  <c r="BAE14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6" i="18" l="1"/>
  <c r="AZW36" i="18" s="1"/>
  <c r="AZV37" i="18"/>
  <c r="AZW37" i="18" s="1"/>
  <c r="AZV39" i="18"/>
  <c r="AZW39" i="18" s="1"/>
  <c r="AZV41" i="18"/>
  <c r="AZW41" i="18" s="1"/>
  <c r="AZV42" i="18"/>
  <c r="AZW42" i="18" s="1"/>
  <c r="AZV44" i="18"/>
  <c r="AZW44" i="18" s="1"/>
  <c r="AZV45" i="18"/>
  <c r="AZW45" i="18" s="1"/>
  <c r="AZV34" i="18"/>
  <c r="AZW34" i="18" s="1"/>
  <c r="AZV8" i="18"/>
  <c r="AZW8" i="18" s="1"/>
  <c r="AZV11" i="18"/>
  <c r="AZW11" i="18" s="1"/>
  <c r="AZV12" i="18"/>
  <c r="AZW12" i="18" s="1"/>
  <c r="AZV14" i="18"/>
  <c r="AZW14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6" i="18" l="1"/>
  <c r="AZO36" i="18" s="1"/>
  <c r="AZN37" i="18"/>
  <c r="AZO37" i="18" s="1"/>
  <c r="AZN39" i="18"/>
  <c r="AZO39" i="18" s="1"/>
  <c r="AZN41" i="18"/>
  <c r="AZO41" i="18" s="1"/>
  <c r="AZN42" i="18"/>
  <c r="AZO42" i="18" s="1"/>
  <c r="AZN44" i="18"/>
  <c r="AZO44" i="18" s="1"/>
  <c r="AZN45" i="18"/>
  <c r="AZO45" i="18" s="1"/>
  <c r="AZN34" i="18"/>
  <c r="AZO34" i="18" s="1"/>
  <c r="AZN8" i="18"/>
  <c r="AZO8" i="18" s="1"/>
  <c r="AZN11" i="18"/>
  <c r="AZO11" i="18" s="1"/>
  <c r="AZN12" i="18"/>
  <c r="AZO12" i="18" s="1"/>
  <c r="AZN14" i="18"/>
  <c r="AZO14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1" i="18" l="1"/>
  <c r="M21" i="18" s="1"/>
  <c r="G73" i="25" s="1"/>
  <c r="O21" i="18" l="1"/>
  <c r="K22" i="18"/>
  <c r="I7" i="20" s="1"/>
  <c r="I14" i="20" s="1"/>
  <c r="I18" i="20" s="1"/>
  <c r="Q7" i="18"/>
  <c r="Q7" i="15"/>
  <c r="AZF36" i="18" l="1"/>
  <c r="AZG36" i="18" s="1"/>
  <c r="AZF37" i="18"/>
  <c r="AZG37" i="18" s="1"/>
  <c r="AZF39" i="18"/>
  <c r="AZG39" i="18" s="1"/>
  <c r="AZF41" i="18"/>
  <c r="AZG41" i="18" s="1"/>
  <c r="AZF42" i="18"/>
  <c r="AZG42" i="18" s="1"/>
  <c r="AZF44" i="18"/>
  <c r="AZG44" i="18" s="1"/>
  <c r="AZF45" i="18"/>
  <c r="AZG45" i="18" s="1"/>
  <c r="AZF34" i="18"/>
  <c r="AZG34" i="18" s="1"/>
  <c r="AZF8" i="18"/>
  <c r="AZG8" i="18" s="1"/>
  <c r="AZF11" i="18"/>
  <c r="AZG11" i="18" s="1"/>
  <c r="AZF12" i="18"/>
  <c r="AZG12" i="18" s="1"/>
  <c r="AZF14" i="18"/>
  <c r="AZG14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4" i="18"/>
  <c r="U22" i="18"/>
  <c r="R7" i="18"/>
  <c r="T7" i="18" s="1"/>
  <c r="U70" i="17"/>
  <c r="U71" i="17"/>
  <c r="U55" i="17"/>
  <c r="U63" i="17"/>
  <c r="U64" i="17"/>
  <c r="U65" i="17"/>
  <c r="U66" i="17"/>
  <c r="U67" i="17"/>
  <c r="U69" i="17"/>
  <c r="U50" i="17"/>
  <c r="U52" i="17"/>
  <c r="Q24" i="15" l="1"/>
  <c r="U60" i="17"/>
  <c r="U61" i="17"/>
  <c r="V29" i="19"/>
  <c r="T29" i="19"/>
  <c r="T28" i="19"/>
  <c r="V28" i="19"/>
  <c r="V25" i="19"/>
  <c r="T25" i="19"/>
  <c r="T27" i="19"/>
  <c r="V27" i="19"/>
  <c r="V26" i="19"/>
  <c r="T26" i="19"/>
  <c r="R22" i="18"/>
  <c r="R19" i="15"/>
  <c r="R17" i="15"/>
  <c r="P22" i="18"/>
  <c r="R30" i="19"/>
  <c r="P30" i="19"/>
  <c r="R17" i="19"/>
  <c r="P17" i="19"/>
  <c r="U57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6" i="18"/>
  <c r="AYY36" i="18" s="1"/>
  <c r="AYX37" i="18"/>
  <c r="AYY37" i="18" s="1"/>
  <c r="AYX39" i="18"/>
  <c r="AYY39" i="18" s="1"/>
  <c r="AYX41" i="18"/>
  <c r="AYY41" i="18" s="1"/>
  <c r="AYX42" i="18"/>
  <c r="AYY42" i="18" s="1"/>
  <c r="AYX44" i="18"/>
  <c r="AYY44" i="18" s="1"/>
  <c r="AYX45" i="18"/>
  <c r="AYY45" i="18" s="1"/>
  <c r="AYX34" i="18"/>
  <c r="AYY34" i="18" s="1"/>
  <c r="AYX8" i="18"/>
  <c r="AYY8" i="18" s="1"/>
  <c r="AYX11" i="18"/>
  <c r="AYY11" i="18" s="1"/>
  <c r="AYX12" i="18"/>
  <c r="AYY12" i="18" s="1"/>
  <c r="AYX14" i="18"/>
  <c r="AYY14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6" i="18"/>
  <c r="AYQ36" i="18" s="1"/>
  <c r="AYP37" i="18"/>
  <c r="AYQ37" i="18" s="1"/>
  <c r="AYP39" i="18"/>
  <c r="AYQ39" i="18" s="1"/>
  <c r="AYP41" i="18"/>
  <c r="AYQ41" i="18" s="1"/>
  <c r="AYP42" i="18"/>
  <c r="AYQ42" i="18" s="1"/>
  <c r="AYP44" i="18"/>
  <c r="AYQ44" i="18" s="1"/>
  <c r="AYP45" i="18"/>
  <c r="AYQ45" i="18" s="1"/>
  <c r="AYP34" i="18"/>
  <c r="AYQ34" i="18" s="1"/>
  <c r="AYP8" i="18"/>
  <c r="AYQ8" i="18" s="1"/>
  <c r="AYP11" i="18"/>
  <c r="AYQ11" i="18" s="1"/>
  <c r="AYP12" i="18"/>
  <c r="AYQ12" i="18" s="1"/>
  <c r="AYP14" i="18"/>
  <c r="AYQ14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6" i="18"/>
  <c r="AYI36" i="18" s="1"/>
  <c r="AYH37" i="18"/>
  <c r="AYI37" i="18" s="1"/>
  <c r="AYH39" i="18"/>
  <c r="AYI39" i="18" s="1"/>
  <c r="AYH41" i="18"/>
  <c r="AYI41" i="18" s="1"/>
  <c r="AYH42" i="18"/>
  <c r="AYI42" i="18" s="1"/>
  <c r="AYH44" i="18"/>
  <c r="AYI44" i="18" s="1"/>
  <c r="AYH45" i="18"/>
  <c r="AYI45" i="18" s="1"/>
  <c r="AYH34" i="18"/>
  <c r="AYI34" i="18" s="1"/>
  <c r="AYH8" i="18"/>
  <c r="AYI8" i="18" s="1"/>
  <c r="AYH11" i="18"/>
  <c r="AYI11" i="18" s="1"/>
  <c r="AYH12" i="18"/>
  <c r="AYI12" i="18" s="1"/>
  <c r="AYH14" i="18"/>
  <c r="AYI14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6" i="18"/>
  <c r="AYA36" i="18" s="1"/>
  <c r="AXZ37" i="18"/>
  <c r="AYA37" i="18" s="1"/>
  <c r="AXZ39" i="18"/>
  <c r="AYA39" i="18" s="1"/>
  <c r="AXZ41" i="18"/>
  <c r="AYA41" i="18" s="1"/>
  <c r="AXZ42" i="18"/>
  <c r="AYA42" i="18" s="1"/>
  <c r="AXZ44" i="18"/>
  <c r="AYA44" i="18" s="1"/>
  <c r="AXZ45" i="18"/>
  <c r="AYA45" i="18" s="1"/>
  <c r="AXZ34" i="18"/>
  <c r="AYA34" i="18" s="1"/>
  <c r="AXZ8" i="18"/>
  <c r="AYA8" i="18" s="1"/>
  <c r="AXZ11" i="18"/>
  <c r="AYA11" i="18" s="1"/>
  <c r="AXZ12" i="18"/>
  <c r="AYA12" i="18" s="1"/>
  <c r="AXZ14" i="18"/>
  <c r="AYA14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6" i="18"/>
  <c r="AXS36" i="18" s="1"/>
  <c r="AXR37" i="18"/>
  <c r="AXS37" i="18" s="1"/>
  <c r="AXR39" i="18"/>
  <c r="AXS39" i="18" s="1"/>
  <c r="AXR41" i="18"/>
  <c r="AXS41" i="18" s="1"/>
  <c r="AXR42" i="18"/>
  <c r="AXS42" i="18" s="1"/>
  <c r="AXR44" i="18"/>
  <c r="AXS44" i="18" s="1"/>
  <c r="AXR45" i="18"/>
  <c r="AXS45" i="18" s="1"/>
  <c r="AXR34" i="18"/>
  <c r="AXS34" i="18" s="1"/>
  <c r="AXR8" i="18"/>
  <c r="AXS8" i="18" s="1"/>
  <c r="AXR11" i="18"/>
  <c r="AXS11" i="18" s="1"/>
  <c r="AXR12" i="18"/>
  <c r="AXS12" i="18" s="1"/>
  <c r="AXR14" i="18"/>
  <c r="AXS14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6" i="18"/>
  <c r="AXK36" i="18" s="1"/>
  <c r="AXJ37" i="18"/>
  <c r="AXK37" i="18" s="1"/>
  <c r="AXJ39" i="18"/>
  <c r="AXK39" i="18" s="1"/>
  <c r="AXJ41" i="18"/>
  <c r="AXK41" i="18" s="1"/>
  <c r="AXJ42" i="18"/>
  <c r="AXK42" i="18" s="1"/>
  <c r="AXJ44" i="18"/>
  <c r="AXK44" i="18" s="1"/>
  <c r="AXJ45" i="18"/>
  <c r="AXK45" i="18" s="1"/>
  <c r="AXJ34" i="18"/>
  <c r="AXK34" i="18" s="1"/>
  <c r="AXJ8" i="18"/>
  <c r="AXK8" i="18" s="1"/>
  <c r="AXJ11" i="18"/>
  <c r="AXK11" i="18" s="1"/>
  <c r="AXJ12" i="18"/>
  <c r="AXK12" i="18" s="1"/>
  <c r="AXJ14" i="18"/>
  <c r="AXK14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7" i="18"/>
  <c r="AXK7" i="18" s="1"/>
  <c r="AXB36" i="18" l="1"/>
  <c r="AXC36" i="18" s="1"/>
  <c r="AXB37" i="18"/>
  <c r="AXC37" i="18" s="1"/>
  <c r="AXB39" i="18"/>
  <c r="AXC39" i="18" s="1"/>
  <c r="AXB41" i="18"/>
  <c r="AXC41" i="18" s="1"/>
  <c r="AXB42" i="18"/>
  <c r="AXC42" i="18" s="1"/>
  <c r="AXB44" i="18"/>
  <c r="AXC44" i="18" s="1"/>
  <c r="AXB45" i="18"/>
  <c r="AXC45" i="18" s="1"/>
  <c r="AXB60" i="18"/>
  <c r="AXC60" i="18" s="1"/>
  <c r="AXB34" i="18"/>
  <c r="AXC34" i="18" s="1"/>
  <c r="AXB8" i="18"/>
  <c r="AXC8" i="18" s="1"/>
  <c r="AXB11" i="18"/>
  <c r="AXC11" i="18" s="1"/>
  <c r="AXB12" i="18"/>
  <c r="AXC12" i="18" s="1"/>
  <c r="AXB14" i="18"/>
  <c r="AXC14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6" i="18" l="1"/>
  <c r="AWU36" i="18" s="1"/>
  <c r="AWT37" i="18"/>
  <c r="AWU37" i="18" s="1"/>
  <c r="AWT39" i="18"/>
  <c r="AWU39" i="18" s="1"/>
  <c r="AWT41" i="18"/>
  <c r="AWU41" i="18" s="1"/>
  <c r="AWT42" i="18"/>
  <c r="AWU42" i="18" s="1"/>
  <c r="AWT44" i="18"/>
  <c r="AWU44" i="18" s="1"/>
  <c r="AWT45" i="18"/>
  <c r="AWU45" i="18" s="1"/>
  <c r="AWT60" i="18"/>
  <c r="AWU60" i="18" s="1"/>
  <c r="AWT34" i="18"/>
  <c r="AWU34" i="18" s="1"/>
  <c r="AWT8" i="18"/>
  <c r="AWU8" i="18" s="1"/>
  <c r="AWT11" i="18"/>
  <c r="AWU11" i="18" s="1"/>
  <c r="AWT12" i="18"/>
  <c r="AWU12" i="18" s="1"/>
  <c r="AWT14" i="18"/>
  <c r="AWU14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6" i="18"/>
  <c r="AWM36" i="18" s="1"/>
  <c r="AWL37" i="18"/>
  <c r="AWM37" i="18" s="1"/>
  <c r="AWL39" i="18"/>
  <c r="AWM39" i="18" s="1"/>
  <c r="AWL41" i="18"/>
  <c r="AWM41" i="18" s="1"/>
  <c r="AWL42" i="18"/>
  <c r="AWM42" i="18" s="1"/>
  <c r="AWL44" i="18"/>
  <c r="AWM44" i="18" s="1"/>
  <c r="AWL45" i="18"/>
  <c r="AWM45" i="18" s="1"/>
  <c r="AWL34" i="18"/>
  <c r="AWM34" i="18" s="1"/>
  <c r="AWL8" i="18"/>
  <c r="AWM8" i="18" s="1"/>
  <c r="AWL11" i="18"/>
  <c r="AWM11" i="18" s="1"/>
  <c r="AWL12" i="18"/>
  <c r="AWM12" i="18" s="1"/>
  <c r="AWL14" i="18"/>
  <c r="AWM14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7" i="18"/>
  <c r="AWM7" i="18" s="1"/>
  <c r="AWD36" i="18" l="1"/>
  <c r="AWE36" i="18" s="1"/>
  <c r="AWD37" i="18"/>
  <c r="AWE37" i="18" s="1"/>
  <c r="AWD39" i="18"/>
  <c r="AWE39" i="18" s="1"/>
  <c r="AWD41" i="18"/>
  <c r="AWE41" i="18" s="1"/>
  <c r="AWD42" i="18"/>
  <c r="AWE42" i="18" s="1"/>
  <c r="AWD44" i="18"/>
  <c r="AWE44" i="18" s="1"/>
  <c r="AWD45" i="18"/>
  <c r="AWE45" i="18" s="1"/>
  <c r="AWD34" i="18"/>
  <c r="AWE34" i="18" s="1"/>
  <c r="AWD8" i="18"/>
  <c r="AWE8" i="18" s="1"/>
  <c r="AWD11" i="18"/>
  <c r="AWE11" i="18" s="1"/>
  <c r="AWD12" i="18"/>
  <c r="AWE12" i="18" s="1"/>
  <c r="AWD14" i="18"/>
  <c r="AWE14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6" i="18" l="1"/>
  <c r="AVW36" i="18" s="1"/>
  <c r="AVV37" i="18"/>
  <c r="AVW37" i="18" s="1"/>
  <c r="AVV39" i="18"/>
  <c r="AVW39" i="18" s="1"/>
  <c r="AVV41" i="18"/>
  <c r="AVW41" i="18" s="1"/>
  <c r="AVV42" i="18"/>
  <c r="AVW42" i="18" s="1"/>
  <c r="AVV44" i="18"/>
  <c r="AVW44" i="18" s="1"/>
  <c r="AVV45" i="18"/>
  <c r="AVW45" i="18" s="1"/>
  <c r="AVV34" i="18"/>
  <c r="AVW34" i="18" s="1"/>
  <c r="AVV8" i="18"/>
  <c r="AVW8" i="18" s="1"/>
  <c r="AVV11" i="18"/>
  <c r="AVW11" i="18" s="1"/>
  <c r="AVV12" i="18"/>
  <c r="AVW12" i="18" s="1"/>
  <c r="AVV14" i="18"/>
  <c r="AVW14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6" i="18" l="1"/>
  <c r="AVO36" i="18" s="1"/>
  <c r="AVN37" i="18"/>
  <c r="AVO37" i="18" s="1"/>
  <c r="AVN39" i="18"/>
  <c r="AVO39" i="18" s="1"/>
  <c r="AVN41" i="18"/>
  <c r="AVO41" i="18" s="1"/>
  <c r="AVN42" i="18"/>
  <c r="AVO42" i="18" s="1"/>
  <c r="AVN44" i="18"/>
  <c r="AVO44" i="18" s="1"/>
  <c r="AVN45" i="18"/>
  <c r="AVO45" i="18" s="1"/>
  <c r="AVN34" i="18"/>
  <c r="AVO34" i="18" s="1"/>
  <c r="AVN8" i="18"/>
  <c r="AVO8" i="18" s="1"/>
  <c r="AVN11" i="18"/>
  <c r="AVO11" i="18" s="1"/>
  <c r="AVN12" i="18"/>
  <c r="AVO12" i="18" s="1"/>
  <c r="AVN14" i="18"/>
  <c r="AVO14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6" i="18" l="1"/>
  <c r="AVG36" i="18" s="1"/>
  <c r="AVF37" i="18"/>
  <c r="AVG37" i="18" s="1"/>
  <c r="AVF39" i="18"/>
  <c r="AVG39" i="18" s="1"/>
  <c r="AVF41" i="18"/>
  <c r="AVG41" i="18" s="1"/>
  <c r="AVF42" i="18"/>
  <c r="AVG42" i="18" s="1"/>
  <c r="AVF44" i="18"/>
  <c r="AVG44" i="18" s="1"/>
  <c r="AVF45" i="18"/>
  <c r="AVG45" i="18" s="1"/>
  <c r="AVF34" i="18"/>
  <c r="AVG34" i="18" s="1"/>
  <c r="AVF8" i="18"/>
  <c r="AVG8" i="18" s="1"/>
  <c r="AVF11" i="18"/>
  <c r="AVG11" i="18" s="1"/>
  <c r="AVF12" i="18"/>
  <c r="AVG12" i="18" s="1"/>
  <c r="AVF14" i="18"/>
  <c r="AVG14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6" i="18" l="1"/>
  <c r="AUY36" i="18" s="1"/>
  <c r="AUX37" i="18"/>
  <c r="AUY37" i="18" s="1"/>
  <c r="AUX39" i="18"/>
  <c r="AUY39" i="18" s="1"/>
  <c r="AUX41" i="18"/>
  <c r="AUY41" i="18" s="1"/>
  <c r="AUX42" i="18"/>
  <c r="AUY42" i="18" s="1"/>
  <c r="AUX44" i="18"/>
  <c r="AUY44" i="18" s="1"/>
  <c r="AUX45" i="18"/>
  <c r="AUY45" i="18" s="1"/>
  <c r="AUX34" i="18"/>
  <c r="AUY34" i="18" s="1"/>
  <c r="AUX8" i="18"/>
  <c r="AUY8" i="18" s="1"/>
  <c r="AUX11" i="18"/>
  <c r="AUY11" i="18" s="1"/>
  <c r="AUX12" i="18"/>
  <c r="AUY12" i="18" s="1"/>
  <c r="AUX14" i="18"/>
  <c r="AUY14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6" i="18" l="1"/>
  <c r="AUQ36" i="18" s="1"/>
  <c r="AUP37" i="18"/>
  <c r="AUQ37" i="18" s="1"/>
  <c r="AUP39" i="18"/>
  <c r="AUQ39" i="18" s="1"/>
  <c r="AUP41" i="18"/>
  <c r="AUQ41" i="18" s="1"/>
  <c r="AUP42" i="18"/>
  <c r="AUQ42" i="18" s="1"/>
  <c r="AUP44" i="18"/>
  <c r="AUQ44" i="18" s="1"/>
  <c r="AUP45" i="18"/>
  <c r="AUQ45" i="18" s="1"/>
  <c r="AUP34" i="18"/>
  <c r="AUQ34" i="18" s="1"/>
  <c r="AUP8" i="18"/>
  <c r="AUQ8" i="18" s="1"/>
  <c r="AUP11" i="18"/>
  <c r="AUQ11" i="18" s="1"/>
  <c r="AUP12" i="18"/>
  <c r="AUQ12" i="18" s="1"/>
  <c r="AUP14" i="18"/>
  <c r="AUQ14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6" i="18" l="1"/>
  <c r="AUI36" i="18" s="1"/>
  <c r="AUH37" i="18"/>
  <c r="AUI37" i="18" s="1"/>
  <c r="AUH39" i="18"/>
  <c r="AUI39" i="18" s="1"/>
  <c r="AUH41" i="18"/>
  <c r="AUI41" i="18" s="1"/>
  <c r="AUH42" i="18"/>
  <c r="AUI42" i="18" s="1"/>
  <c r="AUH44" i="18"/>
  <c r="AUI44" i="18" s="1"/>
  <c r="AUH45" i="18"/>
  <c r="AUI45" i="18" s="1"/>
  <c r="AUH34" i="18"/>
  <c r="AUI34" i="18" s="1"/>
  <c r="AUH8" i="18"/>
  <c r="AUI8" i="18" s="1"/>
  <c r="AUH11" i="18"/>
  <c r="AUI11" i="18" s="1"/>
  <c r="AUH12" i="18"/>
  <c r="AUI12" i="18" s="1"/>
  <c r="AUH14" i="18"/>
  <c r="AUI14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6" i="18"/>
  <c r="AUA36" i="18" s="1"/>
  <c r="ATZ37" i="18"/>
  <c r="AUA37" i="18" s="1"/>
  <c r="ATZ39" i="18"/>
  <c r="AUA39" i="18" s="1"/>
  <c r="ATZ41" i="18"/>
  <c r="AUA41" i="18" s="1"/>
  <c r="ATZ42" i="18"/>
  <c r="AUA42" i="18" s="1"/>
  <c r="ATZ44" i="18"/>
  <c r="AUA44" i="18" s="1"/>
  <c r="ATZ45" i="18"/>
  <c r="AUA45" i="18" s="1"/>
  <c r="ATZ34" i="18"/>
  <c r="AUA34" i="18" s="1"/>
  <c r="ATZ8" i="18"/>
  <c r="AUA8" i="18" s="1"/>
  <c r="ATZ11" i="18"/>
  <c r="AUA11" i="18" s="1"/>
  <c r="ATZ12" i="18"/>
  <c r="AUA12" i="18" s="1"/>
  <c r="ATZ14" i="18"/>
  <c r="AUA14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6" i="18"/>
  <c r="ATS36" i="18" s="1"/>
  <c r="ATR37" i="18"/>
  <c r="ATS37" i="18" s="1"/>
  <c r="ATR39" i="18"/>
  <c r="ATS39" i="18" s="1"/>
  <c r="ATR41" i="18"/>
  <c r="ATS41" i="18" s="1"/>
  <c r="ATR42" i="18"/>
  <c r="ATS42" i="18" s="1"/>
  <c r="ATR44" i="18"/>
  <c r="ATS44" i="18" s="1"/>
  <c r="ATR45" i="18"/>
  <c r="ATS45" i="18" s="1"/>
  <c r="ATR34" i="18"/>
  <c r="ATS34" i="18" s="1"/>
  <c r="ATR8" i="18"/>
  <c r="ATS8" i="18" s="1"/>
  <c r="ATR11" i="18"/>
  <c r="ATS11" i="18" s="1"/>
  <c r="ATR12" i="18"/>
  <c r="ATS12" i="18" s="1"/>
  <c r="ATR14" i="18"/>
  <c r="ATS14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6" i="18"/>
  <c r="ATK36" i="18" s="1"/>
  <c r="ATJ37" i="18"/>
  <c r="ATK37" i="18" s="1"/>
  <c r="ATJ39" i="18"/>
  <c r="ATK39" i="18" s="1"/>
  <c r="ATJ41" i="18"/>
  <c r="ATK41" i="18" s="1"/>
  <c r="ATJ42" i="18"/>
  <c r="ATK42" i="18" s="1"/>
  <c r="ATJ44" i="18"/>
  <c r="ATK44" i="18" s="1"/>
  <c r="ATJ45" i="18"/>
  <c r="ATK45" i="18" s="1"/>
  <c r="ATJ34" i="18"/>
  <c r="ATK34" i="18" s="1"/>
  <c r="ATJ8" i="18"/>
  <c r="ATK8" i="18" s="1"/>
  <c r="ATJ11" i="18"/>
  <c r="ATK11" i="18" s="1"/>
  <c r="ATJ12" i="18"/>
  <c r="ATK12" i="18" s="1"/>
  <c r="ATJ14" i="18"/>
  <c r="ATK14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7" i="18"/>
  <c r="ATK7" i="18" s="1"/>
  <c r="ATN22" i="15" l="1"/>
  <c r="ATN19" i="15"/>
  <c r="ATN17" i="15"/>
  <c r="ATB36" i="18" l="1"/>
  <c r="ATC36" i="18" s="1"/>
  <c r="ATB37" i="18"/>
  <c r="ATC37" i="18" s="1"/>
  <c r="ATB39" i="18"/>
  <c r="ATC39" i="18" s="1"/>
  <c r="ATB41" i="18"/>
  <c r="ATC41" i="18" s="1"/>
  <c r="ATB42" i="18"/>
  <c r="ATC42" i="18" s="1"/>
  <c r="ATB44" i="18"/>
  <c r="ATC44" i="18" s="1"/>
  <c r="ATB45" i="18"/>
  <c r="ATC45" i="18" s="1"/>
  <c r="ATB34" i="18"/>
  <c r="ATC34" i="18" s="1"/>
  <c r="ATB8" i="18"/>
  <c r="ATC8" i="18" s="1"/>
  <c r="ATB11" i="18"/>
  <c r="ATC11" i="18" s="1"/>
  <c r="ATB12" i="18"/>
  <c r="ATC12" i="18" s="1"/>
  <c r="ATB14" i="18"/>
  <c r="ATC14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6" i="18" l="1"/>
  <c r="ASU36" i="18" s="1"/>
  <c r="AST37" i="18"/>
  <c r="ASU37" i="18" s="1"/>
  <c r="AST39" i="18"/>
  <c r="ASU39" i="18" s="1"/>
  <c r="AST41" i="18"/>
  <c r="ASU41" i="18" s="1"/>
  <c r="AST42" i="18"/>
  <c r="ASU42" i="18" s="1"/>
  <c r="AST44" i="18"/>
  <c r="ASU44" i="18" s="1"/>
  <c r="AST45" i="18"/>
  <c r="ASU45" i="18" s="1"/>
  <c r="AST34" i="18"/>
  <c r="ASU34" i="18" s="1"/>
  <c r="AST8" i="18"/>
  <c r="ASU8" i="18" s="1"/>
  <c r="AST11" i="18"/>
  <c r="ASU11" i="18" s="1"/>
  <c r="AST12" i="18"/>
  <c r="ASU12" i="18" s="1"/>
  <c r="AST14" i="18"/>
  <c r="ASU14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7" i="18"/>
  <c r="ASU7" i="18" s="1"/>
  <c r="ASL36" i="18" l="1"/>
  <c r="ASM36" i="18" s="1"/>
  <c r="ASL37" i="18"/>
  <c r="ASM37" i="18" s="1"/>
  <c r="ASL39" i="18"/>
  <c r="ASM39" i="18" s="1"/>
  <c r="ASL41" i="18"/>
  <c r="ASM41" i="18" s="1"/>
  <c r="ASL42" i="18"/>
  <c r="ASM42" i="18" s="1"/>
  <c r="ASL44" i="18"/>
  <c r="ASM44" i="18" s="1"/>
  <c r="ASL45" i="18"/>
  <c r="ASM45" i="18" s="1"/>
  <c r="ASL8" i="18"/>
  <c r="ASM8" i="18" s="1"/>
  <c r="ASL11" i="18"/>
  <c r="ASM11" i="18" s="1"/>
  <c r="ASL12" i="18"/>
  <c r="ASM12" i="18" s="1"/>
  <c r="ASL14" i="18"/>
  <c r="ASM14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34" i="18"/>
  <c r="ASM34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6" i="18"/>
  <c r="ASE36" i="18" s="1"/>
  <c r="ASD37" i="18"/>
  <c r="ASE37" i="18" s="1"/>
  <c r="ASD39" i="18"/>
  <c r="ASE39" i="18" s="1"/>
  <c r="ASD41" i="18"/>
  <c r="ASE41" i="18" s="1"/>
  <c r="ASD42" i="18"/>
  <c r="ASE42" i="18" s="1"/>
  <c r="ASD44" i="18"/>
  <c r="ASE44" i="18" s="1"/>
  <c r="ASD45" i="18"/>
  <c r="ASE45" i="18" s="1"/>
  <c r="ASD34" i="18"/>
  <c r="ASE34" i="18" s="1"/>
  <c r="ASD8" i="18"/>
  <c r="ASE8" i="18" s="1"/>
  <c r="ASD11" i="18"/>
  <c r="ASE11" i="18" s="1"/>
  <c r="ASD12" i="18"/>
  <c r="ASE12" i="18" s="1"/>
  <c r="ASD14" i="18"/>
  <c r="ASE14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7" i="18"/>
  <c r="ASE7" i="18" s="1"/>
  <c r="ARV36" i="18" l="1"/>
  <c r="ARW36" i="18" s="1"/>
  <c r="ARV37" i="18"/>
  <c r="ARW37" i="18" s="1"/>
  <c r="ARV39" i="18"/>
  <c r="ARW39" i="18" s="1"/>
  <c r="ARV41" i="18"/>
  <c r="ARW41" i="18" s="1"/>
  <c r="ARV42" i="18"/>
  <c r="ARW42" i="18" s="1"/>
  <c r="ARV44" i="18"/>
  <c r="ARW44" i="18" s="1"/>
  <c r="ARV45" i="18"/>
  <c r="ARW45" i="18" s="1"/>
  <c r="ARV34" i="18"/>
  <c r="ARW34" i="18" s="1"/>
  <c r="ARV8" i="18"/>
  <c r="ARW8" i="18" s="1"/>
  <c r="ARV11" i="18"/>
  <c r="ARW11" i="18" s="1"/>
  <c r="ARV12" i="18"/>
  <c r="ARW12" i="18" s="1"/>
  <c r="ARV14" i="18"/>
  <c r="ARW14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6" i="18" l="1"/>
  <c r="ARO36" i="18" s="1"/>
  <c r="ARN37" i="18"/>
  <c r="ARO37" i="18" s="1"/>
  <c r="ARN39" i="18"/>
  <c r="ARO39" i="18" s="1"/>
  <c r="ARN41" i="18"/>
  <c r="ARO41" i="18" s="1"/>
  <c r="ARN42" i="18"/>
  <c r="ARO42" i="18" s="1"/>
  <c r="ARN44" i="18"/>
  <c r="ARO44" i="18" s="1"/>
  <c r="ARN45" i="18"/>
  <c r="ARO45" i="18" s="1"/>
  <c r="ARN34" i="18"/>
  <c r="ARO34" i="18" s="1"/>
  <c r="ARN8" i="18"/>
  <c r="ARO8" i="18" s="1"/>
  <c r="ARN11" i="18"/>
  <c r="ARO11" i="18" s="1"/>
  <c r="ARN12" i="18"/>
  <c r="ARO12" i="18" s="1"/>
  <c r="ARN14" i="18"/>
  <c r="ARO14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6" i="18"/>
  <c r="ARG36" i="18" s="1"/>
  <c r="ARF37" i="18"/>
  <c r="ARG37" i="18" s="1"/>
  <c r="ARF39" i="18"/>
  <c r="ARG39" i="18" s="1"/>
  <c r="ARF41" i="18"/>
  <c r="ARG41" i="18" s="1"/>
  <c r="ARF42" i="18"/>
  <c r="ARG42" i="18" s="1"/>
  <c r="ARF44" i="18"/>
  <c r="ARG44" i="18" s="1"/>
  <c r="ARF45" i="18"/>
  <c r="ARG45" i="18" s="1"/>
  <c r="ARF34" i="18"/>
  <c r="ARG34" i="18" s="1"/>
  <c r="ARF8" i="18"/>
  <c r="ARG8" i="18" s="1"/>
  <c r="ARF11" i="18"/>
  <c r="ARG11" i="18" s="1"/>
  <c r="ARF12" i="18"/>
  <c r="ARG12" i="18" s="1"/>
  <c r="ARF14" i="18"/>
  <c r="ARG14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7" i="18"/>
  <c r="ARG7" i="18" s="1"/>
  <c r="AQX36" i="18" l="1"/>
  <c r="AQY36" i="18" s="1"/>
  <c r="AQX37" i="18"/>
  <c r="AQY37" i="18" s="1"/>
  <c r="AQX39" i="18"/>
  <c r="AQY39" i="18" s="1"/>
  <c r="AQX41" i="18"/>
  <c r="AQY41" i="18" s="1"/>
  <c r="AQX42" i="18"/>
  <c r="AQY42" i="18" s="1"/>
  <c r="AQX44" i="18"/>
  <c r="AQY44" i="18" s="1"/>
  <c r="AQX45" i="18"/>
  <c r="AQY45" i="18" s="1"/>
  <c r="AQX34" i="18"/>
  <c r="AQY34" i="18" s="1"/>
  <c r="AQX8" i="18"/>
  <c r="AQY8" i="18" s="1"/>
  <c r="AQX11" i="18"/>
  <c r="AQY11" i="18" s="1"/>
  <c r="AQX12" i="18"/>
  <c r="AQY12" i="18" s="1"/>
  <c r="AQX14" i="18"/>
  <c r="AQY14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6" i="18"/>
  <c r="AQQ36" i="18" s="1"/>
  <c r="AQP37" i="18"/>
  <c r="AQQ37" i="18" s="1"/>
  <c r="AQP39" i="18"/>
  <c r="AQQ39" i="18" s="1"/>
  <c r="AQP41" i="18"/>
  <c r="AQQ41" i="18" s="1"/>
  <c r="AQP42" i="18"/>
  <c r="AQQ42" i="18" s="1"/>
  <c r="AQP44" i="18"/>
  <c r="AQQ44" i="18" s="1"/>
  <c r="AQP45" i="18"/>
  <c r="AQQ45" i="18" s="1"/>
  <c r="AQP34" i="18"/>
  <c r="AQQ34" i="18" s="1"/>
  <c r="AQP8" i="18"/>
  <c r="AQQ8" i="18" s="1"/>
  <c r="AQP11" i="18"/>
  <c r="AQQ11" i="18" s="1"/>
  <c r="AQP12" i="18"/>
  <c r="AQQ12" i="18" s="1"/>
  <c r="AQP14" i="18"/>
  <c r="AQQ14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6" i="18"/>
  <c r="AQI36" i="18" s="1"/>
  <c r="AQH37" i="18"/>
  <c r="AQI37" i="18" s="1"/>
  <c r="AQH39" i="18"/>
  <c r="AQI39" i="18" s="1"/>
  <c r="AQH41" i="18"/>
  <c r="AQI41" i="18" s="1"/>
  <c r="AQH42" i="18"/>
  <c r="AQI42" i="18" s="1"/>
  <c r="AQH44" i="18"/>
  <c r="AQI44" i="18" s="1"/>
  <c r="AQH45" i="18"/>
  <c r="AQI45" i="18" s="1"/>
  <c r="AQH34" i="18"/>
  <c r="AQI34" i="18" s="1"/>
  <c r="AQH8" i="18"/>
  <c r="AQI8" i="18" s="1"/>
  <c r="AQH11" i="18"/>
  <c r="AQI11" i="18" s="1"/>
  <c r="AQH12" i="18"/>
  <c r="AQI12" i="18" s="1"/>
  <c r="AQH14" i="18"/>
  <c r="AQI14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7" i="18"/>
  <c r="AQI7" i="18" s="1"/>
  <c r="APZ36" i="18" l="1"/>
  <c r="AQA36" i="18" s="1"/>
  <c r="APZ37" i="18"/>
  <c r="AQA37" i="18" s="1"/>
  <c r="APZ39" i="18"/>
  <c r="AQA39" i="18" s="1"/>
  <c r="APZ41" i="18"/>
  <c r="AQA41" i="18" s="1"/>
  <c r="APZ42" i="18"/>
  <c r="AQA42" i="18" s="1"/>
  <c r="APZ44" i="18"/>
  <c r="AQA44" i="18" s="1"/>
  <c r="APZ45" i="18"/>
  <c r="AQA45" i="18" s="1"/>
  <c r="APZ34" i="18"/>
  <c r="AQA34" i="18" s="1"/>
  <c r="APZ8" i="18"/>
  <c r="AQA8" i="18" s="1"/>
  <c r="APZ11" i="18"/>
  <c r="AQA11" i="18" s="1"/>
  <c r="APZ12" i="18"/>
  <c r="AQA12" i="18" s="1"/>
  <c r="APZ14" i="18"/>
  <c r="AQA14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6" i="18"/>
  <c r="APS36" i="18" s="1"/>
  <c r="APR37" i="18"/>
  <c r="APS37" i="18" s="1"/>
  <c r="APR39" i="18"/>
  <c r="APS39" i="18" s="1"/>
  <c r="APR41" i="18"/>
  <c r="APS41" i="18" s="1"/>
  <c r="APR42" i="18"/>
  <c r="APS42" i="18" s="1"/>
  <c r="APR44" i="18"/>
  <c r="APS44" i="18" s="1"/>
  <c r="APR45" i="18"/>
  <c r="APS45" i="18" s="1"/>
  <c r="APR34" i="18"/>
  <c r="APS34" i="18" s="1"/>
  <c r="APR8" i="18"/>
  <c r="APS8" i="18" s="1"/>
  <c r="APR11" i="18"/>
  <c r="APS11" i="18" s="1"/>
  <c r="APR12" i="18"/>
  <c r="APS12" i="18" s="1"/>
  <c r="APR14" i="18"/>
  <c r="APS14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7" i="18"/>
  <c r="APS7" i="18" s="1"/>
  <c r="APJ36" i="18" l="1"/>
  <c r="APK36" i="18" s="1"/>
  <c r="APJ37" i="18"/>
  <c r="APK37" i="18" s="1"/>
  <c r="APJ39" i="18"/>
  <c r="APK39" i="18" s="1"/>
  <c r="APJ41" i="18"/>
  <c r="APK41" i="18" s="1"/>
  <c r="APJ42" i="18"/>
  <c r="APK42" i="18" s="1"/>
  <c r="APJ44" i="18"/>
  <c r="APK44" i="18" s="1"/>
  <c r="APJ45" i="18"/>
  <c r="APK45" i="18" s="1"/>
  <c r="APJ34" i="18"/>
  <c r="APK34" i="18" s="1"/>
  <c r="APJ8" i="18"/>
  <c r="APK8" i="18" s="1"/>
  <c r="APJ11" i="18"/>
  <c r="APK11" i="18" s="1"/>
  <c r="APJ12" i="18"/>
  <c r="APK12" i="18" s="1"/>
  <c r="APJ14" i="18"/>
  <c r="APK14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6" i="18" l="1"/>
  <c r="APC36" i="18" s="1"/>
  <c r="APB37" i="18"/>
  <c r="APC37" i="18" s="1"/>
  <c r="APB39" i="18"/>
  <c r="APC39" i="18" s="1"/>
  <c r="APB41" i="18"/>
  <c r="APC41" i="18" s="1"/>
  <c r="APB42" i="18"/>
  <c r="APC42" i="18" s="1"/>
  <c r="APB44" i="18"/>
  <c r="APC44" i="18" s="1"/>
  <c r="APB45" i="18"/>
  <c r="APC45" i="18" s="1"/>
  <c r="APB34" i="18"/>
  <c r="APC34" i="18" s="1"/>
  <c r="APB8" i="18"/>
  <c r="APC8" i="18" s="1"/>
  <c r="APB11" i="18"/>
  <c r="APC11" i="18" s="1"/>
  <c r="APB12" i="18"/>
  <c r="APC12" i="18" s="1"/>
  <c r="APB14" i="18"/>
  <c r="APC14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6" i="18" l="1"/>
  <c r="AOU36" i="18" s="1"/>
  <c r="AOT37" i="18"/>
  <c r="AOU37" i="18" s="1"/>
  <c r="AOT39" i="18"/>
  <c r="AOU39" i="18" s="1"/>
  <c r="AOT41" i="18"/>
  <c r="AOU41" i="18" s="1"/>
  <c r="AOT42" i="18"/>
  <c r="AOU42" i="18" s="1"/>
  <c r="AOT44" i="18"/>
  <c r="AOU44" i="18" s="1"/>
  <c r="AOT45" i="18"/>
  <c r="AOU45" i="18" s="1"/>
  <c r="AOT34" i="18"/>
  <c r="AOU34" i="18" s="1"/>
  <c r="AOT8" i="18"/>
  <c r="AOU8" i="18" s="1"/>
  <c r="AOT11" i="18"/>
  <c r="AOU11" i="18" s="1"/>
  <c r="AOT12" i="18"/>
  <c r="AOU12" i="18" s="1"/>
  <c r="AOT14" i="18"/>
  <c r="AOU14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6" i="18" l="1"/>
  <c r="AOM36" i="18" s="1"/>
  <c r="AOL37" i="18"/>
  <c r="AOM37" i="18" s="1"/>
  <c r="AOL39" i="18"/>
  <c r="AOM39" i="18" s="1"/>
  <c r="AOL41" i="18"/>
  <c r="AOM41" i="18" s="1"/>
  <c r="AOL42" i="18"/>
  <c r="AOM42" i="18" s="1"/>
  <c r="AOL44" i="18"/>
  <c r="AOM44" i="18" s="1"/>
  <c r="AOL45" i="18"/>
  <c r="AOM45" i="18" s="1"/>
  <c r="AOL34" i="18"/>
  <c r="AOM34" i="18" s="1"/>
  <c r="AOL8" i="18"/>
  <c r="AOM8" i="18" s="1"/>
  <c r="AOL11" i="18"/>
  <c r="AOM11" i="18" s="1"/>
  <c r="AOL12" i="18"/>
  <c r="AOM12" i="18" s="1"/>
  <c r="AOL14" i="18"/>
  <c r="AOM14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6" i="18" l="1"/>
  <c r="AOE36" i="18" s="1"/>
  <c r="AOD37" i="18"/>
  <c r="AOE37" i="18" s="1"/>
  <c r="AOD39" i="18"/>
  <c r="AOE39" i="18" s="1"/>
  <c r="AOD41" i="18"/>
  <c r="AOE41" i="18" s="1"/>
  <c r="AOD42" i="18"/>
  <c r="AOE42" i="18" s="1"/>
  <c r="AOD44" i="18"/>
  <c r="AOE44" i="18" s="1"/>
  <c r="AOD45" i="18"/>
  <c r="AOE45" i="18" s="1"/>
  <c r="AOD34" i="18"/>
  <c r="AOE34" i="18" s="1"/>
  <c r="AOD8" i="18"/>
  <c r="AOE8" i="18" s="1"/>
  <c r="AOD11" i="18"/>
  <c r="AOE11" i="18" s="1"/>
  <c r="AOD12" i="18"/>
  <c r="AOE12" i="18" s="1"/>
  <c r="AOD14" i="18"/>
  <c r="AOE14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6" i="18"/>
  <c r="ANW36" i="18" s="1"/>
  <c r="ANV37" i="18"/>
  <c r="ANW37" i="18" s="1"/>
  <c r="ANV39" i="18"/>
  <c r="ANW39" i="18" s="1"/>
  <c r="ANV41" i="18"/>
  <c r="ANW41" i="18" s="1"/>
  <c r="ANV42" i="18"/>
  <c r="ANW42" i="18" s="1"/>
  <c r="ANV44" i="18"/>
  <c r="ANW44" i="18" s="1"/>
  <c r="ANV45" i="18"/>
  <c r="ANW45" i="18" s="1"/>
  <c r="ANV34" i="18"/>
  <c r="ANW34" i="18" s="1"/>
  <c r="ANV8" i="18"/>
  <c r="ANW8" i="18" s="1"/>
  <c r="ANV11" i="18"/>
  <c r="ANW11" i="18" s="1"/>
  <c r="ANV12" i="18"/>
  <c r="ANW12" i="18" s="1"/>
  <c r="ANV14" i="18"/>
  <c r="ANW14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6" i="18"/>
  <c r="ANO36" i="18" s="1"/>
  <c r="ANN37" i="18"/>
  <c r="ANO37" i="18" s="1"/>
  <c r="ANN39" i="18"/>
  <c r="ANO39" i="18" s="1"/>
  <c r="ANN41" i="18"/>
  <c r="ANO41" i="18" s="1"/>
  <c r="ANN42" i="18"/>
  <c r="ANO42" i="18" s="1"/>
  <c r="ANN44" i="18"/>
  <c r="ANO44" i="18" s="1"/>
  <c r="ANN45" i="18"/>
  <c r="ANO45" i="18" s="1"/>
  <c r="ANN34" i="18"/>
  <c r="ANO34" i="18" s="1"/>
  <c r="ANN8" i="18"/>
  <c r="ANO8" i="18" s="1"/>
  <c r="ANN11" i="18"/>
  <c r="ANO11" i="18" s="1"/>
  <c r="ANN12" i="18"/>
  <c r="ANO12" i="18" s="1"/>
  <c r="ANN14" i="18"/>
  <c r="ANO14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6" i="18" l="1"/>
  <c r="ANG36" i="18" s="1"/>
  <c r="ANF37" i="18"/>
  <c r="ANG37" i="18" s="1"/>
  <c r="ANF39" i="18"/>
  <c r="ANG39" i="18" s="1"/>
  <c r="ANF41" i="18"/>
  <c r="ANG41" i="18" s="1"/>
  <c r="ANF42" i="18"/>
  <c r="ANG42" i="18" s="1"/>
  <c r="ANF44" i="18"/>
  <c r="ANG44" i="18" s="1"/>
  <c r="ANF45" i="18"/>
  <c r="ANG45" i="18" s="1"/>
  <c r="ANF34" i="18"/>
  <c r="ANG34" i="18" s="1"/>
  <c r="ANF8" i="18"/>
  <c r="ANG8" i="18" s="1"/>
  <c r="ANF11" i="18"/>
  <c r="ANG11" i="18" s="1"/>
  <c r="ANF12" i="18"/>
  <c r="ANG12" i="18" s="1"/>
  <c r="ANF14" i="18"/>
  <c r="ANG14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6" i="18" l="1"/>
  <c r="AMY36" i="18" s="1"/>
  <c r="AMX37" i="18"/>
  <c r="AMY37" i="18" s="1"/>
  <c r="AMX39" i="18"/>
  <c r="AMY39" i="18" s="1"/>
  <c r="AMX41" i="18"/>
  <c r="AMY41" i="18" s="1"/>
  <c r="AMX42" i="18"/>
  <c r="AMY42" i="18" s="1"/>
  <c r="AMX44" i="18"/>
  <c r="AMY44" i="18" s="1"/>
  <c r="AMX45" i="18"/>
  <c r="AMY45" i="18" s="1"/>
  <c r="AMX34" i="18"/>
  <c r="AMY34" i="18" s="1"/>
  <c r="AMX8" i="18"/>
  <c r="AMY8" i="18" s="1"/>
  <c r="AMX11" i="18"/>
  <c r="AMY11" i="18" s="1"/>
  <c r="AMX12" i="18"/>
  <c r="AMY12" i="18" s="1"/>
  <c r="AMX14" i="18"/>
  <c r="AMY14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6" i="18" l="1"/>
  <c r="AMQ36" i="18" s="1"/>
  <c r="AMP37" i="18"/>
  <c r="AMQ37" i="18" s="1"/>
  <c r="AMP39" i="18"/>
  <c r="AMQ39" i="18" s="1"/>
  <c r="AMP41" i="18"/>
  <c r="AMQ41" i="18" s="1"/>
  <c r="AMP42" i="18"/>
  <c r="AMQ42" i="18" s="1"/>
  <c r="AMP44" i="18"/>
  <c r="AMQ44" i="18" s="1"/>
  <c r="AMP45" i="18"/>
  <c r="AMQ45" i="18" s="1"/>
  <c r="AMP34" i="18"/>
  <c r="AMQ34" i="18" s="1"/>
  <c r="AMP8" i="18"/>
  <c r="AMQ8" i="18" s="1"/>
  <c r="AMP11" i="18"/>
  <c r="AMQ11" i="18" s="1"/>
  <c r="AMP12" i="18"/>
  <c r="AMQ12" i="18" s="1"/>
  <c r="AMP14" i="18"/>
  <c r="AMQ14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6" i="18" l="1"/>
  <c r="AMI36" i="18" s="1"/>
  <c r="AMH37" i="18"/>
  <c r="AMI37" i="18" s="1"/>
  <c r="AMH39" i="18"/>
  <c r="AMI39" i="18" s="1"/>
  <c r="AMH41" i="18"/>
  <c r="AMI41" i="18" s="1"/>
  <c r="AMH42" i="18"/>
  <c r="AMI42" i="18" s="1"/>
  <c r="AMH44" i="18"/>
  <c r="AMI44" i="18" s="1"/>
  <c r="AMH45" i="18"/>
  <c r="AMI45" i="18" s="1"/>
  <c r="AMH34" i="18"/>
  <c r="AMI34" i="18" s="1"/>
  <c r="AMH8" i="18"/>
  <c r="AMI8" i="18" s="1"/>
  <c r="AMH11" i="18"/>
  <c r="AMI11" i="18" s="1"/>
  <c r="AMH12" i="18"/>
  <c r="AMI12" i="18" s="1"/>
  <c r="AMH14" i="18"/>
  <c r="AMI14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6" i="18" l="1"/>
  <c r="AMA36" i="18" s="1"/>
  <c r="ALZ37" i="18"/>
  <c r="AMA37" i="18" s="1"/>
  <c r="ALZ39" i="18"/>
  <c r="AMA39" i="18" s="1"/>
  <c r="ALZ41" i="18"/>
  <c r="AMA41" i="18" s="1"/>
  <c r="ALZ42" i="18"/>
  <c r="AMA42" i="18" s="1"/>
  <c r="ALZ44" i="18"/>
  <c r="AMA44" i="18" s="1"/>
  <c r="ALZ45" i="18"/>
  <c r="AMA45" i="18" s="1"/>
  <c r="ALZ34" i="18"/>
  <c r="AMA34" i="18" s="1"/>
  <c r="ALZ8" i="18"/>
  <c r="AMA8" i="18" s="1"/>
  <c r="ALZ11" i="18"/>
  <c r="AMA11" i="18" s="1"/>
  <c r="ALZ12" i="18"/>
  <c r="AMA12" i="18" s="1"/>
  <c r="ALZ14" i="18"/>
  <c r="AMA14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6" i="18" l="1"/>
  <c r="ALS36" i="18" s="1"/>
  <c r="ALR37" i="18"/>
  <c r="ALS37" i="18" s="1"/>
  <c r="ALR39" i="18"/>
  <c r="ALS39" i="18" s="1"/>
  <c r="ALR41" i="18"/>
  <c r="ALS41" i="18" s="1"/>
  <c r="ALR42" i="18"/>
  <c r="ALS42" i="18" s="1"/>
  <c r="ALR44" i="18"/>
  <c r="ALS44" i="18" s="1"/>
  <c r="ALR45" i="18"/>
  <c r="ALS45" i="18" s="1"/>
  <c r="ALR34" i="18"/>
  <c r="ALS34" i="18" s="1"/>
  <c r="ALR8" i="18"/>
  <c r="ALS8" i="18" s="1"/>
  <c r="ALR11" i="18"/>
  <c r="ALS11" i="18" s="1"/>
  <c r="ALR12" i="18"/>
  <c r="ALS12" i="18" s="1"/>
  <c r="ALR14" i="18"/>
  <c r="ALS14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6" i="18" l="1"/>
  <c r="ALK36" i="18" s="1"/>
  <c r="ALJ37" i="18"/>
  <c r="ALK37" i="18" s="1"/>
  <c r="ALJ39" i="18"/>
  <c r="ALK39" i="18" s="1"/>
  <c r="ALJ41" i="18"/>
  <c r="ALK41" i="18" s="1"/>
  <c r="ALJ42" i="18"/>
  <c r="ALK42" i="18" s="1"/>
  <c r="ALJ44" i="18"/>
  <c r="ALK44" i="18" s="1"/>
  <c r="ALJ45" i="18"/>
  <c r="ALK45" i="18" s="1"/>
  <c r="ALJ34" i="18"/>
  <c r="ALK34" i="18" s="1"/>
  <c r="ALJ8" i="18"/>
  <c r="ALK8" i="18" s="1"/>
  <c r="ALJ11" i="18"/>
  <c r="ALK11" i="18" s="1"/>
  <c r="ALJ12" i="18"/>
  <c r="ALK12" i="18" s="1"/>
  <c r="ALJ14" i="18"/>
  <c r="ALK14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6" i="18"/>
  <c r="ALC36" i="18" s="1"/>
  <c r="ALB37" i="18"/>
  <c r="ALC37" i="18" s="1"/>
  <c r="ALB39" i="18"/>
  <c r="ALC39" i="18" s="1"/>
  <c r="ALB41" i="18"/>
  <c r="ALC41" i="18" s="1"/>
  <c r="ALB42" i="18"/>
  <c r="ALC42" i="18" s="1"/>
  <c r="ALB44" i="18"/>
  <c r="ALC44" i="18" s="1"/>
  <c r="ALB45" i="18"/>
  <c r="ALC45" i="18" s="1"/>
  <c r="ALB34" i="18"/>
  <c r="ALC34" i="18" s="1"/>
  <c r="ALB8" i="18"/>
  <c r="ALC8" i="18" s="1"/>
  <c r="ALB11" i="18"/>
  <c r="ALC11" i="18" s="1"/>
  <c r="ALB12" i="18"/>
  <c r="ALC12" i="18" s="1"/>
  <c r="ALB14" i="18"/>
  <c r="ALC14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7" i="18"/>
  <c r="ALC7" i="18" s="1"/>
  <c r="AKT36" i="18" l="1"/>
  <c r="AKU36" i="18" s="1"/>
  <c r="AKT37" i="18"/>
  <c r="AKU37" i="18" s="1"/>
  <c r="AKT39" i="18"/>
  <c r="AKU39" i="18" s="1"/>
  <c r="AKT41" i="18"/>
  <c r="AKU41" i="18" s="1"/>
  <c r="AKT42" i="18"/>
  <c r="AKU42" i="18" s="1"/>
  <c r="AKT44" i="18"/>
  <c r="AKU44" i="18" s="1"/>
  <c r="AKT45" i="18"/>
  <c r="AKU45" i="18" s="1"/>
  <c r="AKT34" i="18"/>
  <c r="AKU34" i="18" s="1"/>
  <c r="AKT8" i="18"/>
  <c r="AKU8" i="18" s="1"/>
  <c r="AKT11" i="18"/>
  <c r="AKU11" i="18" s="1"/>
  <c r="AKT12" i="18"/>
  <c r="AKU12" i="18" s="1"/>
  <c r="AKT14" i="18"/>
  <c r="AKU14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6" i="18" l="1"/>
  <c r="AKM36" i="18" s="1"/>
  <c r="AKL37" i="18"/>
  <c r="AKM37" i="18" s="1"/>
  <c r="AKL39" i="18"/>
  <c r="AKM39" i="18" s="1"/>
  <c r="AKL41" i="18"/>
  <c r="AKM41" i="18" s="1"/>
  <c r="AKL42" i="18"/>
  <c r="AKM42" i="18" s="1"/>
  <c r="AKL44" i="18"/>
  <c r="AKM44" i="18" s="1"/>
  <c r="AKL45" i="18"/>
  <c r="AKM45" i="18" s="1"/>
  <c r="AKL34" i="18"/>
  <c r="AKM34" i="18" s="1"/>
  <c r="AKL8" i="18"/>
  <c r="AKM8" i="18" s="1"/>
  <c r="AKL11" i="18"/>
  <c r="AKM11" i="18" s="1"/>
  <c r="AKL12" i="18"/>
  <c r="AKM12" i="18" s="1"/>
  <c r="AKL14" i="18"/>
  <c r="AKM14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1" i="18" l="1"/>
  <c r="T21" i="18"/>
  <c r="V21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6" i="18"/>
  <c r="AKE36" i="18" s="1"/>
  <c r="AKD37" i="18"/>
  <c r="AKE37" i="18" s="1"/>
  <c r="AKD39" i="18"/>
  <c r="AKE39" i="18" s="1"/>
  <c r="AKD41" i="18"/>
  <c r="AKE41" i="18" s="1"/>
  <c r="AKD42" i="18"/>
  <c r="AKE42" i="18" s="1"/>
  <c r="AKD44" i="18"/>
  <c r="AKE44" i="18" s="1"/>
  <c r="AKD45" i="18"/>
  <c r="AKE45" i="18" s="1"/>
  <c r="AKD34" i="18"/>
  <c r="AKE34" i="18" s="1"/>
  <c r="AKD8" i="18"/>
  <c r="AKE8" i="18" s="1"/>
  <c r="AKD11" i="18"/>
  <c r="AKE11" i="18" s="1"/>
  <c r="AKD12" i="18"/>
  <c r="AKE12" i="18" s="1"/>
  <c r="AKD14" i="18"/>
  <c r="AKE14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6" i="18"/>
  <c r="AJW36" i="18" s="1"/>
  <c r="AJV37" i="18"/>
  <c r="AJW37" i="18" s="1"/>
  <c r="AJV39" i="18"/>
  <c r="AJW39" i="18" s="1"/>
  <c r="AJV41" i="18"/>
  <c r="AJW41" i="18" s="1"/>
  <c r="AJV42" i="18"/>
  <c r="AJW42" i="18" s="1"/>
  <c r="AJV44" i="18"/>
  <c r="AJW44" i="18" s="1"/>
  <c r="AJV45" i="18"/>
  <c r="AJW45" i="18" s="1"/>
  <c r="AJV34" i="18"/>
  <c r="AJW34" i="18" s="1"/>
  <c r="AJV8" i="18"/>
  <c r="AJW8" i="18" s="1"/>
  <c r="AJV11" i="18"/>
  <c r="AJW11" i="18" s="1"/>
  <c r="AJV12" i="18"/>
  <c r="AJW12" i="18" s="1"/>
  <c r="AJV14" i="18"/>
  <c r="AJW14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7" i="18"/>
  <c r="AJW7" i="18" s="1"/>
  <c r="AJT19" i="15" l="1"/>
  <c r="AJT17" i="15"/>
  <c r="AJT15" i="15"/>
  <c r="AJN36" i="18" l="1"/>
  <c r="AJO36" i="18" s="1"/>
  <c r="AJN37" i="18"/>
  <c r="AJO37" i="18" s="1"/>
  <c r="AJN39" i="18"/>
  <c r="AJO39" i="18" s="1"/>
  <c r="AJN41" i="18"/>
  <c r="AJO41" i="18" s="1"/>
  <c r="AJN42" i="18"/>
  <c r="AJO42" i="18" s="1"/>
  <c r="AJN44" i="18"/>
  <c r="AJO44" i="18" s="1"/>
  <c r="AJN45" i="18"/>
  <c r="AJO45" i="18" s="1"/>
  <c r="AJN34" i="18"/>
  <c r="AJO34" i="18" s="1"/>
  <c r="AJN8" i="18"/>
  <c r="AJO8" i="18" s="1"/>
  <c r="AJN11" i="18"/>
  <c r="AJO11" i="18" s="1"/>
  <c r="AJN12" i="18"/>
  <c r="AJO12" i="18" s="1"/>
  <c r="AJN14" i="18"/>
  <c r="AJO14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6" i="18" l="1"/>
  <c r="AJG36" i="18" s="1"/>
  <c r="AJF37" i="18"/>
  <c r="AJG37" i="18" s="1"/>
  <c r="AJF39" i="18"/>
  <c r="AJG39" i="18" s="1"/>
  <c r="AJF41" i="18"/>
  <c r="AJG41" i="18" s="1"/>
  <c r="AJF42" i="18"/>
  <c r="AJG42" i="18" s="1"/>
  <c r="AJF44" i="18"/>
  <c r="AJG44" i="18" s="1"/>
  <c r="AJF45" i="18"/>
  <c r="AJG45" i="18" s="1"/>
  <c r="AJF34" i="18"/>
  <c r="AJG34" i="18" s="1"/>
  <c r="AJF8" i="18"/>
  <c r="AJG8" i="18" s="1"/>
  <c r="AJF11" i="18"/>
  <c r="AJG11" i="18" s="1"/>
  <c r="AJF12" i="18"/>
  <c r="AJG12" i="18" s="1"/>
  <c r="AJF14" i="18"/>
  <c r="AJG14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6" i="18" l="1"/>
  <c r="AIY36" i="18" s="1"/>
  <c r="AIX37" i="18"/>
  <c r="AIY37" i="18" s="1"/>
  <c r="AIX39" i="18"/>
  <c r="AIY39" i="18" s="1"/>
  <c r="AIX41" i="18"/>
  <c r="AIY41" i="18" s="1"/>
  <c r="AIX42" i="18"/>
  <c r="AIY42" i="18" s="1"/>
  <c r="AIX44" i="18"/>
  <c r="AIY44" i="18" s="1"/>
  <c r="AIX45" i="18"/>
  <c r="AIY45" i="18" s="1"/>
  <c r="AIX34" i="18"/>
  <c r="AIY34" i="18" s="1"/>
  <c r="AIX8" i="18"/>
  <c r="AIY8" i="18" s="1"/>
  <c r="AIX11" i="18"/>
  <c r="AIY11" i="18" s="1"/>
  <c r="AIX12" i="18"/>
  <c r="AIY12" i="18" s="1"/>
  <c r="AIX14" i="18"/>
  <c r="AIY14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6" i="18"/>
  <c r="AIQ36" i="18" s="1"/>
  <c r="AIP37" i="18"/>
  <c r="AIQ37" i="18" s="1"/>
  <c r="AIP39" i="18"/>
  <c r="AIQ39" i="18" s="1"/>
  <c r="AIP41" i="18"/>
  <c r="AIQ41" i="18" s="1"/>
  <c r="AIP42" i="18"/>
  <c r="AIQ42" i="18" s="1"/>
  <c r="AIP44" i="18"/>
  <c r="AIQ44" i="18" s="1"/>
  <c r="AIP45" i="18"/>
  <c r="AIQ45" i="18" s="1"/>
  <c r="AIP34" i="18"/>
  <c r="AIQ34" i="18" s="1"/>
  <c r="AIP8" i="18"/>
  <c r="AIQ8" i="18" s="1"/>
  <c r="AIP11" i="18"/>
  <c r="AIQ11" i="18" s="1"/>
  <c r="AIP12" i="18"/>
  <c r="AIQ12" i="18" s="1"/>
  <c r="AIP14" i="18"/>
  <c r="AIQ14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6" i="18"/>
  <c r="AII36" i="18" s="1"/>
  <c r="AIH37" i="18"/>
  <c r="AII37" i="18" s="1"/>
  <c r="AIH39" i="18"/>
  <c r="AII39" i="18" s="1"/>
  <c r="AIH41" i="18"/>
  <c r="AII41" i="18" s="1"/>
  <c r="AIH42" i="18"/>
  <c r="AII42" i="18" s="1"/>
  <c r="AIH44" i="18"/>
  <c r="AII44" i="18" s="1"/>
  <c r="AIH45" i="18"/>
  <c r="AII45" i="18" s="1"/>
  <c r="AIH34" i="18"/>
  <c r="AII34" i="18" s="1"/>
  <c r="AIH8" i="18"/>
  <c r="AII8" i="18" s="1"/>
  <c r="AIH11" i="18"/>
  <c r="AII11" i="18" s="1"/>
  <c r="AIH12" i="18"/>
  <c r="AII12" i="18" s="1"/>
  <c r="AIH14" i="18"/>
  <c r="AII14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6" i="18"/>
  <c r="AIA36" i="18" s="1"/>
  <c r="AHZ37" i="18"/>
  <c r="AIA37" i="18" s="1"/>
  <c r="AHZ39" i="18"/>
  <c r="AIA39" i="18" s="1"/>
  <c r="AHZ41" i="18"/>
  <c r="AIA41" i="18" s="1"/>
  <c r="AHZ42" i="18"/>
  <c r="AIA42" i="18" s="1"/>
  <c r="AHZ44" i="18"/>
  <c r="AIA44" i="18" s="1"/>
  <c r="AHZ45" i="18"/>
  <c r="AIA45" i="18" s="1"/>
  <c r="AHZ34" i="18"/>
  <c r="AIA34" i="18" s="1"/>
  <c r="AHZ8" i="18"/>
  <c r="AIA8" i="18" s="1"/>
  <c r="AHZ11" i="18"/>
  <c r="AIA11" i="18" s="1"/>
  <c r="AHZ12" i="18"/>
  <c r="AIA12" i="18" s="1"/>
  <c r="AHZ14" i="18"/>
  <c r="AIA14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7" i="18"/>
  <c r="AIA7" i="18" s="1"/>
  <c r="AHR36" i="18" l="1"/>
  <c r="AHS36" i="18" s="1"/>
  <c r="AHR37" i="18"/>
  <c r="AHS37" i="18" s="1"/>
  <c r="AHR39" i="18"/>
  <c r="AHS39" i="18" s="1"/>
  <c r="AHR41" i="18"/>
  <c r="AHS41" i="18" s="1"/>
  <c r="AHR42" i="18"/>
  <c r="AHS42" i="18" s="1"/>
  <c r="AHR44" i="18"/>
  <c r="AHS44" i="18" s="1"/>
  <c r="AHR45" i="18"/>
  <c r="AHS45" i="18" s="1"/>
  <c r="AHR34" i="18"/>
  <c r="AHS34" i="18" s="1"/>
  <c r="AHR8" i="18"/>
  <c r="AHS8" i="18" s="1"/>
  <c r="AHR11" i="18"/>
  <c r="AHS11" i="18" s="1"/>
  <c r="AHR12" i="18"/>
  <c r="AHS12" i="18" s="1"/>
  <c r="AHR14" i="18"/>
  <c r="AHS14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6" i="18"/>
  <c r="AHK36" i="18" s="1"/>
  <c r="AHJ37" i="18"/>
  <c r="AHK37" i="18" s="1"/>
  <c r="AHJ39" i="18"/>
  <c r="AHK39" i="18" s="1"/>
  <c r="AHJ41" i="18"/>
  <c r="AHK41" i="18" s="1"/>
  <c r="AHJ42" i="18"/>
  <c r="AHK42" i="18" s="1"/>
  <c r="AHJ44" i="18"/>
  <c r="AHK44" i="18" s="1"/>
  <c r="AHJ45" i="18"/>
  <c r="AHK45" i="18" s="1"/>
  <c r="AHJ34" i="18"/>
  <c r="AHK34" i="18" s="1"/>
  <c r="AHJ8" i="18"/>
  <c r="AHK8" i="18" s="1"/>
  <c r="AHJ11" i="18"/>
  <c r="AHK11" i="18" s="1"/>
  <c r="AHJ12" i="18"/>
  <c r="AHK12" i="18" s="1"/>
  <c r="AHJ14" i="18"/>
  <c r="AHK14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7" i="18"/>
  <c r="AHK7" i="18" s="1"/>
  <c r="AHB36" i="18" l="1"/>
  <c r="AHC36" i="18" s="1"/>
  <c r="AHB37" i="18"/>
  <c r="AHC37" i="18" s="1"/>
  <c r="AHB39" i="18"/>
  <c r="AHC39" i="18" s="1"/>
  <c r="AHB41" i="18"/>
  <c r="AHC41" i="18" s="1"/>
  <c r="AHB42" i="18"/>
  <c r="AHC42" i="18" s="1"/>
  <c r="AHB44" i="18"/>
  <c r="AHC44" i="18" s="1"/>
  <c r="AHB45" i="18"/>
  <c r="AHC45" i="18" s="1"/>
  <c r="AHB34" i="18"/>
  <c r="AHC34" i="18" s="1"/>
  <c r="AHB8" i="18"/>
  <c r="AHC8" i="18" s="1"/>
  <c r="AHB11" i="18"/>
  <c r="AHC11" i="18" s="1"/>
  <c r="AHB12" i="18"/>
  <c r="AHC12" i="18" s="1"/>
  <c r="AHB14" i="18"/>
  <c r="AHC14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6" i="18" l="1"/>
  <c r="AGU36" i="18" s="1"/>
  <c r="AGT37" i="18"/>
  <c r="AGU37" i="18" s="1"/>
  <c r="AGT39" i="18"/>
  <c r="AGU39" i="18" s="1"/>
  <c r="AGT41" i="18"/>
  <c r="AGU41" i="18" s="1"/>
  <c r="AGT42" i="18"/>
  <c r="AGU42" i="18" s="1"/>
  <c r="AGT44" i="18"/>
  <c r="AGU44" i="18" s="1"/>
  <c r="AGT45" i="18"/>
  <c r="AGU45" i="18" s="1"/>
  <c r="AGT34" i="18"/>
  <c r="AGU34" i="18" s="1"/>
  <c r="AGT8" i="18"/>
  <c r="AGU8" i="18" s="1"/>
  <c r="AGT11" i="18"/>
  <c r="AGU11" i="18" s="1"/>
  <c r="AGT12" i="18"/>
  <c r="AGU12" i="18" s="1"/>
  <c r="AGT14" i="18"/>
  <c r="AGU14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6" i="18" l="1"/>
  <c r="AGL36" i="18" s="1"/>
  <c r="AGK37" i="18"/>
  <c r="AGL37" i="18" s="1"/>
  <c r="AGK39" i="18"/>
  <c r="AGL39" i="18" s="1"/>
  <c r="AGK41" i="18"/>
  <c r="AGL41" i="18" s="1"/>
  <c r="AGK42" i="18"/>
  <c r="AGL42" i="18" s="1"/>
  <c r="AGK44" i="18"/>
  <c r="AGL44" i="18" s="1"/>
  <c r="AGK45" i="18"/>
  <c r="AGL45" i="18" s="1"/>
  <c r="AGK34" i="18"/>
  <c r="AGL34" i="18" s="1"/>
  <c r="AGK8" i="18"/>
  <c r="AGL8" i="18" s="1"/>
  <c r="AGK11" i="18"/>
  <c r="AGL11" i="18" s="1"/>
  <c r="AGK12" i="18"/>
  <c r="AGL12" i="18" s="1"/>
  <c r="AGK14" i="18"/>
  <c r="AGL14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6" i="18" l="1"/>
  <c r="AGD36" i="18" s="1"/>
  <c r="AGC37" i="18"/>
  <c r="AGD37" i="18" s="1"/>
  <c r="AGC39" i="18"/>
  <c r="AGD39" i="18" s="1"/>
  <c r="AGC41" i="18"/>
  <c r="AGD41" i="18" s="1"/>
  <c r="AGC42" i="18"/>
  <c r="AGD42" i="18" s="1"/>
  <c r="AGC44" i="18"/>
  <c r="AGD44" i="18" s="1"/>
  <c r="AGC45" i="18"/>
  <c r="AGD45" i="18" s="1"/>
  <c r="AGC34" i="18"/>
  <c r="AGD34" i="18" s="1"/>
  <c r="AGC8" i="18"/>
  <c r="AGD8" i="18" s="1"/>
  <c r="AGC11" i="18"/>
  <c r="AGD11" i="18" s="1"/>
  <c r="AGC12" i="18"/>
  <c r="AGD12" i="18" s="1"/>
  <c r="AGC14" i="18"/>
  <c r="AGD14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6" i="18" l="1"/>
  <c r="AFV36" i="18" s="1"/>
  <c r="AFU37" i="18"/>
  <c r="AFV37" i="18" s="1"/>
  <c r="AFU39" i="18"/>
  <c r="AFV39" i="18" s="1"/>
  <c r="AFU41" i="18"/>
  <c r="AFV41" i="18" s="1"/>
  <c r="AFU42" i="18"/>
  <c r="AFV42" i="18" s="1"/>
  <c r="AFU44" i="18"/>
  <c r="AFV44" i="18" s="1"/>
  <c r="AFU45" i="18"/>
  <c r="AFV45" i="18" s="1"/>
  <c r="AFU34" i="18"/>
  <c r="AFV34" i="18" s="1"/>
  <c r="AFU8" i="18"/>
  <c r="AFV8" i="18" s="1"/>
  <c r="AFU11" i="18"/>
  <c r="AFV11" i="18" s="1"/>
  <c r="AFU12" i="18"/>
  <c r="AFV12" i="18" s="1"/>
  <c r="AFU14" i="18"/>
  <c r="AFV14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6" i="18"/>
  <c r="AFN36" i="18" s="1"/>
  <c r="AFM37" i="18"/>
  <c r="AFN37" i="18" s="1"/>
  <c r="AFM39" i="18"/>
  <c r="AFN39" i="18" s="1"/>
  <c r="AFM41" i="18"/>
  <c r="AFN41" i="18" s="1"/>
  <c r="AFM42" i="18"/>
  <c r="AFN42" i="18" s="1"/>
  <c r="AFM44" i="18"/>
  <c r="AFN44" i="18" s="1"/>
  <c r="AFM45" i="18"/>
  <c r="AFN45" i="18" s="1"/>
  <c r="AFM34" i="18"/>
  <c r="AFN34" i="18" s="1"/>
  <c r="AFM8" i="18"/>
  <c r="AFN8" i="18" s="1"/>
  <c r="AFM11" i="18"/>
  <c r="AFN11" i="18" s="1"/>
  <c r="AFM12" i="18"/>
  <c r="AFN12" i="18" s="1"/>
  <c r="AFM14" i="18"/>
  <c r="AFN14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7" i="18"/>
  <c r="AFN7" i="18" s="1"/>
  <c r="AFE36" i="18" l="1"/>
  <c r="AFF36" i="18" s="1"/>
  <c r="AFE37" i="18"/>
  <c r="AFF37" i="18" s="1"/>
  <c r="AFE39" i="18"/>
  <c r="AFF39" i="18" s="1"/>
  <c r="AFE41" i="18"/>
  <c r="AFF41" i="18" s="1"/>
  <c r="AFE42" i="18"/>
  <c r="AFF42" i="18" s="1"/>
  <c r="AFE44" i="18"/>
  <c r="AFF44" i="18" s="1"/>
  <c r="AFE45" i="18"/>
  <c r="AFF45" i="18" s="1"/>
  <c r="AFE34" i="18"/>
  <c r="AFF34" i="18" s="1"/>
  <c r="AFE8" i="18"/>
  <c r="AFF8" i="18" s="1"/>
  <c r="AFE11" i="18"/>
  <c r="AFF11" i="18" s="1"/>
  <c r="AFE12" i="18"/>
  <c r="AFF12" i="18" s="1"/>
  <c r="AFE14" i="18"/>
  <c r="AFF14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6" i="18" l="1"/>
  <c r="AEX36" i="18" s="1"/>
  <c r="AEW37" i="18"/>
  <c r="AEX37" i="18" s="1"/>
  <c r="AEW39" i="18"/>
  <c r="AEX39" i="18" s="1"/>
  <c r="AEW41" i="18"/>
  <c r="AEX41" i="18" s="1"/>
  <c r="AEW42" i="18"/>
  <c r="AEX42" i="18" s="1"/>
  <c r="AEW44" i="18"/>
  <c r="AEX44" i="18" s="1"/>
  <c r="AEW45" i="18"/>
  <c r="AEX45" i="18" s="1"/>
  <c r="AEW34" i="18"/>
  <c r="AEX34" i="18" s="1"/>
  <c r="AEW8" i="18"/>
  <c r="AEX8" i="18" s="1"/>
  <c r="AEW11" i="18"/>
  <c r="AEX11" i="18" s="1"/>
  <c r="AEW12" i="18"/>
  <c r="AEX12" i="18" s="1"/>
  <c r="AEW14" i="18"/>
  <c r="AEX14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6" i="18" l="1"/>
  <c r="AEP36" i="18" s="1"/>
  <c r="AEO37" i="18"/>
  <c r="AEP37" i="18" s="1"/>
  <c r="AEO39" i="18"/>
  <c r="AEP39" i="18" s="1"/>
  <c r="AEO41" i="18"/>
  <c r="AEP41" i="18" s="1"/>
  <c r="AEO42" i="18"/>
  <c r="AEP42" i="18" s="1"/>
  <c r="AEO44" i="18"/>
  <c r="AEP44" i="18" s="1"/>
  <c r="AEO45" i="18"/>
  <c r="AEP45" i="18" s="1"/>
  <c r="AEO34" i="18"/>
  <c r="AEP34" i="18" s="1"/>
  <c r="AEO8" i="18"/>
  <c r="AEP8" i="18" s="1"/>
  <c r="AEO11" i="18"/>
  <c r="AEP11" i="18" s="1"/>
  <c r="AEO12" i="18"/>
  <c r="AEP12" i="18" s="1"/>
  <c r="AEO14" i="18"/>
  <c r="AEP14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6" i="18" l="1"/>
  <c r="AEH36" i="18" s="1"/>
  <c r="AEG37" i="18"/>
  <c r="AEH37" i="18" s="1"/>
  <c r="AEG39" i="18"/>
  <c r="AEH39" i="18" s="1"/>
  <c r="AEG41" i="18"/>
  <c r="AEH41" i="18" s="1"/>
  <c r="AEG42" i="18"/>
  <c r="AEH42" i="18" s="1"/>
  <c r="AEG44" i="18"/>
  <c r="AEH44" i="18" s="1"/>
  <c r="AEG45" i="18"/>
  <c r="AEH45" i="18" s="1"/>
  <c r="AEG34" i="18"/>
  <c r="AEH34" i="18" s="1"/>
  <c r="AEG8" i="18"/>
  <c r="AEH8" i="18" s="1"/>
  <c r="AEG11" i="18"/>
  <c r="AEH11" i="18" s="1"/>
  <c r="AEG12" i="18"/>
  <c r="AEH12" i="18" s="1"/>
  <c r="AEG14" i="18"/>
  <c r="AEH14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6" i="18" l="1"/>
  <c r="ADZ36" i="18" s="1"/>
  <c r="ADY37" i="18"/>
  <c r="ADZ37" i="18" s="1"/>
  <c r="ADY39" i="18"/>
  <c r="ADZ39" i="18" s="1"/>
  <c r="ADY41" i="18"/>
  <c r="ADZ41" i="18" s="1"/>
  <c r="ADY42" i="18"/>
  <c r="ADZ42" i="18" s="1"/>
  <c r="ADY44" i="18"/>
  <c r="ADZ44" i="18" s="1"/>
  <c r="ADY45" i="18"/>
  <c r="ADZ45" i="18" s="1"/>
  <c r="ADY34" i="18"/>
  <c r="ADZ34" i="18" s="1"/>
  <c r="ADY8" i="18"/>
  <c r="ADZ8" i="18" s="1"/>
  <c r="ADY11" i="18"/>
  <c r="ADZ11" i="18" s="1"/>
  <c r="ADY12" i="18"/>
  <c r="ADZ12" i="18" s="1"/>
  <c r="ADY14" i="18"/>
  <c r="ADZ14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7" i="18"/>
  <c r="ADZ7" i="18" s="1"/>
  <c r="ADQ36" i="18" l="1"/>
  <c r="ADR36" i="18" s="1"/>
  <c r="ADQ37" i="18"/>
  <c r="ADR37" i="18" s="1"/>
  <c r="ADQ39" i="18"/>
  <c r="ADR39" i="18" s="1"/>
  <c r="ADQ41" i="18"/>
  <c r="ADR41" i="18" s="1"/>
  <c r="ADQ42" i="18"/>
  <c r="ADR42" i="18" s="1"/>
  <c r="ADQ44" i="18"/>
  <c r="ADR44" i="18" s="1"/>
  <c r="ADQ45" i="18"/>
  <c r="ADR45" i="18" s="1"/>
  <c r="ADQ34" i="18"/>
  <c r="ADR34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1" i="18"/>
  <c r="ADR11" i="18" s="1"/>
  <c r="ADQ12" i="18"/>
  <c r="ADR12" i="18" s="1"/>
  <c r="ADQ14" i="18"/>
  <c r="ADR14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6" i="18"/>
  <c r="ADJ36" i="18" s="1"/>
  <c r="ADI37" i="18"/>
  <c r="ADJ37" i="18" s="1"/>
  <c r="ADI39" i="18"/>
  <c r="ADJ39" i="18" s="1"/>
  <c r="ADI41" i="18"/>
  <c r="ADJ41" i="18" s="1"/>
  <c r="ADI42" i="18"/>
  <c r="ADJ42" i="18" s="1"/>
  <c r="ADI44" i="18"/>
  <c r="ADJ44" i="18" s="1"/>
  <c r="ADI45" i="18"/>
  <c r="ADJ45" i="18" s="1"/>
  <c r="ADI34" i="18"/>
  <c r="ADJ34" i="18" s="1"/>
  <c r="ADI8" i="18"/>
  <c r="ADJ8" i="18" s="1"/>
  <c r="ADI11" i="18"/>
  <c r="ADJ11" i="18" s="1"/>
  <c r="ADI12" i="18"/>
  <c r="ADJ12" i="18" s="1"/>
  <c r="ADI14" i="18"/>
  <c r="ADJ14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6" i="18"/>
  <c r="ADB36" i="18" s="1"/>
  <c r="ADA37" i="18"/>
  <c r="ADB37" i="18" s="1"/>
  <c r="ADA39" i="18"/>
  <c r="ADB39" i="18" s="1"/>
  <c r="ADA41" i="18"/>
  <c r="ADB41" i="18" s="1"/>
  <c r="ADA42" i="18"/>
  <c r="ADB42" i="18" s="1"/>
  <c r="ADA44" i="18"/>
  <c r="ADB44" i="18" s="1"/>
  <c r="ADA45" i="18"/>
  <c r="ADB45" i="18" s="1"/>
  <c r="ADA34" i="18"/>
  <c r="ADB34" i="18" s="1"/>
  <c r="ADA8" i="18"/>
  <c r="ADB8" i="18" s="1"/>
  <c r="ADA11" i="18"/>
  <c r="ADB11" i="18" s="1"/>
  <c r="ADA12" i="18"/>
  <c r="ADB12" i="18" s="1"/>
  <c r="ADA14" i="18"/>
  <c r="ADB14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6" i="18"/>
  <c r="ACT36" i="18" s="1"/>
  <c r="ACS37" i="18"/>
  <c r="ACT37" i="18" s="1"/>
  <c r="ACS39" i="18"/>
  <c r="ACT39" i="18" s="1"/>
  <c r="ACS41" i="18"/>
  <c r="ACT41" i="18" s="1"/>
  <c r="ACS42" i="18"/>
  <c r="ACT42" i="18" s="1"/>
  <c r="ACS44" i="18"/>
  <c r="ACT44" i="18" s="1"/>
  <c r="ACS45" i="18"/>
  <c r="ACT45" i="18" s="1"/>
  <c r="ACS34" i="18"/>
  <c r="ACT34" i="18" s="1"/>
  <c r="ACS8" i="18"/>
  <c r="ACT8" i="18" s="1"/>
  <c r="ACS11" i="18"/>
  <c r="ACT11" i="18" s="1"/>
  <c r="ACS12" i="18"/>
  <c r="ACT12" i="18" s="1"/>
  <c r="ACS14" i="18"/>
  <c r="ACT14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7" i="18"/>
  <c r="ACT7" i="18" s="1"/>
  <c r="ACK36" i="18" l="1"/>
  <c r="ACL36" i="18" s="1"/>
  <c r="ACK37" i="18"/>
  <c r="ACL37" i="18" s="1"/>
  <c r="ACK39" i="18"/>
  <c r="ACL39" i="18" s="1"/>
  <c r="ACK41" i="18"/>
  <c r="ACL41" i="18" s="1"/>
  <c r="ACK42" i="18"/>
  <c r="ACL42" i="18" s="1"/>
  <c r="ACK44" i="18"/>
  <c r="ACL44" i="18" s="1"/>
  <c r="ACK45" i="18"/>
  <c r="ACL45" i="18" s="1"/>
  <c r="ACK34" i="18"/>
  <c r="ACL34" i="18" s="1"/>
  <c r="ACK8" i="18"/>
  <c r="ACL8" i="18" s="1"/>
  <c r="ACK11" i="18"/>
  <c r="ACL11" i="18" s="1"/>
  <c r="ACK12" i="18"/>
  <c r="ACL12" i="18" s="1"/>
  <c r="ACK14" i="18"/>
  <c r="ACL14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6" i="18"/>
  <c r="ACD36" i="18" s="1"/>
  <c r="ACC37" i="18"/>
  <c r="ACD37" i="18" s="1"/>
  <c r="ACC39" i="18"/>
  <c r="ACD39" i="18" s="1"/>
  <c r="ACC41" i="18"/>
  <c r="ACD41" i="18" s="1"/>
  <c r="ACC42" i="18"/>
  <c r="ACD42" i="18" s="1"/>
  <c r="ACC44" i="18"/>
  <c r="ACD44" i="18" s="1"/>
  <c r="ACC45" i="18"/>
  <c r="ACD45" i="18" s="1"/>
  <c r="ACC34" i="18"/>
  <c r="ACD34" i="18" s="1"/>
  <c r="ACC8" i="18"/>
  <c r="ACD8" i="18" s="1"/>
  <c r="ACC11" i="18"/>
  <c r="ACD11" i="18" s="1"/>
  <c r="ACC12" i="18"/>
  <c r="ACD12" i="18" s="1"/>
  <c r="ACC14" i="18"/>
  <c r="ACD14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6" i="18"/>
  <c r="ABV36" i="18" s="1"/>
  <c r="ABU37" i="18"/>
  <c r="ABV37" i="18" s="1"/>
  <c r="ABU39" i="18"/>
  <c r="ABV39" i="18" s="1"/>
  <c r="ABU41" i="18"/>
  <c r="ABV41" i="18" s="1"/>
  <c r="ABU42" i="18"/>
  <c r="ABV42" i="18" s="1"/>
  <c r="ABU44" i="18"/>
  <c r="ABV44" i="18" s="1"/>
  <c r="ABU45" i="18"/>
  <c r="ABV45" i="18" s="1"/>
  <c r="ABU34" i="18"/>
  <c r="ABV34" i="18" s="1"/>
  <c r="ABU8" i="18"/>
  <c r="ABV8" i="18" s="1"/>
  <c r="ABU11" i="18"/>
  <c r="ABV11" i="18" s="1"/>
  <c r="ABU12" i="18"/>
  <c r="ABV12" i="18" s="1"/>
  <c r="ABU14" i="18"/>
  <c r="ABV14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7" i="18"/>
  <c r="ABV7" i="18" s="1"/>
  <c r="ABM36" i="18" l="1"/>
  <c r="ABN36" i="18" s="1"/>
  <c r="ABM37" i="18"/>
  <c r="ABN37" i="18" s="1"/>
  <c r="ABM39" i="18"/>
  <c r="ABN39" i="18" s="1"/>
  <c r="ABM41" i="18"/>
  <c r="ABN41" i="18" s="1"/>
  <c r="ABM42" i="18"/>
  <c r="ABN42" i="18" s="1"/>
  <c r="ABM44" i="18"/>
  <c r="ABN44" i="18" s="1"/>
  <c r="ABM45" i="18"/>
  <c r="ABN45" i="18" s="1"/>
  <c r="ABM34" i="18"/>
  <c r="ABN34" i="18" s="1"/>
  <c r="ABM8" i="18"/>
  <c r="ABN8" i="18" s="1"/>
  <c r="ABM11" i="18"/>
  <c r="ABN11" i="18" s="1"/>
  <c r="ABM12" i="18"/>
  <c r="ABN12" i="18" s="1"/>
  <c r="ABM14" i="18"/>
  <c r="ABN14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6" i="18"/>
  <c r="ABF36" i="18" s="1"/>
  <c r="ABE37" i="18"/>
  <c r="ABF37" i="18" s="1"/>
  <c r="ABE39" i="18"/>
  <c r="ABF39" i="18" s="1"/>
  <c r="ABE41" i="18"/>
  <c r="ABF41" i="18" s="1"/>
  <c r="ABE42" i="18"/>
  <c r="ABF42" i="18" s="1"/>
  <c r="ABE44" i="18"/>
  <c r="ABF44" i="18" s="1"/>
  <c r="ABE45" i="18"/>
  <c r="ABF45" i="18" s="1"/>
  <c r="ABE34" i="18"/>
  <c r="ABF34" i="18" s="1"/>
  <c r="ABE8" i="18"/>
  <c r="ABF8" i="18" s="1"/>
  <c r="ABE11" i="18"/>
  <c r="ABF11" i="18" s="1"/>
  <c r="ABE12" i="18"/>
  <c r="ABF12" i="18" s="1"/>
  <c r="ABE14" i="18"/>
  <c r="ABF14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7" i="18"/>
  <c r="ABF7" i="18" s="1"/>
  <c r="AAW36" i="18" l="1"/>
  <c r="AAX36" i="18" s="1"/>
  <c r="AAW37" i="18"/>
  <c r="AAX37" i="18" s="1"/>
  <c r="AAW39" i="18"/>
  <c r="AAX39" i="18" s="1"/>
  <c r="AAW41" i="18"/>
  <c r="AAX41" i="18" s="1"/>
  <c r="AAW42" i="18"/>
  <c r="AAX42" i="18" s="1"/>
  <c r="AAW44" i="18"/>
  <c r="AAX44" i="18" s="1"/>
  <c r="AAW45" i="18"/>
  <c r="AAX45" i="18" s="1"/>
  <c r="AAW34" i="18"/>
  <c r="AAX34" i="18" s="1"/>
  <c r="AAW8" i="18"/>
  <c r="AAX8" i="18" s="1"/>
  <c r="AAW11" i="18"/>
  <c r="AAX11" i="18" s="1"/>
  <c r="AAW12" i="18"/>
  <c r="AAX12" i="18" s="1"/>
  <c r="AAW14" i="18"/>
  <c r="AAX14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6" i="18"/>
  <c r="AAP36" i="18" s="1"/>
  <c r="AAO37" i="18"/>
  <c r="AAP37" i="18" s="1"/>
  <c r="AAO39" i="18"/>
  <c r="AAP39" i="18" s="1"/>
  <c r="AAO41" i="18"/>
  <c r="AAP41" i="18" s="1"/>
  <c r="AAO42" i="18"/>
  <c r="AAP42" i="18" s="1"/>
  <c r="AAO44" i="18"/>
  <c r="AAP44" i="18" s="1"/>
  <c r="AAO45" i="18"/>
  <c r="AAP45" i="18" s="1"/>
  <c r="AAO34" i="18"/>
  <c r="AAP34" i="18" s="1"/>
  <c r="AAO8" i="18"/>
  <c r="AAP8" i="18" s="1"/>
  <c r="AAO11" i="18"/>
  <c r="AAP11" i="18" s="1"/>
  <c r="AAO12" i="18"/>
  <c r="AAP12" i="18" s="1"/>
  <c r="AAO14" i="18"/>
  <c r="AAP14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6" i="18"/>
  <c r="AAH36" i="18" s="1"/>
  <c r="AAG37" i="18"/>
  <c r="AAH37" i="18" s="1"/>
  <c r="AAG39" i="18"/>
  <c r="AAH39" i="18" s="1"/>
  <c r="AAG41" i="18"/>
  <c r="AAH41" i="18" s="1"/>
  <c r="AAG42" i="18"/>
  <c r="AAH42" i="18" s="1"/>
  <c r="AAG44" i="18"/>
  <c r="AAH44" i="18" s="1"/>
  <c r="AAG45" i="18"/>
  <c r="AAH45" i="18" s="1"/>
  <c r="AAG34" i="18"/>
  <c r="AAH34" i="18" s="1"/>
  <c r="AAG8" i="18"/>
  <c r="AAH8" i="18" s="1"/>
  <c r="AAG11" i="18"/>
  <c r="AAH11" i="18" s="1"/>
  <c r="AAG12" i="18"/>
  <c r="AAH12" i="18" s="1"/>
  <c r="AAG14" i="18"/>
  <c r="AAH14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7" i="18"/>
  <c r="AAH7" i="18" s="1"/>
  <c r="ZX36" i="18" l="1"/>
  <c r="ZY36" i="18" s="1"/>
  <c r="ZX37" i="18"/>
  <c r="ZY37" i="18" s="1"/>
  <c r="ZX39" i="18"/>
  <c r="ZY39" i="18" s="1"/>
  <c r="ZX41" i="18"/>
  <c r="ZY41" i="18" s="1"/>
  <c r="ZX42" i="18"/>
  <c r="ZY42" i="18" s="1"/>
  <c r="ZX44" i="18"/>
  <c r="ZY44" i="18" s="1"/>
  <c r="ZX45" i="18"/>
  <c r="ZY45" i="18" s="1"/>
  <c r="ZX34" i="18"/>
  <c r="ZY34" i="18" s="1"/>
  <c r="ZX8" i="18"/>
  <c r="ZX11" i="18"/>
  <c r="ZX12" i="18"/>
  <c r="ZX14" i="18"/>
  <c r="ZX15" i="18"/>
  <c r="ZX16" i="18"/>
  <c r="ZX17" i="18"/>
  <c r="ZX18" i="18"/>
  <c r="ZX19" i="18"/>
  <c r="ZX20" i="18"/>
  <c r="ZX21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1" i="18"/>
  <c r="ZY12" i="18"/>
  <c r="ZY14" i="18"/>
  <c r="ZY15" i="18"/>
  <c r="ZY16" i="18"/>
  <c r="ZY17" i="18"/>
  <c r="ZY18" i="18"/>
  <c r="ZY19" i="18"/>
  <c r="ZY20" i="18"/>
  <c r="ZY21" i="18"/>
  <c r="ZY7" i="18"/>
  <c r="ZV17" i="15" l="1"/>
  <c r="ZU17" i="15" l="1"/>
  <c r="ZU16" i="15"/>
  <c r="ZO36" i="18" l="1"/>
  <c r="ZP36" i="18" s="1"/>
  <c r="ZO37" i="18"/>
  <c r="ZP37" i="18" s="1"/>
  <c r="ZO39" i="18"/>
  <c r="ZP39" i="18" s="1"/>
  <c r="ZO41" i="18"/>
  <c r="ZP41" i="18" s="1"/>
  <c r="ZO42" i="18"/>
  <c r="ZP42" i="18" s="1"/>
  <c r="ZO44" i="18"/>
  <c r="ZP44" i="18" s="1"/>
  <c r="ZO45" i="18"/>
  <c r="ZP45" i="18" s="1"/>
  <c r="ZO34" i="18"/>
  <c r="ZP34" i="18" s="1"/>
  <c r="ZO8" i="18"/>
  <c r="ZP8" i="18" s="1"/>
  <c r="ZO11" i="18"/>
  <c r="ZP11" i="18" s="1"/>
  <c r="ZO12" i="18"/>
  <c r="ZP12" i="18" s="1"/>
  <c r="ZO14" i="18"/>
  <c r="ZP14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6" i="18" l="1"/>
  <c r="ZH36" i="18" s="1"/>
  <c r="ZG37" i="18"/>
  <c r="ZH37" i="18" s="1"/>
  <c r="ZG39" i="18"/>
  <c r="ZH39" i="18" s="1"/>
  <c r="ZG41" i="18"/>
  <c r="ZH41" i="18" s="1"/>
  <c r="ZG42" i="18"/>
  <c r="ZH42" i="18" s="1"/>
  <c r="ZG44" i="18"/>
  <c r="ZH44" i="18" s="1"/>
  <c r="ZG45" i="18"/>
  <c r="ZH45" i="18" s="1"/>
  <c r="ZG34" i="18"/>
  <c r="ZH34" i="18" s="1"/>
  <c r="ZG8" i="18"/>
  <c r="ZH8" i="18" s="1"/>
  <c r="ZG11" i="18"/>
  <c r="ZH11" i="18" s="1"/>
  <c r="ZG12" i="18"/>
  <c r="ZH12" i="18" s="1"/>
  <c r="ZG14" i="18"/>
  <c r="ZH14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6" i="18" l="1"/>
  <c r="YZ36" i="18" s="1"/>
  <c r="YY37" i="18"/>
  <c r="YZ37" i="18" s="1"/>
  <c r="YY39" i="18"/>
  <c r="YZ39" i="18" s="1"/>
  <c r="YY41" i="18"/>
  <c r="YZ41" i="18" s="1"/>
  <c r="YY42" i="18"/>
  <c r="YZ42" i="18" s="1"/>
  <c r="YY44" i="18"/>
  <c r="YZ44" i="18" s="1"/>
  <c r="YY45" i="18"/>
  <c r="YZ45" i="18" s="1"/>
  <c r="YY34" i="18"/>
  <c r="YZ34" i="18" s="1"/>
  <c r="YY8" i="18"/>
  <c r="YZ8" i="18" s="1"/>
  <c r="YY11" i="18"/>
  <c r="YZ11" i="18" s="1"/>
  <c r="YY12" i="18"/>
  <c r="YZ12" i="18" s="1"/>
  <c r="YY14" i="18"/>
  <c r="YZ14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6" i="18" l="1"/>
  <c r="YR36" i="18" s="1"/>
  <c r="YQ37" i="18"/>
  <c r="YR37" i="18" s="1"/>
  <c r="YQ39" i="18"/>
  <c r="YR39" i="18" s="1"/>
  <c r="YQ41" i="18"/>
  <c r="YR41" i="18" s="1"/>
  <c r="YQ42" i="18"/>
  <c r="YR42" i="18" s="1"/>
  <c r="YQ44" i="18"/>
  <c r="YR44" i="18" s="1"/>
  <c r="YQ45" i="18"/>
  <c r="YR45" i="18" s="1"/>
  <c r="YQ7" i="18"/>
  <c r="YR7" i="18" s="1"/>
  <c r="YQ34" i="18"/>
  <c r="YR34" i="18" s="1"/>
  <c r="YQ8" i="18"/>
  <c r="YR8" i="18" s="1"/>
  <c r="YQ11" i="18"/>
  <c r="YR11" i="18" s="1"/>
  <c r="YQ12" i="18"/>
  <c r="YR12" i="18" s="1"/>
  <c r="YQ14" i="18"/>
  <c r="YR14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6" i="18" l="1"/>
  <c r="YI36" i="18" s="1"/>
  <c r="YH37" i="18"/>
  <c r="YI37" i="18" s="1"/>
  <c r="YH39" i="18"/>
  <c r="YI39" i="18" s="1"/>
  <c r="YH41" i="18"/>
  <c r="YI41" i="18" s="1"/>
  <c r="YH42" i="18"/>
  <c r="YI42" i="18" s="1"/>
  <c r="YH44" i="18"/>
  <c r="YI44" i="18" s="1"/>
  <c r="YH45" i="18"/>
  <c r="YI45" i="18" s="1"/>
  <c r="YH34" i="18"/>
  <c r="YI34" i="18" s="1"/>
  <c r="YH8" i="18"/>
  <c r="YI8" i="18" s="1"/>
  <c r="YH11" i="18"/>
  <c r="YI11" i="18" s="1"/>
  <c r="YH12" i="18"/>
  <c r="YI12" i="18" s="1"/>
  <c r="YH14" i="18"/>
  <c r="YI14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6" i="18"/>
  <c r="XZ36" i="18" s="1"/>
  <c r="XY37" i="18"/>
  <c r="XZ37" i="18" s="1"/>
  <c r="XY39" i="18"/>
  <c r="XZ39" i="18" s="1"/>
  <c r="XY41" i="18"/>
  <c r="XZ41" i="18" s="1"/>
  <c r="XY42" i="18"/>
  <c r="XZ42" i="18" s="1"/>
  <c r="XY44" i="18"/>
  <c r="XZ44" i="18" s="1"/>
  <c r="XY45" i="18"/>
  <c r="XZ45" i="18" s="1"/>
  <c r="XY34" i="18"/>
  <c r="XZ34" i="18" s="1"/>
  <c r="XY8" i="18"/>
  <c r="XZ8" i="18" s="1"/>
  <c r="XY11" i="18"/>
  <c r="XZ11" i="18" s="1"/>
  <c r="XY12" i="18"/>
  <c r="XZ12" i="18" s="1"/>
  <c r="XY14" i="18"/>
  <c r="XZ14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6" i="18"/>
  <c r="XQ36" i="18" s="1"/>
  <c r="XP37" i="18"/>
  <c r="XQ37" i="18" s="1"/>
  <c r="XP39" i="18"/>
  <c r="XQ39" i="18" s="1"/>
  <c r="XP41" i="18"/>
  <c r="XQ41" i="18" s="1"/>
  <c r="XP42" i="18"/>
  <c r="XQ42" i="18" s="1"/>
  <c r="XP44" i="18"/>
  <c r="XQ44" i="18" s="1"/>
  <c r="XP45" i="18"/>
  <c r="XQ45" i="18" s="1"/>
  <c r="XP34" i="18"/>
  <c r="XQ34" i="18" s="1"/>
  <c r="XP8" i="18"/>
  <c r="XQ8" i="18" s="1"/>
  <c r="XP11" i="18"/>
  <c r="XQ11" i="18" s="1"/>
  <c r="XP12" i="18"/>
  <c r="XQ12" i="18" s="1"/>
  <c r="XP14" i="18"/>
  <c r="XQ14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7" i="18"/>
  <c r="XQ7" i="18" s="1"/>
  <c r="XG36" i="18" l="1"/>
  <c r="XH36" i="18" s="1"/>
  <c r="XG37" i="18"/>
  <c r="XH37" i="18" s="1"/>
  <c r="XG39" i="18"/>
  <c r="XH39" i="18" s="1"/>
  <c r="XG41" i="18"/>
  <c r="XH41" i="18" s="1"/>
  <c r="XG42" i="18"/>
  <c r="XH42" i="18" s="1"/>
  <c r="XG44" i="18"/>
  <c r="XH44" i="18" s="1"/>
  <c r="XG45" i="18"/>
  <c r="XH45" i="18" s="1"/>
  <c r="XG34" i="18"/>
  <c r="XH34" i="18" s="1"/>
  <c r="XG8" i="18"/>
  <c r="XH8" i="18" s="1"/>
  <c r="XG11" i="18"/>
  <c r="XH11" i="18" s="1"/>
  <c r="XG12" i="18"/>
  <c r="XH12" i="18" s="1"/>
  <c r="XG14" i="18"/>
  <c r="XH14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6" i="18" l="1"/>
  <c r="WY36" i="18" s="1"/>
  <c r="WX37" i="18"/>
  <c r="WY37" i="18" s="1"/>
  <c r="WX39" i="18"/>
  <c r="WY39" i="18" s="1"/>
  <c r="WX41" i="18"/>
  <c r="WY41" i="18" s="1"/>
  <c r="WX42" i="18"/>
  <c r="WY42" i="18" s="1"/>
  <c r="WX44" i="18"/>
  <c r="WY44" i="18" s="1"/>
  <c r="WX45" i="18"/>
  <c r="WY45" i="18" s="1"/>
  <c r="WX34" i="18"/>
  <c r="WY34" i="18" s="1"/>
  <c r="WX8" i="18"/>
  <c r="WY8" i="18" s="1"/>
  <c r="WX11" i="18"/>
  <c r="WY11" i="18" s="1"/>
  <c r="WX12" i="18"/>
  <c r="WY12" i="18" s="1"/>
  <c r="WX14" i="18"/>
  <c r="WY14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6" i="18"/>
  <c r="WP36" i="18" s="1"/>
  <c r="WO37" i="18"/>
  <c r="WP37" i="18" s="1"/>
  <c r="WO39" i="18"/>
  <c r="WP39" i="18" s="1"/>
  <c r="WO41" i="18"/>
  <c r="WP41" i="18" s="1"/>
  <c r="WO42" i="18"/>
  <c r="WP42" i="18" s="1"/>
  <c r="WO44" i="18"/>
  <c r="WP44" i="18" s="1"/>
  <c r="WO45" i="18"/>
  <c r="WP45" i="18" s="1"/>
  <c r="WO34" i="18"/>
  <c r="WP34" i="18" s="1"/>
  <c r="WO8" i="18"/>
  <c r="WP8" i="18" s="1"/>
  <c r="WO11" i="18"/>
  <c r="WP11" i="18" s="1"/>
  <c r="WO12" i="18"/>
  <c r="WP12" i="18" s="1"/>
  <c r="WO14" i="18"/>
  <c r="WP14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7" i="18"/>
  <c r="WP7" i="18" s="1"/>
  <c r="VK25" i="19"/>
  <c r="VL25" i="19" s="1"/>
  <c r="WL19" i="15" l="1"/>
  <c r="WI19" i="15" l="1"/>
  <c r="WI17" i="15"/>
  <c r="WG36" i="18" l="1"/>
  <c r="WH36" i="18" s="1"/>
  <c r="WG37" i="18"/>
  <c r="WH37" i="18" s="1"/>
  <c r="WG39" i="18"/>
  <c r="WH39" i="18" s="1"/>
  <c r="WG41" i="18"/>
  <c r="WH41" i="18" s="1"/>
  <c r="WG42" i="18"/>
  <c r="WH42" i="18" s="1"/>
  <c r="WG44" i="18"/>
  <c r="WH44" i="18" s="1"/>
  <c r="WG45" i="18"/>
  <c r="WH45" i="18" s="1"/>
  <c r="WG34" i="18"/>
  <c r="WH34" i="18" s="1"/>
  <c r="WG8" i="18"/>
  <c r="WH8" i="18" s="1"/>
  <c r="WG11" i="18"/>
  <c r="WH11" i="18" s="1"/>
  <c r="WG12" i="18"/>
  <c r="WH12" i="18" s="1"/>
  <c r="WG14" i="18"/>
  <c r="WH14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2" i="18" l="1"/>
  <c r="WE23" i="15"/>
  <c r="WE17" i="15"/>
  <c r="G86" i="17" l="1"/>
  <c r="M34" i="18" l="1"/>
  <c r="G78" i="25" s="1"/>
  <c r="M39" i="18"/>
  <c r="G83" i="25" s="1"/>
  <c r="M45" i="18"/>
  <c r="G89" i="25" s="1"/>
  <c r="M44" i="18"/>
  <c r="G88" i="25" s="1"/>
  <c r="M22" i="18"/>
  <c r="K7" i="20" s="1"/>
  <c r="M42" i="18"/>
  <c r="G86" i="25" s="1"/>
  <c r="T14" i="18"/>
  <c r="T15" i="18"/>
  <c r="T17" i="18"/>
  <c r="T16" i="18"/>
  <c r="V20" i="18"/>
  <c r="V19" i="18"/>
  <c r="V18" i="18"/>
  <c r="V16" i="18"/>
  <c r="V17" i="18"/>
  <c r="Q15" i="18"/>
  <c r="T20" i="18"/>
  <c r="Q20" i="18"/>
  <c r="Q14" i="18"/>
  <c r="T19" i="18"/>
  <c r="Q19" i="18"/>
  <c r="Q18" i="18"/>
  <c r="T18" i="18"/>
  <c r="Q17" i="18"/>
  <c r="Q16" i="18"/>
  <c r="C17" i="20"/>
  <c r="M60" i="18" l="1"/>
  <c r="K8" i="20" s="1"/>
  <c r="V42" i="18"/>
  <c r="V45" i="18"/>
  <c r="V39" i="18"/>
  <c r="V44" i="18"/>
  <c r="V34" i="18"/>
  <c r="O42" i="18"/>
  <c r="O44" i="18"/>
  <c r="O39" i="18"/>
  <c r="O45" i="18"/>
  <c r="O34" i="18"/>
  <c r="Q44" i="18"/>
  <c r="Q45" i="18"/>
  <c r="T44" i="18"/>
  <c r="T42" i="18"/>
  <c r="T34" i="18"/>
  <c r="T45" i="18"/>
  <c r="T39" i="18"/>
  <c r="F26" i="20"/>
  <c r="Q42" i="18"/>
  <c r="Q39" i="18"/>
  <c r="Q34" i="18"/>
  <c r="VY36" i="18"/>
  <c r="VZ36" i="18" s="1"/>
  <c r="VY37" i="18"/>
  <c r="VZ37" i="18" s="1"/>
  <c r="VY39" i="18"/>
  <c r="VZ39" i="18" s="1"/>
  <c r="VY41" i="18"/>
  <c r="VZ41" i="18" s="1"/>
  <c r="VY42" i="18"/>
  <c r="VZ42" i="18" s="1"/>
  <c r="VY44" i="18"/>
  <c r="VZ44" i="18" s="1"/>
  <c r="VY45" i="18"/>
  <c r="VZ45" i="18" s="1"/>
  <c r="VY34" i="18"/>
  <c r="VZ34" i="18" s="1"/>
  <c r="VY8" i="18"/>
  <c r="VZ8" i="18" s="1"/>
  <c r="VY11" i="18"/>
  <c r="VZ11" i="18" s="1"/>
  <c r="VY12" i="18"/>
  <c r="VZ12" i="18" s="1"/>
  <c r="VY14" i="18"/>
  <c r="VZ14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0" i="18" l="1"/>
  <c r="Q60" i="18"/>
  <c r="T60" i="18"/>
  <c r="V60" i="18"/>
  <c r="E26" i="20"/>
  <c r="VQ36" i="18"/>
  <c r="VR36" i="18" s="1"/>
  <c r="VQ37" i="18"/>
  <c r="VR37" i="18" s="1"/>
  <c r="VQ39" i="18"/>
  <c r="VR39" i="18" s="1"/>
  <c r="VQ41" i="18"/>
  <c r="VR41" i="18" s="1"/>
  <c r="VQ42" i="18"/>
  <c r="VR42" i="18" s="1"/>
  <c r="VQ44" i="18"/>
  <c r="VR44" i="18" s="1"/>
  <c r="VQ45" i="18"/>
  <c r="VR45" i="18" s="1"/>
  <c r="VQ34" i="18"/>
  <c r="VR34" i="18" s="1"/>
  <c r="VQ8" i="18"/>
  <c r="VR8" i="18" s="1"/>
  <c r="VQ11" i="18"/>
  <c r="VR11" i="18" s="1"/>
  <c r="VQ12" i="18"/>
  <c r="VR12" i="18" s="1"/>
  <c r="VQ14" i="18"/>
  <c r="VR14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6" i="18"/>
  <c r="VJ36" i="18" s="1"/>
  <c r="VI37" i="18"/>
  <c r="VJ37" i="18" s="1"/>
  <c r="VI39" i="18"/>
  <c r="VJ39" i="18" s="1"/>
  <c r="VI41" i="18"/>
  <c r="VJ41" i="18" s="1"/>
  <c r="VI42" i="18"/>
  <c r="VJ42" i="18" s="1"/>
  <c r="VI44" i="18"/>
  <c r="VJ44" i="18" s="1"/>
  <c r="VI45" i="18"/>
  <c r="VJ45" i="18" s="1"/>
  <c r="VI34" i="18"/>
  <c r="VJ34" i="18" s="1"/>
  <c r="VI8" i="18"/>
  <c r="VJ8" i="18" s="1"/>
  <c r="VI11" i="18"/>
  <c r="VJ11" i="18" s="1"/>
  <c r="VI12" i="18"/>
  <c r="VJ12" i="18" s="1"/>
  <c r="VI14" i="18"/>
  <c r="VJ14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6" i="18"/>
  <c r="VB36" i="18" s="1"/>
  <c r="VA37" i="18"/>
  <c r="VB37" i="18" s="1"/>
  <c r="VA39" i="18"/>
  <c r="VB39" i="18" s="1"/>
  <c r="VA41" i="18"/>
  <c r="VB41" i="18" s="1"/>
  <c r="VA42" i="18"/>
  <c r="VB42" i="18" s="1"/>
  <c r="VA44" i="18"/>
  <c r="VB44" i="18" s="1"/>
  <c r="VA45" i="18"/>
  <c r="VB45" i="18" s="1"/>
  <c r="VA34" i="18"/>
  <c r="VB34" i="18" s="1"/>
  <c r="VA8" i="18"/>
  <c r="VB8" i="18" s="1"/>
  <c r="VA11" i="18"/>
  <c r="VB11" i="18" s="1"/>
  <c r="VA12" i="18"/>
  <c r="VB12" i="18" s="1"/>
  <c r="VA14" i="18"/>
  <c r="VB14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7" i="18"/>
  <c r="VB7" i="18" s="1"/>
  <c r="UO14" i="18" l="1"/>
  <c r="C8" i="20" l="1"/>
  <c r="US36" i="18" l="1"/>
  <c r="US37" i="18"/>
  <c r="US39" i="18"/>
  <c r="US41" i="18"/>
  <c r="US42" i="18"/>
  <c r="US44" i="18"/>
  <c r="US45" i="18"/>
  <c r="US34" i="18"/>
  <c r="US8" i="18"/>
  <c r="US11" i="18"/>
  <c r="US12" i="18"/>
  <c r="US14" i="18"/>
  <c r="US15" i="18"/>
  <c r="US16" i="18"/>
  <c r="US17" i="18"/>
  <c r="US18" i="18"/>
  <c r="US19" i="18"/>
  <c r="US20" i="18"/>
  <c r="US21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6" i="18"/>
  <c r="UT37" i="18"/>
  <c r="UT39" i="18"/>
  <c r="UT41" i="18"/>
  <c r="UT42" i="18"/>
  <c r="UT44" i="18"/>
  <c r="UT45" i="18"/>
  <c r="UT34" i="18"/>
  <c r="UT8" i="18"/>
  <c r="UT11" i="18"/>
  <c r="UT12" i="18"/>
  <c r="UT14" i="18"/>
  <c r="UT15" i="18"/>
  <c r="UT16" i="18"/>
  <c r="UT17" i="18"/>
  <c r="UT18" i="18"/>
  <c r="UT19" i="18"/>
  <c r="UT20" i="18"/>
  <c r="UT21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6" i="18"/>
  <c r="UK36" i="18" s="1"/>
  <c r="UJ37" i="18"/>
  <c r="UK37" i="18" s="1"/>
  <c r="UJ39" i="18"/>
  <c r="UK39" i="18" s="1"/>
  <c r="UJ41" i="18"/>
  <c r="UK41" i="18" s="1"/>
  <c r="UJ42" i="18"/>
  <c r="UK42" i="18" s="1"/>
  <c r="UJ44" i="18"/>
  <c r="UK44" i="18" s="1"/>
  <c r="UJ45" i="18"/>
  <c r="UK45" i="18" s="1"/>
  <c r="UJ34" i="18"/>
  <c r="UK34" i="18" s="1"/>
  <c r="UJ8" i="18"/>
  <c r="UK8" i="18" s="1"/>
  <c r="UJ11" i="18"/>
  <c r="UK11" i="18" s="1"/>
  <c r="UJ12" i="18"/>
  <c r="UK12" i="18" s="1"/>
  <c r="UJ14" i="18"/>
  <c r="UK14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7" i="18"/>
  <c r="UK7" i="18" s="1"/>
  <c r="UB36" i="18" l="1"/>
  <c r="UC36" i="18" s="1"/>
  <c r="UB37" i="18"/>
  <c r="UC37" i="18" s="1"/>
  <c r="UB39" i="18"/>
  <c r="UC39" i="18" s="1"/>
  <c r="UB41" i="18"/>
  <c r="UC41" i="18" s="1"/>
  <c r="UB42" i="18"/>
  <c r="UC42" i="18" s="1"/>
  <c r="UB44" i="18"/>
  <c r="UC44" i="18" s="1"/>
  <c r="UB45" i="18"/>
  <c r="UC45" i="18" s="1"/>
  <c r="UB34" i="18"/>
  <c r="UC34" i="18" s="1"/>
  <c r="UB8" i="18"/>
  <c r="UC8" i="18" s="1"/>
  <c r="UB11" i="18"/>
  <c r="UC11" i="18" s="1"/>
  <c r="UB12" i="18"/>
  <c r="UC12" i="18" s="1"/>
  <c r="UB14" i="18"/>
  <c r="UC14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6" i="18" l="1"/>
  <c r="TU36" i="18" s="1"/>
  <c r="TT37" i="18"/>
  <c r="TU37" i="18" s="1"/>
  <c r="TT39" i="18"/>
  <c r="TU39" i="18" s="1"/>
  <c r="TT41" i="18"/>
  <c r="TU41" i="18" s="1"/>
  <c r="TT42" i="18"/>
  <c r="TU42" i="18" s="1"/>
  <c r="TT44" i="18"/>
  <c r="TU44" i="18" s="1"/>
  <c r="TT45" i="18"/>
  <c r="TU45" i="18" s="1"/>
  <c r="TT34" i="18"/>
  <c r="TU34" i="18" s="1"/>
  <c r="TT8" i="18"/>
  <c r="TU8" i="18" s="1"/>
  <c r="TT11" i="18"/>
  <c r="TU11" i="18" s="1"/>
  <c r="TT12" i="18"/>
  <c r="TU12" i="18" s="1"/>
  <c r="TT14" i="18"/>
  <c r="TU14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6" i="18" l="1"/>
  <c r="TM36" i="18" s="1"/>
  <c r="TL37" i="18"/>
  <c r="TM37" i="18" s="1"/>
  <c r="TL39" i="18"/>
  <c r="TM39" i="18" s="1"/>
  <c r="TL41" i="18"/>
  <c r="TM41" i="18" s="1"/>
  <c r="TL42" i="18"/>
  <c r="TM42" i="18" s="1"/>
  <c r="TL44" i="18"/>
  <c r="TM44" i="18" s="1"/>
  <c r="TL45" i="18"/>
  <c r="TM45" i="18" s="1"/>
  <c r="TL34" i="18"/>
  <c r="TM34" i="18" s="1"/>
  <c r="TL8" i="18"/>
  <c r="TM8" i="18" s="1"/>
  <c r="TL11" i="18"/>
  <c r="TM11" i="18" s="1"/>
  <c r="TL12" i="18"/>
  <c r="TM12" i="18" s="1"/>
  <c r="TL14" i="18"/>
  <c r="TM14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6" i="18" l="1"/>
  <c r="TE36" i="18" s="1"/>
  <c r="TD37" i="18"/>
  <c r="TE37" i="18" s="1"/>
  <c r="TD39" i="18"/>
  <c r="TE39" i="18" s="1"/>
  <c r="TD41" i="18"/>
  <c r="TE41" i="18" s="1"/>
  <c r="TD42" i="18"/>
  <c r="TE42" i="18" s="1"/>
  <c r="TD44" i="18"/>
  <c r="TE44" i="18" s="1"/>
  <c r="TD45" i="18"/>
  <c r="TE45" i="18" s="1"/>
  <c r="TD34" i="18"/>
  <c r="TE34" i="18" s="1"/>
  <c r="TD8" i="18"/>
  <c r="TE8" i="18" s="1"/>
  <c r="TD11" i="18"/>
  <c r="TE11" i="18" s="1"/>
  <c r="TD12" i="18"/>
  <c r="TE12" i="18" s="1"/>
  <c r="TD14" i="18"/>
  <c r="TE14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6" i="18" l="1"/>
  <c r="SW36" i="18" s="1"/>
  <c r="SV37" i="18"/>
  <c r="SW37" i="18" s="1"/>
  <c r="SV39" i="18"/>
  <c r="SW39" i="18" s="1"/>
  <c r="SV41" i="18"/>
  <c r="SW41" i="18" s="1"/>
  <c r="SV42" i="18"/>
  <c r="SW42" i="18" s="1"/>
  <c r="SV44" i="18"/>
  <c r="SW44" i="18" s="1"/>
  <c r="SV45" i="18"/>
  <c r="SW45" i="18" s="1"/>
  <c r="SV34" i="18"/>
  <c r="SW34" i="18" s="1"/>
  <c r="SV8" i="18"/>
  <c r="SW8" i="18" s="1"/>
  <c r="SV11" i="18"/>
  <c r="SW11" i="18" s="1"/>
  <c r="SV12" i="18"/>
  <c r="SW12" i="18" s="1"/>
  <c r="SV14" i="18"/>
  <c r="SW14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6" i="18"/>
  <c r="SO36" i="18" s="1"/>
  <c r="SN37" i="18"/>
  <c r="SO37" i="18" s="1"/>
  <c r="SN39" i="18"/>
  <c r="SO39" i="18" s="1"/>
  <c r="SN41" i="18"/>
  <c r="SO41" i="18" s="1"/>
  <c r="SN42" i="18"/>
  <c r="SO42" i="18" s="1"/>
  <c r="SN44" i="18"/>
  <c r="SO44" i="18" s="1"/>
  <c r="SN45" i="18"/>
  <c r="SO45" i="18" s="1"/>
  <c r="SN34" i="18"/>
  <c r="SO34" i="18" s="1"/>
  <c r="SN8" i="18"/>
  <c r="SO8" i="18" s="1"/>
  <c r="SN11" i="18"/>
  <c r="SO11" i="18" s="1"/>
  <c r="SN12" i="18"/>
  <c r="SO12" i="18" s="1"/>
  <c r="SN14" i="18"/>
  <c r="SO14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6" i="18"/>
  <c r="SG36" i="18" s="1"/>
  <c r="SF37" i="18"/>
  <c r="SG37" i="18" s="1"/>
  <c r="SF39" i="18"/>
  <c r="SG39" i="18" s="1"/>
  <c r="SF41" i="18"/>
  <c r="SG41" i="18" s="1"/>
  <c r="SF42" i="18"/>
  <c r="SG42" i="18" s="1"/>
  <c r="SF44" i="18"/>
  <c r="SG44" i="18" s="1"/>
  <c r="SF45" i="18"/>
  <c r="SG45" i="18" s="1"/>
  <c r="SF34" i="18"/>
  <c r="SG34" i="18" s="1"/>
  <c r="SF8" i="18"/>
  <c r="SG8" i="18" s="1"/>
  <c r="SF11" i="18"/>
  <c r="SG11" i="18" s="1"/>
  <c r="SF12" i="18"/>
  <c r="SG12" i="18" s="1"/>
  <c r="SF14" i="18"/>
  <c r="SG14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7" i="18"/>
  <c r="SG7" i="18" s="1"/>
  <c r="RX36" i="18" l="1"/>
  <c r="RY36" i="18" s="1"/>
  <c r="RX37" i="18"/>
  <c r="RY37" i="18" s="1"/>
  <c r="RX39" i="18"/>
  <c r="RY39" i="18" s="1"/>
  <c r="RX41" i="18"/>
  <c r="RY41" i="18" s="1"/>
  <c r="RX42" i="18"/>
  <c r="RY42" i="18" s="1"/>
  <c r="RX44" i="18"/>
  <c r="RY44" i="18" s="1"/>
  <c r="RX45" i="18"/>
  <c r="RY45" i="18" s="1"/>
  <c r="RX34" i="18"/>
  <c r="RY34" i="18" s="1"/>
  <c r="RX8" i="18"/>
  <c r="RY8" i="18" s="1"/>
  <c r="RX11" i="18"/>
  <c r="RY11" i="18" s="1"/>
  <c r="RX12" i="18"/>
  <c r="RY12" i="18" s="1"/>
  <c r="RX14" i="18"/>
  <c r="RY14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6" i="18"/>
  <c r="RQ36" i="18" s="1"/>
  <c r="RP37" i="18"/>
  <c r="RQ37" i="18" s="1"/>
  <c r="RP39" i="18"/>
  <c r="RQ39" i="18" s="1"/>
  <c r="RP41" i="18"/>
  <c r="RQ41" i="18" s="1"/>
  <c r="RP42" i="18"/>
  <c r="RQ42" i="18" s="1"/>
  <c r="RP44" i="18"/>
  <c r="RQ44" i="18" s="1"/>
  <c r="RP45" i="18"/>
  <c r="RQ45" i="18" s="1"/>
  <c r="RP34" i="18"/>
  <c r="RQ34" i="18" s="1"/>
  <c r="RP8" i="18"/>
  <c r="RQ8" i="18" s="1"/>
  <c r="RP11" i="18"/>
  <c r="RQ11" i="18" s="1"/>
  <c r="RP12" i="18"/>
  <c r="RQ12" i="18" s="1"/>
  <c r="RP14" i="18"/>
  <c r="RQ14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6" i="18"/>
  <c r="RI36" i="18" s="1"/>
  <c r="RH37" i="18"/>
  <c r="RI37" i="18" s="1"/>
  <c r="RH39" i="18"/>
  <c r="RI39" i="18" s="1"/>
  <c r="RH41" i="18"/>
  <c r="RI41" i="18" s="1"/>
  <c r="RH42" i="18"/>
  <c r="RI42" i="18" s="1"/>
  <c r="RH44" i="18"/>
  <c r="RI44" i="18" s="1"/>
  <c r="RH45" i="18"/>
  <c r="RI45" i="18" s="1"/>
  <c r="RH34" i="18"/>
  <c r="RI34" i="18" s="1"/>
  <c r="RH8" i="18"/>
  <c r="RI8" i="18" s="1"/>
  <c r="RH11" i="18"/>
  <c r="RI11" i="18" s="1"/>
  <c r="RH12" i="18"/>
  <c r="RI12" i="18" s="1"/>
  <c r="RH14" i="18"/>
  <c r="RI14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7" i="18"/>
  <c r="RI7" i="18" s="1"/>
  <c r="QZ36" i="18" l="1"/>
  <c r="RA36" i="18" s="1"/>
  <c r="QZ37" i="18"/>
  <c r="RA37" i="18" s="1"/>
  <c r="QZ39" i="18"/>
  <c r="RA39" i="18" s="1"/>
  <c r="QZ41" i="18"/>
  <c r="RA41" i="18" s="1"/>
  <c r="QZ42" i="18"/>
  <c r="RA42" i="18" s="1"/>
  <c r="QZ44" i="18"/>
  <c r="RA44" i="18" s="1"/>
  <c r="QZ45" i="18"/>
  <c r="RA45" i="18" s="1"/>
  <c r="QZ34" i="18"/>
  <c r="RA34" i="18" s="1"/>
  <c r="QZ8" i="18"/>
  <c r="RA8" i="18" s="1"/>
  <c r="QZ11" i="18"/>
  <c r="RA11" i="18" s="1"/>
  <c r="QZ12" i="18"/>
  <c r="RA12" i="18" s="1"/>
  <c r="QZ14" i="18"/>
  <c r="RA14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6" i="18" l="1"/>
  <c r="QS36" i="18" s="1"/>
  <c r="QR37" i="18"/>
  <c r="QS37" i="18" s="1"/>
  <c r="QR39" i="18"/>
  <c r="QS39" i="18" s="1"/>
  <c r="QR41" i="18"/>
  <c r="QS41" i="18" s="1"/>
  <c r="QR42" i="18"/>
  <c r="QS42" i="18" s="1"/>
  <c r="QR44" i="18"/>
  <c r="QS44" i="18" s="1"/>
  <c r="QR45" i="18"/>
  <c r="QS45" i="18" s="1"/>
  <c r="QR34" i="18"/>
  <c r="QS34" i="18" s="1"/>
  <c r="QR8" i="18"/>
  <c r="QS8" i="18" s="1"/>
  <c r="QR11" i="18"/>
  <c r="QS11" i="18" s="1"/>
  <c r="QR12" i="18"/>
  <c r="QS12" i="18" s="1"/>
  <c r="QR14" i="18"/>
  <c r="QS14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6" i="18" l="1"/>
  <c r="QK36" i="18" s="1"/>
  <c r="QJ37" i="18"/>
  <c r="QK37" i="18" s="1"/>
  <c r="QJ39" i="18"/>
  <c r="QK39" i="18" s="1"/>
  <c r="QJ41" i="18"/>
  <c r="QK41" i="18" s="1"/>
  <c r="QJ42" i="18"/>
  <c r="QK42" i="18" s="1"/>
  <c r="QJ44" i="18"/>
  <c r="QK44" i="18" s="1"/>
  <c r="QJ45" i="18"/>
  <c r="QK45" i="18" s="1"/>
  <c r="QJ34" i="18"/>
  <c r="QK34" i="18" s="1"/>
  <c r="QJ8" i="18"/>
  <c r="QK8" i="18" s="1"/>
  <c r="QJ11" i="18"/>
  <c r="QK11" i="18" s="1"/>
  <c r="QJ12" i="18"/>
  <c r="QK12" i="18" s="1"/>
  <c r="QJ14" i="18"/>
  <c r="QK14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6" i="18" l="1"/>
  <c r="QC36" i="18" s="1"/>
  <c r="QB37" i="18"/>
  <c r="QC37" i="18" s="1"/>
  <c r="QB39" i="18"/>
  <c r="QC39" i="18" s="1"/>
  <c r="QB41" i="18"/>
  <c r="QC41" i="18" s="1"/>
  <c r="QB42" i="18"/>
  <c r="QC42" i="18" s="1"/>
  <c r="QB44" i="18"/>
  <c r="QC44" i="18" s="1"/>
  <c r="QB45" i="18"/>
  <c r="QC45" i="18" s="1"/>
  <c r="QB34" i="18"/>
  <c r="QC34" i="18" s="1"/>
  <c r="QB8" i="18"/>
  <c r="QC8" i="18" s="1"/>
  <c r="QB11" i="18"/>
  <c r="QC11" i="18" s="1"/>
  <c r="QB12" i="18"/>
  <c r="QC12" i="18" s="1"/>
  <c r="QB14" i="18"/>
  <c r="QC14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4" i="18"/>
  <c r="PU34" i="18" s="1"/>
  <c r="PT8" i="18"/>
  <c r="PU8" i="18" s="1"/>
  <c r="PT11" i="18"/>
  <c r="PU11" i="18" s="1"/>
  <c r="PT12" i="18"/>
  <c r="PU12" i="18" s="1"/>
  <c r="PT14" i="18"/>
  <c r="PU14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6" i="18"/>
  <c r="PU36" i="18" s="1"/>
  <c r="PT37" i="18"/>
  <c r="PU37" i="18" s="1"/>
  <c r="PT39" i="18"/>
  <c r="PU39" i="18" s="1"/>
  <c r="PT41" i="18"/>
  <c r="PU41" i="18" s="1"/>
  <c r="PT42" i="18"/>
  <c r="PU42" i="18" s="1"/>
  <c r="PT44" i="18"/>
  <c r="PU44" i="18" s="1"/>
  <c r="PT45" i="18"/>
  <c r="PU45" i="18" s="1"/>
  <c r="PL36" i="18"/>
  <c r="PM36" i="18" s="1"/>
  <c r="PL37" i="18"/>
  <c r="PM37" i="18" s="1"/>
  <c r="PL39" i="18"/>
  <c r="PM39" i="18" s="1"/>
  <c r="PL41" i="18"/>
  <c r="PM41" i="18" s="1"/>
  <c r="PL42" i="18"/>
  <c r="PM42" i="18" s="1"/>
  <c r="PL44" i="18"/>
  <c r="PM44" i="18" s="1"/>
  <c r="PL45" i="18"/>
  <c r="PM45" i="18" s="1"/>
  <c r="PL34" i="18"/>
  <c r="PM34" i="18" s="1"/>
  <c r="PL8" i="18"/>
  <c r="PM8" i="18" s="1"/>
  <c r="PL11" i="18"/>
  <c r="PM11" i="18" s="1"/>
  <c r="PL12" i="18"/>
  <c r="PM12" i="18" s="1"/>
  <c r="PL14" i="18"/>
  <c r="PM14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6" i="18"/>
  <c r="PE36" i="18" s="1"/>
  <c r="PD37" i="18"/>
  <c r="PE37" i="18" s="1"/>
  <c r="PD39" i="18"/>
  <c r="PE39" i="18" s="1"/>
  <c r="PD41" i="18"/>
  <c r="PE41" i="18" s="1"/>
  <c r="PD42" i="18"/>
  <c r="PE42" i="18" s="1"/>
  <c r="PD44" i="18"/>
  <c r="PE44" i="18" s="1"/>
  <c r="PD45" i="18"/>
  <c r="PE45" i="18" s="1"/>
  <c r="PD34" i="18"/>
  <c r="PE34" i="18" s="1"/>
  <c r="PD8" i="18"/>
  <c r="PE8" i="18" s="1"/>
  <c r="PD11" i="18"/>
  <c r="PE11" i="18" s="1"/>
  <c r="PD12" i="18"/>
  <c r="PE12" i="18" s="1"/>
  <c r="PD14" i="18"/>
  <c r="PE14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7" i="18"/>
  <c r="PE7" i="18" s="1"/>
  <c r="OV36" i="18"/>
  <c r="OW36" i="18" s="1"/>
  <c r="OV37" i="18"/>
  <c r="OW37" i="18" s="1"/>
  <c r="OV39" i="18"/>
  <c r="OW39" i="18" s="1"/>
  <c r="OV41" i="18"/>
  <c r="OW41" i="18" s="1"/>
  <c r="OV42" i="18"/>
  <c r="OW42" i="18" s="1"/>
  <c r="OV44" i="18"/>
  <c r="OW44" i="18" s="1"/>
  <c r="OV45" i="18"/>
  <c r="OW45" i="18" s="1"/>
  <c r="OV34" i="18"/>
  <c r="OW34" i="18" s="1"/>
  <c r="OV8" i="18"/>
  <c r="OW8" i="18" s="1"/>
  <c r="OV11" i="18"/>
  <c r="OW11" i="18" s="1"/>
  <c r="OV12" i="18"/>
  <c r="OW12" i="18" s="1"/>
  <c r="OV14" i="18"/>
  <c r="OW14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6" i="18"/>
  <c r="OO36" i="18" s="1"/>
  <c r="ON37" i="18"/>
  <c r="OO37" i="18" s="1"/>
  <c r="ON39" i="18"/>
  <c r="OO39" i="18" s="1"/>
  <c r="ON41" i="18"/>
  <c r="OO41" i="18" s="1"/>
  <c r="ON42" i="18"/>
  <c r="OO42" i="18" s="1"/>
  <c r="ON44" i="18"/>
  <c r="OO44" i="18" s="1"/>
  <c r="ON45" i="18"/>
  <c r="OO45" i="18" s="1"/>
  <c r="ON34" i="18"/>
  <c r="OO34" i="18" s="1"/>
  <c r="ON8" i="18"/>
  <c r="OO8" i="18" s="1"/>
  <c r="ON11" i="18"/>
  <c r="OO11" i="18" s="1"/>
  <c r="ON12" i="18"/>
  <c r="OO12" i="18" s="1"/>
  <c r="ON14" i="18"/>
  <c r="OO14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6" i="18"/>
  <c r="OG36" i="18" s="1"/>
  <c r="OF37" i="18"/>
  <c r="OG37" i="18" s="1"/>
  <c r="OF39" i="18"/>
  <c r="OG39" i="18" s="1"/>
  <c r="OF41" i="18"/>
  <c r="OG41" i="18" s="1"/>
  <c r="OF42" i="18"/>
  <c r="OG42" i="18" s="1"/>
  <c r="OF44" i="18"/>
  <c r="OG44" i="18" s="1"/>
  <c r="OF45" i="18"/>
  <c r="OG45" i="18" s="1"/>
  <c r="OF34" i="18"/>
  <c r="OG34" i="18" s="1"/>
  <c r="OF8" i="18"/>
  <c r="OG8" i="18" s="1"/>
  <c r="OF11" i="18"/>
  <c r="OG11" i="18" s="1"/>
  <c r="OF12" i="18"/>
  <c r="OG12" i="18" s="1"/>
  <c r="OF14" i="18"/>
  <c r="OG14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6" i="18"/>
  <c r="NY36" i="18" s="1"/>
  <c r="NX37" i="18"/>
  <c r="NY37" i="18" s="1"/>
  <c r="NX39" i="18"/>
  <c r="NY39" i="18" s="1"/>
  <c r="NX41" i="18"/>
  <c r="NY41" i="18" s="1"/>
  <c r="NX42" i="18"/>
  <c r="NY42" i="18" s="1"/>
  <c r="NX44" i="18"/>
  <c r="NY44" i="18" s="1"/>
  <c r="NX45" i="18"/>
  <c r="NY45" i="18" s="1"/>
  <c r="NX34" i="18"/>
  <c r="NY34" i="18" s="1"/>
  <c r="NX8" i="18"/>
  <c r="NY8" i="18" s="1"/>
  <c r="NX11" i="18"/>
  <c r="NY11" i="18" s="1"/>
  <c r="NX12" i="18"/>
  <c r="NY12" i="18" s="1"/>
  <c r="NX14" i="18"/>
  <c r="NY14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6" i="18"/>
  <c r="NQ36" i="18" s="1"/>
  <c r="NP37" i="18"/>
  <c r="NQ37" i="18" s="1"/>
  <c r="NP39" i="18"/>
  <c r="NQ39" i="18" s="1"/>
  <c r="NP41" i="18"/>
  <c r="NQ41" i="18" s="1"/>
  <c r="NP42" i="18"/>
  <c r="NQ42" i="18" s="1"/>
  <c r="NP44" i="18"/>
  <c r="NQ44" i="18" s="1"/>
  <c r="NP45" i="18"/>
  <c r="NQ45" i="18" s="1"/>
  <c r="NP34" i="18"/>
  <c r="NQ34" i="18" s="1"/>
  <c r="NP8" i="18"/>
  <c r="NQ8" i="18" s="1"/>
  <c r="NP11" i="18"/>
  <c r="NQ11" i="18" s="1"/>
  <c r="NP12" i="18"/>
  <c r="NQ12" i="18" s="1"/>
  <c r="NP14" i="18"/>
  <c r="NQ14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6" i="18"/>
  <c r="NI36" i="18" s="1"/>
  <c r="NH37" i="18"/>
  <c r="NI37" i="18" s="1"/>
  <c r="NH39" i="18"/>
  <c r="NI39" i="18" s="1"/>
  <c r="NH41" i="18"/>
  <c r="NI41" i="18" s="1"/>
  <c r="NH42" i="18"/>
  <c r="NI42" i="18" s="1"/>
  <c r="NH44" i="18"/>
  <c r="NI44" i="18" s="1"/>
  <c r="NH45" i="18"/>
  <c r="NI45" i="18" s="1"/>
  <c r="NH34" i="18"/>
  <c r="NI34" i="18" s="1"/>
  <c r="NH8" i="18"/>
  <c r="NI8" i="18" s="1"/>
  <c r="NH11" i="18"/>
  <c r="NI11" i="18" s="1"/>
  <c r="NH12" i="18"/>
  <c r="NI12" i="18" s="1"/>
  <c r="NH14" i="18"/>
  <c r="NI14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6" i="18"/>
  <c r="NA36" i="18" s="1"/>
  <c r="MZ37" i="18"/>
  <c r="NA37" i="18" s="1"/>
  <c r="MZ39" i="18"/>
  <c r="NA39" i="18" s="1"/>
  <c r="MZ41" i="18"/>
  <c r="NA41" i="18" s="1"/>
  <c r="MZ42" i="18"/>
  <c r="NA42" i="18" s="1"/>
  <c r="MZ44" i="18"/>
  <c r="NA44" i="18" s="1"/>
  <c r="MZ45" i="18"/>
  <c r="NA45" i="18" s="1"/>
  <c r="MZ34" i="18"/>
  <c r="NA34" i="18" s="1"/>
  <c r="MZ8" i="18"/>
  <c r="NA8" i="18" s="1"/>
  <c r="MZ11" i="18"/>
  <c r="NA11" i="18" s="1"/>
  <c r="MZ12" i="18"/>
  <c r="NA12" i="18" s="1"/>
  <c r="MZ14" i="18"/>
  <c r="NA14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7" i="18"/>
  <c r="NA7" i="18" s="1"/>
  <c r="MR36" i="18" l="1"/>
  <c r="MS36" i="18" s="1"/>
  <c r="MR37" i="18"/>
  <c r="MS37" i="18" s="1"/>
  <c r="MR39" i="18"/>
  <c r="MS39" i="18" s="1"/>
  <c r="MR41" i="18"/>
  <c r="MS41" i="18" s="1"/>
  <c r="MR42" i="18"/>
  <c r="MS42" i="18" s="1"/>
  <c r="MR44" i="18"/>
  <c r="MS44" i="18" s="1"/>
  <c r="MR45" i="18"/>
  <c r="MS45" i="18" s="1"/>
  <c r="MR34" i="18"/>
  <c r="MS34" i="18" s="1"/>
  <c r="MR8" i="18"/>
  <c r="MS8" i="18" s="1"/>
  <c r="MR11" i="18"/>
  <c r="MS11" i="18" s="1"/>
  <c r="MR12" i="18"/>
  <c r="MS12" i="18" s="1"/>
  <c r="MR14" i="18"/>
  <c r="MS14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6" i="18"/>
  <c r="MK36" i="18" s="1"/>
  <c r="MJ37" i="18"/>
  <c r="MK37" i="18" s="1"/>
  <c r="MJ39" i="18"/>
  <c r="MK39" i="18" s="1"/>
  <c r="MJ41" i="18"/>
  <c r="MK41" i="18" s="1"/>
  <c r="MJ42" i="18"/>
  <c r="MK42" i="18" s="1"/>
  <c r="MJ44" i="18"/>
  <c r="MK44" i="18" s="1"/>
  <c r="MJ45" i="18"/>
  <c r="MK45" i="18" s="1"/>
  <c r="MJ34" i="18"/>
  <c r="MK34" i="18" s="1"/>
  <c r="MJ8" i="18"/>
  <c r="MK8" i="18" s="1"/>
  <c r="MJ11" i="18"/>
  <c r="MK11" i="18" s="1"/>
  <c r="MJ12" i="18"/>
  <c r="MK12" i="18" s="1"/>
  <c r="MJ14" i="18"/>
  <c r="MK14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6" i="18"/>
  <c r="MC36" i="18" s="1"/>
  <c r="MB37" i="18"/>
  <c r="MC37" i="18" s="1"/>
  <c r="MB39" i="18"/>
  <c r="MC39" i="18" s="1"/>
  <c r="MB41" i="18"/>
  <c r="MC41" i="18" s="1"/>
  <c r="MB42" i="18"/>
  <c r="MC42" i="18" s="1"/>
  <c r="MB44" i="18"/>
  <c r="MC44" i="18" s="1"/>
  <c r="MB45" i="18"/>
  <c r="MC45" i="18" s="1"/>
  <c r="MB34" i="18"/>
  <c r="MC34" i="18" s="1"/>
  <c r="MB8" i="18"/>
  <c r="MC8" i="18" s="1"/>
  <c r="MB11" i="18"/>
  <c r="MC11" i="18" s="1"/>
  <c r="MB12" i="18"/>
  <c r="MC12" i="18" s="1"/>
  <c r="MB14" i="18"/>
  <c r="MC14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7" i="18"/>
  <c r="MC7" i="18" s="1"/>
  <c r="LN34" i="18"/>
  <c r="LT34" i="18" s="1"/>
  <c r="LU34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6" i="18"/>
  <c r="LU36" i="18" s="1"/>
  <c r="LT37" i="18"/>
  <c r="LU37" i="18" s="1"/>
  <c r="LT39" i="18"/>
  <c r="LU39" i="18" s="1"/>
  <c r="LT41" i="18"/>
  <c r="LU41" i="18" s="1"/>
  <c r="LT42" i="18"/>
  <c r="LU42" i="18" s="1"/>
  <c r="LT44" i="18"/>
  <c r="LU44" i="18" s="1"/>
  <c r="LT45" i="18"/>
  <c r="LU45" i="18" s="1"/>
  <c r="LT8" i="18"/>
  <c r="LU8" i="18" s="1"/>
  <c r="LT11" i="18"/>
  <c r="LU11" i="18" s="1"/>
  <c r="LT12" i="18"/>
  <c r="LU12" i="18" s="1"/>
  <c r="LT14" i="18"/>
  <c r="LU14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7" i="18"/>
  <c r="LU7" i="18" s="1"/>
  <c r="LK37" i="18" l="1"/>
  <c r="LL36" i="18" l="1"/>
  <c r="LM36" i="18" s="1"/>
  <c r="LL37" i="18"/>
  <c r="LM37" i="18" s="1"/>
  <c r="LL39" i="18"/>
  <c r="LM39" i="18" s="1"/>
  <c r="LL41" i="18"/>
  <c r="LM41" i="18" s="1"/>
  <c r="LL42" i="18"/>
  <c r="LM42" i="18" s="1"/>
  <c r="LL44" i="18"/>
  <c r="LM44" i="18" s="1"/>
  <c r="LL45" i="18"/>
  <c r="LM45" i="18" s="1"/>
  <c r="LL34" i="18"/>
  <c r="LM34" i="18" s="1"/>
  <c r="LL8" i="18"/>
  <c r="LM8" i="18" s="1"/>
  <c r="LL11" i="18"/>
  <c r="LM11" i="18" s="1"/>
  <c r="LL12" i="18"/>
  <c r="LM12" i="18" s="1"/>
  <c r="LL14" i="18"/>
  <c r="LM14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6" i="18"/>
  <c r="LE36" i="18" s="1"/>
  <c r="LD37" i="18"/>
  <c r="LE37" i="18" s="1"/>
  <c r="LD39" i="18"/>
  <c r="LE39" i="18" s="1"/>
  <c r="LD41" i="18"/>
  <c r="LE41" i="18" s="1"/>
  <c r="LD42" i="18"/>
  <c r="LE42" i="18" s="1"/>
  <c r="LD44" i="18"/>
  <c r="LE44" i="18" s="1"/>
  <c r="LD45" i="18"/>
  <c r="LE45" i="18" s="1"/>
  <c r="LD34" i="18"/>
  <c r="LE34" i="18" s="1"/>
  <c r="LD8" i="18"/>
  <c r="LE8" i="18" s="1"/>
  <c r="LD11" i="18"/>
  <c r="LE11" i="18" s="1"/>
  <c r="LD12" i="18"/>
  <c r="LE12" i="18" s="1"/>
  <c r="LD14" i="18"/>
  <c r="LE14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7" i="18"/>
  <c r="LE7" i="18" s="1"/>
  <c r="KV8" i="18"/>
  <c r="KW8" i="18" s="1"/>
  <c r="KV11" i="18"/>
  <c r="KW11" i="18" s="1"/>
  <c r="KV12" i="18"/>
  <c r="KW12" i="18" s="1"/>
  <c r="KV14" i="18"/>
  <c r="KW14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7" i="18"/>
  <c r="KW7" i="18" s="1"/>
  <c r="KV36" i="18"/>
  <c r="KW36" i="18" s="1"/>
  <c r="KV37" i="18"/>
  <c r="KW37" i="18" s="1"/>
  <c r="KV39" i="18"/>
  <c r="KW39" i="18" s="1"/>
  <c r="KV41" i="18"/>
  <c r="KW41" i="18" s="1"/>
  <c r="KV42" i="18"/>
  <c r="KW42" i="18" s="1"/>
  <c r="KV44" i="18"/>
  <c r="KW44" i="18" s="1"/>
  <c r="KV45" i="18"/>
  <c r="KW45" i="18" s="1"/>
  <c r="KV34" i="18"/>
  <c r="KW34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2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6" i="18"/>
  <c r="KO36" i="18" s="1"/>
  <c r="KN37" i="18"/>
  <c r="KO37" i="18" s="1"/>
  <c r="KN39" i="18"/>
  <c r="KO39" i="18" s="1"/>
  <c r="KN41" i="18"/>
  <c r="KO41" i="18" s="1"/>
  <c r="KN42" i="18"/>
  <c r="KO42" i="18" s="1"/>
  <c r="KN44" i="18"/>
  <c r="KO44" i="18" s="1"/>
  <c r="KN45" i="18"/>
  <c r="KO45" i="18" s="1"/>
  <c r="KN34" i="18"/>
  <c r="KO34" i="18" s="1"/>
  <c r="KN8" i="18"/>
  <c r="KO8" i="18" s="1"/>
  <c r="KN11" i="18"/>
  <c r="KO11" i="18" s="1"/>
  <c r="KN12" i="18"/>
  <c r="KO12" i="18" s="1"/>
  <c r="KN14" i="18"/>
  <c r="KO14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7" i="18"/>
  <c r="KO7" i="18" s="1"/>
  <c r="KF8" i="18"/>
  <c r="KG8" i="18" s="1"/>
  <c r="KF11" i="18"/>
  <c r="KG11" i="18" s="1"/>
  <c r="KF12" i="18"/>
  <c r="KG12" i="18" s="1"/>
  <c r="KF14" i="18"/>
  <c r="KG14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6" i="18"/>
  <c r="KG36" i="18" s="1"/>
  <c r="KF37" i="18"/>
  <c r="KG37" i="18" s="1"/>
  <c r="KF39" i="18"/>
  <c r="KG39" i="18" s="1"/>
  <c r="KF41" i="18"/>
  <c r="KG41" i="18" s="1"/>
  <c r="KF42" i="18"/>
  <c r="KG42" i="18" s="1"/>
  <c r="KF44" i="18"/>
  <c r="KG44" i="18" s="1"/>
  <c r="KF45" i="18"/>
  <c r="KG45" i="18" s="1"/>
  <c r="KF34" i="18"/>
  <c r="KG34" i="18" s="1"/>
  <c r="KF7" i="18"/>
  <c r="KG7" i="18" s="1"/>
  <c r="JW15" i="15"/>
  <c r="JX15" i="15" s="1"/>
  <c r="JY15" i="15" s="1"/>
  <c r="JU19" i="15"/>
  <c r="JU17" i="15"/>
  <c r="JT19" i="15"/>
  <c r="JT17" i="15"/>
  <c r="JX36" i="18"/>
  <c r="JY36" i="18" s="1"/>
  <c r="JX37" i="18"/>
  <c r="JY37" i="18" s="1"/>
  <c r="JX39" i="18"/>
  <c r="JY39" i="18" s="1"/>
  <c r="JX41" i="18"/>
  <c r="JY41" i="18" s="1"/>
  <c r="JX42" i="18"/>
  <c r="JY42" i="18" s="1"/>
  <c r="JX44" i="18"/>
  <c r="JY44" i="18" s="1"/>
  <c r="JX45" i="18"/>
  <c r="JY45" i="18" s="1"/>
  <c r="JX34" i="18"/>
  <c r="JY34" i="18" s="1"/>
  <c r="JX11" i="18"/>
  <c r="JY11" i="18" s="1"/>
  <c r="JX12" i="18"/>
  <c r="JY12" i="18" s="1"/>
  <c r="JX14" i="18"/>
  <c r="JY14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1" i="18"/>
  <c r="JY21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6" i="18"/>
  <c r="JQ36" i="18" s="1"/>
  <c r="JP37" i="18"/>
  <c r="JQ37" i="18" s="1"/>
  <c r="JP39" i="18"/>
  <c r="JQ39" i="18" s="1"/>
  <c r="JP41" i="18"/>
  <c r="JQ41" i="18" s="1"/>
  <c r="JP42" i="18"/>
  <c r="JQ42" i="18" s="1"/>
  <c r="JP44" i="18"/>
  <c r="JQ44" i="18" s="1"/>
  <c r="JP45" i="18"/>
  <c r="JQ45" i="18" s="1"/>
  <c r="JP34" i="18"/>
  <c r="JQ34" i="18" s="1"/>
  <c r="JP11" i="18"/>
  <c r="JQ11" i="18" s="1"/>
  <c r="JP12" i="18"/>
  <c r="JQ12" i="18" s="1"/>
  <c r="JP14" i="18"/>
  <c r="JQ14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1" i="18"/>
  <c r="JQ21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6" i="18"/>
  <c r="JI36" i="18" s="1"/>
  <c r="JH37" i="18"/>
  <c r="JI37" i="18" s="1"/>
  <c r="JH39" i="18"/>
  <c r="JI39" i="18" s="1"/>
  <c r="JH41" i="18"/>
  <c r="JI41" i="18" s="1"/>
  <c r="JH42" i="18"/>
  <c r="JI42" i="18" s="1"/>
  <c r="JH44" i="18"/>
  <c r="JI44" i="18" s="1"/>
  <c r="JH45" i="18"/>
  <c r="JI45" i="18" s="1"/>
  <c r="JH34" i="18"/>
  <c r="JI34" i="18" s="1"/>
  <c r="JH11" i="18"/>
  <c r="JI11" i="18" s="1"/>
  <c r="JH12" i="18"/>
  <c r="JI12" i="18" s="1"/>
  <c r="JH14" i="18"/>
  <c r="JI14" i="18" s="1"/>
  <c r="JH15" i="18"/>
  <c r="JI15" i="18" s="1"/>
  <c r="JH16" i="18"/>
  <c r="JI16" i="18" s="1"/>
  <c r="JH17" i="18"/>
  <c r="JI17" i="18" s="1"/>
  <c r="JH18" i="18"/>
  <c r="JI18" i="18" s="1"/>
  <c r="JH21" i="18"/>
  <c r="JI21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6" i="18"/>
  <c r="JA36" i="18" s="1"/>
  <c r="IZ37" i="18"/>
  <c r="JA37" i="18" s="1"/>
  <c r="IZ39" i="18"/>
  <c r="JA39" i="18" s="1"/>
  <c r="IZ41" i="18"/>
  <c r="JA41" i="18" s="1"/>
  <c r="IZ42" i="18"/>
  <c r="JA42" i="18" s="1"/>
  <c r="IZ44" i="18"/>
  <c r="JA44" i="18" s="1"/>
  <c r="IZ45" i="18"/>
  <c r="JA45" i="18" s="1"/>
  <c r="IZ34" i="18"/>
  <c r="JA34" i="18" s="1"/>
  <c r="IZ11" i="18"/>
  <c r="JA11" i="18" s="1"/>
  <c r="IZ12" i="18"/>
  <c r="JA12" i="18" s="1"/>
  <c r="IZ14" i="18"/>
  <c r="JA14" i="18" s="1"/>
  <c r="IZ15" i="18"/>
  <c r="JA15" i="18" s="1"/>
  <c r="IZ16" i="18"/>
  <c r="JA16" i="18" s="1"/>
  <c r="IZ17" i="18"/>
  <c r="JA17" i="18" s="1"/>
  <c r="IZ18" i="18"/>
  <c r="JA18" i="18" s="1"/>
  <c r="IZ21" i="18"/>
  <c r="JA21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6" i="18"/>
  <c r="IS36" i="18" s="1"/>
  <c r="IR37" i="18"/>
  <c r="IS37" i="18" s="1"/>
  <c r="IR39" i="18"/>
  <c r="IS39" i="18" s="1"/>
  <c r="IR41" i="18"/>
  <c r="IS41" i="18" s="1"/>
  <c r="IR42" i="18"/>
  <c r="IS42" i="18" s="1"/>
  <c r="IR44" i="18"/>
  <c r="IS44" i="18" s="1"/>
  <c r="IR45" i="18"/>
  <c r="IS45" i="18" s="1"/>
  <c r="IR34" i="18"/>
  <c r="IS34" i="18" s="1"/>
  <c r="IR11" i="18"/>
  <c r="IS11" i="18" s="1"/>
  <c r="IR12" i="18"/>
  <c r="IS12" i="18" s="1"/>
  <c r="IR14" i="18"/>
  <c r="IS14" i="18" s="1"/>
  <c r="IR15" i="18"/>
  <c r="IS15" i="18" s="1"/>
  <c r="IR16" i="18"/>
  <c r="IS16" i="18" s="1"/>
  <c r="IR17" i="18"/>
  <c r="IS17" i="18" s="1"/>
  <c r="IR18" i="18"/>
  <c r="IS18" i="18" s="1"/>
  <c r="IR21" i="18"/>
  <c r="IS21" i="18" s="1"/>
  <c r="IR7" i="18"/>
  <c r="IS7" i="18" s="1"/>
  <c r="IE15" i="18"/>
  <c r="IJ15" i="18" s="1"/>
  <c r="IK15" i="18" s="1"/>
  <c r="IJ36" i="18"/>
  <c r="IK36" i="18" s="1"/>
  <c r="IJ37" i="18"/>
  <c r="IK37" i="18" s="1"/>
  <c r="IJ39" i="18"/>
  <c r="IK39" i="18" s="1"/>
  <c r="IJ41" i="18"/>
  <c r="IK41" i="18" s="1"/>
  <c r="IJ42" i="18"/>
  <c r="IK42" i="18" s="1"/>
  <c r="IJ44" i="18"/>
  <c r="IK44" i="18" s="1"/>
  <c r="IJ45" i="18"/>
  <c r="IK45" i="18" s="1"/>
  <c r="IJ34" i="18"/>
  <c r="IK34" i="18" s="1"/>
  <c r="IJ11" i="18"/>
  <c r="IK11" i="18" s="1"/>
  <c r="IJ12" i="18"/>
  <c r="IK12" i="18" s="1"/>
  <c r="IJ14" i="18"/>
  <c r="IK14" i="18" s="1"/>
  <c r="IJ16" i="18"/>
  <c r="IK16" i="18" s="1"/>
  <c r="IJ17" i="18"/>
  <c r="IK17" i="18" s="1"/>
  <c r="IJ18" i="18"/>
  <c r="IK18" i="18" s="1"/>
  <c r="IJ21" i="18"/>
  <c r="IK21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2" i="18"/>
  <c r="IB36" i="18"/>
  <c r="IC36" i="18" s="1"/>
  <c r="IB37" i="18"/>
  <c r="IC37" i="18" s="1"/>
  <c r="IB39" i="18"/>
  <c r="IC39" i="18" s="1"/>
  <c r="IB41" i="18"/>
  <c r="IC41" i="18" s="1"/>
  <c r="IB42" i="18"/>
  <c r="IC42" i="18" s="1"/>
  <c r="IB44" i="18"/>
  <c r="IC44" i="18" s="1"/>
  <c r="IB45" i="18"/>
  <c r="IC45" i="18" s="1"/>
  <c r="IB34" i="18"/>
  <c r="IC34" i="18" s="1"/>
  <c r="IB11" i="18"/>
  <c r="IC11" i="18" s="1"/>
  <c r="IB12" i="18"/>
  <c r="IC12" i="18" s="1"/>
  <c r="IB14" i="18"/>
  <c r="IC14" i="18" s="1"/>
  <c r="IB15" i="18"/>
  <c r="IC15" i="18" s="1"/>
  <c r="IB16" i="18"/>
  <c r="IC16" i="18" s="1"/>
  <c r="IB17" i="18"/>
  <c r="IC17" i="18" s="1"/>
  <c r="IB18" i="18"/>
  <c r="IC18" i="18" s="1"/>
  <c r="IB21" i="18"/>
  <c r="IC21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2" i="18"/>
  <c r="O22" i="18"/>
  <c r="T22" i="18"/>
  <c r="F27" i="20"/>
  <c r="HO15" i="18"/>
  <c r="HT15" i="18" s="1"/>
  <c r="HU15" i="18" s="1"/>
  <c r="HQ28" i="19"/>
  <c r="HV28" i="19" s="1"/>
  <c r="HW28" i="19" s="1"/>
  <c r="HT36" i="18"/>
  <c r="HU36" i="18" s="1"/>
  <c r="HT37" i="18"/>
  <c r="HU37" i="18" s="1"/>
  <c r="HT39" i="18"/>
  <c r="HU39" i="18" s="1"/>
  <c r="HT41" i="18"/>
  <c r="HU41" i="18" s="1"/>
  <c r="HT42" i="18"/>
  <c r="HU42" i="18" s="1"/>
  <c r="HT44" i="18"/>
  <c r="HU44" i="18" s="1"/>
  <c r="HT45" i="18"/>
  <c r="HU45" i="18" s="1"/>
  <c r="HT34" i="18"/>
  <c r="HU34" i="18" s="1"/>
  <c r="HT11" i="18"/>
  <c r="HU11" i="18" s="1"/>
  <c r="HT12" i="18"/>
  <c r="HU12" i="18" s="1"/>
  <c r="HT14" i="18"/>
  <c r="HU14" i="18" s="1"/>
  <c r="HT16" i="18"/>
  <c r="HU16" i="18" s="1"/>
  <c r="HT17" i="18"/>
  <c r="HU17" i="18" s="1"/>
  <c r="HT18" i="18"/>
  <c r="HU18" i="18" s="1"/>
  <c r="HT21" i="18"/>
  <c r="HU21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6" i="18"/>
  <c r="HM36" i="18" s="1"/>
  <c r="HL37" i="18"/>
  <c r="HM37" i="18" s="1"/>
  <c r="HL39" i="18"/>
  <c r="HM39" i="18" s="1"/>
  <c r="HL41" i="18"/>
  <c r="HM41" i="18" s="1"/>
  <c r="HL42" i="18"/>
  <c r="HM42" i="18" s="1"/>
  <c r="HL44" i="18"/>
  <c r="HM44" i="18" s="1"/>
  <c r="HL45" i="18"/>
  <c r="HM45" i="18" s="1"/>
  <c r="HL34" i="18"/>
  <c r="HM34" i="18" s="1"/>
  <c r="HL11" i="18"/>
  <c r="HM11" i="18" s="1"/>
  <c r="HL12" i="18"/>
  <c r="HM12" i="18" s="1"/>
  <c r="HL14" i="18"/>
  <c r="HM14" i="18" s="1"/>
  <c r="HL15" i="18"/>
  <c r="HM15" i="18" s="1"/>
  <c r="HL16" i="18"/>
  <c r="HM16" i="18" s="1"/>
  <c r="HL17" i="18"/>
  <c r="HM17" i="18" s="1"/>
  <c r="HL18" i="18"/>
  <c r="HM18" i="18" s="1"/>
  <c r="HL21" i="18"/>
  <c r="HM21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6" i="18" l="1"/>
  <c r="HE36" i="18" s="1"/>
  <c r="HD37" i="18"/>
  <c r="HE37" i="18" s="1"/>
  <c r="HD39" i="18"/>
  <c r="HE39" i="18" s="1"/>
  <c r="HD41" i="18"/>
  <c r="HE41" i="18" s="1"/>
  <c r="HD42" i="18"/>
  <c r="HE42" i="18" s="1"/>
  <c r="HD44" i="18"/>
  <c r="HE44" i="18" s="1"/>
  <c r="HD45" i="18"/>
  <c r="HE45" i="18" s="1"/>
  <c r="HD34" i="18"/>
  <c r="HE34" i="18" s="1"/>
  <c r="HD11" i="18"/>
  <c r="HE11" i="18" s="1"/>
  <c r="HD12" i="18"/>
  <c r="HE12" i="18" s="1"/>
  <c r="HD14" i="18"/>
  <c r="HE14" i="18" s="1"/>
  <c r="HD15" i="18"/>
  <c r="HE15" i="18" s="1"/>
  <c r="HD16" i="18"/>
  <c r="HE16" i="18" s="1"/>
  <c r="HD17" i="18"/>
  <c r="HE17" i="18" s="1"/>
  <c r="HD18" i="18"/>
  <c r="HE18" i="18" s="1"/>
  <c r="HD21" i="18"/>
  <c r="HE21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4" i="18"/>
  <c r="GV34" i="18" s="1"/>
  <c r="GW34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6" i="18"/>
  <c r="GW36" i="18" s="1"/>
  <c r="GV37" i="18"/>
  <c r="GW37" i="18" s="1"/>
  <c r="GV39" i="18"/>
  <c r="GW39" i="18" s="1"/>
  <c r="GV41" i="18"/>
  <c r="GW41" i="18" s="1"/>
  <c r="GV42" i="18"/>
  <c r="GW42" i="18" s="1"/>
  <c r="GV44" i="18"/>
  <c r="GW44" i="18" s="1"/>
  <c r="GV45" i="18"/>
  <c r="GW45" i="18" s="1"/>
  <c r="GV11" i="18"/>
  <c r="GW11" i="18" s="1"/>
  <c r="GV12" i="18"/>
  <c r="GW12" i="18" s="1"/>
  <c r="GV14" i="18"/>
  <c r="GW14" i="18" s="1"/>
  <c r="GV15" i="18"/>
  <c r="GW15" i="18" s="1"/>
  <c r="GV16" i="18"/>
  <c r="GW16" i="18" s="1"/>
  <c r="GV17" i="18"/>
  <c r="GW17" i="18" s="1"/>
  <c r="GV18" i="18"/>
  <c r="GW18" i="18" s="1"/>
  <c r="GV21" i="18"/>
  <c r="GW21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6" i="18"/>
  <c r="GO36" i="18" s="1"/>
  <c r="GN37" i="18"/>
  <c r="GO37" i="18" s="1"/>
  <c r="GN39" i="18"/>
  <c r="GO39" i="18" s="1"/>
  <c r="GN41" i="18"/>
  <c r="GO41" i="18" s="1"/>
  <c r="GN42" i="18"/>
  <c r="GO42" i="18" s="1"/>
  <c r="GN44" i="18"/>
  <c r="GO44" i="18" s="1"/>
  <c r="GN45" i="18"/>
  <c r="GO45" i="18" s="1"/>
  <c r="GN34" i="18"/>
  <c r="GO34" i="18" s="1"/>
  <c r="GN11" i="18"/>
  <c r="GO11" i="18" s="1"/>
  <c r="GN12" i="18"/>
  <c r="GO12" i="18" s="1"/>
  <c r="GN14" i="18"/>
  <c r="GO14" i="18" s="1"/>
  <c r="GN15" i="18"/>
  <c r="GO15" i="18" s="1"/>
  <c r="GN16" i="18"/>
  <c r="GO16" i="18" s="1"/>
  <c r="GN17" i="18"/>
  <c r="GO17" i="18" s="1"/>
  <c r="GN18" i="18"/>
  <c r="GO18" i="18" s="1"/>
  <c r="GN21" i="18"/>
  <c r="GO21" i="18" s="1"/>
  <c r="GN7" i="18"/>
  <c r="GO7" i="18" s="1"/>
  <c r="FZ17" i="18"/>
  <c r="GF17" i="18" s="1"/>
  <c r="GG17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6" i="18"/>
  <c r="GG36" i="18" s="1"/>
  <c r="GF37" i="18"/>
  <c r="GG37" i="18" s="1"/>
  <c r="GF39" i="18"/>
  <c r="GG39" i="18" s="1"/>
  <c r="GF41" i="18"/>
  <c r="GG41" i="18" s="1"/>
  <c r="GF42" i="18"/>
  <c r="GG42" i="18" s="1"/>
  <c r="GF44" i="18"/>
  <c r="GG44" i="18" s="1"/>
  <c r="GF45" i="18"/>
  <c r="GG45" i="18" s="1"/>
  <c r="GF34" i="18"/>
  <c r="GG34" i="18" s="1"/>
  <c r="GF11" i="18"/>
  <c r="GG11" i="18" s="1"/>
  <c r="GF12" i="18"/>
  <c r="GG12" i="18" s="1"/>
  <c r="GF14" i="18"/>
  <c r="GG14" i="18" s="1"/>
  <c r="GF15" i="18"/>
  <c r="GG15" i="18" s="1"/>
  <c r="GF16" i="18"/>
  <c r="GG16" i="18" s="1"/>
  <c r="GF18" i="18"/>
  <c r="GG18" i="18" s="1"/>
  <c r="GF21" i="18"/>
  <c r="GG21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6" i="18"/>
  <c r="FY36" i="18" s="1"/>
  <c r="FX37" i="18"/>
  <c r="FY37" i="18" s="1"/>
  <c r="FX39" i="18"/>
  <c r="FY39" i="18" s="1"/>
  <c r="FX41" i="18"/>
  <c r="FY41" i="18" s="1"/>
  <c r="FX42" i="18"/>
  <c r="FY42" i="18" s="1"/>
  <c r="FX44" i="18"/>
  <c r="FY44" i="18" s="1"/>
  <c r="FX45" i="18"/>
  <c r="FY45" i="18" s="1"/>
  <c r="FX34" i="18"/>
  <c r="FY34" i="18" s="1"/>
  <c r="FX11" i="18"/>
  <c r="FY11" i="18" s="1"/>
  <c r="FX12" i="18"/>
  <c r="FY12" i="18" s="1"/>
  <c r="FX14" i="18"/>
  <c r="FY14" i="18" s="1"/>
  <c r="FX15" i="18"/>
  <c r="FY15" i="18" s="1"/>
  <c r="FX16" i="18"/>
  <c r="FY16" i="18" s="1"/>
  <c r="FX17" i="18"/>
  <c r="FY17" i="18" s="1"/>
  <c r="FX18" i="18"/>
  <c r="FY18" i="18" s="1"/>
  <c r="FX21" i="18"/>
  <c r="FY21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6" i="18" l="1"/>
  <c r="FQ36" i="18" s="1"/>
  <c r="FP37" i="18"/>
  <c r="FQ37" i="18" s="1"/>
  <c r="FP39" i="18"/>
  <c r="FQ39" i="18" s="1"/>
  <c r="FP41" i="18"/>
  <c r="FQ41" i="18" s="1"/>
  <c r="FP42" i="18"/>
  <c r="FQ42" i="18" s="1"/>
  <c r="FP44" i="18"/>
  <c r="FQ44" i="18" s="1"/>
  <c r="FP45" i="18"/>
  <c r="FQ45" i="18" s="1"/>
  <c r="FP34" i="18"/>
  <c r="FQ34" i="18" s="1"/>
  <c r="FP11" i="18"/>
  <c r="FQ11" i="18" s="1"/>
  <c r="FP12" i="18"/>
  <c r="FQ12" i="18" s="1"/>
  <c r="FP14" i="18"/>
  <c r="FQ14" i="18" s="1"/>
  <c r="FP15" i="18"/>
  <c r="FQ15" i="18" s="1"/>
  <c r="FP16" i="18"/>
  <c r="FQ16" i="18" s="1"/>
  <c r="FP17" i="18"/>
  <c r="FQ17" i="18" s="1"/>
  <c r="FP18" i="18"/>
  <c r="FQ18" i="18" s="1"/>
  <c r="FP21" i="18"/>
  <c r="FQ21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6" i="18" l="1"/>
  <c r="FI36" i="18" s="1"/>
  <c r="FH37" i="18"/>
  <c r="FI37" i="18" s="1"/>
  <c r="FH39" i="18"/>
  <c r="FI39" i="18" s="1"/>
  <c r="FH41" i="18"/>
  <c r="FI41" i="18" s="1"/>
  <c r="FH42" i="18"/>
  <c r="FI42" i="18" s="1"/>
  <c r="FH44" i="18"/>
  <c r="FI44" i="18" s="1"/>
  <c r="FH45" i="18"/>
  <c r="FI45" i="18" s="1"/>
  <c r="FH34" i="18"/>
  <c r="FI34" i="18" s="1"/>
  <c r="FH11" i="18"/>
  <c r="FI11" i="18" s="1"/>
  <c r="FH12" i="18"/>
  <c r="FI12" i="18" s="1"/>
  <c r="FH14" i="18"/>
  <c r="FI14" i="18" s="1"/>
  <c r="FH15" i="18"/>
  <c r="FI15" i="18" s="1"/>
  <c r="FH16" i="18"/>
  <c r="FI16" i="18" s="1"/>
  <c r="FH17" i="18"/>
  <c r="FI17" i="18" s="1"/>
  <c r="FH18" i="18"/>
  <c r="FI18" i="18" s="1"/>
  <c r="FH21" i="18"/>
  <c r="FI21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6" i="18"/>
  <c r="FA36" i="18" s="1"/>
  <c r="EZ37" i="18"/>
  <c r="FA37" i="18" s="1"/>
  <c r="EZ39" i="18"/>
  <c r="FA39" i="18" s="1"/>
  <c r="EZ41" i="18"/>
  <c r="FA41" i="18" s="1"/>
  <c r="EZ42" i="18"/>
  <c r="FA42" i="18" s="1"/>
  <c r="EZ44" i="18"/>
  <c r="FA44" i="18" s="1"/>
  <c r="EZ45" i="18"/>
  <c r="FA45" i="18" s="1"/>
  <c r="EZ34" i="18"/>
  <c r="FA34" i="18" s="1"/>
  <c r="EZ11" i="18"/>
  <c r="FA11" i="18" s="1"/>
  <c r="EZ12" i="18"/>
  <c r="FA12" i="18" s="1"/>
  <c r="EZ14" i="18"/>
  <c r="FA14" i="18" s="1"/>
  <c r="EZ15" i="18"/>
  <c r="FA15" i="18" s="1"/>
  <c r="EZ16" i="18"/>
  <c r="FA16" i="18" s="1"/>
  <c r="EZ17" i="18"/>
  <c r="FA17" i="18" s="1"/>
  <c r="EZ18" i="18"/>
  <c r="FA18" i="18" s="1"/>
  <c r="EZ21" i="18"/>
  <c r="FA21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6" i="18"/>
  <c r="ES36" i="18" s="1"/>
  <c r="ER37" i="18"/>
  <c r="ES37" i="18" s="1"/>
  <c r="ER39" i="18"/>
  <c r="ES39" i="18" s="1"/>
  <c r="ER41" i="18"/>
  <c r="ES41" i="18" s="1"/>
  <c r="ER42" i="18"/>
  <c r="ES42" i="18" s="1"/>
  <c r="ER44" i="18"/>
  <c r="ES44" i="18" s="1"/>
  <c r="ER45" i="18"/>
  <c r="ES45" i="18" s="1"/>
  <c r="ER34" i="18"/>
  <c r="ES34" i="18" s="1"/>
  <c r="ER11" i="18"/>
  <c r="ES11" i="18" s="1"/>
  <c r="ER12" i="18"/>
  <c r="ES12" i="18" s="1"/>
  <c r="ER14" i="18"/>
  <c r="ES14" i="18" s="1"/>
  <c r="ER15" i="18"/>
  <c r="ES15" i="18" s="1"/>
  <c r="ER16" i="18"/>
  <c r="ES16" i="18" s="1"/>
  <c r="ER17" i="18"/>
  <c r="ES17" i="18" s="1"/>
  <c r="ER18" i="18"/>
  <c r="ES18" i="18" s="1"/>
  <c r="ER21" i="18"/>
  <c r="ES21" i="18" s="1"/>
  <c r="ER7" i="18"/>
  <c r="ES7" i="18" s="1"/>
  <c r="EE37" i="18"/>
  <c r="EJ37" i="18" s="1"/>
  <c r="EK37" i="18" s="1"/>
  <c r="EG10" i="19"/>
  <c r="EL10" i="19" s="1"/>
  <c r="EM10" i="19" s="1"/>
  <c r="EJ36" i="18"/>
  <c r="EK36" i="18" s="1"/>
  <c r="EJ39" i="18"/>
  <c r="EK39" i="18" s="1"/>
  <c r="EJ41" i="18"/>
  <c r="EK41" i="18" s="1"/>
  <c r="EJ42" i="18"/>
  <c r="EK42" i="18" s="1"/>
  <c r="EJ44" i="18"/>
  <c r="EK44" i="18" s="1"/>
  <c r="EJ45" i="18"/>
  <c r="EK45" i="18" s="1"/>
  <c r="EJ34" i="18"/>
  <c r="EK34" i="18" s="1"/>
  <c r="EJ11" i="18"/>
  <c r="EK11" i="18" s="1"/>
  <c r="EJ12" i="18"/>
  <c r="EK12" i="18" s="1"/>
  <c r="EJ14" i="18"/>
  <c r="EK14" i="18" s="1"/>
  <c r="EJ15" i="18"/>
  <c r="EK15" i="18" s="1"/>
  <c r="EJ16" i="18"/>
  <c r="EK16" i="18" s="1"/>
  <c r="EJ17" i="18"/>
  <c r="EK17" i="18" s="1"/>
  <c r="EJ18" i="18"/>
  <c r="EK18" i="18" s="1"/>
  <c r="EJ21" i="18"/>
  <c r="EK21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6" i="18"/>
  <c r="EC36" i="18" s="1"/>
  <c r="EB37" i="18"/>
  <c r="EC37" i="18" s="1"/>
  <c r="EB39" i="18"/>
  <c r="EC39" i="18" s="1"/>
  <c r="EB41" i="18"/>
  <c r="EC41" i="18" s="1"/>
  <c r="EB42" i="18"/>
  <c r="EC42" i="18" s="1"/>
  <c r="EB44" i="18"/>
  <c r="EC44" i="18" s="1"/>
  <c r="EB45" i="18"/>
  <c r="EC45" i="18" s="1"/>
  <c r="EB34" i="18"/>
  <c r="EC34" i="18" s="1"/>
  <c r="EB11" i="18"/>
  <c r="EC11" i="18" s="1"/>
  <c r="EB12" i="18"/>
  <c r="EC12" i="18" s="1"/>
  <c r="EB14" i="18"/>
  <c r="EC14" i="18" s="1"/>
  <c r="EB15" i="18"/>
  <c r="EC15" i="18" s="1"/>
  <c r="EB16" i="18"/>
  <c r="EC16" i="18" s="1"/>
  <c r="EB17" i="18"/>
  <c r="EC17" i="18" s="1"/>
  <c r="EB18" i="18"/>
  <c r="EC18" i="18" s="1"/>
  <c r="EB21" i="18"/>
  <c r="EC21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6" i="18" l="1"/>
  <c r="DU36" i="18" s="1"/>
  <c r="DT37" i="18"/>
  <c r="DU37" i="18" s="1"/>
  <c r="DT39" i="18"/>
  <c r="DU39" i="18" s="1"/>
  <c r="DT41" i="18"/>
  <c r="DU41" i="18" s="1"/>
  <c r="DT42" i="18"/>
  <c r="DU42" i="18" s="1"/>
  <c r="DT44" i="18"/>
  <c r="DU44" i="18" s="1"/>
  <c r="DT45" i="18"/>
  <c r="DU45" i="18" s="1"/>
  <c r="DT34" i="18"/>
  <c r="DU34" i="18" s="1"/>
  <c r="DT11" i="18"/>
  <c r="DU11" i="18" s="1"/>
  <c r="DT12" i="18"/>
  <c r="DU12" i="18" s="1"/>
  <c r="DT14" i="18"/>
  <c r="DU14" i="18" s="1"/>
  <c r="DT15" i="18"/>
  <c r="DU15" i="18" s="1"/>
  <c r="DT16" i="18"/>
  <c r="DU16" i="18" s="1"/>
  <c r="DT17" i="18"/>
  <c r="DU17" i="18" s="1"/>
  <c r="DT18" i="18"/>
  <c r="DU18" i="18" s="1"/>
  <c r="DT21" i="18"/>
  <c r="DU21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5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6" i="18"/>
  <c r="DM36" i="18" s="1"/>
  <c r="DL37" i="18"/>
  <c r="DM37" i="18" s="1"/>
  <c r="DL39" i="18"/>
  <c r="DM39" i="18" s="1"/>
  <c r="DL41" i="18"/>
  <c r="DM41" i="18" s="1"/>
  <c r="DL42" i="18"/>
  <c r="DM42" i="18" s="1"/>
  <c r="DL44" i="18"/>
  <c r="DM44" i="18" s="1"/>
  <c r="DL45" i="18"/>
  <c r="DM45" i="18" s="1"/>
  <c r="DL34" i="18"/>
  <c r="DM34" i="18" s="1"/>
  <c r="DL11" i="18"/>
  <c r="DM11" i="18" s="1"/>
  <c r="DL12" i="18"/>
  <c r="DM12" i="18" s="1"/>
  <c r="DL14" i="18"/>
  <c r="DM14" i="18" s="1"/>
  <c r="DL15" i="18"/>
  <c r="DM15" i="18" s="1"/>
  <c r="DL16" i="18"/>
  <c r="DM16" i="18" s="1"/>
  <c r="DL17" i="18"/>
  <c r="DM17" i="18" s="1"/>
  <c r="DL18" i="18"/>
  <c r="DM18" i="18" s="1"/>
  <c r="DL21" i="18"/>
  <c r="DM21" i="18" s="1"/>
  <c r="DL7" i="18"/>
  <c r="DM7" i="18" s="1"/>
  <c r="DA17" i="15" l="1"/>
  <c r="CX17" i="15" l="1"/>
  <c r="DD17" i="15" s="1"/>
  <c r="DE17" i="15" s="1"/>
  <c r="CX15" i="15"/>
  <c r="DD15" i="15" s="1"/>
  <c r="DE15" i="15" s="1"/>
  <c r="DD36" i="18"/>
  <c r="DE36" i="18" s="1"/>
  <c r="DD37" i="18"/>
  <c r="DE37" i="18" s="1"/>
  <c r="DD39" i="18"/>
  <c r="DE39" i="18" s="1"/>
  <c r="DD41" i="18"/>
  <c r="DE41" i="18" s="1"/>
  <c r="DD42" i="18"/>
  <c r="DE42" i="18" s="1"/>
  <c r="DD44" i="18"/>
  <c r="DE44" i="18" s="1"/>
  <c r="DD45" i="18"/>
  <c r="DE45" i="18" s="1"/>
  <c r="DD34" i="18"/>
  <c r="DE34" i="18" s="1"/>
  <c r="DD11" i="18"/>
  <c r="DE11" i="18" s="1"/>
  <c r="DD12" i="18"/>
  <c r="DE12" i="18" s="1"/>
  <c r="DD14" i="18"/>
  <c r="DE14" i="18" s="1"/>
  <c r="DD15" i="18"/>
  <c r="DE15" i="18" s="1"/>
  <c r="DD16" i="18"/>
  <c r="DE16" i="18" s="1"/>
  <c r="DD17" i="18"/>
  <c r="DE17" i="18" s="1"/>
  <c r="DD18" i="18"/>
  <c r="DE18" i="18" s="1"/>
  <c r="DD21" i="18"/>
  <c r="DE21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6" i="18" l="1"/>
  <c r="CW36" i="18" s="1"/>
  <c r="CV37" i="18"/>
  <c r="CW37" i="18" s="1"/>
  <c r="CV39" i="18"/>
  <c r="CW39" i="18" s="1"/>
  <c r="CV41" i="18"/>
  <c r="CW41" i="18" s="1"/>
  <c r="CV42" i="18"/>
  <c r="CW42" i="18" s="1"/>
  <c r="CV44" i="18"/>
  <c r="CW44" i="18" s="1"/>
  <c r="CV45" i="18"/>
  <c r="CW45" i="18" s="1"/>
  <c r="CV34" i="18"/>
  <c r="CW34" i="18" s="1"/>
  <c r="CV11" i="18"/>
  <c r="CW11" i="18" s="1"/>
  <c r="CV12" i="18"/>
  <c r="CW12" i="18" s="1"/>
  <c r="CV14" i="18"/>
  <c r="CW14" i="18" s="1"/>
  <c r="CV15" i="18"/>
  <c r="CW15" i="18" s="1"/>
  <c r="CV16" i="18"/>
  <c r="CW16" i="18" s="1"/>
  <c r="CV17" i="18"/>
  <c r="CW17" i="18" s="1"/>
  <c r="CV18" i="18"/>
  <c r="CW18" i="18" s="1"/>
  <c r="CV21" i="18"/>
  <c r="CW21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6" i="18" l="1"/>
  <c r="CO36" i="18" s="1"/>
  <c r="CN37" i="18"/>
  <c r="CO37" i="18" s="1"/>
  <c r="CN39" i="18"/>
  <c r="CO39" i="18" s="1"/>
  <c r="CN41" i="18"/>
  <c r="CO41" i="18" s="1"/>
  <c r="CN42" i="18"/>
  <c r="CO42" i="18" s="1"/>
  <c r="CN44" i="18"/>
  <c r="CO44" i="18" s="1"/>
  <c r="CN45" i="18"/>
  <c r="CO45" i="18" s="1"/>
  <c r="CN34" i="18"/>
  <c r="CO34" i="18" s="1"/>
  <c r="CN11" i="18"/>
  <c r="CO11" i="18" s="1"/>
  <c r="CN12" i="18"/>
  <c r="CO12" i="18" s="1"/>
  <c r="CN14" i="18"/>
  <c r="CO14" i="18" s="1"/>
  <c r="CN15" i="18"/>
  <c r="CO15" i="18" s="1"/>
  <c r="CN16" i="18"/>
  <c r="CO16" i="18" s="1"/>
  <c r="CN17" i="18"/>
  <c r="CO17" i="18" s="1"/>
  <c r="CN18" i="18"/>
  <c r="CO18" i="18" s="1"/>
  <c r="CN21" i="18"/>
  <c r="CO21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1" i="18"/>
  <c r="CG11" i="18" s="1"/>
  <c r="CF12" i="18"/>
  <c r="CG12" i="18" s="1"/>
  <c r="CF14" i="18"/>
  <c r="CG14" i="18" s="1"/>
  <c r="CF15" i="18"/>
  <c r="CG15" i="18" s="1"/>
  <c r="CF16" i="18"/>
  <c r="CG16" i="18" s="1"/>
  <c r="CF17" i="18"/>
  <c r="CG17" i="18" s="1"/>
  <c r="CF18" i="18"/>
  <c r="CG18" i="18" s="1"/>
  <c r="CF21" i="18"/>
  <c r="CG21" i="18" s="1"/>
  <c r="CF7" i="18"/>
  <c r="CG7" i="18" s="1"/>
  <c r="CF36" i="18"/>
  <c r="CG36" i="18" s="1"/>
  <c r="CF37" i="18"/>
  <c r="CG37" i="18" s="1"/>
  <c r="CF39" i="18"/>
  <c r="CG39" i="18" s="1"/>
  <c r="CF41" i="18"/>
  <c r="CG41" i="18" s="1"/>
  <c r="CF42" i="18"/>
  <c r="CG42" i="18" s="1"/>
  <c r="CF44" i="18"/>
  <c r="CG44" i="18" s="1"/>
  <c r="CF45" i="18"/>
  <c r="CG45" i="18" s="1"/>
  <c r="CF34" i="18"/>
  <c r="CG34" i="18" s="1"/>
  <c r="BT23" i="15"/>
  <c r="BX34" i="18" l="1"/>
  <c r="BY34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6" i="18"/>
  <c r="BY36" i="18" s="1"/>
  <c r="BX37" i="18"/>
  <c r="BY37" i="18" s="1"/>
  <c r="BX39" i="18"/>
  <c r="BY39" i="18" s="1"/>
  <c r="BX41" i="18"/>
  <c r="BY41" i="18" s="1"/>
  <c r="BX42" i="18"/>
  <c r="BY42" i="18" s="1"/>
  <c r="BX44" i="18"/>
  <c r="BY44" i="18" s="1"/>
  <c r="BX45" i="18"/>
  <c r="BY45" i="18" s="1"/>
  <c r="BX11" i="18"/>
  <c r="BY11" i="18" s="1"/>
  <c r="BX12" i="18"/>
  <c r="BY12" i="18" s="1"/>
  <c r="BX14" i="18"/>
  <c r="BY14" i="18" s="1"/>
  <c r="BX15" i="18"/>
  <c r="BY15" i="18" s="1"/>
  <c r="BX16" i="18"/>
  <c r="BY16" i="18" s="1"/>
  <c r="BX17" i="18"/>
  <c r="BY17" i="18" s="1"/>
  <c r="BX18" i="18"/>
  <c r="BY18" i="18" s="1"/>
  <c r="BX21" i="18"/>
  <c r="BY21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6" i="18"/>
  <c r="BQ36" i="18" s="1"/>
  <c r="BP37" i="18"/>
  <c r="BQ37" i="18" s="1"/>
  <c r="BP39" i="18"/>
  <c r="BQ39" i="18" s="1"/>
  <c r="BP41" i="18"/>
  <c r="BQ41" i="18" s="1"/>
  <c r="BP42" i="18"/>
  <c r="BQ42" i="18" s="1"/>
  <c r="BP44" i="18"/>
  <c r="BQ44" i="18" s="1"/>
  <c r="BP45" i="18"/>
  <c r="BQ45" i="18" s="1"/>
  <c r="BP34" i="18"/>
  <c r="BQ34" i="18" s="1"/>
  <c r="BP11" i="18"/>
  <c r="BQ11" i="18" s="1"/>
  <c r="BP12" i="18"/>
  <c r="BQ12" i="18" s="1"/>
  <c r="BP14" i="18"/>
  <c r="BQ14" i="18" s="1"/>
  <c r="BP15" i="18"/>
  <c r="BQ15" i="18" s="1"/>
  <c r="BP16" i="18"/>
  <c r="BQ16" i="18" s="1"/>
  <c r="BP17" i="18"/>
  <c r="BQ17" i="18" s="1"/>
  <c r="BP18" i="18"/>
  <c r="BQ18" i="18" s="1"/>
  <c r="BP21" i="18"/>
  <c r="BQ21" i="18" s="1"/>
  <c r="BP7" i="18"/>
  <c r="BQ7" i="18" s="1"/>
  <c r="BH36" i="18" l="1"/>
  <c r="BI36" i="18" s="1"/>
  <c r="BH37" i="18"/>
  <c r="BI37" i="18" s="1"/>
  <c r="BH39" i="18"/>
  <c r="BI39" i="18" s="1"/>
  <c r="BH41" i="18"/>
  <c r="BI41" i="18" s="1"/>
  <c r="BH42" i="18"/>
  <c r="BI42" i="18" s="1"/>
  <c r="BH44" i="18"/>
  <c r="BI44" i="18" s="1"/>
  <c r="BH45" i="18"/>
  <c r="BI45" i="18" s="1"/>
  <c r="BH34" i="18"/>
  <c r="BI34" i="18" s="1"/>
  <c r="BH11" i="18"/>
  <c r="BI11" i="18" s="1"/>
  <c r="BH12" i="18"/>
  <c r="BI12" i="18" s="1"/>
  <c r="BH14" i="18"/>
  <c r="BI14" i="18" s="1"/>
  <c r="BH15" i="18"/>
  <c r="BI15" i="18" s="1"/>
  <c r="BH16" i="18"/>
  <c r="BI16" i="18" s="1"/>
  <c r="BH17" i="18"/>
  <c r="BI17" i="18" s="1"/>
  <c r="BH18" i="18"/>
  <c r="BI18" i="18" s="1"/>
  <c r="BH21" i="18"/>
  <c r="BI21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6" i="18"/>
  <c r="BA36" i="18" s="1"/>
  <c r="AZ37" i="18"/>
  <c r="BA37" i="18" s="1"/>
  <c r="AZ39" i="18"/>
  <c r="BA39" i="18" s="1"/>
  <c r="AZ41" i="18"/>
  <c r="BA41" i="18" s="1"/>
  <c r="AZ42" i="18"/>
  <c r="BA42" i="18" s="1"/>
  <c r="AZ44" i="18"/>
  <c r="BA44" i="18" s="1"/>
  <c r="AZ45" i="18"/>
  <c r="BA45" i="18" s="1"/>
  <c r="AZ34" i="18"/>
  <c r="BA34" i="18" s="1"/>
  <c r="AZ11" i="18"/>
  <c r="BA11" i="18" s="1"/>
  <c r="AZ12" i="18"/>
  <c r="BA12" i="18" s="1"/>
  <c r="AZ14" i="18"/>
  <c r="BA14" i="18" s="1"/>
  <c r="AZ15" i="18"/>
  <c r="BA15" i="18" s="1"/>
  <c r="AZ16" i="18"/>
  <c r="BA16" i="18" s="1"/>
  <c r="AZ17" i="18"/>
  <c r="BA17" i="18" s="1"/>
  <c r="AZ18" i="18"/>
  <c r="BA18" i="18" s="1"/>
  <c r="AZ21" i="18"/>
  <c r="BA21" i="18" s="1"/>
  <c r="AZ7" i="18"/>
  <c r="BA7" i="18" s="1"/>
  <c r="AP16" i="15" l="1"/>
  <c r="AR36" i="18" l="1"/>
  <c r="AS36" i="18" s="1"/>
  <c r="AR37" i="18"/>
  <c r="AS37" i="18" s="1"/>
  <c r="AR39" i="18"/>
  <c r="AS39" i="18" s="1"/>
  <c r="AR41" i="18"/>
  <c r="AS41" i="18" s="1"/>
  <c r="AR42" i="18"/>
  <c r="AS42" i="18" s="1"/>
  <c r="AR44" i="18"/>
  <c r="AS44" i="18" s="1"/>
  <c r="AR45" i="18"/>
  <c r="AS45" i="18" s="1"/>
  <c r="AR34" i="18"/>
  <c r="AS34" i="18" s="1"/>
  <c r="AR11" i="18"/>
  <c r="AS11" i="18" s="1"/>
  <c r="AR12" i="18"/>
  <c r="AS12" i="18" s="1"/>
  <c r="AR14" i="18"/>
  <c r="AS14" i="18" s="1"/>
  <c r="AR15" i="18"/>
  <c r="AS15" i="18" s="1"/>
  <c r="AR16" i="18"/>
  <c r="AS16" i="18" s="1"/>
  <c r="AR17" i="18"/>
  <c r="AS17" i="18" s="1"/>
  <c r="AR18" i="18"/>
  <c r="AS18" i="18" s="1"/>
  <c r="AR21" i="18"/>
  <c r="AS21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6" i="18" l="1"/>
  <c r="AK36" i="18" s="1"/>
  <c r="AJ37" i="18"/>
  <c r="AK37" i="18" s="1"/>
  <c r="AJ39" i="18"/>
  <c r="AK39" i="18" s="1"/>
  <c r="AJ41" i="18"/>
  <c r="AK41" i="18" s="1"/>
  <c r="AJ42" i="18"/>
  <c r="AK42" i="18" s="1"/>
  <c r="AJ44" i="18"/>
  <c r="AK44" i="18" s="1"/>
  <c r="AJ45" i="18"/>
  <c r="AK45" i="18" s="1"/>
  <c r="AJ34" i="18"/>
  <c r="AK34" i="18" s="1"/>
  <c r="AJ11" i="18"/>
  <c r="AK11" i="18" s="1"/>
  <c r="AJ12" i="18"/>
  <c r="AK12" i="18" s="1"/>
  <c r="AJ14" i="18"/>
  <c r="AK14" i="18" s="1"/>
  <c r="AJ15" i="18"/>
  <c r="AK15" i="18" s="1"/>
  <c r="AJ16" i="18"/>
  <c r="AK16" i="18" s="1"/>
  <c r="AJ17" i="18"/>
  <c r="AK17" i="18" s="1"/>
  <c r="AJ18" i="18"/>
  <c r="AK18" i="18" s="1"/>
  <c r="AJ21" i="18"/>
  <c r="AK21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5" i="17" l="1"/>
  <c r="J86" i="17"/>
  <c r="Z17" i="19"/>
  <c r="Y7" i="18"/>
  <c r="Z7" i="18" s="1"/>
  <c r="Z22" i="18" s="1"/>
  <c r="AB30" i="19" l="1"/>
  <c r="Y22" i="18"/>
  <c r="Y30" i="19"/>
  <c r="Y17" i="19"/>
  <c r="AA17" i="19"/>
  <c r="AB7" i="18"/>
  <c r="AA7" i="18"/>
  <c r="AA22" i="18" s="1"/>
  <c r="AB22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4" i="17"/>
  <c r="L26" i="17"/>
  <c r="M26" i="17" s="1"/>
  <c r="G16" i="25" s="1"/>
  <c r="O40" i="17"/>
  <c r="M18" i="17"/>
  <c r="G8" i="25" s="1"/>
  <c r="L37" i="17"/>
  <c r="M37" i="17" s="1"/>
  <c r="G27" i="25" s="1"/>
  <c r="M17" i="17"/>
  <c r="G7" i="25" s="1"/>
  <c r="M13" i="17"/>
  <c r="G3" i="25" s="1"/>
  <c r="L36" i="17"/>
  <c r="M36" i="17" s="1"/>
  <c r="G26" i="25" s="1"/>
  <c r="M16" i="17"/>
  <c r="G6" i="25" s="1"/>
  <c r="L35" i="17"/>
  <c r="M35" i="17" s="1"/>
  <c r="G25" i="25" s="1"/>
  <c r="M15" i="17"/>
  <c r="G5" i="25" s="1"/>
  <c r="L34" i="17"/>
  <c r="M34" i="17" s="1"/>
  <c r="G24" i="25" s="1"/>
  <c r="M14" i="17"/>
  <c r="G4" i="25" s="1"/>
  <c r="L25" i="17"/>
  <c r="M25" i="17" s="1"/>
  <c r="G15" i="25" s="1"/>
  <c r="O44" i="17"/>
  <c r="L27" i="17"/>
  <c r="M27" i="17" s="1"/>
  <c r="G17" i="25" s="1"/>
  <c r="M24" i="17"/>
  <c r="G14" i="25" s="1"/>
  <c r="M21" i="17"/>
  <c r="G11" i="25" s="1"/>
  <c r="L33" i="17"/>
  <c r="M33" i="17" s="1"/>
  <c r="G23" i="25" s="1"/>
  <c r="M23" i="17"/>
  <c r="G13" i="25" s="1"/>
  <c r="M22" i="17"/>
  <c r="G12" i="25" s="1"/>
  <c r="M20" i="17"/>
  <c r="G10" i="25" s="1"/>
  <c r="M19" i="17"/>
  <c r="G9" i="25" s="1"/>
  <c r="L32" i="17"/>
  <c r="M32" i="17" s="1"/>
  <c r="G22" i="25" s="1"/>
  <c r="L31" i="17"/>
  <c r="M31" i="17" s="1"/>
  <c r="G21" i="25" s="1"/>
  <c r="L30" i="17"/>
  <c r="M30" i="17" s="1"/>
  <c r="G20" i="25" s="1"/>
  <c r="L29" i="17"/>
  <c r="M29" i="17" s="1"/>
  <c r="G19" i="25" s="1"/>
  <c r="O45" i="17"/>
  <c r="L28" i="17"/>
  <c r="M28" i="17" s="1"/>
  <c r="G18" i="25" s="1"/>
  <c r="W16" i="17" l="1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U41" i="17"/>
  <c r="R46" i="17"/>
  <c r="O19" i="17"/>
  <c r="U33" i="17"/>
  <c r="W32" i="17"/>
  <c r="U34" i="17"/>
  <c r="R34" i="17"/>
  <c r="W43" i="17"/>
  <c r="U43" i="17"/>
  <c r="R43" i="17"/>
  <c r="U23" i="17"/>
  <c r="R49" i="17"/>
  <c r="L74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9" i="17"/>
  <c r="W33" i="17"/>
  <c r="U36" i="17"/>
  <c r="W15" i="17"/>
  <c r="W18" i="17"/>
  <c r="W21" i="17"/>
  <c r="O13" i="17"/>
  <c r="O18" i="17"/>
  <c r="U49" i="17"/>
  <c r="R41" i="17"/>
  <c r="R15" i="17"/>
  <c r="O49" i="17"/>
  <c r="U22" i="17"/>
  <c r="U38" i="17"/>
  <c r="O46" i="17"/>
  <c r="W41" i="17"/>
  <c r="W38" i="17"/>
  <c r="O38" i="17"/>
  <c r="O41" i="17"/>
  <c r="R13" i="17"/>
  <c r="U32" i="17"/>
  <c r="O32" i="17"/>
  <c r="R24" i="17"/>
  <c r="W23" i="17"/>
  <c r="W24" i="17"/>
  <c r="O34" i="17"/>
  <c r="U24" i="17"/>
  <c r="O43" i="17"/>
  <c r="R23" i="17"/>
  <c r="W34" i="17"/>
  <c r="O16" i="17"/>
  <c r="J75" i="17"/>
  <c r="L12" i="17"/>
  <c r="M12" i="17" s="1"/>
  <c r="G2" i="25" s="1"/>
  <c r="J5" i="20" l="1"/>
  <c r="H13" i="20"/>
  <c r="H6" i="20"/>
  <c r="H14" i="20" s="1"/>
  <c r="R12" i="17"/>
  <c r="R75" i="17" s="1"/>
  <c r="O12" i="17"/>
  <c r="U12" i="17"/>
  <c r="U75" i="17" s="1"/>
  <c r="W12" i="17"/>
  <c r="W75" i="17" s="1"/>
  <c r="L75" i="17"/>
  <c r="M74" i="17"/>
  <c r="K5" i="20" s="1"/>
  <c r="O39" i="17"/>
  <c r="O74" i="17" s="1"/>
  <c r="H18" i="20" l="1"/>
  <c r="J13" i="20"/>
  <c r="J6" i="20"/>
  <c r="J14" i="20" s="1"/>
  <c r="M75" i="17"/>
  <c r="O75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<sst xmlns="http://schemas.openxmlformats.org/spreadsheetml/2006/main" count="6087" uniqueCount="650">
  <si>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</si>
  <si>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</si>
  <si>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</si>
  <si>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</si>
  <si>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</si>
  <si>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</si>
  <si>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</si>
  <si>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</si>
  <si>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</si>
  <si>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</si>
  <si>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</si>
  <si>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</si>
  <si>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</si>
  <si>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</si>
  <si>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</si>
  <si>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</si>
  <si>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</si>
  <si>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</si>
  <si>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</si>
  <si>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</si>
  <si>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</si>
  <si>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</si>
  <si>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</si>
  <si>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</si>
  <si>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</si>
  <si>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</si>
  <si>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</si>
  <si>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</si>
  <si>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</si>
  <si>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</si>
  <si>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</si>
  <si>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</si>
  <si>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</si>
  <si>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</si>
  <si>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</si>
  <si>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</si>
  <si>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</si>
  <si>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</si>
  <si>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</si>
  <si>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</si>
  <si>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</si>
  <si>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</si>
  <si>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</si>
  <si>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</si>
  <si>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</si>
  <si>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</si>
  <si>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</si>
  <si>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</si>
  <si>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</si>
  <si>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</si>
  <si>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</si>
  <si>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</si>
  <si>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</si>
  <si>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</si>
  <si>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</si>
  <si>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</si>
  <si>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</si>
  <si>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</si>
  <si>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</si>
  <si>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</si>
  <si>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</si>
  <si>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</si>
  <si>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</si>
  <si>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</si>
  <si>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</si>
  <si>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</si>
  <si>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</si>
  <si>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</si>
  <si>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</si>
  <si>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</si>
  <si>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</si>
  <si>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</si>
  <si>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</si>
  <si>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</si>
  <si>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</si>
  <si>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</si>
  <si>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</si>
  <si>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</si>
  <si>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</si>
  <si>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</si>
  <si>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</si>
  <si>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</si>
  <si>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</si>
  <si>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</si>
  <si>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</si>
  <si>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</si>
  <si>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</si>
  <si>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</si>
  <si>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</si>
  <si>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</si>
  <si>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</si>
  <si>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</si>
  <si>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</si>
  <si>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</si>
  <si>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</si>
  <si>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</si>
  <si>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</si>
  <si>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</si>
  <si>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</si>
  <si>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</si>
  <si>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</si>
  <si>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</si>
  <si>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</si>
  <si>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</si>
  <si>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</si>
  <si>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</si>
  <si>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</si>
  <si>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</si>
  <si>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</si>
  <si>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</si>
  <si>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</si>
  <si>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</si>
  <si>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</si>
  <si>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</si>
  <si>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</si>
  <si>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</si>
  <si>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</si>
  <si>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</si>
  <si>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</si>
  <si>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</si>
  <si>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</si>
  <si>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</si>
  <si>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</si>
  <si>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</si>
  <si>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</si>
  <si>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</si>
  <si>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</si>
  <si>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</si>
  <si>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</si>
  <si>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</si>
  <si>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</si>
  <si>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</si>
  <si>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</si>
  <si>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</si>
  <si>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</si>
  <si>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</si>
  <si>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</si>
  <si>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</si>
  <si>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</si>
  <si>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</si>
  <si>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</si>
  <si>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</si>
  <si>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</si>
  <si>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</si>
  <si>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</si>
  <si>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</si>
  <si>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</si>
  <si>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</si>
  <si>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</si>
  <si>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</si>
  <si>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</si>
  <si>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</si>
  <si>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</si>
  <si>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</si>
  <si>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</si>
  <si>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</si>
  <si>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</si>
  <si>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</si>
  <si>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</si>
  <si>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</si>
  <si>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</si>
  <si>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</si>
  <si>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</si>
  <si>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</si>
  <si>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</si>
  <si>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</si>
  <si>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</si>
  <si>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</si>
  <si>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</si>
  <si>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</si>
  <si>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</si>
  <si>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</si>
  <si>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</si>
  <si>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</si>
  <si>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</si>
  <si>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</si>
  <si>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</si>
  <si>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</si>
  <si>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</si>
  <si>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</si>
  <si>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</si>
  <si>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</si>
  <si>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</si>
  <si>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</si>
  <si>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</si>
  <si>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</si>
  <si>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</si>
  <si>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</si>
  <si>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</si>
  <si>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</si>
  <si>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</si>
  <si>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</si>
  <si>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</si>
  <si>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</si>
  <si>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</si>
  <si>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</si>
  <si>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</si>
  <si>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</si>
  <si>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</si>
  <si>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</si>
  <si>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</si>
  <si>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</si>
  <si>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</si>
  <si>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</si>
  <si>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</si>
  <si>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</si>
  <si>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</si>
  <si>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</si>
  <si>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</si>
  <si>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</si>
  <si>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</si>
  <si>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</si>
  <si>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</si>
  <si>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</si>
  <si>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</si>
  <si>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</si>
  <si>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</si>
  <si>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</si>
  <si>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</si>
  <si>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</si>
  <si>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</si>
  <si>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</si>
  <si>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</si>
  <si>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</si>
  <si>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</si>
  <si>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</si>
  <si>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</si>
  <si>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</si>
  <si>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</si>
  <si>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</si>
  <si>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</si>
  <si>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</si>
  <si>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</si>
  <si>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</si>
  <si>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</si>
  <si>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</si>
  <si>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</si>
  <si>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</si>
  <si>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</si>
  <si>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</si>
  <si>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</si>
  <si>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</si>
  <si>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</si>
  <si>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</si>
  <si>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</si>
  <si>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</si>
  <si>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</si>
  <si>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</si>
  <si>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</si>
  <si>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</si>
  <si>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</si>
  <si>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</si>
  <si>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</si>
  <si>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</si>
  <si>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</si>
  <si>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</si>
  <si>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</si>
  <si>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</si>
  <si>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</si>
  <si>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</si>
  <si>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</si>
  <si>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</si>
  <si>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</si>
  <si>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</si>
  <si>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</si>
  <si>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</si>
  <si>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</si>
  <si>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</si>
  <si>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</si>
  <si>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</si>
  <si>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</si>
  <si>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</si>
  <si>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</si>
  <si>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</si>
  <si>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</si>
  <si>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</si>
  <si>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</si>
  <si>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</si>
  <si>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</si>
  <si>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</si>
  <si>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1290D205512625</t>
  </si>
  <si>
    <t>BagO25- 551X26- 52x87-93-B-000-H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</si>
  <si>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</si>
  <si>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</si>
  <si>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</si>
  <si>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</si>
  <si>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</si>
  <si>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</si>
  <si>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</si>
  <si>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</si>
  <si>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</si>
  <si>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</si>
  <si>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</si>
  <si>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</si>
  <si>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</si>
  <si>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</si>
  <si>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</si>
  <si>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</si>
  <si>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</si>
  <si>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</si>
  <si>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</si>
  <si>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</si>
  <si>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</si>
  <si>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</si>
  <si>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</si>
  <si>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</si>
  <si>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</si>
  <si>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</si>
  <si>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</si>
  <si>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</si>
  <si>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</si>
  <si>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</si>
  <si>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</si>
  <si>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</si>
  <si>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</si>
  <si>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</si>
  <si>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</si>
  <si>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</si>
  <si>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</si>
  <si>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</si>
  <si>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</si>
  <si>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</si>
  <si>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</si>
  <si>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</si>
  <si>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</si>
  <si>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</si>
  <si>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</si>
  <si>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</si>
  <si>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</si>
  <si>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</si>
  <si>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</si>
  <si>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</si>
  <si>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</si>
  <si>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</si>
  <si>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</si>
  <si>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</si>
  <si>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</si>
  <si>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</si>
  <si>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</si>
  <si>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</si>
  <si>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</si>
  <si>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</si>
  <si>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</si>
  <si>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</si>
  <si>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</si>
  <si>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</si>
  <si>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</si>
  <si>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</si>
  <si>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</si>
  <si>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</si>
  <si>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</si>
  <si>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</si>
  <si>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</si>
  <si>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</si>
  <si>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</si>
  <si>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</si>
  <si>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</si>
  <si>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</si>
  <si>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</si>
  <si>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</si>
  <si>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</si>
  <si>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</si>
  <si>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</si>
  <si>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</si>
  <si>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</si>
  <si>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</si>
  <si>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</si>
  <si>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</si>
  <si>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</si>
  <si>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</si>
  <si>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551X2625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</si>
  <si>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</si>
  <si>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</si>
  <si>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</si>
  <si>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</si>
  <si>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</si>
  <si>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</si>
  <si>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</si>
  <si>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</si>
  <si>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</si>
  <si>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</si>
  <si>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</si>
  <si>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</si>
  <si>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HT1225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</si>
  <si>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</si>
  <si>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</si>
  <si>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</si>
  <si>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</si>
  <si>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</si>
  <si>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</si>
  <si>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</si>
  <si>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</si>
  <si>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</si>
  <si>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</si>
  <si>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</si>
  <si>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</si>
  <si>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</si>
  <si>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</si>
  <si>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</si>
  <si>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</si>
  <si>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</si>
  <si>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</si>
  <si>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</si>
  <si>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</si>
  <si>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</si>
  <si>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</si>
  <si>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</si>
  <si>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</si>
  <si>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</si>
  <si>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</si>
  <si>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</si>
  <si>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</si>
  <si>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</si>
  <si>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</si>
  <si>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</si>
  <si>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</si>
  <si>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</si>
  <si>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</si>
  <si>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</si>
  <si>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</si>
  <si>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</si>
  <si>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</si>
  <si>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</si>
  <si>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</si>
  <si>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</si>
  <si>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</si>
  <si>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</si>
  <si>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</si>
  <si>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</si>
  <si>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</si>
  <si>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</si>
  <si>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</si>
  <si>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</si>
  <si>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</si>
  <si>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</si>
  <si>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</si>
  <si>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</si>
  <si>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</si>
  <si>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</si>
  <si>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</si>
  <si>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</si>
  <si>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</si>
  <si>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</si>
  <si>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</si>
  <si>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BagO25- 502- 52x87-93-B-000-H</t>
  </si>
  <si>
    <t>1290D215840025</t>
  </si>
  <si>
    <t>551FS2550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</si>
  <si>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</si>
  <si>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</si>
  <si>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</si>
  <si>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</si>
  <si>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</si>
  <si>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</si>
  <si>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</si>
  <si>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</si>
  <si>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</si>
  <si>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</si>
  <si>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</si>
  <si>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</si>
  <si>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</si>
  <si>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</si>
  <si>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</si>
  <si>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HT11GP25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</si>
  <si>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</si>
  <si>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</si>
  <si>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</si>
  <si>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</si>
  <si>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</si>
  <si>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</si>
  <si>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</si>
  <si>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</si>
  <si>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</si>
  <si>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</si>
  <si>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</si>
  <si>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</si>
  <si>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</si>
  <si>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</si>
  <si>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</si>
  <si>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</si>
  <si>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</si>
  <si>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</si>
  <si>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</si>
  <si>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</si>
  <si>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</si>
  <si>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</si>
  <si>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</si>
  <si>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</si>
  <si>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</si>
  <si>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</si>
  <si>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</si>
  <si>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</si>
  <si>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</si>
  <si>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</si>
  <si>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</si>
  <si>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</si>
  <si>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552Pro25</t>
  </si>
  <si>
    <t>552SPro25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</si>
  <si>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</si>
  <si>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</si>
  <si>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</si>
  <si>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</si>
  <si>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</si>
  <si>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</si>
  <si>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</si>
  <si>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</si>
  <si>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</si>
  <si>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</si>
  <si>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</si>
  <si>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</si>
  <si>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</si>
  <si>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</si>
  <si>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</si>
  <si>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</si>
  <si>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S31</t>
  </si>
  <si>
    <t>BagO25- 571- 52x87-93-P-000-D</t>
  </si>
  <si>
    <t>94425</t>
  </si>
  <si>
    <t>550SX25</t>
  </si>
  <si>
    <t>552SFS9050</t>
  </si>
  <si>
    <t>552FS1350</t>
  </si>
  <si>
    <t>552FS9050</t>
  </si>
  <si>
    <t>562PFS9050</t>
  </si>
  <si>
    <t>566FS3150</t>
  </si>
  <si>
    <t>567SFS3150</t>
  </si>
  <si>
    <t>511NFP3550</t>
  </si>
  <si>
    <t>GĐ1425</t>
  </si>
  <si>
    <t>54440</t>
  </si>
  <si>
    <t>GT1225</t>
  </si>
  <si>
    <t>550SF</t>
  </si>
  <si>
    <t>BagOF50-550SF-65x105-122-Z-000-C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</si>
  <si>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</si>
  <si>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</si>
  <si>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</si>
  <si>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</si>
  <si>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</si>
  <si>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</si>
  <si>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</si>
  <si>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</si>
  <si>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</si>
  <si>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</si>
  <si>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</si>
  <si>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Thøc ¨n ch¨n nu«i# 550SF(50KG)(Thuèc)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</si>
  <si>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</si>
  <si>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</si>
  <si>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</si>
  <si>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</si>
  <si>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</si>
  <si>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</si>
  <si>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</si>
  <si>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</si>
  <si>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BS06TA40</t>
  </si>
  <si>
    <t>885S25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</si>
  <si>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</si>
  <si>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</si>
  <si>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</si>
  <si>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</si>
  <si>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</si>
  <si>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</si>
  <si>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691125</t>
  </si>
  <si>
    <t>S54</t>
  </si>
  <si>
    <t>567SFS2550</t>
  </si>
  <si>
    <t>510</t>
  </si>
  <si>
    <t>Thøc ¨n ch¨n nu«i #  510 (25KG)</t>
  </si>
  <si>
    <t>511B</t>
  </si>
  <si>
    <t>Thøc ¨n ch¨n nu«i #  511B (25KG)</t>
  </si>
  <si>
    <t>Thøc ¨n ch¨n nu«i# 552 (F)_50KG (Thuèc)</t>
  </si>
  <si>
    <t>S90</t>
  </si>
  <si>
    <t>Thøc ¨n ch¨n nu«i# 552S (F)_50KG (Thuèc)</t>
  </si>
  <si>
    <t>553MF</t>
  </si>
  <si>
    <t>Thøc ¨n ch¨n nu«i #  553MF (50KG)</t>
  </si>
  <si>
    <t>BagOF50-553MF-65x105-122-Z-000-C</t>
  </si>
  <si>
    <t>Bag O25- 510- 54x90-99-B-000-H</t>
  </si>
  <si>
    <t>Thøc ¨n ch¨n nu«i #  550S(F)50KG</t>
  </si>
  <si>
    <t>552</t>
  </si>
  <si>
    <t>Thøc ¨n ch¨n nu«i #  552 (25KG)</t>
  </si>
  <si>
    <t>552M</t>
  </si>
  <si>
    <t>Thøc ¨n ch¨n nu«i #  552M (25KG)</t>
  </si>
  <si>
    <t>567S</t>
  </si>
  <si>
    <t>Thøc ¨n ch¨n nu«i #  567S (25KG)</t>
  </si>
  <si>
    <t>952</t>
  </si>
  <si>
    <t>Thøc ¨n ch¨n nu«i #  952 (25KG)</t>
  </si>
  <si>
    <t>Ngày : 29/04/2026</t>
  </si>
  <si>
    <t>GT12S25</t>
  </si>
  <si>
    <t>BS06LD40</t>
  </si>
  <si>
    <t>688425</t>
  </si>
  <si>
    <t>BagOF50-540F-65x105-122-Z-000-C</t>
  </si>
  <si>
    <t>BagOF50-551GPF-65x105-122-Z-000-C</t>
  </si>
  <si>
    <t>540F</t>
  </si>
  <si>
    <t>Thøc ¨n ch¨n nu«i #  540F (50KG)</t>
  </si>
  <si>
    <t>551GPF</t>
  </si>
  <si>
    <t>Thøc ¨n ch¨n nu«i# 551GPF(50KG) (Thuèc)</t>
  </si>
  <si>
    <t>552S</t>
  </si>
  <si>
    <t>Thøc ¨n ch¨n nu«i #  552S (25KG)</t>
  </si>
  <si>
    <t>594</t>
  </si>
  <si>
    <t>Thøc ¨n ch¨n nu«i # 594 (25KG)</t>
  </si>
  <si>
    <t>952S</t>
  </si>
  <si>
    <t>Thøc ¨n ch¨n nu«i #  952S (25KG)</t>
  </si>
  <si>
    <t>HT12S</t>
  </si>
  <si>
    <t>Thøc ¨n ch¨n nu«i #  HT12S(25KG)</t>
  </si>
  <si>
    <t>Date(Ngày): 03/05/2026</t>
  </si>
  <si>
    <t>502</t>
  </si>
  <si>
    <t>Thøc ¨n ch¨n nu«i # 502 (25KG)</t>
  </si>
  <si>
    <t>511L</t>
  </si>
  <si>
    <t>Thøc ¨n ch¨n nu«i #  511L (25KG)</t>
  </si>
  <si>
    <t>511M</t>
  </si>
  <si>
    <t>Thøc ¨n ch¨n nu«i #  511M (25KG)</t>
  </si>
  <si>
    <t>511S</t>
  </si>
  <si>
    <t>Thøc ¨n ch¨n nu«i # 511S (25KG)</t>
  </si>
  <si>
    <t>548F</t>
  </si>
  <si>
    <t>Thøc ¨n ch¨n nu«i #  548F(50KG)</t>
  </si>
  <si>
    <t>549F</t>
  </si>
  <si>
    <t>Thøc ¨n ch¨n nu«i #  549F (50KG)</t>
  </si>
  <si>
    <t>550S</t>
  </si>
  <si>
    <t>Thøc ¨n ch¨n nu«i #  550S (25KG)</t>
  </si>
  <si>
    <t>550SX</t>
  </si>
  <si>
    <t>Thøc ¨n ch¨n nu«i # 550SX (25Kg)</t>
  </si>
  <si>
    <t>551F</t>
  </si>
  <si>
    <t>Thøc ¨n ch¨n nu«i# 551 (F)_50KG (Thuèc)</t>
  </si>
  <si>
    <t>551X</t>
  </si>
  <si>
    <t>Thøc ¨n ch¨n nu«i # 551X (25kg)</t>
  </si>
  <si>
    <t>Thøc ¨n ch¨n nu«i #  552F(50KG)</t>
  </si>
  <si>
    <t>Thøc ¨n ch¨n nu«i #  552SF (50KG)</t>
  </si>
  <si>
    <t>566F</t>
  </si>
  <si>
    <t>Thøc ¨n ch¨n nu«i# 566 (F)_50KG (Thuèc)</t>
  </si>
  <si>
    <t>567SF</t>
  </si>
  <si>
    <t>Thøc ¨n ch¨n nu«i# 567S (F)_50KG (Thuèc)</t>
  </si>
  <si>
    <t>584</t>
  </si>
  <si>
    <t>Thøc ¨n ch¨n nu«i #  584(25KGS)</t>
  </si>
  <si>
    <t>595</t>
  </si>
  <si>
    <t>Thøc ¨n ch¨n nu«i #  595 (25KGS)</t>
  </si>
  <si>
    <t>BS10TA</t>
  </si>
  <si>
    <t>0810-C¸m bß chê ®Î-BS10TA(40kg)</t>
  </si>
  <si>
    <t>GT12</t>
  </si>
  <si>
    <t>Thøc ¨n ch¨n nu«i #  GT12 (25KG)</t>
  </si>
  <si>
    <t>GT12B</t>
  </si>
  <si>
    <t>Thøc ¨n ch¨n nu«i #  GT12B (25KG)</t>
  </si>
  <si>
    <t>GT12BS</t>
  </si>
  <si>
    <t>Thøc ¨n ch¨n nu«i # GT12BS(25KG)</t>
  </si>
  <si>
    <t>VT12</t>
  </si>
  <si>
    <t>Thøc ¨n ch¨n nu«i #  VT12 (25KG)</t>
  </si>
  <si>
    <t>BagOF50-548F-65x105-122-Z-000-C</t>
  </si>
  <si>
    <t>BagOF50-549F-65x105-122-Z-000-C</t>
  </si>
  <si>
    <t>BagOF50-551F-65x105-122-Z-000-C</t>
  </si>
  <si>
    <t>BagOF50-566F-65x105-122-Z-000-C</t>
  </si>
  <si>
    <t>BagOF50-567SF-65x105-122-Z-000-C</t>
  </si>
  <si>
    <t>Bag O25- GT12B- 52x87-93-C-000-H</t>
  </si>
  <si>
    <t>BagO25-GT12BS-52x87-93-C-000-H</t>
  </si>
  <si>
    <t>BagO25-502-52x87-93-B-000-H</t>
  </si>
  <si>
    <t>BagO25-511S 52x87-93-B-000-H</t>
  </si>
  <si>
    <t>BagO25-551X-52x87-93-B-000-H</t>
  </si>
  <si>
    <t>BagO25-550SX-52x87-93-P-000-D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</si>
</sst>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0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86" fillId="0" borderId="0" xfId="0" applyFont="1" applyAlignment="1">
      <alignment horizontal="left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71" fillId="0" borderId="0" xfId="0" applyFont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0" fontId="31" fillId="9" borderId="8" xfId="0" applyFont="1" applyFill="1" applyBorder="1" applyAlignment="1">
      <alignment horizontal="center" vertical="center" wrapText="1"/>
    </xf>
    <xf numFmtId="1" fontId="12" fillId="1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2" borderId="9" xfId="0" applyFont="1" applyFill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73" fillId="11" borderId="7" xfId="0" applyFont="1" applyFill="1" applyBorder="1" applyAlignment="1">
      <alignment horizontal="center" vertical="center" wrapText="1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31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J106"/>
  <sheetViews>
    <sheetView zoomScale="80" zoomScaleNormal="80" workbookViewId="0">
      <pane ySplit="2" topLeftCell="A7" activePane="bottomLeft" state="frozen"/>
      <selection pane="bottomLeft" activeCell="B25" sqref="B25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customWidth="1"/>
    <col min="217" max="218" width="6.7109375" style="1" customWidth="1"/>
    <col min="219" max="16384" width="9.140625" style="1"/>
  </cols>
  <sheetData>
    <row r="1" spans="1:218" ht="26.25" x14ac:dyDescent="0.2">
      <c r="A1" s="953" t="s">
        <v>0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953"/>
      <c r="X1" s="953"/>
      <c r="Y1" s="953"/>
      <c r="Z1" s="20"/>
    </row>
    <row r="2" spans="1:218" ht="26.25" x14ac:dyDescent="0.2">
      <c r="A2" s="953" t="s">
        <v>229</v>
      </c>
      <c r="B2" s="953"/>
      <c r="C2" s="953"/>
      <c r="D2" s="953"/>
      <c r="E2" s="953"/>
      <c r="F2" s="953"/>
      <c r="G2" s="953"/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953"/>
      <c r="S2" s="953"/>
      <c r="T2" s="953"/>
      <c r="U2" s="953"/>
      <c r="V2" s="953"/>
      <c r="W2" s="953"/>
      <c r="X2" s="953"/>
      <c r="Y2" s="953"/>
      <c r="Z2" s="20"/>
    </row>
    <row r="3" spans="1:218" ht="18.75" x14ac:dyDescent="0.2">
      <c r="A3" s="925" t="s">
        <v>533</v>
      </c>
      <c r="B3" s="925"/>
      <c r="C3" s="925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18" ht="18.75" x14ac:dyDescent="0.2">
      <c r="A4" s="925" t="s">
        <v>534</v>
      </c>
      <c r="B4" s="925"/>
      <c r="C4" s="92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18" ht="18.75" x14ac:dyDescent="0.2">
      <c r="A5" s="925" t="s">
        <v>535</v>
      </c>
      <c r="B5" s="925"/>
      <c r="C5" s="92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18" ht="18.75" x14ac:dyDescent="0.2">
      <c r="A6" s="866" t="s">
        <v>536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18" ht="18.75" x14ac:dyDescent="0.2">
      <c r="A7" s="925" t="s">
        <v>537</v>
      </c>
      <c r="B7" s="925"/>
      <c r="C7" s="92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18" ht="18.75" x14ac:dyDescent="0.2">
      <c r="A8" s="928" t="s">
        <v>538</v>
      </c>
      <c r="B8" s="928"/>
      <c r="C8" s="928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54" t="s">
        <v>598</v>
      </c>
      <c r="Y8" s="954"/>
      <c r="Z8" s="4"/>
    </row>
    <row r="9" spans="1:218" s="5" customFormat="1" ht="28.5" customHeight="1" x14ac:dyDescent="0.2">
      <c r="A9" s="969" t="s">
        <v>275</v>
      </c>
      <c r="B9" s="970"/>
      <c r="C9" s="970"/>
      <c r="D9" s="970"/>
      <c r="E9" s="970"/>
      <c r="F9" s="970"/>
      <c r="G9" s="970"/>
      <c r="H9" s="970"/>
      <c r="I9" s="970"/>
      <c r="J9" s="970"/>
      <c r="K9" s="970"/>
      <c r="L9" s="970"/>
      <c r="M9" s="971"/>
      <c r="N9" s="955" t="s">
        <v>252</v>
      </c>
      <c r="O9" s="956"/>
      <c r="P9" s="972" t="s">
        <v>255</v>
      </c>
      <c r="Q9" s="973"/>
      <c r="R9" s="973"/>
      <c r="S9" s="973"/>
      <c r="T9" s="973"/>
      <c r="U9" s="742"/>
      <c r="V9" s="957" t="s">
        <v>260</v>
      </c>
      <c r="W9" s="939" t="s">
        <v>259</v>
      </c>
      <c r="X9" s="961" t="s">
        <v>265</v>
      </c>
      <c r="Y9" s="951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18" s="307" customFormat="1" ht="24.75" customHeight="1" x14ac:dyDescent="0.2">
      <c r="A10" s="951" t="s">
        <v>248</v>
      </c>
      <c r="B10" s="939" t="s">
        <v>249</v>
      </c>
      <c r="C10" s="949" t="s">
        <v>250</v>
      </c>
      <c r="D10" s="951" t="s">
        <v>251</v>
      </c>
      <c r="E10" s="964" t="s">
        <v>232</v>
      </c>
      <c r="F10" s="965"/>
      <c r="G10" s="926" t="s">
        <v>233</v>
      </c>
      <c r="H10" s="927"/>
      <c r="I10" s="926" t="s">
        <v>234</v>
      </c>
      <c r="J10" s="927"/>
      <c r="K10" s="966" t="s">
        <v>235</v>
      </c>
      <c r="L10" s="967"/>
      <c r="M10" s="968"/>
      <c r="N10" s="939" t="s">
        <v>254</v>
      </c>
      <c r="O10" s="939" t="s">
        <v>253</v>
      </c>
      <c r="P10" s="937" t="s">
        <v>269</v>
      </c>
      <c r="Q10" s="937" t="s">
        <v>253</v>
      </c>
      <c r="R10" s="937" t="s">
        <v>253</v>
      </c>
      <c r="S10" s="974" t="s">
        <v>257</v>
      </c>
      <c r="T10" s="316"/>
      <c r="U10" s="976" t="s">
        <v>258</v>
      </c>
      <c r="V10" s="958"/>
      <c r="W10" s="960"/>
      <c r="X10" s="962"/>
      <c r="Y10" s="952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</row>
    <row r="11" spans="1:218" s="307" customFormat="1" ht="52.5" customHeight="1" x14ac:dyDescent="0.2">
      <c r="A11" s="952"/>
      <c r="B11" s="948"/>
      <c r="C11" s="950"/>
      <c r="D11" s="952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40"/>
      <c r="O11" s="940"/>
      <c r="P11" s="938"/>
      <c r="Q11" s="938"/>
      <c r="R11" s="938"/>
      <c r="S11" s="975"/>
      <c r="T11" s="316"/>
      <c r="U11" s="976"/>
      <c r="V11" s="959"/>
      <c r="W11" s="940"/>
      <c r="X11" s="963"/>
      <c r="Y11" s="952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</row>
    <row r="12" spans="1:218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3087</v>
      </c>
      <c r="G12" s="24"/>
      <c r="H12" s="24"/>
      <c r="I12" s="360"/>
      <c r="J12" s="360">
        <f>SUMIF(SUMPK!$B:$B,$B:$B,SUMPK!$O:$O)</f>
        <v>0</v>
      </c>
      <c r="K12" s="24"/>
      <c r="L12" s="24">
        <f>F12+H12-J12</f>
        <v>3087</v>
      </c>
      <c r="M12" s="15">
        <f>K12+L12</f>
        <v>3087</v>
      </c>
      <c r="N12" s="15">
        <v>363</v>
      </c>
      <c r="O12" s="276">
        <f>IF(N12=0,0,M12/N12)</f>
        <v>8.5041322314049594</v>
      </c>
      <c r="P12" s="15">
        <v>111.5</v>
      </c>
      <c r="Q12" s="711">
        <f>T12/$Q$8</f>
        <v>733.33333333333337</v>
      </c>
      <c r="R12" s="276">
        <f>IF(P12=0,0,M12/P12*6)</f>
        <v>166.11659192825113</v>
      </c>
      <c r="S12" s="712">
        <f>T12/$T$8</f>
        <v>169.23076923076923</v>
      </c>
      <c r="T12" s="713">
        <v>4400</v>
      </c>
      <c r="U12" s="276">
        <f>IF(S12=0,0,M12/S12)</f>
        <v>18.241363636363637</v>
      </c>
      <c r="V12" s="278"/>
      <c r="W12" s="276">
        <f>IF(S12=0,0,(M12+V12)/S12)</f>
        <v>18.241363636363637</v>
      </c>
      <c r="X12" s="279">
        <f t="shared" ref="X12:X73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>
        <v>0</v>
      </c>
      <c r="HF12" s="49"/>
      <c r="HG12" s="49"/>
      <c r="HH12" s="49"/>
      <c r="HI12" s="872">
        <f t="shared" ref="HI12" si="24">SUM(HC12:HH12)</f>
        <v>505</v>
      </c>
      <c r="HJ12" s="873">
        <f>HI12/$HJ$10</f>
        <v>84.166666666666671</v>
      </c>
    </row>
    <row r="13" spans="1:218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3798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3798</v>
      </c>
      <c r="M13" s="15">
        <f t="shared" ref="M13:M73" si="25">K13+L13</f>
        <v>3798</v>
      </c>
      <c r="N13" s="15">
        <v>166.5</v>
      </c>
      <c r="O13" s="276">
        <f t="shared" ref="O13:O73" si="26">IF(N13=0,0,M13/N13)</f>
        <v>22.810810810810811</v>
      </c>
      <c r="P13" s="15">
        <v>112.5</v>
      </c>
      <c r="Q13" s="711">
        <f t="shared" ref="Q13:Q73" si="27">T13/$Q$8</f>
        <v>533.33333333333337</v>
      </c>
      <c r="R13" s="276">
        <f t="shared" ref="R13:R73" si="28">IF(P13=0,0,M13/P13*6)</f>
        <v>202.56</v>
      </c>
      <c r="S13" s="712">
        <f t="shared" ref="S13:S72" si="29">T13/$T$8</f>
        <v>123.07692307692308</v>
      </c>
      <c r="T13" s="713">
        <v>3200</v>
      </c>
      <c r="U13" s="276">
        <f t="shared" ref="U13:U21" si="30">IF(S13=0,0,M13/S13)</f>
        <v>30.858750000000001</v>
      </c>
      <c r="V13" s="278"/>
      <c r="W13" s="276">
        <f t="shared" ref="W13:W73" si="31">IF(S13=0,0,(M13+V13)/S13)</f>
        <v>30.858750000000001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3" si="32">SUM(AA13:AF13)</f>
        <v>1030</v>
      </c>
      <c r="AH13" s="211">
        <f t="shared" ref="AH13:AH73" si="33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3" si="34">SUM(AI13:AN13)</f>
        <v>0</v>
      </c>
      <c r="AP13" s="809">
        <f t="shared" ref="AP13:AP73" si="35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3" si="36">SUM(AQ13:AV13)</f>
        <v>937</v>
      </c>
      <c r="AX13" s="211">
        <f t="shared" ref="AX13:AX73" si="37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3" si="38">SUM(AY13:BD13)</f>
        <v>669</v>
      </c>
      <c r="BF13" s="211">
        <f t="shared" ref="BF13:BF73" si="39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3" si="40">SUM(BG13:BL13)</f>
        <v>677</v>
      </c>
      <c r="BN13" s="211">
        <f t="shared" ref="BN13:BN73" si="41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3" si="42">SUM(BO13:BT13)</f>
        <v>662</v>
      </c>
      <c r="BV13" s="211">
        <f t="shared" ref="BV13:BV73" si="43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3" si="44">SUM(BW13:CB13)</f>
        <v>666</v>
      </c>
      <c r="CD13" s="211">
        <f t="shared" ref="CD13:CD73" si="45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2" si="46">SUM(CE13:CJ13)</f>
        <v>675</v>
      </c>
      <c r="CL13" s="211">
        <f t="shared" ref="CL13:CL72" si="47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3" si="48">SUM(CM13:CR13)</f>
        <v>674</v>
      </c>
      <c r="CT13" s="211">
        <f t="shared" ref="CT13:CT73" si="49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2" si="50">SUM(CU13:CZ13)</f>
        <v>673</v>
      </c>
      <c r="DB13" s="211">
        <f t="shared" ref="DB13:DB72" si="51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2" si="52">SUM(DC13:DH13)</f>
        <v>1008</v>
      </c>
      <c r="DJ13" s="211">
        <f t="shared" ref="DJ13:DJ72" si="53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2" si="54">SUM(DK13:DP13)</f>
        <v>675</v>
      </c>
      <c r="DR13" s="211">
        <f t="shared" ref="DR13:DR72" si="55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3" si="56">SUM(DS13:DX13)</f>
        <v>671</v>
      </c>
      <c r="DZ13" s="211">
        <f t="shared" ref="DZ13:DZ73" si="57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3" si="58">SUM(EA13:EF13)</f>
        <v>0</v>
      </c>
      <c r="EH13" s="211">
        <f t="shared" ref="EH13:EH73" si="59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2" si="60">SUM(EI13:EN13)</f>
        <v>670</v>
      </c>
      <c r="EP13" s="211">
        <f t="shared" ref="EP13:EP72" si="61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2" si="62">SUM(EQ13:EV13)</f>
        <v>661</v>
      </c>
      <c r="EX13" s="211">
        <f t="shared" ref="EX13:EX72" si="63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3" si="64">SUM(EY13:FD13)</f>
        <v>1000</v>
      </c>
      <c r="FF13" s="211">
        <f t="shared" ref="FF13:FF73" si="65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3" si="66">SUM(FG13:FL13)</f>
        <v>0</v>
      </c>
      <c r="FN13" s="211">
        <f t="shared" ref="FN13:FN73" si="67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3" si="68">SUM(FO13:FT13)</f>
        <v>1033</v>
      </c>
      <c r="FV13" s="211">
        <f t="shared" ref="FV13:FV73" si="69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2" si="70">SUM(FW13:GB13)</f>
        <v>1575</v>
      </c>
      <c r="GD13" s="211">
        <f t="shared" ref="GD13:GD72" si="71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2" si="72">SUM(GE13:GJ13)</f>
        <v>111</v>
      </c>
      <c r="GL13" s="211">
        <f t="shared" ref="GL13:GL72" si="73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3" si="74">SUM(GM13:GR13)</f>
        <v>1005</v>
      </c>
      <c r="GT13" s="873">
        <f t="shared" ref="GT13:GT73" si="75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2" si="76">SUM(GU13:GZ13)</f>
        <v>999</v>
      </c>
      <c r="HB13" s="873">
        <f t="shared" ref="HB13:HB72" si="77">HA13/$HB$10</f>
        <v>166.5</v>
      </c>
      <c r="HC13" s="346">
        <v>0</v>
      </c>
      <c r="HD13" s="343">
        <v>0</v>
      </c>
      <c r="HE13" s="343">
        <v>0</v>
      </c>
      <c r="HF13" s="343"/>
      <c r="HG13" s="343"/>
      <c r="HH13" s="343"/>
      <c r="HI13" s="872">
        <f t="shared" ref="HI13:HI73" si="78">SUM(HC13:HH13)</f>
        <v>0</v>
      </c>
      <c r="HJ13" s="873">
        <f t="shared" ref="HJ13:HJ73" si="79">HI13/$HJ$10</f>
        <v>0</v>
      </c>
    </row>
    <row r="14" spans="1:218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957</v>
      </c>
      <c r="G14" s="24"/>
      <c r="H14" s="24"/>
      <c r="I14" s="360"/>
      <c r="J14" s="360">
        <f>SUMIF(SUMPK!$B:$B,$B:$B,SUMPK!$O:$O)</f>
        <v>0</v>
      </c>
      <c r="K14" s="24"/>
      <c r="L14" s="24">
        <f t="shared" ref="L14:L73" si="80">F14+H14-J14</f>
        <v>957</v>
      </c>
      <c r="M14" s="15">
        <f t="shared" si="25"/>
        <v>957</v>
      </c>
      <c r="N14" s="15">
        <v>0</v>
      </c>
      <c r="O14" s="276">
        <f t="shared" si="26"/>
        <v>0</v>
      </c>
      <c r="P14" s="15">
        <v>57.333333333333336</v>
      </c>
      <c r="Q14" s="711">
        <f t="shared" si="27"/>
        <v>106.66666666666667</v>
      </c>
      <c r="R14" s="276">
        <f t="shared" si="28"/>
        <v>100.15116279069767</v>
      </c>
      <c r="S14" s="712">
        <f t="shared" si="29"/>
        <v>24.615384615384617</v>
      </c>
      <c r="T14" s="713">
        <v>640</v>
      </c>
      <c r="U14" s="276">
        <f t="shared" si="30"/>
        <v>38.878124999999997</v>
      </c>
      <c r="V14" s="278"/>
      <c r="W14" s="276">
        <f t="shared" si="31"/>
        <v>38.878124999999997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2"/>
        <v>344</v>
      </c>
      <c r="AH14" s="211">
        <f t="shared" si="33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4"/>
        <v>0</v>
      </c>
      <c r="AP14" s="809">
        <f t="shared" si="35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6"/>
        <v>0</v>
      </c>
      <c r="AX14" s="211">
        <f t="shared" si="37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38"/>
        <v>0</v>
      </c>
      <c r="BF14" s="211">
        <f t="shared" si="39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0"/>
        <v>339</v>
      </c>
      <c r="BN14" s="211">
        <f t="shared" si="41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2"/>
        <v>0</v>
      </c>
      <c r="BV14" s="211">
        <f t="shared" si="43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4"/>
        <v>0</v>
      </c>
      <c r="CD14" s="211">
        <f t="shared" si="45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6"/>
        <v>344</v>
      </c>
      <c r="CL14" s="211">
        <f t="shared" si="47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48"/>
        <v>0</v>
      </c>
      <c r="CT14" s="211">
        <f t="shared" si="49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0"/>
        <v>0</v>
      </c>
      <c r="DB14" s="211">
        <f t="shared" si="51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2"/>
        <v>0</v>
      </c>
      <c r="DJ14" s="211">
        <f t="shared" si="53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4"/>
        <v>337</v>
      </c>
      <c r="DR14" s="211">
        <f t="shared" si="55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6"/>
        <v>0</v>
      </c>
      <c r="DZ14" s="211">
        <f t="shared" si="57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58"/>
        <v>338</v>
      </c>
      <c r="EH14" s="211">
        <f t="shared" si="59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0"/>
        <v>0</v>
      </c>
      <c r="EP14" s="211">
        <f t="shared" si="61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2"/>
        <v>0</v>
      </c>
      <c r="EX14" s="211">
        <f t="shared" si="63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4"/>
        <v>335</v>
      </c>
      <c r="FF14" s="211">
        <f t="shared" si="65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6"/>
        <v>0</v>
      </c>
      <c r="FN14" s="211">
        <f t="shared" si="67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68"/>
        <v>0</v>
      </c>
      <c r="FV14" s="211">
        <f t="shared" si="69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0"/>
        <v>0</v>
      </c>
      <c r="GD14" s="211">
        <f t="shared" si="71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2"/>
        <v>331</v>
      </c>
      <c r="GL14" s="211">
        <f t="shared" si="73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4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6"/>
        <v>0</v>
      </c>
      <c r="HB14" s="873">
        <f t="shared" si="77"/>
        <v>0</v>
      </c>
      <c r="HC14" s="346">
        <v>339</v>
      </c>
      <c r="HD14" s="343">
        <v>0</v>
      </c>
      <c r="HE14" s="343">
        <v>0</v>
      </c>
      <c r="HF14" s="343"/>
      <c r="HG14" s="343"/>
      <c r="HH14" s="343"/>
      <c r="HI14" s="872">
        <f t="shared" si="78"/>
        <v>339</v>
      </c>
      <c r="HJ14" s="873">
        <f t="shared" si="79"/>
        <v>56.5</v>
      </c>
    </row>
    <row r="15" spans="1:218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1351</v>
      </c>
      <c r="G15" s="24"/>
      <c r="H15" s="24"/>
      <c r="I15" s="360"/>
      <c r="J15" s="360">
        <f>SUMIF(SUMPK!$B:$B,$B:$B,SUMPK!$O:$O)</f>
        <v>0</v>
      </c>
      <c r="K15" s="24"/>
      <c r="L15" s="24">
        <f t="shared" ref="L15:L20" si="81">F15+H15-J15</f>
        <v>1351</v>
      </c>
      <c r="M15" s="15">
        <f t="shared" si="25"/>
        <v>1351</v>
      </c>
      <c r="N15" s="15">
        <v>354</v>
      </c>
      <c r="O15" s="276">
        <f t="shared" si="26"/>
        <v>3.8163841807909606</v>
      </c>
      <c r="P15" s="15">
        <v>195.66666666666666</v>
      </c>
      <c r="Q15" s="711">
        <f t="shared" si="27"/>
        <v>733.33333333333337</v>
      </c>
      <c r="R15" s="276">
        <f t="shared" si="28"/>
        <v>41.427597955706986</v>
      </c>
      <c r="S15" s="712">
        <f t="shared" si="29"/>
        <v>169.23076923076923</v>
      </c>
      <c r="T15" s="713">
        <v>4400</v>
      </c>
      <c r="U15" s="276">
        <f t="shared" si="30"/>
        <v>7.9831818181818184</v>
      </c>
      <c r="V15" s="278"/>
      <c r="W15" s="276">
        <f t="shared" si="31"/>
        <v>7.9831818181818184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2"/>
        <v>1586</v>
      </c>
      <c r="AH15" s="211">
        <f t="shared" si="33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4"/>
        <v>2404</v>
      </c>
      <c r="AP15" s="809">
        <f t="shared" si="35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6"/>
        <v>1478</v>
      </c>
      <c r="AX15" s="211">
        <f t="shared" si="37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38"/>
        <v>1494</v>
      </c>
      <c r="BF15" s="211">
        <f t="shared" si="39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0"/>
        <v>676</v>
      </c>
      <c r="BN15" s="211">
        <f t="shared" si="41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2"/>
        <v>1412</v>
      </c>
      <c r="BV15" s="211">
        <f t="shared" si="43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4"/>
        <v>1012</v>
      </c>
      <c r="CD15" s="211">
        <f t="shared" si="45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6"/>
        <v>1357</v>
      </c>
      <c r="CL15" s="211">
        <f t="shared" si="47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48"/>
        <v>657</v>
      </c>
      <c r="CT15" s="211">
        <f t="shared" si="49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0"/>
        <v>1310</v>
      </c>
      <c r="DB15" s="211">
        <f t="shared" si="51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2"/>
        <v>1019</v>
      </c>
      <c r="DJ15" s="211">
        <f t="shared" si="53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4"/>
        <v>1282</v>
      </c>
      <c r="DR15" s="211">
        <f t="shared" si="55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6"/>
        <v>1004</v>
      </c>
      <c r="DZ15" s="211">
        <f t="shared" si="57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58"/>
        <v>1192</v>
      </c>
      <c r="EH15" s="211">
        <f t="shared" si="59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0"/>
        <v>338</v>
      </c>
      <c r="EP15" s="211">
        <f t="shared" si="61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2"/>
        <v>1510</v>
      </c>
      <c r="EX15" s="211">
        <f t="shared" si="63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4"/>
        <v>690</v>
      </c>
      <c r="FF15" s="211">
        <f t="shared" si="65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6"/>
        <v>1324</v>
      </c>
      <c r="FN15" s="211">
        <f t="shared" si="67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68"/>
        <v>0</v>
      </c>
      <c r="FV15" s="211">
        <f t="shared" si="69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0"/>
        <v>1361</v>
      </c>
      <c r="GD15" s="211">
        <f t="shared" si="71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2"/>
        <v>1308</v>
      </c>
      <c r="GL15" s="211">
        <f t="shared" si="73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4"/>
        <v>690</v>
      </c>
      <c r="GT15" s="873">
        <f t="shared" si="75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6"/>
        <v>2124</v>
      </c>
      <c r="HB15" s="873">
        <f t="shared" si="77"/>
        <v>354</v>
      </c>
      <c r="HC15" s="346">
        <v>0</v>
      </c>
      <c r="HD15" s="343">
        <v>0</v>
      </c>
      <c r="HE15" s="343">
        <v>391</v>
      </c>
      <c r="HF15" s="343"/>
      <c r="HG15" s="343"/>
      <c r="HH15" s="343"/>
      <c r="HI15" s="872">
        <f t="shared" si="78"/>
        <v>391</v>
      </c>
      <c r="HJ15" s="873">
        <f t="shared" si="79"/>
        <v>65.166666666666671</v>
      </c>
    </row>
    <row r="16" spans="1:218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1899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1"/>
        <v>1899</v>
      </c>
      <c r="M16" s="15">
        <f t="shared" si="25"/>
        <v>1899</v>
      </c>
      <c r="N16" s="15">
        <v>22.5</v>
      </c>
      <c r="O16" s="276">
        <f t="shared" si="26"/>
        <v>84.4</v>
      </c>
      <c r="P16" s="15">
        <v>56.666666666666664</v>
      </c>
      <c r="Q16" s="711">
        <f t="shared" si="27"/>
        <v>186.66666666666666</v>
      </c>
      <c r="R16" s="276">
        <f t="shared" si="28"/>
        <v>201.07058823529414</v>
      </c>
      <c r="S16" s="712">
        <f t="shared" si="29"/>
        <v>43.07692307692308</v>
      </c>
      <c r="T16" s="713">
        <v>1120</v>
      </c>
      <c r="U16" s="276">
        <f t="shared" si="30"/>
        <v>44.083928571428565</v>
      </c>
      <c r="V16" s="278"/>
      <c r="W16" s="276">
        <f t="shared" si="31"/>
        <v>44.083928571428565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2"/>
        <v>348</v>
      </c>
      <c r="AH16" s="211">
        <f t="shared" si="33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4"/>
        <v>0</v>
      </c>
      <c r="AP16" s="809">
        <f t="shared" si="35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6"/>
        <v>355</v>
      </c>
      <c r="AX16" s="211">
        <f t="shared" si="37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38"/>
        <v>0</v>
      </c>
      <c r="BF16" s="211">
        <f t="shared" si="39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0"/>
        <v>220</v>
      </c>
      <c r="BN16" s="211">
        <f t="shared" si="41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2"/>
        <v>368</v>
      </c>
      <c r="BV16" s="211">
        <f t="shared" si="43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4"/>
        <v>0</v>
      </c>
      <c r="CD16" s="211">
        <f t="shared" si="45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6"/>
        <v>0</v>
      </c>
      <c r="CL16" s="211">
        <f t="shared" si="47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48"/>
        <v>340</v>
      </c>
      <c r="CT16" s="211">
        <f t="shared" si="49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0"/>
        <v>0</v>
      </c>
      <c r="DB16" s="211">
        <f t="shared" si="51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2"/>
        <v>0</v>
      </c>
      <c r="DJ16" s="211">
        <f t="shared" si="53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4"/>
        <v>343</v>
      </c>
      <c r="DR16" s="211">
        <f t="shared" si="55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6"/>
        <v>0</v>
      </c>
      <c r="DZ16" s="211">
        <f t="shared" si="57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58"/>
        <v>343</v>
      </c>
      <c r="EH16" s="211">
        <f t="shared" si="59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0"/>
        <v>0</v>
      </c>
      <c r="EP16" s="211">
        <f t="shared" si="61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2"/>
        <v>161</v>
      </c>
      <c r="EX16" s="211">
        <f t="shared" si="63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4"/>
        <v>0</v>
      </c>
      <c r="FF16" s="211">
        <f t="shared" si="65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6"/>
        <v>0</v>
      </c>
      <c r="FN16" s="211">
        <f t="shared" si="67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68"/>
        <v>358</v>
      </c>
      <c r="FV16" s="211">
        <f t="shared" si="69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0"/>
        <v>0</v>
      </c>
      <c r="GD16" s="211">
        <f t="shared" si="71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2"/>
        <v>271</v>
      </c>
      <c r="GL16" s="211">
        <f t="shared" si="73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4"/>
        <v>0</v>
      </c>
      <c r="GT16" s="873">
        <f t="shared" si="75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6"/>
        <v>135</v>
      </c>
      <c r="HB16" s="873">
        <f t="shared" si="77"/>
        <v>22.5</v>
      </c>
      <c r="HC16" s="346">
        <v>0</v>
      </c>
      <c r="HD16" s="343">
        <v>0</v>
      </c>
      <c r="HE16" s="343">
        <v>0</v>
      </c>
      <c r="HF16" s="343"/>
      <c r="HG16" s="343"/>
      <c r="HH16" s="343"/>
      <c r="HI16" s="872">
        <f t="shared" si="78"/>
        <v>0</v>
      </c>
      <c r="HJ16" s="873">
        <f t="shared" si="79"/>
        <v>0</v>
      </c>
    </row>
    <row r="17" spans="1:218" s="341" customFormat="1" ht="15" customHeight="1" x14ac:dyDescent="0.2">
      <c r="A17" s="21">
        <v>6</v>
      </c>
      <c r="B17" s="21" t="s">
        <v>443</v>
      </c>
      <c r="C17" s="275" t="s">
        <v>444</v>
      </c>
      <c r="D17" s="21">
        <v>25</v>
      </c>
      <c r="E17" s="24"/>
      <c r="F17" s="24">
        <v>4313</v>
      </c>
      <c r="G17" s="709"/>
      <c r="H17" s="24"/>
      <c r="I17" s="360"/>
      <c r="J17" s="360">
        <f>SUMIF(SUMPK!$B:$B,$B:$B,SUMPK!$O:$O)</f>
        <v>990</v>
      </c>
      <c r="K17" s="24"/>
      <c r="L17" s="24">
        <f t="shared" ref="L17" si="82">F17+H17-J17</f>
        <v>3323</v>
      </c>
      <c r="M17" s="15">
        <f t="shared" si="25"/>
        <v>3323</v>
      </c>
      <c r="N17" s="15">
        <v>104.66666666666667</v>
      </c>
      <c r="O17" s="276">
        <f t="shared" si="26"/>
        <v>31.748407643312099</v>
      </c>
      <c r="P17" s="15"/>
      <c r="Q17" s="711"/>
      <c r="R17" s="276"/>
      <c r="S17" s="712">
        <f t="shared" si="29"/>
        <v>123.07692307692308</v>
      </c>
      <c r="T17" s="713">
        <v>3200</v>
      </c>
      <c r="U17" s="276">
        <f t="shared" si="30"/>
        <v>26.999375000000001</v>
      </c>
      <c r="V17" s="278"/>
      <c r="W17" s="276">
        <f t="shared" si="31"/>
        <v>26.999375000000001</v>
      </c>
      <c r="X17" s="279">
        <f t="shared" ref="X17" si="83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2"/>
        <v>0</v>
      </c>
      <c r="AH17" s="211">
        <f t="shared" si="33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4"/>
        <v>0</v>
      </c>
      <c r="AP17" s="809">
        <f t="shared" si="35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6"/>
        <v>205</v>
      </c>
      <c r="AX17" s="211">
        <f t="shared" si="37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38"/>
        <v>88</v>
      </c>
      <c r="BF17" s="211">
        <f t="shared" si="39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0"/>
        <v>0</v>
      </c>
      <c r="BN17" s="211">
        <f t="shared" si="41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2"/>
        <v>92</v>
      </c>
      <c r="BV17" s="211">
        <f t="shared" si="43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4"/>
        <v>0</v>
      </c>
      <c r="CD17" s="211">
        <f t="shared" si="45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6"/>
        <v>160</v>
      </c>
      <c r="CL17" s="211">
        <f t="shared" si="47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48"/>
        <v>150</v>
      </c>
      <c r="CT17" s="211">
        <f t="shared" si="49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0"/>
        <v>637</v>
      </c>
      <c r="DB17" s="211">
        <f t="shared" si="51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2"/>
        <v>316</v>
      </c>
      <c r="DJ17" s="211">
        <f t="shared" si="53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4"/>
        <v>2557</v>
      </c>
      <c r="DR17" s="211">
        <f t="shared" si="55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6"/>
        <v>73</v>
      </c>
      <c r="DZ17" s="211">
        <f t="shared" si="57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58"/>
        <v>597</v>
      </c>
      <c r="EH17" s="211">
        <f t="shared" si="59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0"/>
        <v>612</v>
      </c>
      <c r="EP17" s="211">
        <f t="shared" si="61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2"/>
        <v>730</v>
      </c>
      <c r="EX17" s="211">
        <f t="shared" si="63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4"/>
        <v>611</v>
      </c>
      <c r="FF17" s="211">
        <f t="shared" si="65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6"/>
        <v>942</v>
      </c>
      <c r="FN17" s="211">
        <f t="shared" si="67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68"/>
        <v>672</v>
      </c>
      <c r="FV17" s="211">
        <f t="shared" si="69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0"/>
        <v>697</v>
      </c>
      <c r="GD17" s="211">
        <f t="shared" si="71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2"/>
        <v>1243</v>
      </c>
      <c r="GL17" s="211">
        <f t="shared" si="73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4"/>
        <v>584</v>
      </c>
      <c r="GT17" s="873">
        <f t="shared" si="75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6"/>
        <v>628</v>
      </c>
      <c r="HB17" s="873">
        <f t="shared" si="77"/>
        <v>104.66666666666667</v>
      </c>
      <c r="HC17" s="346">
        <v>0</v>
      </c>
      <c r="HD17" s="343">
        <v>255</v>
      </c>
      <c r="HE17" s="343">
        <v>0</v>
      </c>
      <c r="HF17" s="343"/>
      <c r="HG17" s="343"/>
      <c r="HH17" s="343"/>
      <c r="HI17" s="872">
        <f t="shared" si="78"/>
        <v>255</v>
      </c>
      <c r="HJ17" s="873">
        <f t="shared" si="79"/>
        <v>42.5</v>
      </c>
    </row>
    <row r="18" spans="1:218" s="341" customFormat="1" ht="15" customHeight="1" x14ac:dyDescent="0.2">
      <c r="A18" s="21">
        <v>7</v>
      </c>
      <c r="B18" s="21" t="s">
        <v>57</v>
      </c>
      <c r="C18" s="275" t="s">
        <v>300</v>
      </c>
      <c r="D18" s="391">
        <v>25</v>
      </c>
      <c r="E18" s="24"/>
      <c r="F18" s="24">
        <v>6053</v>
      </c>
      <c r="G18" s="24"/>
      <c r="H18" s="24"/>
      <c r="I18" s="360"/>
      <c r="J18" s="360">
        <f>SUMIF(SUMPK!$B:$B,$B:$B,SUMPK!$O:$O)</f>
        <v>1708</v>
      </c>
      <c r="K18" s="24"/>
      <c r="L18" s="24">
        <f t="shared" si="81"/>
        <v>4345</v>
      </c>
      <c r="M18" s="15">
        <f t="shared" si="25"/>
        <v>4345</v>
      </c>
      <c r="N18" s="15">
        <v>495</v>
      </c>
      <c r="O18" s="276">
        <f t="shared" si="26"/>
        <v>8.7777777777777786</v>
      </c>
      <c r="P18" s="15">
        <v>547.33333333333337</v>
      </c>
      <c r="Q18" s="711">
        <f t="shared" si="27"/>
        <v>1600</v>
      </c>
      <c r="R18" s="276">
        <f t="shared" si="28"/>
        <v>47.630937880633368</v>
      </c>
      <c r="S18" s="712">
        <f t="shared" si="29"/>
        <v>369.23076923076923</v>
      </c>
      <c r="T18" s="713">
        <v>9600</v>
      </c>
      <c r="U18" s="276">
        <f t="shared" si="30"/>
        <v>11.767708333333333</v>
      </c>
      <c r="V18" s="278"/>
      <c r="W18" s="276">
        <f t="shared" si="31"/>
        <v>11.767708333333333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2"/>
        <v>2257</v>
      </c>
      <c r="AH18" s="211">
        <f t="shared" si="33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4"/>
        <v>3974</v>
      </c>
      <c r="AP18" s="809">
        <f t="shared" si="35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6"/>
        <v>1577</v>
      </c>
      <c r="AX18" s="211">
        <f t="shared" si="37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38"/>
        <v>3634</v>
      </c>
      <c r="BF18" s="211">
        <f t="shared" si="39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0"/>
        <v>1699</v>
      </c>
      <c r="BN18" s="211">
        <f t="shared" si="41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2"/>
        <v>5709</v>
      </c>
      <c r="BV18" s="211">
        <f t="shared" si="43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4"/>
        <v>2265</v>
      </c>
      <c r="CD18" s="211">
        <f t="shared" si="45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6"/>
        <v>2839</v>
      </c>
      <c r="CL18" s="211">
        <f t="shared" si="47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48"/>
        <v>3187</v>
      </c>
      <c r="CT18" s="211">
        <f t="shared" si="49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0"/>
        <v>3927</v>
      </c>
      <c r="DB18" s="211">
        <f t="shared" si="51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2"/>
        <v>2504</v>
      </c>
      <c r="DJ18" s="211">
        <f t="shared" si="53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4"/>
        <v>1969</v>
      </c>
      <c r="DR18" s="211">
        <f t="shared" si="55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6"/>
        <v>5534</v>
      </c>
      <c r="DZ18" s="211">
        <f t="shared" si="57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58"/>
        <v>1938</v>
      </c>
      <c r="EH18" s="211">
        <f t="shared" si="59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0"/>
        <v>3127</v>
      </c>
      <c r="EP18" s="211">
        <f t="shared" si="61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2"/>
        <v>6142</v>
      </c>
      <c r="EX18" s="211">
        <f t="shared" si="63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4"/>
        <v>4003</v>
      </c>
      <c r="FF18" s="211">
        <f t="shared" si="65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6"/>
        <v>4206</v>
      </c>
      <c r="FN18" s="211">
        <f t="shared" si="67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68"/>
        <v>1958</v>
      </c>
      <c r="FV18" s="211">
        <f t="shared" si="69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0"/>
        <v>4534</v>
      </c>
      <c r="GD18" s="211">
        <f t="shared" si="71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2"/>
        <v>2853</v>
      </c>
      <c r="GL18" s="211">
        <f t="shared" si="73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4"/>
        <v>3578</v>
      </c>
      <c r="GT18" s="873">
        <f t="shared" si="75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6"/>
        <v>2970</v>
      </c>
      <c r="HB18" s="873">
        <f t="shared" si="77"/>
        <v>495</v>
      </c>
      <c r="HC18" s="346">
        <v>1193</v>
      </c>
      <c r="HD18" s="343">
        <v>1459</v>
      </c>
      <c r="HE18" s="343">
        <v>640</v>
      </c>
      <c r="HF18" s="343"/>
      <c r="HG18" s="343"/>
      <c r="HH18" s="343"/>
      <c r="HI18" s="872">
        <f t="shared" si="78"/>
        <v>3292</v>
      </c>
      <c r="HJ18" s="873">
        <f t="shared" si="79"/>
        <v>548.66666666666663</v>
      </c>
    </row>
    <row r="19" spans="1:218" s="341" customFormat="1" ht="15" customHeight="1" x14ac:dyDescent="0.2">
      <c r="A19" s="21">
        <v>8</v>
      </c>
      <c r="B19" s="714" t="s">
        <v>341</v>
      </c>
      <c r="C19" s="275" t="s">
        <v>342</v>
      </c>
      <c r="D19" s="391">
        <v>25</v>
      </c>
      <c r="E19" s="24"/>
      <c r="F19" s="24">
        <v>1700</v>
      </c>
      <c r="G19" s="24"/>
      <c r="H19" s="24"/>
      <c r="I19" s="360"/>
      <c r="J19" s="360">
        <f>SUMIF(SUMPK!$B:$B,$B:$B,SUMPK!$O:$O)</f>
        <v>0</v>
      </c>
      <c r="K19" s="24"/>
      <c r="L19" s="24">
        <f t="shared" ref="L19" si="84">F19+H19-J19</f>
        <v>1700</v>
      </c>
      <c r="M19" s="15">
        <f t="shared" ref="M19" si="85">K19+L19</f>
        <v>1700</v>
      </c>
      <c r="N19" s="15">
        <v>83.666666666666671</v>
      </c>
      <c r="O19" s="276">
        <f t="shared" si="26"/>
        <v>20.318725099601593</v>
      </c>
      <c r="P19" s="15"/>
      <c r="Q19" s="711"/>
      <c r="R19" s="276"/>
      <c r="S19" s="712">
        <f t="shared" si="29"/>
        <v>61.53846153846154</v>
      </c>
      <c r="T19" s="713">
        <v>1600</v>
      </c>
      <c r="U19" s="276">
        <f t="shared" si="30"/>
        <v>27.625</v>
      </c>
      <c r="V19" s="278"/>
      <c r="W19" s="276">
        <f t="shared" si="31"/>
        <v>27.625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2"/>
        <v>0</v>
      </c>
      <c r="AH19" s="211">
        <f t="shared" si="33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4"/>
        <v>229</v>
      </c>
      <c r="AP19" s="809">
        <f t="shared" si="35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6"/>
        <v>0</v>
      </c>
      <c r="AX19" s="211">
        <f t="shared" si="37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38"/>
        <v>250</v>
      </c>
      <c r="BF19" s="211">
        <f t="shared" si="39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0"/>
        <v>0</v>
      </c>
      <c r="BN19" s="211">
        <f t="shared" si="41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2"/>
        <v>0</v>
      </c>
      <c r="BV19" s="211">
        <f t="shared" si="43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4"/>
        <v>291</v>
      </c>
      <c r="CD19" s="211">
        <f t="shared" si="45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6"/>
        <v>0</v>
      </c>
      <c r="CL19" s="211">
        <f t="shared" si="47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48"/>
        <v>604</v>
      </c>
      <c r="CT19" s="211">
        <f t="shared" si="49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0"/>
        <v>616</v>
      </c>
      <c r="DB19" s="211">
        <f t="shared" si="51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2"/>
        <v>607</v>
      </c>
      <c r="DJ19" s="211">
        <f t="shared" si="53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4"/>
        <v>970</v>
      </c>
      <c r="DR19" s="211">
        <f t="shared" si="55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6"/>
        <v>0</v>
      </c>
      <c r="DZ19" s="211">
        <f t="shared" si="57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58"/>
        <v>923</v>
      </c>
      <c r="EH19" s="211">
        <f t="shared" si="59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0"/>
        <v>0</v>
      </c>
      <c r="EP19" s="211">
        <f t="shared" si="61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2"/>
        <v>633</v>
      </c>
      <c r="EX19" s="211">
        <f t="shared" si="63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4"/>
        <v>0</v>
      </c>
      <c r="FF19" s="211">
        <f t="shared" si="65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6"/>
        <v>609</v>
      </c>
      <c r="FN19" s="211">
        <f t="shared" si="67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68"/>
        <v>493</v>
      </c>
      <c r="FV19" s="211">
        <f t="shared" si="69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0"/>
        <v>272</v>
      </c>
      <c r="GD19" s="211">
        <f t="shared" si="71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2"/>
        <v>285</v>
      </c>
      <c r="GL19" s="211">
        <f t="shared" si="73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4"/>
        <v>865</v>
      </c>
      <c r="GT19" s="873">
        <f t="shared" si="75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6"/>
        <v>502</v>
      </c>
      <c r="HB19" s="873">
        <f t="shared" si="77"/>
        <v>83.666666666666671</v>
      </c>
      <c r="HC19" s="346">
        <v>0</v>
      </c>
      <c r="HD19" s="343">
        <v>0</v>
      </c>
      <c r="HE19" s="343">
        <v>0</v>
      </c>
      <c r="HF19" s="343"/>
      <c r="HG19" s="343"/>
      <c r="HH19" s="343"/>
      <c r="HI19" s="872">
        <f t="shared" si="78"/>
        <v>0</v>
      </c>
      <c r="HJ19" s="873">
        <f t="shared" si="79"/>
        <v>0</v>
      </c>
    </row>
    <row r="20" spans="1:218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2491</v>
      </c>
      <c r="G20" s="24"/>
      <c r="H20" s="24"/>
      <c r="I20" s="360"/>
      <c r="J20" s="360">
        <f>SUMIF(SUMPK!$B:$B,$B:$B,SUMPK!$O:$O)</f>
        <v>0</v>
      </c>
      <c r="K20" s="24"/>
      <c r="L20" s="24">
        <f t="shared" si="81"/>
        <v>2491</v>
      </c>
      <c r="M20" s="15">
        <f t="shared" si="25"/>
        <v>2491</v>
      </c>
      <c r="N20" s="15">
        <v>101.16666666666667</v>
      </c>
      <c r="O20" s="276">
        <f t="shared" si="26"/>
        <v>24.622734761120263</v>
      </c>
      <c r="P20" s="15">
        <v>158.66666666666666</v>
      </c>
      <c r="Q20" s="711">
        <f t="shared" si="27"/>
        <v>426.66666666666669</v>
      </c>
      <c r="R20" s="276">
        <f t="shared" si="28"/>
        <v>94.19747899159664</v>
      </c>
      <c r="S20" s="712">
        <f t="shared" si="29"/>
        <v>98.461538461538467</v>
      </c>
      <c r="T20" s="713">
        <v>2560</v>
      </c>
      <c r="U20" s="276">
        <f t="shared" si="30"/>
        <v>25.299218749999998</v>
      </c>
      <c r="V20" s="278"/>
      <c r="W20" s="276">
        <f t="shared" si="31"/>
        <v>25.299218749999998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2"/>
        <v>0</v>
      </c>
      <c r="AH20" s="211">
        <f t="shared" si="33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4"/>
        <v>615</v>
      </c>
      <c r="AP20" s="809">
        <f t="shared" si="35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6"/>
        <v>610</v>
      </c>
      <c r="AX20" s="211">
        <f t="shared" si="37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38"/>
        <v>628</v>
      </c>
      <c r="BF20" s="211">
        <f t="shared" si="39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0"/>
        <v>0</v>
      </c>
      <c r="BN20" s="211">
        <f t="shared" si="41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2"/>
        <v>917</v>
      </c>
      <c r="BV20" s="211">
        <f t="shared" si="43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4"/>
        <v>609</v>
      </c>
      <c r="CD20" s="211">
        <f t="shared" si="45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6"/>
        <v>582</v>
      </c>
      <c r="CL20" s="211">
        <f t="shared" si="47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48"/>
        <v>220</v>
      </c>
      <c r="CT20" s="211">
        <f t="shared" si="49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0"/>
        <v>1341</v>
      </c>
      <c r="DB20" s="211">
        <f t="shared" si="51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2"/>
        <v>0</v>
      </c>
      <c r="DJ20" s="211">
        <f t="shared" si="53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4"/>
        <v>621</v>
      </c>
      <c r="DR20" s="211">
        <f t="shared" si="55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6"/>
        <v>617</v>
      </c>
      <c r="DZ20" s="211">
        <f t="shared" si="57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58"/>
        <v>0</v>
      </c>
      <c r="EH20" s="211">
        <f t="shared" si="59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0"/>
        <v>582</v>
      </c>
      <c r="EP20" s="211">
        <f t="shared" si="61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2"/>
        <v>630</v>
      </c>
      <c r="EX20" s="211">
        <f t="shared" si="63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4"/>
        <v>949</v>
      </c>
      <c r="FF20" s="211">
        <f t="shared" si="65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6"/>
        <v>0</v>
      </c>
      <c r="FN20" s="211">
        <f t="shared" si="67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68"/>
        <v>1207</v>
      </c>
      <c r="FV20" s="211">
        <f t="shared" si="69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0"/>
        <v>0</v>
      </c>
      <c r="GD20" s="211">
        <f t="shared" si="71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2"/>
        <v>599</v>
      </c>
      <c r="GL20" s="211">
        <f t="shared" si="73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4"/>
        <v>612</v>
      </c>
      <c r="GT20" s="873">
        <f t="shared" si="75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6"/>
        <v>607</v>
      </c>
      <c r="HB20" s="873">
        <f t="shared" si="77"/>
        <v>101.16666666666667</v>
      </c>
      <c r="HC20" s="346">
        <v>0</v>
      </c>
      <c r="HD20" s="343">
        <v>0</v>
      </c>
      <c r="HE20" s="343">
        <v>0</v>
      </c>
      <c r="HF20" s="343"/>
      <c r="HG20" s="343"/>
      <c r="HH20" s="343"/>
      <c r="HI20" s="872">
        <f t="shared" si="78"/>
        <v>0</v>
      </c>
      <c r="HJ20" s="873">
        <f t="shared" si="79"/>
        <v>0</v>
      </c>
    </row>
    <row r="21" spans="1:218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2081</v>
      </c>
      <c r="G21" s="24"/>
      <c r="H21" s="24"/>
      <c r="I21" s="360"/>
      <c r="J21" s="360">
        <f>SUMIF(SUMPK!$B:$B,$B:$B,SUMPK!$O:$O)</f>
        <v>0</v>
      </c>
      <c r="K21" s="24"/>
      <c r="L21" s="24">
        <f t="shared" si="80"/>
        <v>2081</v>
      </c>
      <c r="M21" s="15">
        <f t="shared" si="25"/>
        <v>2081</v>
      </c>
      <c r="N21" s="15">
        <v>58.333333333333336</v>
      </c>
      <c r="O21" s="276">
        <f t="shared" si="26"/>
        <v>35.674285714285716</v>
      </c>
      <c r="P21" s="15">
        <v>0</v>
      </c>
      <c r="Q21" s="711">
        <f>T21/$Q$8</f>
        <v>213.33333333333334</v>
      </c>
      <c r="R21" s="276">
        <f t="shared" si="28"/>
        <v>0</v>
      </c>
      <c r="S21" s="712">
        <f t="shared" si="29"/>
        <v>49.230769230769234</v>
      </c>
      <c r="T21" s="713">
        <v>1280</v>
      </c>
      <c r="U21" s="276">
        <f t="shared" si="30"/>
        <v>42.270312499999996</v>
      </c>
      <c r="V21" s="278"/>
      <c r="W21" s="276">
        <f t="shared" si="31"/>
        <v>42.270312499999996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2"/>
        <v>0</v>
      </c>
      <c r="AH21" s="211">
        <f t="shared" si="33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4"/>
        <v>0</v>
      </c>
      <c r="AP21" s="809">
        <f t="shared" si="35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6"/>
        <v>339</v>
      </c>
      <c r="AX21" s="211">
        <f t="shared" si="37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38"/>
        <v>331</v>
      </c>
      <c r="BF21" s="211">
        <f t="shared" si="39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0"/>
        <v>332</v>
      </c>
      <c r="BN21" s="211">
        <f t="shared" si="41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2"/>
        <v>0</v>
      </c>
      <c r="BV21" s="211">
        <f t="shared" si="43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4"/>
        <v>306</v>
      </c>
      <c r="CD21" s="211">
        <f t="shared" si="45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6"/>
        <v>291</v>
      </c>
      <c r="CL21" s="211">
        <f t="shared" si="47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48"/>
        <v>220</v>
      </c>
      <c r="CT21" s="211">
        <f t="shared" si="49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0"/>
        <v>0</v>
      </c>
      <c r="DB21" s="211">
        <f t="shared" si="51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2"/>
        <v>841</v>
      </c>
      <c r="DJ21" s="211">
        <f t="shared" si="53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4"/>
        <v>307</v>
      </c>
      <c r="DR21" s="211">
        <f t="shared" si="55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6"/>
        <v>344</v>
      </c>
      <c r="DZ21" s="211">
        <f t="shared" si="57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58"/>
        <v>0</v>
      </c>
      <c r="EH21" s="211">
        <f t="shared" si="59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0"/>
        <v>336</v>
      </c>
      <c r="EP21" s="211">
        <f t="shared" si="61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2"/>
        <v>0</v>
      </c>
      <c r="EX21" s="211">
        <f t="shared" si="63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4"/>
        <v>219</v>
      </c>
      <c r="FF21" s="211">
        <f t="shared" si="65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6"/>
        <v>0</v>
      </c>
      <c r="FN21" s="211">
        <f t="shared" si="67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68"/>
        <v>345</v>
      </c>
      <c r="FV21" s="211">
        <f t="shared" si="69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0"/>
        <v>0</v>
      </c>
      <c r="GD21" s="211">
        <f t="shared" si="71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2"/>
        <v>335</v>
      </c>
      <c r="GL21" s="211">
        <f t="shared" si="73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4"/>
        <v>301</v>
      </c>
      <c r="GT21" s="873">
        <f t="shared" si="75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6"/>
        <v>350</v>
      </c>
      <c r="HB21" s="873">
        <f t="shared" si="77"/>
        <v>58.333333333333336</v>
      </c>
      <c r="HC21" s="346">
        <v>0</v>
      </c>
      <c r="HD21" s="343">
        <v>0</v>
      </c>
      <c r="HE21" s="343">
        <v>0</v>
      </c>
      <c r="HF21" s="343"/>
      <c r="HG21" s="343"/>
      <c r="HH21" s="343"/>
      <c r="HI21" s="872">
        <f t="shared" si="78"/>
        <v>0</v>
      </c>
      <c r="HJ21" s="873">
        <f t="shared" si="79"/>
        <v>0</v>
      </c>
    </row>
    <row r="22" spans="1:218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16730</v>
      </c>
      <c r="G22" s="24"/>
      <c r="H22" s="24"/>
      <c r="I22" s="360"/>
      <c r="J22" s="360">
        <f>SUMIF(SUMPK!$B:$B,$B:$B,SUMPK!$O:$O)</f>
        <v>1946</v>
      </c>
      <c r="K22" s="24"/>
      <c r="L22" s="24">
        <f t="shared" si="80"/>
        <v>14784</v>
      </c>
      <c r="M22" s="15">
        <f t="shared" si="25"/>
        <v>14784</v>
      </c>
      <c r="N22" s="15">
        <v>675</v>
      </c>
      <c r="O22" s="276">
        <f t="shared" si="26"/>
        <v>21.902222222222221</v>
      </c>
      <c r="P22" s="15">
        <v>1190.1666666666667</v>
      </c>
      <c r="Q22" s="711">
        <f>T22/$Q$8</f>
        <v>5066.666666666667</v>
      </c>
      <c r="R22" s="276">
        <f t="shared" si="28"/>
        <v>74.530737991877885</v>
      </c>
      <c r="S22" s="712">
        <f t="shared" si="29"/>
        <v>1169.2307692307693</v>
      </c>
      <c r="T22" s="713">
        <v>30400</v>
      </c>
      <c r="U22" s="276">
        <f t="shared" ref="U22:U71" si="86">IF(S22=0,0,M22/S22)</f>
        <v>12.644210526315788</v>
      </c>
      <c r="V22" s="278"/>
      <c r="W22" s="276">
        <f t="shared" si="31"/>
        <v>12.644210526315788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2"/>
        <v>4626</v>
      </c>
      <c r="AH22" s="211">
        <f t="shared" si="33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4"/>
        <v>5538</v>
      </c>
      <c r="AP22" s="809">
        <f t="shared" si="35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6"/>
        <v>3891</v>
      </c>
      <c r="AX22" s="211">
        <f t="shared" si="37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38"/>
        <v>9594</v>
      </c>
      <c r="BF22" s="211">
        <f t="shared" si="39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0"/>
        <v>5002</v>
      </c>
      <c r="BN22" s="211">
        <f t="shared" si="41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2"/>
        <v>10762</v>
      </c>
      <c r="BV22" s="211">
        <f t="shared" si="43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4"/>
        <v>2495</v>
      </c>
      <c r="CD22" s="211">
        <f t="shared" si="45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6"/>
        <v>9711</v>
      </c>
      <c r="CL22" s="211">
        <f t="shared" si="47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48"/>
        <v>8570</v>
      </c>
      <c r="CT22" s="211">
        <f t="shared" si="49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0"/>
        <v>8416</v>
      </c>
      <c r="DB22" s="211">
        <f t="shared" si="51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2"/>
        <v>6590</v>
      </c>
      <c r="DJ22" s="211">
        <f t="shared" si="53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4"/>
        <v>2200</v>
      </c>
      <c r="DR22" s="211">
        <f t="shared" si="55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6"/>
        <v>10957</v>
      </c>
      <c r="DZ22" s="211">
        <f t="shared" si="57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58"/>
        <v>7793</v>
      </c>
      <c r="EH22" s="211">
        <f t="shared" si="59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0"/>
        <v>6972</v>
      </c>
      <c r="EP22" s="211">
        <f t="shared" si="61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2"/>
        <v>6856</v>
      </c>
      <c r="EX22" s="211">
        <f t="shared" si="63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4"/>
        <v>12031</v>
      </c>
      <c r="FF22" s="211">
        <f t="shared" si="65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6"/>
        <v>330</v>
      </c>
      <c r="FN22" s="211">
        <f t="shared" si="67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68"/>
        <v>7444</v>
      </c>
      <c r="FV22" s="211">
        <f t="shared" si="69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0"/>
        <v>9521</v>
      </c>
      <c r="GD22" s="211">
        <f t="shared" si="71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2"/>
        <v>11049</v>
      </c>
      <c r="GL22" s="211">
        <f t="shared" si="73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4"/>
        <v>4387</v>
      </c>
      <c r="GT22" s="873">
        <f t="shared" si="75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6"/>
        <v>4050</v>
      </c>
      <c r="HB22" s="873">
        <f t="shared" si="77"/>
        <v>675</v>
      </c>
      <c r="HC22" s="346">
        <v>646</v>
      </c>
      <c r="HD22" s="343">
        <v>1161</v>
      </c>
      <c r="HE22" s="343">
        <v>1540</v>
      </c>
      <c r="HF22" s="343"/>
      <c r="HG22" s="343"/>
      <c r="HH22" s="343"/>
      <c r="HI22" s="872">
        <f t="shared" si="78"/>
        <v>3347</v>
      </c>
      <c r="HJ22" s="873">
        <f t="shared" si="79"/>
        <v>557.83333333333337</v>
      </c>
    </row>
    <row r="23" spans="1:218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1083</v>
      </c>
      <c r="G23" s="24"/>
      <c r="H23" s="24"/>
      <c r="I23" s="360"/>
      <c r="J23" s="360">
        <f>SUMIF(SUMPK!$B:$B,$B:$B,SUMPK!$O:$O)</f>
        <v>245</v>
      </c>
      <c r="K23" s="24"/>
      <c r="L23" s="24">
        <f t="shared" si="80"/>
        <v>838</v>
      </c>
      <c r="M23" s="15">
        <f t="shared" si="25"/>
        <v>838</v>
      </c>
      <c r="N23" s="15">
        <v>42.166666666666664</v>
      </c>
      <c r="O23" s="276">
        <f t="shared" si="26"/>
        <v>19.873517786561266</v>
      </c>
      <c r="P23" s="15">
        <v>40.666666666666664</v>
      </c>
      <c r="Q23" s="711">
        <f t="shared" si="27"/>
        <v>213.33333333333334</v>
      </c>
      <c r="R23" s="276">
        <f t="shared" si="28"/>
        <v>123.63934426229508</v>
      </c>
      <c r="S23" s="712">
        <f t="shared" si="29"/>
        <v>49.230769230769234</v>
      </c>
      <c r="T23" s="713">
        <v>1280</v>
      </c>
      <c r="U23" s="276">
        <f t="shared" si="86"/>
        <v>17.021874999999998</v>
      </c>
      <c r="V23" s="278"/>
      <c r="W23" s="276">
        <f t="shared" si="31"/>
        <v>17.021874999999998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2"/>
        <v>0</v>
      </c>
      <c r="AH23" s="211">
        <f t="shared" si="33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4"/>
        <v>278</v>
      </c>
      <c r="AP23" s="809">
        <f t="shared" si="35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6"/>
        <v>296</v>
      </c>
      <c r="AX23" s="211">
        <f t="shared" si="37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38"/>
        <v>333</v>
      </c>
      <c r="BF23" s="211">
        <f t="shared" si="39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0"/>
        <v>249</v>
      </c>
      <c r="BN23" s="211">
        <f t="shared" si="41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2"/>
        <v>334</v>
      </c>
      <c r="BV23" s="211">
        <f t="shared" si="43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4"/>
        <v>340</v>
      </c>
      <c r="CD23" s="211">
        <f t="shared" si="45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6"/>
        <v>305</v>
      </c>
      <c r="CL23" s="211">
        <f t="shared" si="47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48"/>
        <v>0</v>
      </c>
      <c r="CT23" s="211">
        <f t="shared" si="49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0"/>
        <v>562</v>
      </c>
      <c r="DB23" s="211">
        <f t="shared" si="51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2"/>
        <v>343</v>
      </c>
      <c r="DJ23" s="211">
        <f t="shared" si="53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4"/>
        <v>351</v>
      </c>
      <c r="DR23" s="211">
        <f t="shared" si="55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6"/>
        <v>309</v>
      </c>
      <c r="DZ23" s="211">
        <f t="shared" si="57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58"/>
        <v>340</v>
      </c>
      <c r="EH23" s="211">
        <f t="shared" si="59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0"/>
        <v>340</v>
      </c>
      <c r="EP23" s="211">
        <f t="shared" si="61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2"/>
        <v>0</v>
      </c>
      <c r="EX23" s="211">
        <f t="shared" si="63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4"/>
        <v>294</v>
      </c>
      <c r="FF23" s="211">
        <f t="shared" si="65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6"/>
        <v>307</v>
      </c>
      <c r="FN23" s="211">
        <f t="shared" si="67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68"/>
        <v>304</v>
      </c>
      <c r="FV23" s="211">
        <f t="shared" si="69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0"/>
        <v>557</v>
      </c>
      <c r="GD23" s="211">
        <f t="shared" si="71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2"/>
        <v>337</v>
      </c>
      <c r="GL23" s="211">
        <f t="shared" si="73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4"/>
        <v>323</v>
      </c>
      <c r="GT23" s="873">
        <f t="shared" si="75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6"/>
        <v>253</v>
      </c>
      <c r="HB23" s="873">
        <f t="shared" si="77"/>
        <v>42.166666666666664</v>
      </c>
      <c r="HC23" s="346">
        <v>0</v>
      </c>
      <c r="HD23" s="343">
        <v>0</v>
      </c>
      <c r="HE23" s="343">
        <v>0</v>
      </c>
      <c r="HF23" s="343"/>
      <c r="HG23" s="343"/>
      <c r="HH23" s="343"/>
      <c r="HI23" s="872">
        <f t="shared" si="78"/>
        <v>0</v>
      </c>
      <c r="HJ23" s="873">
        <f t="shared" si="79"/>
        <v>0</v>
      </c>
    </row>
    <row r="24" spans="1:218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5091</v>
      </c>
      <c r="G24" s="24"/>
      <c r="H24" s="24"/>
      <c r="I24" s="360"/>
      <c r="J24" s="360">
        <f>SUMIF(SUMPK!$B:$B,$B:$B,SUMPK!$O:$O)</f>
        <v>646</v>
      </c>
      <c r="K24" s="24"/>
      <c r="L24" s="24">
        <f t="shared" si="80"/>
        <v>4445</v>
      </c>
      <c r="M24" s="15">
        <f t="shared" si="25"/>
        <v>4445</v>
      </c>
      <c r="N24" s="15">
        <v>383.16666666666669</v>
      </c>
      <c r="O24" s="276">
        <f t="shared" si="26"/>
        <v>11.600695954762941</v>
      </c>
      <c r="P24" s="15">
        <v>330.33333333333331</v>
      </c>
      <c r="Q24" s="711">
        <f t="shared" si="27"/>
        <v>1066.6666666666667</v>
      </c>
      <c r="R24" s="276">
        <f t="shared" si="28"/>
        <v>80.736629667003029</v>
      </c>
      <c r="S24" s="712">
        <f t="shared" si="29"/>
        <v>246.15384615384616</v>
      </c>
      <c r="T24" s="713">
        <v>6400</v>
      </c>
      <c r="U24" s="276">
        <f t="shared" si="86"/>
        <v>18.057812500000001</v>
      </c>
      <c r="V24" s="278"/>
      <c r="W24" s="276">
        <f t="shared" si="31"/>
        <v>18.057812500000001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2"/>
        <v>2102</v>
      </c>
      <c r="AH24" s="211">
        <f t="shared" si="33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4"/>
        <v>1932</v>
      </c>
      <c r="AP24" s="809">
        <f t="shared" si="35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6"/>
        <v>1307</v>
      </c>
      <c r="AX24" s="211">
        <f t="shared" si="37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38"/>
        <v>873</v>
      </c>
      <c r="BF24" s="211">
        <f t="shared" si="39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0"/>
        <v>1877</v>
      </c>
      <c r="BN24" s="211">
        <f t="shared" si="41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2"/>
        <v>987</v>
      </c>
      <c r="BV24" s="211">
        <f t="shared" si="43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4"/>
        <v>2686</v>
      </c>
      <c r="CD24" s="211">
        <f t="shared" si="45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6"/>
        <v>3695</v>
      </c>
      <c r="CL24" s="211">
        <f t="shared" si="47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48"/>
        <v>149</v>
      </c>
      <c r="CT24" s="211">
        <f t="shared" si="49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0"/>
        <v>4507</v>
      </c>
      <c r="DB24" s="211">
        <f t="shared" si="51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2"/>
        <v>145</v>
      </c>
      <c r="DJ24" s="211">
        <f t="shared" si="53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4"/>
        <v>1523</v>
      </c>
      <c r="DR24" s="211">
        <f t="shared" si="55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6"/>
        <v>1669</v>
      </c>
      <c r="DZ24" s="211">
        <f t="shared" si="57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58"/>
        <v>1336</v>
      </c>
      <c r="EH24" s="211">
        <f t="shared" si="59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0"/>
        <v>1344</v>
      </c>
      <c r="EP24" s="211">
        <f t="shared" si="61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2"/>
        <v>1035</v>
      </c>
      <c r="EX24" s="211">
        <f t="shared" si="63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4"/>
        <v>2371</v>
      </c>
      <c r="FF24" s="211">
        <f t="shared" si="65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6"/>
        <v>2494</v>
      </c>
      <c r="FN24" s="211">
        <f t="shared" si="67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68"/>
        <v>110</v>
      </c>
      <c r="FV24" s="211">
        <f t="shared" si="69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0"/>
        <v>2585</v>
      </c>
      <c r="GD24" s="211">
        <f t="shared" si="71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2"/>
        <v>1742</v>
      </c>
      <c r="GL24" s="211">
        <f t="shared" si="73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4"/>
        <v>0</v>
      </c>
      <c r="GT24" s="873">
        <f t="shared" si="75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6"/>
        <v>2299</v>
      </c>
      <c r="HB24" s="873">
        <f t="shared" si="77"/>
        <v>383.16666666666669</v>
      </c>
      <c r="HC24" s="346">
        <v>0</v>
      </c>
      <c r="HD24" s="343">
        <v>0</v>
      </c>
      <c r="HE24" s="343">
        <v>0</v>
      </c>
      <c r="HF24" s="343"/>
      <c r="HG24" s="343"/>
      <c r="HH24" s="343"/>
      <c r="HI24" s="872">
        <f t="shared" si="78"/>
        <v>0</v>
      </c>
      <c r="HJ24" s="873">
        <f t="shared" si="79"/>
        <v>0</v>
      </c>
    </row>
    <row r="25" spans="1:218" s="341" customFormat="1" ht="15" customHeight="1" x14ac:dyDescent="0.2">
      <c r="A25" s="21">
        <v>14</v>
      </c>
      <c r="B25" s="21" t="s">
        <v>343</v>
      </c>
      <c r="C25" s="275" t="s">
        <v>348</v>
      </c>
      <c r="D25" s="21">
        <v>25</v>
      </c>
      <c r="E25" s="24"/>
      <c r="F25" s="24">
        <v>1129</v>
      </c>
      <c r="G25" s="24"/>
      <c r="H25" s="24"/>
      <c r="I25" s="360"/>
      <c r="J25" s="360">
        <f>SUMIF(SUMPK!$B:$B,$B:$B,SUMPK!$O:$O)</f>
        <v>880</v>
      </c>
      <c r="K25" s="24"/>
      <c r="L25" s="24">
        <f t="shared" ref="L25:L26" si="87">F25+H25-J25</f>
        <v>249</v>
      </c>
      <c r="M25" s="15">
        <f t="shared" ref="M25:M26" si="88">K25+L25</f>
        <v>249</v>
      </c>
      <c r="N25" s="15">
        <v>334.16666666666669</v>
      </c>
      <c r="O25" s="276">
        <f t="shared" si="26"/>
        <v>0.74513715710723183</v>
      </c>
      <c r="P25" s="15"/>
      <c r="Q25" s="711"/>
      <c r="R25" s="276">
        <f t="shared" si="28"/>
        <v>0</v>
      </c>
      <c r="S25" s="712">
        <f t="shared" si="29"/>
        <v>61.53846153846154</v>
      </c>
      <c r="T25" s="713">
        <v>1600</v>
      </c>
      <c r="U25" s="276">
        <f t="shared" si="86"/>
        <v>4.0462499999999997</v>
      </c>
      <c r="V25" s="278"/>
      <c r="W25" s="276">
        <f t="shared" si="31"/>
        <v>4.0462499999999997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2"/>
        <v>979</v>
      </c>
      <c r="AH25" s="211">
        <f t="shared" si="33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4"/>
        <v>1030</v>
      </c>
      <c r="AP25" s="809">
        <f t="shared" si="35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6"/>
        <v>0</v>
      </c>
      <c r="AX25" s="211">
        <f t="shared" si="37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38"/>
        <v>0</v>
      </c>
      <c r="BF25" s="211">
        <f t="shared" si="39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0"/>
        <v>1741</v>
      </c>
      <c r="BN25" s="211">
        <f t="shared" si="41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2"/>
        <v>1023</v>
      </c>
      <c r="BV25" s="211">
        <f t="shared" si="43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4"/>
        <v>1000</v>
      </c>
      <c r="CD25" s="211">
        <f t="shared" si="45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6"/>
        <v>1595</v>
      </c>
      <c r="CL25" s="211">
        <f t="shared" si="47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48"/>
        <v>1660</v>
      </c>
      <c r="CT25" s="211">
        <f t="shared" si="49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0"/>
        <v>0</v>
      </c>
      <c r="DB25" s="211">
        <f t="shared" si="51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2"/>
        <v>0</v>
      </c>
      <c r="DJ25" s="211">
        <f t="shared" si="53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4"/>
        <v>0</v>
      </c>
      <c r="DR25" s="211">
        <f t="shared" si="55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6"/>
        <v>0</v>
      </c>
      <c r="DZ25" s="211">
        <f t="shared" si="57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58"/>
        <v>0</v>
      </c>
      <c r="EH25" s="211">
        <f t="shared" si="59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0"/>
        <v>1947</v>
      </c>
      <c r="EP25" s="211">
        <f t="shared" si="61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2"/>
        <v>0</v>
      </c>
      <c r="EX25" s="211">
        <f t="shared" si="63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4"/>
        <v>0</v>
      </c>
      <c r="FF25" s="211">
        <f t="shared" si="65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6"/>
        <v>0</v>
      </c>
      <c r="FN25" s="211">
        <f t="shared" si="67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68"/>
        <v>1326</v>
      </c>
      <c r="FV25" s="211">
        <f t="shared" si="69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0"/>
        <v>0</v>
      </c>
      <c r="GD25" s="211">
        <f t="shared" si="71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2"/>
        <v>2330</v>
      </c>
      <c r="GL25" s="211">
        <f t="shared" si="73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4"/>
        <v>0</v>
      </c>
      <c r="GT25" s="873">
        <f t="shared" si="75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6"/>
        <v>2005</v>
      </c>
      <c r="HB25" s="873">
        <f t="shared" si="77"/>
        <v>334.16666666666669</v>
      </c>
      <c r="HC25" s="346">
        <v>0</v>
      </c>
      <c r="HD25" s="343">
        <v>0</v>
      </c>
      <c r="HE25" s="343">
        <v>0</v>
      </c>
      <c r="HF25" s="343"/>
      <c r="HG25" s="343"/>
      <c r="HH25" s="343"/>
      <c r="HI25" s="872">
        <f t="shared" si="78"/>
        <v>0</v>
      </c>
      <c r="HJ25" s="873">
        <f t="shared" si="79"/>
        <v>0</v>
      </c>
    </row>
    <row r="26" spans="1:218" s="341" customFormat="1" ht="15" customHeight="1" x14ac:dyDescent="0.2">
      <c r="A26" s="21">
        <v>15</v>
      </c>
      <c r="B26" s="21" t="s">
        <v>344</v>
      </c>
      <c r="C26" s="275" t="s">
        <v>349</v>
      </c>
      <c r="D26" s="21">
        <v>25</v>
      </c>
      <c r="E26" s="24"/>
      <c r="F26" s="24">
        <v>2614</v>
      </c>
      <c r="G26" s="24"/>
      <c r="H26" s="24"/>
      <c r="I26" s="360"/>
      <c r="J26" s="360">
        <f>SUMIF(SUMPK!$B:$B,$B:$B,SUMPK!$O:$O)</f>
        <v>0</v>
      </c>
      <c r="K26" s="24"/>
      <c r="L26" s="24">
        <f t="shared" si="87"/>
        <v>2614</v>
      </c>
      <c r="M26" s="15">
        <f t="shared" si="88"/>
        <v>2614</v>
      </c>
      <c r="N26" s="15">
        <v>373.83333333333331</v>
      </c>
      <c r="O26" s="276">
        <f t="shared" si="26"/>
        <v>6.992420864913063</v>
      </c>
      <c r="P26" s="15"/>
      <c r="Q26" s="711"/>
      <c r="R26" s="276">
        <f t="shared" si="28"/>
        <v>0</v>
      </c>
      <c r="S26" s="712">
        <f t="shared" si="29"/>
        <v>61.53846153846154</v>
      </c>
      <c r="T26" s="713">
        <v>1600</v>
      </c>
      <c r="U26" s="276">
        <f t="shared" si="86"/>
        <v>42.477499999999999</v>
      </c>
      <c r="V26" s="278"/>
      <c r="W26" s="276">
        <f t="shared" si="31"/>
        <v>42.477499999999999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2"/>
        <v>944</v>
      </c>
      <c r="AH26" s="211">
        <f t="shared" si="33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4"/>
        <v>0</v>
      </c>
      <c r="AP26" s="809">
        <f t="shared" si="35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6"/>
        <v>0</v>
      </c>
      <c r="AX26" s="211">
        <f t="shared" si="37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38"/>
        <v>638</v>
      </c>
      <c r="BF26" s="211">
        <f t="shared" si="39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0"/>
        <v>2248</v>
      </c>
      <c r="BN26" s="211">
        <f t="shared" si="41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2"/>
        <v>1645</v>
      </c>
      <c r="BV26" s="211">
        <f t="shared" si="43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4"/>
        <v>1290</v>
      </c>
      <c r="CD26" s="211">
        <f t="shared" si="45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6"/>
        <v>0</v>
      </c>
      <c r="CL26" s="211">
        <f t="shared" si="47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48"/>
        <v>0</v>
      </c>
      <c r="CT26" s="211">
        <f t="shared" si="49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0"/>
        <v>0</v>
      </c>
      <c r="DB26" s="211">
        <f t="shared" si="51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2"/>
        <v>0</v>
      </c>
      <c r="DJ26" s="211">
        <f t="shared" si="53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4"/>
        <v>2969</v>
      </c>
      <c r="DR26" s="211">
        <f t="shared" si="55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6"/>
        <v>1973</v>
      </c>
      <c r="DZ26" s="211">
        <f t="shared" si="57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58"/>
        <v>0</v>
      </c>
      <c r="EH26" s="211">
        <f t="shared" si="59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0"/>
        <v>1910</v>
      </c>
      <c r="EP26" s="211">
        <f t="shared" si="61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2"/>
        <v>0</v>
      </c>
      <c r="EX26" s="211">
        <f t="shared" si="63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4"/>
        <v>259</v>
      </c>
      <c r="FF26" s="211">
        <f t="shared" si="65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6"/>
        <v>0</v>
      </c>
      <c r="FN26" s="211">
        <f t="shared" si="67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68"/>
        <v>621</v>
      </c>
      <c r="FV26" s="211">
        <f t="shared" si="69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0"/>
        <v>1962</v>
      </c>
      <c r="GD26" s="211">
        <f t="shared" si="71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2"/>
        <v>1536</v>
      </c>
      <c r="GL26" s="211">
        <f t="shared" si="73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4"/>
        <v>0</v>
      </c>
      <c r="GT26" s="873">
        <f t="shared" si="75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6"/>
        <v>2243</v>
      </c>
      <c r="HB26" s="873">
        <f t="shared" si="77"/>
        <v>373.83333333333331</v>
      </c>
      <c r="HC26" s="346">
        <v>0</v>
      </c>
      <c r="HD26" s="343">
        <v>0</v>
      </c>
      <c r="HE26" s="343">
        <v>0</v>
      </c>
      <c r="HF26" s="343"/>
      <c r="HG26" s="343"/>
      <c r="HH26" s="343"/>
      <c r="HI26" s="872">
        <f t="shared" si="78"/>
        <v>0</v>
      </c>
      <c r="HJ26" s="873">
        <f t="shared" si="79"/>
        <v>0</v>
      </c>
    </row>
    <row r="27" spans="1:218" s="341" customFormat="1" ht="15" customHeight="1" x14ac:dyDescent="0.2">
      <c r="A27" s="21">
        <v>16</v>
      </c>
      <c r="B27" s="21" t="s">
        <v>148</v>
      </c>
      <c r="C27" s="275" t="s">
        <v>299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89">F27+H27-J27</f>
        <v>491</v>
      </c>
      <c r="M27" s="15">
        <f t="shared" ref="M27:M36" si="90">K27+L27</f>
        <v>491</v>
      </c>
      <c r="N27" s="15">
        <v>0</v>
      </c>
      <c r="O27" s="276">
        <f t="shared" si="26"/>
        <v>0</v>
      </c>
      <c r="P27" s="15">
        <v>0</v>
      </c>
      <c r="Q27" s="711"/>
      <c r="R27" s="276">
        <f t="shared" si="28"/>
        <v>0</v>
      </c>
      <c r="S27" s="712">
        <f t="shared" si="29"/>
        <v>24.615384615384617</v>
      </c>
      <c r="T27" s="713">
        <v>640</v>
      </c>
      <c r="U27" s="276">
        <f t="shared" si="86"/>
        <v>19.946874999999999</v>
      </c>
      <c r="V27" s="278"/>
      <c r="W27" s="276">
        <f t="shared" si="31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2"/>
        <v>0</v>
      </c>
      <c r="AH27" s="211">
        <f t="shared" si="33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4"/>
        <v>280</v>
      </c>
      <c r="AP27" s="809">
        <f t="shared" si="35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6"/>
        <v>0</v>
      </c>
      <c r="AX27" s="211">
        <f t="shared" si="37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38"/>
        <v>0</v>
      </c>
      <c r="BF27" s="211">
        <f t="shared" si="39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0"/>
        <v>205</v>
      </c>
      <c r="BN27" s="211">
        <f t="shared" si="41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2"/>
        <v>0</v>
      </c>
      <c r="BV27" s="211">
        <f t="shared" si="43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4"/>
        <v>0</v>
      </c>
      <c r="CD27" s="211">
        <f t="shared" si="45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6"/>
        <v>284</v>
      </c>
      <c r="CL27" s="211">
        <f t="shared" si="47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48"/>
        <v>0</v>
      </c>
      <c r="CT27" s="211">
        <f t="shared" si="49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0"/>
        <v>0</v>
      </c>
      <c r="DB27" s="211">
        <f t="shared" si="51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2"/>
        <v>0</v>
      </c>
      <c r="DJ27" s="211">
        <f t="shared" si="53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4"/>
        <v>364</v>
      </c>
      <c r="DR27" s="211">
        <f t="shared" si="55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6"/>
        <v>0</v>
      </c>
      <c r="DZ27" s="211">
        <f t="shared" si="57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58"/>
        <v>0</v>
      </c>
      <c r="EH27" s="211">
        <f t="shared" si="59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0"/>
        <v>0</v>
      </c>
      <c r="EP27" s="211">
        <f t="shared" si="61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2"/>
        <v>0</v>
      </c>
      <c r="EX27" s="211">
        <f t="shared" si="63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4"/>
        <v>0</v>
      </c>
      <c r="FF27" s="211">
        <f t="shared" si="65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6"/>
        <v>0</v>
      </c>
      <c r="FN27" s="211">
        <f t="shared" si="67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68"/>
        <v>0</v>
      </c>
      <c r="FV27" s="211">
        <f t="shared" si="69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0"/>
        <v>0</v>
      </c>
      <c r="GD27" s="211">
        <f t="shared" si="71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2"/>
        <v>246</v>
      </c>
      <c r="GL27" s="211">
        <f t="shared" si="73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4"/>
        <v>0</v>
      </c>
      <c r="GT27" s="873">
        <f t="shared" si="75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6"/>
        <v>0</v>
      </c>
      <c r="HB27" s="873">
        <f t="shared" si="77"/>
        <v>0</v>
      </c>
      <c r="HC27" s="346">
        <v>0</v>
      </c>
      <c r="HD27" s="343">
        <v>0</v>
      </c>
      <c r="HE27" s="343">
        <v>0</v>
      </c>
      <c r="HF27" s="343"/>
      <c r="HG27" s="343"/>
      <c r="HH27" s="343"/>
      <c r="HI27" s="872">
        <f t="shared" si="78"/>
        <v>0</v>
      </c>
      <c r="HJ27" s="873">
        <f t="shared" si="79"/>
        <v>0</v>
      </c>
    </row>
    <row r="28" spans="1:218" s="341" customFormat="1" ht="15" customHeight="1" x14ac:dyDescent="0.2">
      <c r="A28" s="21">
        <v>17</v>
      </c>
      <c r="B28" s="21" t="s">
        <v>356</v>
      </c>
      <c r="C28" s="275" t="s">
        <v>357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6"/>
        <v>0</v>
      </c>
      <c r="P28" s="15"/>
      <c r="Q28" s="711"/>
      <c r="R28" s="276">
        <f t="shared" si="28"/>
        <v>0</v>
      </c>
      <c r="S28" s="712">
        <f t="shared" si="29"/>
        <v>0</v>
      </c>
      <c r="T28" s="713"/>
      <c r="U28" s="276">
        <f t="shared" si="86"/>
        <v>0</v>
      </c>
      <c r="V28" s="278"/>
      <c r="W28" s="276">
        <f t="shared" si="31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2"/>
        <v>0</v>
      </c>
      <c r="AH28" s="211">
        <f t="shared" si="33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4"/>
        <v>276</v>
      </c>
      <c r="AP28" s="809">
        <f t="shared" si="35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6"/>
        <v>0</v>
      </c>
      <c r="AX28" s="211">
        <f t="shared" si="37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38"/>
        <v>273</v>
      </c>
      <c r="BF28" s="211">
        <f t="shared" si="39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0"/>
        <v>0</v>
      </c>
      <c r="BN28" s="211">
        <f t="shared" si="41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2"/>
        <v>0</v>
      </c>
      <c r="BV28" s="211">
        <f t="shared" si="43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4"/>
        <v>0</v>
      </c>
      <c r="CD28" s="211">
        <f t="shared" si="45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6"/>
        <v>0</v>
      </c>
      <c r="CL28" s="211">
        <f t="shared" si="47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48"/>
        <v>0</v>
      </c>
      <c r="CT28" s="211">
        <f t="shared" si="49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0"/>
        <v>0</v>
      </c>
      <c r="DB28" s="211">
        <f t="shared" si="51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2"/>
        <v>0</v>
      </c>
      <c r="DJ28" s="211">
        <f t="shared" si="53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4"/>
        <v>0</v>
      </c>
      <c r="DR28" s="211">
        <f t="shared" si="55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6"/>
        <v>0</v>
      </c>
      <c r="DZ28" s="211">
        <f t="shared" si="57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58"/>
        <v>0</v>
      </c>
      <c r="EH28" s="211">
        <f t="shared" si="59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0"/>
        <v>0</v>
      </c>
      <c r="EP28" s="211">
        <f t="shared" si="61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2"/>
        <v>0</v>
      </c>
      <c r="EX28" s="211">
        <f t="shared" si="63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4"/>
        <v>0</v>
      </c>
      <c r="FF28" s="211">
        <f t="shared" si="65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6"/>
        <v>0</v>
      </c>
      <c r="FN28" s="211">
        <f t="shared" si="67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68"/>
        <v>0</v>
      </c>
      <c r="FV28" s="211">
        <f t="shared" si="69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0"/>
        <v>0</v>
      </c>
      <c r="GD28" s="211">
        <f t="shared" si="71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2"/>
        <v>0</v>
      </c>
      <c r="GL28" s="211">
        <f t="shared" si="73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4"/>
        <v>0</v>
      </c>
      <c r="GT28" s="873">
        <f t="shared" si="75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6"/>
        <v>0</v>
      </c>
      <c r="HB28" s="873">
        <f t="shared" si="77"/>
        <v>0</v>
      </c>
      <c r="HC28" s="346">
        <v>0</v>
      </c>
      <c r="HD28" s="343">
        <v>0</v>
      </c>
      <c r="HE28" s="343">
        <v>0</v>
      </c>
      <c r="HF28" s="343"/>
      <c r="HG28" s="343"/>
      <c r="HH28" s="343"/>
      <c r="HI28" s="872">
        <f t="shared" si="78"/>
        <v>0</v>
      </c>
      <c r="HJ28" s="873">
        <f t="shared" si="79"/>
        <v>0</v>
      </c>
    </row>
    <row r="29" spans="1:218" s="341" customFormat="1" ht="15" customHeight="1" x14ac:dyDescent="0.2">
      <c r="A29" s="21">
        <v>18</v>
      </c>
      <c r="B29" s="21" t="s">
        <v>350</v>
      </c>
      <c r="C29" s="275" t="s">
        <v>351</v>
      </c>
      <c r="D29" s="21">
        <v>25</v>
      </c>
      <c r="E29" s="24"/>
      <c r="F29" s="24">
        <v>627</v>
      </c>
      <c r="G29" s="24"/>
      <c r="H29" s="24"/>
      <c r="I29" s="360"/>
      <c r="J29" s="360">
        <f>SUMIF(SUMPK!$B:$B,$B:$B,SUMPK!$O:$O)</f>
        <v>0</v>
      </c>
      <c r="K29" s="24"/>
      <c r="L29" s="24">
        <f t="shared" si="89"/>
        <v>627</v>
      </c>
      <c r="M29" s="15">
        <f t="shared" si="90"/>
        <v>627</v>
      </c>
      <c r="N29" s="15">
        <v>0</v>
      </c>
      <c r="O29" s="276">
        <f t="shared" si="26"/>
        <v>0</v>
      </c>
      <c r="P29" s="15"/>
      <c r="Q29" s="711"/>
      <c r="R29" s="276">
        <f t="shared" si="28"/>
        <v>0</v>
      </c>
      <c r="S29" s="712">
        <f t="shared" si="29"/>
        <v>0</v>
      </c>
      <c r="T29" s="713"/>
      <c r="U29" s="276">
        <f t="shared" si="86"/>
        <v>0</v>
      </c>
      <c r="V29" s="278"/>
      <c r="W29" s="276">
        <f t="shared" si="31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2"/>
        <v>0</v>
      </c>
      <c r="AH29" s="211">
        <f t="shared" si="33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4"/>
        <v>0</v>
      </c>
      <c r="AP29" s="809">
        <f t="shared" si="35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6"/>
        <v>0</v>
      </c>
      <c r="AX29" s="211">
        <f t="shared" si="37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38"/>
        <v>0</v>
      </c>
      <c r="BF29" s="211">
        <f t="shared" si="39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0"/>
        <v>0</v>
      </c>
      <c r="BN29" s="211">
        <f t="shared" si="41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2"/>
        <v>0</v>
      </c>
      <c r="BV29" s="211">
        <f t="shared" si="43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4"/>
        <v>0</v>
      </c>
      <c r="CD29" s="211">
        <f t="shared" si="45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6"/>
        <v>0</v>
      </c>
      <c r="CL29" s="211">
        <f t="shared" si="47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48"/>
        <v>0</v>
      </c>
      <c r="CT29" s="211">
        <f t="shared" si="49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0"/>
        <v>0</v>
      </c>
      <c r="DB29" s="211">
        <f t="shared" si="51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2"/>
        <v>0</v>
      </c>
      <c r="DJ29" s="211">
        <f t="shared" si="53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4"/>
        <v>0</v>
      </c>
      <c r="DR29" s="211">
        <f t="shared" si="55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6"/>
        <v>0</v>
      </c>
      <c r="DZ29" s="211">
        <f t="shared" si="57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58"/>
        <v>0</v>
      </c>
      <c r="EH29" s="211">
        <f t="shared" si="59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0"/>
        <v>0</v>
      </c>
      <c r="EP29" s="211">
        <f t="shared" si="61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2"/>
        <v>0</v>
      </c>
      <c r="EX29" s="211">
        <f t="shared" si="63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4"/>
        <v>0</v>
      </c>
      <c r="FF29" s="211">
        <f t="shared" si="65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6"/>
        <v>0</v>
      </c>
      <c r="FN29" s="211">
        <f t="shared" si="67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68"/>
        <v>0</v>
      </c>
      <c r="FV29" s="211">
        <f t="shared" si="69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0"/>
        <v>0</v>
      </c>
      <c r="GD29" s="211">
        <f t="shared" si="71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2"/>
        <v>0</v>
      </c>
      <c r="GL29" s="211">
        <f t="shared" si="73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4"/>
        <v>0</v>
      </c>
      <c r="GT29" s="873">
        <f t="shared" si="75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6"/>
        <v>0</v>
      </c>
      <c r="HB29" s="873">
        <f t="shared" si="77"/>
        <v>0</v>
      </c>
      <c r="HC29" s="346">
        <v>0</v>
      </c>
      <c r="HD29" s="343">
        <v>0</v>
      </c>
      <c r="HE29" s="343">
        <v>0</v>
      </c>
      <c r="HF29" s="343"/>
      <c r="HG29" s="343"/>
      <c r="HH29" s="343"/>
      <c r="HI29" s="872">
        <f t="shared" si="78"/>
        <v>0</v>
      </c>
      <c r="HJ29" s="873">
        <f t="shared" si="79"/>
        <v>0</v>
      </c>
    </row>
    <row r="30" spans="1:218" s="341" customFormat="1" ht="15" customHeight="1" x14ac:dyDescent="0.2">
      <c r="A30" s="21">
        <v>19</v>
      </c>
      <c r="B30" s="714" t="s">
        <v>322</v>
      </c>
      <c r="C30" s="275" t="s">
        <v>323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0</v>
      </c>
      <c r="K30" s="24"/>
      <c r="L30" s="24">
        <f t="shared" si="89"/>
        <v>1274</v>
      </c>
      <c r="M30" s="15">
        <f t="shared" si="90"/>
        <v>1274</v>
      </c>
      <c r="N30" s="15">
        <v>0</v>
      </c>
      <c r="O30" s="276">
        <f t="shared" si="26"/>
        <v>0</v>
      </c>
      <c r="P30" s="15">
        <v>12.666666666666666</v>
      </c>
      <c r="Q30" s="711">
        <f t="shared" si="27"/>
        <v>0</v>
      </c>
      <c r="R30" s="276">
        <f t="shared" si="28"/>
        <v>603.47368421052636</v>
      </c>
      <c r="S30" s="712">
        <f t="shared" si="29"/>
        <v>0</v>
      </c>
      <c r="T30" s="713"/>
      <c r="U30" s="276">
        <f t="shared" si="86"/>
        <v>0</v>
      </c>
      <c r="V30" s="278"/>
      <c r="W30" s="276">
        <f t="shared" si="31"/>
        <v>0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2"/>
        <v>307</v>
      </c>
      <c r="AH30" s="211">
        <f t="shared" si="33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4"/>
        <v>327</v>
      </c>
      <c r="AP30" s="809">
        <f t="shared" si="35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6"/>
        <v>0</v>
      </c>
      <c r="AX30" s="211">
        <f t="shared" si="37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38"/>
        <v>0</v>
      </c>
      <c r="BF30" s="211">
        <f t="shared" si="39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0"/>
        <v>0</v>
      </c>
      <c r="BN30" s="211">
        <f t="shared" si="41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2"/>
        <v>0</v>
      </c>
      <c r="BV30" s="211">
        <f t="shared" si="43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4"/>
        <v>0</v>
      </c>
      <c r="CD30" s="211">
        <f t="shared" si="45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6"/>
        <v>297</v>
      </c>
      <c r="CL30" s="211">
        <f t="shared" si="47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48"/>
        <v>0</v>
      </c>
      <c r="CT30" s="211">
        <f t="shared" si="49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0"/>
        <v>333</v>
      </c>
      <c r="DB30" s="211">
        <f t="shared" si="51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2"/>
        <v>333</v>
      </c>
      <c r="DJ30" s="211">
        <f t="shared" si="53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4"/>
        <v>333</v>
      </c>
      <c r="DR30" s="211">
        <f t="shared" si="55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6"/>
        <v>0</v>
      </c>
      <c r="DZ30" s="211">
        <f t="shared" si="57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58"/>
        <v>364</v>
      </c>
      <c r="EH30" s="211">
        <f t="shared" si="59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0"/>
        <v>344</v>
      </c>
      <c r="EP30" s="211">
        <f t="shared" si="61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2"/>
        <v>0</v>
      </c>
      <c r="EX30" s="211">
        <f t="shared" si="63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4"/>
        <v>0</v>
      </c>
      <c r="FF30" s="211">
        <f t="shared" si="65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6"/>
        <v>0</v>
      </c>
      <c r="FN30" s="211">
        <f t="shared" si="67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68"/>
        <v>247</v>
      </c>
      <c r="FV30" s="211">
        <f t="shared" si="69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0"/>
        <v>0</v>
      </c>
      <c r="GD30" s="211">
        <f t="shared" si="71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2"/>
        <v>0</v>
      </c>
      <c r="GL30" s="211">
        <f t="shared" si="73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4"/>
        <v>0</v>
      </c>
      <c r="GT30" s="873">
        <f t="shared" si="75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6"/>
        <v>0</v>
      </c>
      <c r="HB30" s="873">
        <f t="shared" si="77"/>
        <v>0</v>
      </c>
      <c r="HC30" s="346">
        <v>0</v>
      </c>
      <c r="HD30" s="343">
        <v>0</v>
      </c>
      <c r="HE30" s="343">
        <v>0</v>
      </c>
      <c r="HF30" s="343"/>
      <c r="HG30" s="343"/>
      <c r="HH30" s="343"/>
      <c r="HI30" s="872">
        <f t="shared" si="78"/>
        <v>0</v>
      </c>
      <c r="HJ30" s="873">
        <f t="shared" si="79"/>
        <v>0</v>
      </c>
    </row>
    <row r="31" spans="1:218" s="341" customFormat="1" ht="15" customHeight="1" x14ac:dyDescent="0.2">
      <c r="A31" s="21">
        <v>20</v>
      </c>
      <c r="B31" s="714" t="s">
        <v>358</v>
      </c>
      <c r="C31" s="275" t="s">
        <v>359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89"/>
        <v>2952</v>
      </c>
      <c r="M31" s="15">
        <f t="shared" si="90"/>
        <v>2952</v>
      </c>
      <c r="N31" s="15">
        <v>0</v>
      </c>
      <c r="O31" s="276">
        <f t="shared" si="26"/>
        <v>0</v>
      </c>
      <c r="P31" s="15"/>
      <c r="Q31" s="711"/>
      <c r="R31" s="276">
        <f t="shared" si="28"/>
        <v>0</v>
      </c>
      <c r="S31" s="712">
        <f t="shared" si="29"/>
        <v>0</v>
      </c>
      <c r="T31" s="713"/>
      <c r="U31" s="276">
        <f t="shared" si="86"/>
        <v>0</v>
      </c>
      <c r="V31" s="278"/>
      <c r="W31" s="276">
        <f t="shared" si="31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2"/>
        <v>0</v>
      </c>
      <c r="AH31" s="211">
        <f t="shared" si="33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4"/>
        <v>0</v>
      </c>
      <c r="AP31" s="809">
        <f t="shared" si="35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6"/>
        <v>0</v>
      </c>
      <c r="AX31" s="211">
        <f t="shared" si="37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38"/>
        <v>0</v>
      </c>
      <c r="BF31" s="211">
        <f t="shared" si="39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0"/>
        <v>0</v>
      </c>
      <c r="BN31" s="211">
        <f t="shared" si="41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2"/>
        <v>350</v>
      </c>
      <c r="BV31" s="211">
        <f t="shared" si="43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4"/>
        <v>0</v>
      </c>
      <c r="CD31" s="211">
        <f t="shared" si="45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6"/>
        <v>640</v>
      </c>
      <c r="CL31" s="211">
        <f t="shared" si="47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48"/>
        <v>0</v>
      </c>
      <c r="CT31" s="211">
        <f t="shared" si="49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0"/>
        <v>327</v>
      </c>
      <c r="DB31" s="211">
        <f t="shared" si="51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2"/>
        <v>337</v>
      </c>
      <c r="DJ31" s="211">
        <f t="shared" si="53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4"/>
        <v>1037</v>
      </c>
      <c r="DR31" s="211">
        <f t="shared" si="55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6"/>
        <v>311</v>
      </c>
      <c r="DZ31" s="211">
        <f t="shared" si="57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58"/>
        <v>251</v>
      </c>
      <c r="EH31" s="211">
        <f t="shared" si="59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0"/>
        <v>0</v>
      </c>
      <c r="EP31" s="211">
        <f t="shared" si="61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2"/>
        <v>0</v>
      </c>
      <c r="EX31" s="211">
        <f t="shared" si="63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4"/>
        <v>0</v>
      </c>
      <c r="FF31" s="211">
        <f t="shared" si="65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6"/>
        <v>0</v>
      </c>
      <c r="FN31" s="211">
        <f t="shared" si="67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68"/>
        <v>0</v>
      </c>
      <c r="FV31" s="211">
        <f t="shared" si="69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0"/>
        <v>0</v>
      </c>
      <c r="GD31" s="211">
        <f t="shared" si="71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2"/>
        <v>0</v>
      </c>
      <c r="GL31" s="211">
        <f t="shared" si="73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4"/>
        <v>0</v>
      </c>
      <c r="GT31" s="873">
        <f t="shared" si="75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6"/>
        <v>0</v>
      </c>
      <c r="HB31" s="873">
        <f t="shared" si="77"/>
        <v>0</v>
      </c>
      <c r="HC31" s="346">
        <v>0</v>
      </c>
      <c r="HD31" s="343">
        <v>0</v>
      </c>
      <c r="HE31" s="343">
        <v>0</v>
      </c>
      <c r="HF31" s="343"/>
      <c r="HG31" s="343"/>
      <c r="HH31" s="343"/>
      <c r="HI31" s="872">
        <f t="shared" si="78"/>
        <v>0</v>
      </c>
      <c r="HJ31" s="873">
        <f t="shared" si="79"/>
        <v>0</v>
      </c>
    </row>
    <row r="32" spans="1:218" s="341" customFormat="1" ht="15" customHeight="1" x14ac:dyDescent="0.2">
      <c r="A32" s="21">
        <v>21</v>
      </c>
      <c r="B32" s="21" t="s">
        <v>76</v>
      </c>
      <c r="C32" s="275" t="s">
        <v>287</v>
      </c>
      <c r="D32" s="21">
        <v>25</v>
      </c>
      <c r="E32" s="24"/>
      <c r="F32" s="24">
        <v>9449</v>
      </c>
      <c r="G32" s="24"/>
      <c r="H32" s="24"/>
      <c r="I32" s="360"/>
      <c r="J32" s="360">
        <f>SUMIF(SUMPK!$B:$B,$B:$B,SUMPK!$O:$O)</f>
        <v>0</v>
      </c>
      <c r="K32" s="24"/>
      <c r="L32" s="24">
        <f t="shared" si="89"/>
        <v>9449</v>
      </c>
      <c r="M32" s="15">
        <f t="shared" si="90"/>
        <v>9449</v>
      </c>
      <c r="N32" s="15">
        <v>1058.3333333333333</v>
      </c>
      <c r="O32" s="276">
        <f t="shared" si="26"/>
        <v>8.9281889763779532</v>
      </c>
      <c r="P32" s="15"/>
      <c r="Q32" s="711">
        <f t="shared" si="27"/>
        <v>3733.3333333333335</v>
      </c>
      <c r="R32" s="276">
        <f t="shared" si="28"/>
        <v>0</v>
      </c>
      <c r="S32" s="712">
        <f t="shared" si="29"/>
        <v>861.53846153846155</v>
      </c>
      <c r="T32" s="713">
        <v>22400</v>
      </c>
      <c r="U32" s="276">
        <f t="shared" si="86"/>
        <v>10.967589285714286</v>
      </c>
      <c r="V32" s="278"/>
      <c r="W32" s="276">
        <f t="shared" si="31"/>
        <v>10.967589285714286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2"/>
        <v>5037</v>
      </c>
      <c r="AH32" s="211">
        <f t="shared" si="33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4"/>
        <v>2704</v>
      </c>
      <c r="AP32" s="809">
        <f t="shared" si="35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6"/>
        <v>792</v>
      </c>
      <c r="AX32" s="211">
        <f t="shared" si="37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38"/>
        <v>4224</v>
      </c>
      <c r="BF32" s="211">
        <f t="shared" si="39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0"/>
        <v>0</v>
      </c>
      <c r="BN32" s="211">
        <f t="shared" si="41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2"/>
        <v>4428</v>
      </c>
      <c r="BV32" s="211">
        <f t="shared" si="43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4"/>
        <v>2627</v>
      </c>
      <c r="CD32" s="211">
        <f t="shared" si="45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6"/>
        <v>4016</v>
      </c>
      <c r="CL32" s="211">
        <f t="shared" si="47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48"/>
        <v>5732</v>
      </c>
      <c r="CT32" s="211">
        <f t="shared" si="49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0"/>
        <v>4895</v>
      </c>
      <c r="DB32" s="211">
        <f t="shared" si="51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2"/>
        <v>0</v>
      </c>
      <c r="DJ32" s="211">
        <f t="shared" si="53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4"/>
        <v>7258</v>
      </c>
      <c r="DR32" s="211">
        <f t="shared" si="55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6"/>
        <v>5541</v>
      </c>
      <c r="DZ32" s="211">
        <f t="shared" si="57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58"/>
        <v>4856</v>
      </c>
      <c r="EH32" s="211">
        <f t="shared" si="59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0"/>
        <v>545</v>
      </c>
      <c r="EP32" s="211">
        <f t="shared" si="61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2"/>
        <v>4190</v>
      </c>
      <c r="EX32" s="211">
        <f t="shared" si="63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4"/>
        <v>4534</v>
      </c>
      <c r="FF32" s="211">
        <f t="shared" si="65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6"/>
        <v>0</v>
      </c>
      <c r="FN32" s="211">
        <f t="shared" si="67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68"/>
        <v>9281</v>
      </c>
      <c r="FV32" s="211">
        <f t="shared" si="69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0"/>
        <v>0</v>
      </c>
      <c r="GD32" s="211">
        <f t="shared" si="71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2"/>
        <v>5045</v>
      </c>
      <c r="GL32" s="211">
        <f t="shared" si="73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4"/>
        <v>3039</v>
      </c>
      <c r="GT32" s="873">
        <f t="shared" si="75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6"/>
        <v>6350</v>
      </c>
      <c r="HB32" s="873">
        <f t="shared" si="77"/>
        <v>1058.3333333333333</v>
      </c>
      <c r="HC32" s="346">
        <v>0</v>
      </c>
      <c r="HD32" s="343"/>
      <c r="HE32" s="343">
        <v>0</v>
      </c>
      <c r="HF32" s="343"/>
      <c r="HG32" s="343"/>
      <c r="HH32" s="343"/>
      <c r="HI32" s="872">
        <f t="shared" si="78"/>
        <v>0</v>
      </c>
      <c r="HJ32" s="873">
        <f t="shared" si="79"/>
        <v>0</v>
      </c>
    </row>
    <row r="33" spans="1:218" s="341" customFormat="1" ht="15" customHeight="1" x14ac:dyDescent="0.2">
      <c r="A33" s="21">
        <v>22</v>
      </c>
      <c r="B33" s="21" t="s">
        <v>76</v>
      </c>
      <c r="C33" s="275" t="s">
        <v>288</v>
      </c>
      <c r="D33" s="21">
        <v>25</v>
      </c>
      <c r="E33" s="24"/>
      <c r="F33" s="24">
        <v>4924</v>
      </c>
      <c r="G33" s="24"/>
      <c r="H33" s="24"/>
      <c r="I33" s="360"/>
      <c r="J33" s="360"/>
      <c r="K33" s="24"/>
      <c r="L33" s="24">
        <f t="shared" si="89"/>
        <v>4924</v>
      </c>
      <c r="M33" s="15">
        <f t="shared" si="90"/>
        <v>4924</v>
      </c>
      <c r="N33" s="15">
        <v>0</v>
      </c>
      <c r="O33" s="276">
        <f t="shared" si="26"/>
        <v>0</v>
      </c>
      <c r="P33" s="15"/>
      <c r="Q33" s="711">
        <f t="shared" si="27"/>
        <v>640</v>
      </c>
      <c r="R33" s="276">
        <f t="shared" si="28"/>
        <v>0</v>
      </c>
      <c r="S33" s="712">
        <f t="shared" si="29"/>
        <v>147.69230769230768</v>
      </c>
      <c r="T33" s="713">
        <v>3840</v>
      </c>
      <c r="U33" s="276">
        <f t="shared" si="86"/>
        <v>33.339583333333337</v>
      </c>
      <c r="V33" s="278"/>
      <c r="W33" s="276">
        <f t="shared" si="31"/>
        <v>33.339583333333337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2"/>
        <v>1000</v>
      </c>
      <c r="AH33" s="211">
        <f t="shared" si="33"/>
        <v>166.66666666666666</v>
      </c>
      <c r="AI33" s="755"/>
      <c r="AJ33" s="345"/>
      <c r="AK33" s="345"/>
      <c r="AL33" s="345"/>
      <c r="AM33" s="345"/>
      <c r="AN33" s="345"/>
      <c r="AO33" s="808">
        <f t="shared" si="34"/>
        <v>0</v>
      </c>
      <c r="AP33" s="809">
        <f t="shared" si="35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6"/>
        <v>745</v>
      </c>
      <c r="AX33" s="211">
        <f t="shared" si="37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38"/>
        <v>1252</v>
      </c>
      <c r="BF33" s="211">
        <f t="shared" si="39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0"/>
        <v>1125</v>
      </c>
      <c r="BN33" s="211">
        <f t="shared" si="41"/>
        <v>187.5</v>
      </c>
      <c r="BO33" s="755"/>
      <c r="BP33" s="345"/>
      <c r="BQ33" s="345"/>
      <c r="BR33" s="345"/>
      <c r="BS33" s="345"/>
      <c r="BT33" s="345"/>
      <c r="BU33" s="808">
        <f t="shared" si="42"/>
        <v>0</v>
      </c>
      <c r="BV33" s="211">
        <f t="shared" si="43"/>
        <v>0</v>
      </c>
      <c r="BW33" s="755"/>
      <c r="BX33" s="345"/>
      <c r="BY33" s="345"/>
      <c r="BZ33" s="345"/>
      <c r="CA33" s="345"/>
      <c r="CB33" s="345"/>
      <c r="CC33" s="808">
        <f t="shared" si="44"/>
        <v>0</v>
      </c>
      <c r="CD33" s="211">
        <f t="shared" si="45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6"/>
        <v>0</v>
      </c>
      <c r="CL33" s="211">
        <f t="shared" si="47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48"/>
        <v>0</v>
      </c>
      <c r="CT33" s="211">
        <f t="shared" si="49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0"/>
        <v>697</v>
      </c>
      <c r="DB33" s="211">
        <f t="shared" si="51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2"/>
        <v>1105</v>
      </c>
      <c r="DJ33" s="211">
        <f t="shared" si="53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4"/>
        <v>298</v>
      </c>
      <c r="DR33" s="211">
        <f t="shared" si="55"/>
        <v>49.666666666666664</v>
      </c>
      <c r="DS33" s="346"/>
      <c r="DT33" s="343"/>
      <c r="DU33" s="343"/>
      <c r="DV33" s="343"/>
      <c r="DW33" s="343"/>
      <c r="DX33" s="343"/>
      <c r="DY33" s="808">
        <f t="shared" si="56"/>
        <v>0</v>
      </c>
      <c r="DZ33" s="211">
        <f t="shared" si="57"/>
        <v>0</v>
      </c>
      <c r="EA33" s="346"/>
      <c r="EB33" s="343"/>
      <c r="EC33" s="343"/>
      <c r="ED33" s="343"/>
      <c r="EE33" s="343"/>
      <c r="EF33" s="343"/>
      <c r="EG33" s="808">
        <f t="shared" si="58"/>
        <v>0</v>
      </c>
      <c r="EH33" s="211">
        <f t="shared" si="59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0"/>
        <v>1349</v>
      </c>
      <c r="EP33" s="211">
        <f t="shared" si="61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2"/>
        <v>1070</v>
      </c>
      <c r="EX33" s="211">
        <f t="shared" si="63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4"/>
        <v>1700</v>
      </c>
      <c r="FF33" s="211">
        <f t="shared" si="65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6"/>
        <v>400</v>
      </c>
      <c r="FN33" s="211">
        <f t="shared" si="67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68"/>
        <v>1400</v>
      </c>
      <c r="FV33" s="211">
        <f t="shared" si="69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0"/>
        <v>0</v>
      </c>
      <c r="GD33" s="211">
        <f t="shared" si="71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2"/>
        <v>1464</v>
      </c>
      <c r="GL33" s="211">
        <f t="shared" si="73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4"/>
        <v>696</v>
      </c>
      <c r="GT33" s="873">
        <f t="shared" si="75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6"/>
        <v>0</v>
      </c>
      <c r="HB33" s="873">
        <f t="shared" si="77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78"/>
        <v>965</v>
      </c>
      <c r="HJ33" s="873">
        <f t="shared" si="79"/>
        <v>160.83333333333334</v>
      </c>
    </row>
    <row r="34" spans="1:218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1684</v>
      </c>
      <c r="G34" s="24"/>
      <c r="H34" s="24"/>
      <c r="I34" s="24"/>
      <c r="J34" s="360">
        <f>SUMIF(SUMPK!$B:$B,$B:$B,SUMPK!$O:$O)</f>
        <v>0</v>
      </c>
      <c r="K34" s="24"/>
      <c r="L34" s="24">
        <f t="shared" si="89"/>
        <v>1684</v>
      </c>
      <c r="M34" s="15">
        <f t="shared" si="90"/>
        <v>1684</v>
      </c>
      <c r="N34" s="15">
        <v>388.66666666666669</v>
      </c>
      <c r="O34" s="276">
        <f t="shared" si="26"/>
        <v>4.3327615780445967</v>
      </c>
      <c r="P34" s="15">
        <v>334.83333333333331</v>
      </c>
      <c r="Q34" s="711">
        <f t="shared" si="27"/>
        <v>106.66666666666667</v>
      </c>
      <c r="R34" s="276">
        <f t="shared" si="28"/>
        <v>30.176207068193133</v>
      </c>
      <c r="S34" s="712">
        <f t="shared" si="29"/>
        <v>24.615384615384617</v>
      </c>
      <c r="T34" s="713">
        <v>640</v>
      </c>
      <c r="U34" s="276">
        <f t="shared" si="86"/>
        <v>68.412499999999994</v>
      </c>
      <c r="V34" s="278"/>
      <c r="W34" s="276">
        <f t="shared" si="31"/>
        <v>68.412499999999994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2"/>
        <v>0</v>
      </c>
      <c r="AH34" s="211">
        <f t="shared" si="33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4"/>
        <v>665</v>
      </c>
      <c r="AP34" s="809">
        <f t="shared" si="35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6"/>
        <v>706</v>
      </c>
      <c r="AX34" s="211">
        <f t="shared" si="37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38"/>
        <v>0</v>
      </c>
      <c r="BF34" s="211">
        <f t="shared" si="39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0"/>
        <v>0</v>
      </c>
      <c r="BN34" s="211">
        <f t="shared" si="41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2"/>
        <v>0</v>
      </c>
      <c r="BV34" s="211">
        <f t="shared" si="43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4"/>
        <v>658</v>
      </c>
      <c r="CD34" s="211">
        <f t="shared" si="45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6"/>
        <v>1352</v>
      </c>
      <c r="CL34" s="211">
        <f t="shared" si="47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48"/>
        <v>1015</v>
      </c>
      <c r="CT34" s="211">
        <f t="shared" si="49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0"/>
        <v>0</v>
      </c>
      <c r="DB34" s="211">
        <f t="shared" si="51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2"/>
        <v>200</v>
      </c>
      <c r="DJ34" s="211">
        <f t="shared" si="53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4"/>
        <v>0</v>
      </c>
      <c r="DR34" s="211">
        <f t="shared" si="55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6"/>
        <v>0</v>
      </c>
      <c r="DZ34" s="211">
        <f t="shared" si="57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58"/>
        <v>0</v>
      </c>
      <c r="EH34" s="211">
        <f t="shared" si="59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0"/>
        <v>0</v>
      </c>
      <c r="EP34" s="211">
        <f t="shared" si="61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2"/>
        <v>0</v>
      </c>
      <c r="EX34" s="211">
        <f t="shared" si="63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4"/>
        <v>0</v>
      </c>
      <c r="FF34" s="211">
        <f t="shared" si="65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6"/>
        <v>2000</v>
      </c>
      <c r="FN34" s="211">
        <f t="shared" si="67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68"/>
        <v>2170</v>
      </c>
      <c r="FV34" s="211">
        <f t="shared" si="69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0"/>
        <v>3000</v>
      </c>
      <c r="GD34" s="211">
        <f t="shared" si="71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2"/>
        <v>178</v>
      </c>
      <c r="GL34" s="211">
        <f t="shared" si="73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4"/>
        <v>1492</v>
      </c>
      <c r="GT34" s="873">
        <f t="shared" si="75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6"/>
        <v>2332</v>
      </c>
      <c r="HB34" s="873">
        <f t="shared" si="77"/>
        <v>388.66666666666669</v>
      </c>
      <c r="HC34" s="346">
        <v>0</v>
      </c>
      <c r="HD34" s="343">
        <v>0</v>
      </c>
      <c r="HE34" s="343">
        <v>0</v>
      </c>
      <c r="HF34" s="343"/>
      <c r="HG34" s="343"/>
      <c r="HH34" s="343"/>
      <c r="HI34" s="872">
        <f t="shared" si="78"/>
        <v>0</v>
      </c>
      <c r="HJ34" s="873">
        <f t="shared" si="79"/>
        <v>0</v>
      </c>
    </row>
    <row r="35" spans="1:218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3209</v>
      </c>
      <c r="G35" s="24"/>
      <c r="H35" s="24"/>
      <c r="I35" s="360"/>
      <c r="J35" s="360">
        <f>SUMIF(SUMPK!$B:$B,$B:$B,SUMPK!$O:$O)</f>
        <v>0</v>
      </c>
      <c r="K35" s="24"/>
      <c r="L35" s="24">
        <f t="shared" si="89"/>
        <v>3209</v>
      </c>
      <c r="M35" s="15">
        <f t="shared" si="90"/>
        <v>3209</v>
      </c>
      <c r="N35" s="15">
        <v>0</v>
      </c>
      <c r="O35" s="276">
        <f t="shared" si="26"/>
        <v>0</v>
      </c>
      <c r="P35" s="15">
        <v>112</v>
      </c>
      <c r="Q35" s="711">
        <f t="shared" si="27"/>
        <v>666.66666666666663</v>
      </c>
      <c r="R35" s="276">
        <f t="shared" si="28"/>
        <v>171.91071428571428</v>
      </c>
      <c r="S35" s="712">
        <f t="shared" si="29"/>
        <v>153.84615384615384</v>
      </c>
      <c r="T35" s="713">
        <v>4000</v>
      </c>
      <c r="U35" s="276">
        <f t="shared" si="86"/>
        <v>20.858499999999999</v>
      </c>
      <c r="V35" s="278"/>
      <c r="W35" s="276">
        <f t="shared" si="31"/>
        <v>20.858499999999999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2"/>
        <v>679</v>
      </c>
      <c r="AH35" s="211">
        <f t="shared" si="33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4"/>
        <v>682</v>
      </c>
      <c r="AP35" s="809">
        <f t="shared" si="35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6"/>
        <v>676</v>
      </c>
      <c r="AX35" s="211">
        <f t="shared" si="37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38"/>
        <v>672</v>
      </c>
      <c r="BF35" s="211">
        <f t="shared" si="39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0"/>
        <v>660</v>
      </c>
      <c r="BN35" s="211">
        <f t="shared" si="41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2"/>
        <v>1712</v>
      </c>
      <c r="BV35" s="211">
        <f t="shared" si="43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4"/>
        <v>150</v>
      </c>
      <c r="CD35" s="211">
        <f t="shared" si="45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6"/>
        <v>1728</v>
      </c>
      <c r="CL35" s="211">
        <f t="shared" si="47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48"/>
        <v>2151</v>
      </c>
      <c r="CT35" s="211">
        <f t="shared" si="49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0"/>
        <v>0</v>
      </c>
      <c r="DB35" s="211">
        <f t="shared" si="51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2"/>
        <v>1995</v>
      </c>
      <c r="DJ35" s="211">
        <f t="shared" si="53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4"/>
        <v>1025</v>
      </c>
      <c r="DR35" s="211">
        <f t="shared" si="55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6"/>
        <v>1661</v>
      </c>
      <c r="DZ35" s="211">
        <f t="shared" si="57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58"/>
        <v>993</v>
      </c>
      <c r="EH35" s="211">
        <f t="shared" si="59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0"/>
        <v>676</v>
      </c>
      <c r="EP35" s="211">
        <f t="shared" si="61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2"/>
        <v>1091</v>
      </c>
      <c r="EX35" s="211">
        <f t="shared" si="63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4"/>
        <v>985</v>
      </c>
      <c r="FF35" s="211">
        <f t="shared" si="65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6"/>
        <v>542</v>
      </c>
      <c r="FN35" s="211">
        <f t="shared" si="67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68"/>
        <v>1361</v>
      </c>
      <c r="FV35" s="211">
        <f t="shared" si="69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0"/>
        <v>681</v>
      </c>
      <c r="GD35" s="211">
        <f t="shared" si="71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2"/>
        <v>682</v>
      </c>
      <c r="GL35" s="211">
        <f t="shared" si="73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4"/>
        <v>578</v>
      </c>
      <c r="GT35" s="873">
        <f t="shared" si="75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6"/>
        <v>0</v>
      </c>
      <c r="HB35" s="873">
        <f t="shared" si="77"/>
        <v>0</v>
      </c>
      <c r="HC35" s="346">
        <v>0</v>
      </c>
      <c r="HD35" s="343">
        <v>0</v>
      </c>
      <c r="HE35" s="343">
        <v>680</v>
      </c>
      <c r="HF35" s="343"/>
      <c r="HG35" s="343"/>
      <c r="HH35" s="343"/>
      <c r="HI35" s="872">
        <f t="shared" si="78"/>
        <v>680</v>
      </c>
      <c r="HJ35" s="873">
        <f t="shared" si="79"/>
        <v>113.33333333333333</v>
      </c>
    </row>
    <row r="36" spans="1:218" s="341" customFormat="1" ht="15" hidden="1" customHeight="1" x14ac:dyDescent="0.2">
      <c r="A36" s="21">
        <v>25</v>
      </c>
      <c r="B36" s="21" t="s">
        <v>324</v>
      </c>
      <c r="C36" s="275" t="s">
        <v>325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89"/>
        <v>0</v>
      </c>
      <c r="M36" s="15">
        <f t="shared" si="90"/>
        <v>0</v>
      </c>
      <c r="N36" s="15">
        <v>0</v>
      </c>
      <c r="O36" s="276">
        <f t="shared" si="26"/>
        <v>0</v>
      </c>
      <c r="P36" s="15"/>
      <c r="Q36" s="711">
        <f t="shared" si="27"/>
        <v>0</v>
      </c>
      <c r="R36" s="276"/>
      <c r="S36" s="712">
        <f t="shared" si="29"/>
        <v>0</v>
      </c>
      <c r="T36" s="713"/>
      <c r="U36" s="276">
        <f t="shared" si="86"/>
        <v>0</v>
      </c>
      <c r="V36" s="278"/>
      <c r="W36" s="276">
        <f t="shared" si="31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2"/>
        <v>0</v>
      </c>
      <c r="AH36" s="211">
        <f t="shared" si="33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4"/>
        <v>0</v>
      </c>
      <c r="AP36" s="809">
        <f t="shared" si="35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6"/>
        <v>0</v>
      </c>
      <c r="AX36" s="211">
        <f t="shared" si="37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38"/>
        <v>662</v>
      </c>
      <c r="BF36" s="211">
        <f t="shared" si="39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0"/>
        <v>0</v>
      </c>
      <c r="BN36" s="211">
        <f t="shared" si="41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2"/>
        <v>0</v>
      </c>
      <c r="BV36" s="211">
        <f t="shared" si="43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4"/>
        <v>0</v>
      </c>
      <c r="CD36" s="211">
        <f t="shared" si="45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6"/>
        <v>0</v>
      </c>
      <c r="CL36" s="211">
        <f t="shared" si="47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48"/>
        <v>0</v>
      </c>
      <c r="CT36" s="211">
        <f t="shared" si="49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0"/>
        <v>0</v>
      </c>
      <c r="DB36" s="211">
        <f t="shared" si="51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2"/>
        <v>0</v>
      </c>
      <c r="DJ36" s="211">
        <f t="shared" si="53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4"/>
        <v>0</v>
      </c>
      <c r="DR36" s="211">
        <f t="shared" si="55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6"/>
        <v>0</v>
      </c>
      <c r="DZ36" s="211">
        <f t="shared" si="57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58"/>
        <v>0</v>
      </c>
      <c r="EH36" s="211">
        <f t="shared" si="59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0"/>
        <v>0</v>
      </c>
      <c r="EP36" s="211">
        <f t="shared" si="61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2"/>
        <v>0</v>
      </c>
      <c r="EX36" s="211">
        <f t="shared" si="63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4"/>
        <v>0</v>
      </c>
      <c r="FF36" s="211">
        <f t="shared" si="65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6"/>
        <v>0</v>
      </c>
      <c r="FN36" s="211">
        <f t="shared" si="67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68"/>
        <v>0</v>
      </c>
      <c r="FV36" s="211">
        <f t="shared" si="69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0"/>
        <v>0</v>
      </c>
      <c r="GD36" s="211">
        <f t="shared" si="71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2"/>
        <v>0</v>
      </c>
      <c r="GL36" s="211">
        <f t="shared" si="73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4"/>
        <v>0</v>
      </c>
      <c r="GT36" s="873">
        <f t="shared" si="75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6"/>
        <v>0</v>
      </c>
      <c r="HB36" s="873">
        <f t="shared" si="77"/>
        <v>0</v>
      </c>
      <c r="HC36" s="346">
        <v>0</v>
      </c>
      <c r="HD36" s="343">
        <v>0</v>
      </c>
      <c r="HE36" s="343">
        <v>0</v>
      </c>
      <c r="HF36" s="343"/>
      <c r="HG36" s="343"/>
      <c r="HH36" s="343"/>
      <c r="HI36" s="872">
        <f t="shared" si="78"/>
        <v>0</v>
      </c>
      <c r="HJ36" s="873">
        <f t="shared" si="79"/>
        <v>0</v>
      </c>
    </row>
    <row r="37" spans="1:218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3486</v>
      </c>
      <c r="G37" s="24"/>
      <c r="H37" s="24"/>
      <c r="I37" s="360"/>
      <c r="J37" s="360">
        <f>SUMIF(SUMPK!$B:$B,$B:$B,SUMPK!$O:$O)</f>
        <v>0</v>
      </c>
      <c r="K37" s="24"/>
      <c r="L37" s="24">
        <f t="shared" si="80"/>
        <v>3486</v>
      </c>
      <c r="M37" s="15">
        <f t="shared" si="25"/>
        <v>3486</v>
      </c>
      <c r="N37" s="15">
        <v>106.5</v>
      </c>
      <c r="O37" s="276">
        <f t="shared" si="26"/>
        <v>32.732394366197184</v>
      </c>
      <c r="P37" s="15">
        <v>43.833333333333336</v>
      </c>
      <c r="Q37" s="711">
        <f t="shared" si="27"/>
        <v>533.33333333333337</v>
      </c>
      <c r="R37" s="276">
        <f t="shared" si="28"/>
        <v>477.17110266159693</v>
      </c>
      <c r="S37" s="712">
        <f t="shared" si="29"/>
        <v>123.07692307692308</v>
      </c>
      <c r="T37" s="713">
        <v>3200</v>
      </c>
      <c r="U37" s="276">
        <f t="shared" si="86"/>
        <v>28.32375</v>
      </c>
      <c r="V37" s="278"/>
      <c r="W37" s="276">
        <f t="shared" si="31"/>
        <v>28.32375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2"/>
        <v>638</v>
      </c>
      <c r="AH37" s="211">
        <f t="shared" si="33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4"/>
        <v>615</v>
      </c>
      <c r="AP37" s="809">
        <f t="shared" si="35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6"/>
        <v>786</v>
      </c>
      <c r="AX37" s="211">
        <f t="shared" si="37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38"/>
        <v>820</v>
      </c>
      <c r="BF37" s="211">
        <f t="shared" si="39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0"/>
        <v>284</v>
      </c>
      <c r="BN37" s="211">
        <f t="shared" si="41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2"/>
        <v>754</v>
      </c>
      <c r="BV37" s="211">
        <f t="shared" si="43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4"/>
        <v>0</v>
      </c>
      <c r="CD37" s="211">
        <f t="shared" si="45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6"/>
        <v>330</v>
      </c>
      <c r="CL37" s="211">
        <f t="shared" si="47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48"/>
        <v>2714</v>
      </c>
      <c r="CT37" s="211">
        <f t="shared" si="49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0"/>
        <v>0</v>
      </c>
      <c r="DB37" s="211">
        <f t="shared" si="51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2"/>
        <v>954</v>
      </c>
      <c r="DJ37" s="211">
        <f t="shared" si="53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4"/>
        <v>0</v>
      </c>
      <c r="DR37" s="211">
        <f t="shared" si="55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6"/>
        <v>229</v>
      </c>
      <c r="DZ37" s="211">
        <f t="shared" si="57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58"/>
        <v>0</v>
      </c>
      <c r="EH37" s="211">
        <f t="shared" si="59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0"/>
        <v>662</v>
      </c>
      <c r="EP37" s="211">
        <f t="shared" si="61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2"/>
        <v>706</v>
      </c>
      <c r="EX37" s="211">
        <f t="shared" si="63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4"/>
        <v>384</v>
      </c>
      <c r="FF37" s="211">
        <f t="shared" si="65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6"/>
        <v>0</v>
      </c>
      <c r="FN37" s="211">
        <f t="shared" si="67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68"/>
        <v>577</v>
      </c>
      <c r="FV37" s="211">
        <f t="shared" si="69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0"/>
        <v>313</v>
      </c>
      <c r="GD37" s="211">
        <f t="shared" si="71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2"/>
        <v>477</v>
      </c>
      <c r="GL37" s="211">
        <f t="shared" si="73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4"/>
        <v>618</v>
      </c>
      <c r="GT37" s="873">
        <f t="shared" si="75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6"/>
        <v>639</v>
      </c>
      <c r="HB37" s="873">
        <f t="shared" si="77"/>
        <v>106.5</v>
      </c>
      <c r="HC37" s="346">
        <v>0</v>
      </c>
      <c r="HD37" s="343">
        <v>0</v>
      </c>
      <c r="HE37" s="343">
        <v>0</v>
      </c>
      <c r="HF37" s="343"/>
      <c r="HG37" s="343"/>
      <c r="HH37" s="343"/>
      <c r="HI37" s="872">
        <f t="shared" si="78"/>
        <v>0</v>
      </c>
      <c r="HJ37" s="873">
        <f t="shared" si="79"/>
        <v>0</v>
      </c>
    </row>
    <row r="38" spans="1:218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6145</v>
      </c>
      <c r="G38" s="24"/>
      <c r="H38" s="24"/>
      <c r="I38" s="360"/>
      <c r="J38" s="360">
        <f>SUMIF(SUMPK!$B:$B,$B:$B,SUMPK!$O:$O)</f>
        <v>0</v>
      </c>
      <c r="K38" s="24"/>
      <c r="L38" s="24">
        <f t="shared" ref="L38:L54" si="91">F38+H38-J38</f>
        <v>6145</v>
      </c>
      <c r="M38" s="15">
        <f t="shared" ref="M38:M54" si="92">K38+L38</f>
        <v>6145</v>
      </c>
      <c r="N38" s="15">
        <v>187.5</v>
      </c>
      <c r="O38" s="276">
        <f t="shared" si="26"/>
        <v>32.773333333333333</v>
      </c>
      <c r="P38" s="15">
        <v>412.33333333333331</v>
      </c>
      <c r="Q38" s="711">
        <f t="shared" si="27"/>
        <v>1066.6666666666667</v>
      </c>
      <c r="R38" s="276">
        <f t="shared" si="28"/>
        <v>89.41794664510914</v>
      </c>
      <c r="S38" s="712">
        <f t="shared" si="29"/>
        <v>246.15384615384616</v>
      </c>
      <c r="T38" s="713">
        <v>6400</v>
      </c>
      <c r="U38" s="276">
        <f t="shared" si="86"/>
        <v>24.964062500000001</v>
      </c>
      <c r="V38" s="278"/>
      <c r="W38" s="276">
        <f t="shared" si="31"/>
        <v>24.964062500000001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2"/>
        <v>600</v>
      </c>
      <c r="AH38" s="211">
        <f t="shared" si="33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4"/>
        <v>1955</v>
      </c>
      <c r="AP38" s="809">
        <f t="shared" si="35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6"/>
        <v>1090</v>
      </c>
      <c r="AX38" s="211">
        <f t="shared" si="37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38"/>
        <v>2482</v>
      </c>
      <c r="BF38" s="211">
        <f t="shared" si="39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0"/>
        <v>190</v>
      </c>
      <c r="BN38" s="211">
        <f t="shared" si="41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2"/>
        <v>2055</v>
      </c>
      <c r="BV38" s="211">
        <f t="shared" si="43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4"/>
        <v>2641</v>
      </c>
      <c r="CD38" s="211">
        <f t="shared" si="45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6"/>
        <v>1350</v>
      </c>
      <c r="CL38" s="211">
        <f t="shared" si="47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48"/>
        <v>1739</v>
      </c>
      <c r="CT38" s="211">
        <f t="shared" si="49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0"/>
        <v>664</v>
      </c>
      <c r="DB38" s="211">
        <f t="shared" si="51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2"/>
        <v>675</v>
      </c>
      <c r="DJ38" s="211">
        <f t="shared" si="53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4"/>
        <v>1105</v>
      </c>
      <c r="DR38" s="211">
        <f t="shared" si="55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6"/>
        <v>936</v>
      </c>
      <c r="DZ38" s="211">
        <f t="shared" si="57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58"/>
        <v>732</v>
      </c>
      <c r="EH38" s="211">
        <f t="shared" si="59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0"/>
        <v>1322</v>
      </c>
      <c r="EP38" s="211">
        <f t="shared" si="61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2"/>
        <v>256</v>
      </c>
      <c r="EX38" s="211">
        <f t="shared" si="63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4"/>
        <v>743</v>
      </c>
      <c r="FF38" s="211">
        <f t="shared" si="65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6"/>
        <v>1129</v>
      </c>
      <c r="FN38" s="211">
        <f t="shared" si="67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68"/>
        <v>3091</v>
      </c>
      <c r="FV38" s="211">
        <f t="shared" si="69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0"/>
        <v>1635</v>
      </c>
      <c r="GD38" s="211">
        <f t="shared" si="71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2"/>
        <v>1696</v>
      </c>
      <c r="GL38" s="211">
        <f t="shared" si="73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4"/>
        <v>703</v>
      </c>
      <c r="GT38" s="873">
        <f t="shared" si="75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6"/>
        <v>1125</v>
      </c>
      <c r="HB38" s="873">
        <f t="shared" si="77"/>
        <v>187.5</v>
      </c>
      <c r="HC38" s="346">
        <v>0</v>
      </c>
      <c r="HD38" s="343">
        <v>0</v>
      </c>
      <c r="HE38" s="343">
        <v>432</v>
      </c>
      <c r="HF38" s="343"/>
      <c r="HG38" s="343"/>
      <c r="HH38" s="343"/>
      <c r="HI38" s="872">
        <f t="shared" si="78"/>
        <v>432</v>
      </c>
      <c r="HJ38" s="873">
        <f t="shared" si="79"/>
        <v>72</v>
      </c>
    </row>
    <row r="39" spans="1:218" s="341" customFormat="1" ht="15" customHeight="1" x14ac:dyDescent="0.2">
      <c r="A39" s="21">
        <v>28</v>
      </c>
      <c r="B39" s="21" t="s">
        <v>488</v>
      </c>
      <c r="C39" s="275" t="s">
        <v>485</v>
      </c>
      <c r="D39" s="296">
        <v>5</v>
      </c>
      <c r="E39" s="24"/>
      <c r="F39" s="24">
        <v>635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91"/>
        <v>635</v>
      </c>
      <c r="M39" s="15">
        <f t="shared" si="92"/>
        <v>635</v>
      </c>
      <c r="N39" s="15">
        <v>0</v>
      </c>
      <c r="O39" s="276">
        <f t="shared" si="26"/>
        <v>0</v>
      </c>
      <c r="P39" s="15"/>
      <c r="Q39" s="711"/>
      <c r="R39" s="276"/>
      <c r="S39" s="712">
        <f t="shared" si="29"/>
        <v>0</v>
      </c>
      <c r="T39" s="713"/>
      <c r="U39" s="276"/>
      <c r="V39" s="278"/>
      <c r="W39" s="276">
        <f t="shared" si="31"/>
        <v>0</v>
      </c>
      <c r="X39" s="823">
        <f>F39/(E39+F39)</f>
        <v>1</v>
      </c>
      <c r="Y39" s="305">
        <v>21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4"/>
        <v>20</v>
      </c>
      <c r="AP39" s="809">
        <f t="shared" si="35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6"/>
        <v>785</v>
      </c>
      <c r="AX39" s="211">
        <f t="shared" si="37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38"/>
        <v>200</v>
      </c>
      <c r="BF39" s="211">
        <f t="shared" si="39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0"/>
        <v>0</v>
      </c>
      <c r="BN39" s="211">
        <f t="shared" si="41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2"/>
        <v>0</v>
      </c>
      <c r="BV39" s="211">
        <f t="shared" si="43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4"/>
        <v>0</v>
      </c>
      <c r="CD39" s="211">
        <f t="shared" si="45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6"/>
        <v>140</v>
      </c>
      <c r="CL39" s="211">
        <f t="shared" si="47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48"/>
        <v>115</v>
      </c>
      <c r="CT39" s="211">
        <f t="shared" si="49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0"/>
        <v>280</v>
      </c>
      <c r="DB39" s="211">
        <f t="shared" si="51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2"/>
        <v>400</v>
      </c>
      <c r="DJ39" s="211">
        <f t="shared" si="53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4"/>
        <v>400</v>
      </c>
      <c r="DR39" s="211">
        <f t="shared" si="55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6"/>
        <v>0</v>
      </c>
      <c r="DZ39" s="211">
        <f t="shared" si="57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58"/>
        <v>0</v>
      </c>
      <c r="EH39" s="211">
        <f t="shared" si="59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0"/>
        <v>0</v>
      </c>
      <c r="EP39" s="211">
        <f t="shared" si="61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2"/>
        <v>450</v>
      </c>
      <c r="EX39" s="211">
        <f t="shared" si="63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4"/>
        <v>500</v>
      </c>
      <c r="FF39" s="211">
        <f t="shared" si="65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6"/>
        <v>0</v>
      </c>
      <c r="FN39" s="211">
        <f t="shared" si="67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68"/>
        <v>0</v>
      </c>
      <c r="FV39" s="211">
        <f t="shared" si="69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0"/>
        <v>0</v>
      </c>
      <c r="GD39" s="211">
        <f t="shared" si="71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2"/>
        <v>0</v>
      </c>
      <c r="GL39" s="211">
        <f t="shared" si="73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4"/>
        <v>400</v>
      </c>
      <c r="GT39" s="873">
        <f t="shared" si="75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6"/>
        <v>0</v>
      </c>
      <c r="HB39" s="873">
        <f t="shared" si="77"/>
        <v>0</v>
      </c>
      <c r="HC39" s="346">
        <v>0</v>
      </c>
      <c r="HD39" s="343">
        <v>0</v>
      </c>
      <c r="HE39" s="343">
        <v>0</v>
      </c>
      <c r="HF39" s="343"/>
      <c r="HG39" s="343"/>
      <c r="HH39" s="343"/>
      <c r="HI39" s="872">
        <f t="shared" si="78"/>
        <v>0</v>
      </c>
      <c r="HJ39" s="873">
        <f t="shared" si="79"/>
        <v>0</v>
      </c>
    </row>
    <row r="40" spans="1:218" s="341" customFormat="1" ht="15" customHeight="1" x14ac:dyDescent="0.2">
      <c r="A40" s="21">
        <v>29</v>
      </c>
      <c r="B40" s="21" t="s">
        <v>501</v>
      </c>
      <c r="C40" s="275" t="s">
        <v>487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1"/>
        <v>127</v>
      </c>
      <c r="M40" s="15">
        <f t="shared" si="92"/>
        <v>127</v>
      </c>
      <c r="N40" s="15">
        <v>0</v>
      </c>
      <c r="O40" s="276">
        <f t="shared" si="26"/>
        <v>0</v>
      </c>
      <c r="P40" s="15"/>
      <c r="Q40" s="711"/>
      <c r="R40" s="276"/>
      <c r="S40" s="712">
        <f t="shared" si="29"/>
        <v>0</v>
      </c>
      <c r="T40" s="713"/>
      <c r="U40" s="276"/>
      <c r="V40" s="278"/>
      <c r="W40" s="276">
        <f t="shared" si="31"/>
        <v>0</v>
      </c>
      <c r="X40" s="823">
        <f t="shared" si="0"/>
        <v>1</v>
      </c>
      <c r="Y40" s="305">
        <v>21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4"/>
        <v>4</v>
      </c>
      <c r="AP40" s="809">
        <f t="shared" si="35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6"/>
        <v>117</v>
      </c>
      <c r="AX40" s="211">
        <f t="shared" si="37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38"/>
        <v>40</v>
      </c>
      <c r="BF40" s="211">
        <f t="shared" si="39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0"/>
        <v>0</v>
      </c>
      <c r="BN40" s="211">
        <f t="shared" si="41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2"/>
        <v>0</v>
      </c>
      <c r="BV40" s="211">
        <f t="shared" si="43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4"/>
        <v>0</v>
      </c>
      <c r="CD40" s="211">
        <f t="shared" si="45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6"/>
        <v>28</v>
      </c>
      <c r="CL40" s="211">
        <f t="shared" si="47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48"/>
        <v>23</v>
      </c>
      <c r="CT40" s="211">
        <f t="shared" si="49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0"/>
        <v>56</v>
      </c>
      <c r="DB40" s="211">
        <f t="shared" si="51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2"/>
        <v>80</v>
      </c>
      <c r="DJ40" s="211">
        <f t="shared" si="53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4"/>
        <v>80</v>
      </c>
      <c r="DR40" s="211">
        <f t="shared" si="55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6"/>
        <v>0</v>
      </c>
      <c r="DZ40" s="211">
        <f t="shared" si="57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58"/>
        <v>0</v>
      </c>
      <c r="EH40" s="211">
        <f t="shared" si="59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0"/>
        <v>0</v>
      </c>
      <c r="EP40" s="211">
        <f t="shared" si="61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2"/>
        <v>90</v>
      </c>
      <c r="EX40" s="211">
        <f t="shared" si="63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4"/>
        <v>100</v>
      </c>
      <c r="FF40" s="211">
        <f t="shared" si="65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6"/>
        <v>0</v>
      </c>
      <c r="FN40" s="211">
        <f t="shared" si="67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68"/>
        <v>0</v>
      </c>
      <c r="FV40" s="211">
        <f t="shared" si="69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0"/>
        <v>0</v>
      </c>
      <c r="GD40" s="211">
        <f t="shared" si="71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2"/>
        <v>0</v>
      </c>
      <c r="GL40" s="211">
        <f t="shared" si="73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4"/>
        <v>104</v>
      </c>
      <c r="GT40" s="873">
        <f t="shared" si="75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6"/>
        <v>0</v>
      </c>
      <c r="HB40" s="873">
        <f t="shared" si="77"/>
        <v>0</v>
      </c>
      <c r="HC40" s="346">
        <v>0</v>
      </c>
      <c r="HD40" s="343">
        <v>0</v>
      </c>
      <c r="HE40" s="343">
        <v>0</v>
      </c>
      <c r="HF40" s="343"/>
      <c r="HG40" s="343"/>
      <c r="HH40" s="343"/>
      <c r="HI40" s="872">
        <f t="shared" si="78"/>
        <v>0</v>
      </c>
      <c r="HJ40" s="873">
        <f t="shared" si="79"/>
        <v>0</v>
      </c>
    </row>
    <row r="41" spans="1:218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235</v>
      </c>
      <c r="G41" s="24"/>
      <c r="H41" s="24"/>
      <c r="I41" s="24"/>
      <c r="J41" s="360">
        <f>SUMIF(SUMPK!$B:$B,$B:$B,SUMPK!$O:$O)</f>
        <v>235</v>
      </c>
      <c r="K41" s="24"/>
      <c r="L41" s="24">
        <f t="shared" si="91"/>
        <v>0</v>
      </c>
      <c r="M41" s="15">
        <f t="shared" si="92"/>
        <v>0</v>
      </c>
      <c r="N41" s="15">
        <v>72.166666666666671</v>
      </c>
      <c r="O41" s="276">
        <f t="shared" si="26"/>
        <v>0</v>
      </c>
      <c r="P41" s="15">
        <v>300</v>
      </c>
      <c r="Q41" s="711">
        <f t="shared" si="27"/>
        <v>666.66666666666663</v>
      </c>
      <c r="R41" s="276">
        <f t="shared" si="28"/>
        <v>0</v>
      </c>
      <c r="S41" s="712">
        <f t="shared" si="29"/>
        <v>153.84615384615384</v>
      </c>
      <c r="T41" s="713">
        <v>4000</v>
      </c>
      <c r="U41" s="276">
        <f t="shared" si="86"/>
        <v>0</v>
      </c>
      <c r="V41" s="278"/>
      <c r="W41" s="276">
        <f t="shared" si="31"/>
        <v>0</v>
      </c>
      <c r="X41" s="823">
        <f>F41/(E41+F41)</f>
        <v>1</v>
      </c>
      <c r="Y41" s="305">
        <v>21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2"/>
        <v>432</v>
      </c>
      <c r="AH41" s="211">
        <f t="shared" si="33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4"/>
        <v>1174</v>
      </c>
      <c r="AP41" s="809">
        <f t="shared" si="35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6"/>
        <v>934</v>
      </c>
      <c r="AX41" s="211">
        <f t="shared" si="37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38"/>
        <v>139</v>
      </c>
      <c r="BF41" s="211">
        <f t="shared" si="39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0"/>
        <v>439</v>
      </c>
      <c r="BN41" s="211">
        <f t="shared" si="41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2"/>
        <v>963</v>
      </c>
      <c r="BV41" s="211">
        <f t="shared" si="43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4"/>
        <v>231</v>
      </c>
      <c r="CD41" s="211">
        <f t="shared" si="45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6"/>
        <v>883</v>
      </c>
      <c r="CL41" s="211">
        <f t="shared" si="47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48"/>
        <v>3150</v>
      </c>
      <c r="CT41" s="211">
        <f t="shared" si="49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0"/>
        <v>2963</v>
      </c>
      <c r="DB41" s="211">
        <f t="shared" si="51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2"/>
        <v>2916</v>
      </c>
      <c r="DJ41" s="211">
        <f t="shared" si="53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4"/>
        <v>605</v>
      </c>
      <c r="DR41" s="211">
        <f t="shared" si="55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6"/>
        <v>349</v>
      </c>
      <c r="DZ41" s="211">
        <f t="shared" si="57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58"/>
        <v>1227</v>
      </c>
      <c r="EH41" s="211">
        <f t="shared" si="59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0"/>
        <v>1908</v>
      </c>
      <c r="EP41" s="211">
        <f t="shared" si="61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2"/>
        <v>533</v>
      </c>
      <c r="EX41" s="211">
        <f t="shared" si="63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4"/>
        <v>1403</v>
      </c>
      <c r="FF41" s="211">
        <f t="shared" si="65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6"/>
        <v>35</v>
      </c>
      <c r="FN41" s="211">
        <f t="shared" si="67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68"/>
        <v>1039</v>
      </c>
      <c r="FV41" s="211">
        <f t="shared" si="69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0"/>
        <v>818</v>
      </c>
      <c r="GD41" s="211">
        <f t="shared" si="71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2"/>
        <v>646</v>
      </c>
      <c r="GL41" s="211">
        <f t="shared" si="73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4"/>
        <v>286</v>
      </c>
      <c r="GT41" s="873">
        <f t="shared" si="75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6"/>
        <v>433</v>
      </c>
      <c r="HB41" s="873">
        <f t="shared" si="77"/>
        <v>72.166666666666671</v>
      </c>
      <c r="HC41" s="346">
        <v>534</v>
      </c>
      <c r="HD41" s="343">
        <v>0</v>
      </c>
      <c r="HE41" s="343">
        <v>0</v>
      </c>
      <c r="HF41" s="343"/>
      <c r="HG41" s="343"/>
      <c r="HH41" s="343"/>
      <c r="HI41" s="872">
        <f t="shared" si="78"/>
        <v>534</v>
      </c>
      <c r="HJ41" s="873">
        <f t="shared" si="79"/>
        <v>89</v>
      </c>
    </row>
    <row r="42" spans="1:218" s="341" customFormat="1" ht="15" customHeight="1" x14ac:dyDescent="0.2">
      <c r="A42" s="21">
        <v>31</v>
      </c>
      <c r="B42" s="21" t="s">
        <v>542</v>
      </c>
      <c r="C42" s="275" t="s">
        <v>545</v>
      </c>
      <c r="D42" s="21">
        <v>25</v>
      </c>
      <c r="E42" s="24"/>
      <c r="F42" s="24">
        <v>884</v>
      </c>
      <c r="G42" s="24"/>
      <c r="H42" s="24"/>
      <c r="I42" s="24"/>
      <c r="J42" s="360">
        <f>SUMIF(SUMPK!$B:$B,$B:$B,SUMPK!$O:$O)+598</f>
        <v>598</v>
      </c>
      <c r="K42" s="24"/>
      <c r="L42" s="24">
        <f t="shared" si="91"/>
        <v>286</v>
      </c>
      <c r="M42" s="15">
        <f t="shared" si="92"/>
        <v>286</v>
      </c>
      <c r="N42" s="15">
        <v>0</v>
      </c>
      <c r="O42" s="276"/>
      <c r="P42" s="15"/>
      <c r="Q42" s="711"/>
      <c r="R42" s="276"/>
      <c r="S42" s="712"/>
      <c r="T42" s="713"/>
      <c r="U42" s="276"/>
      <c r="V42" s="278"/>
      <c r="W42" s="276"/>
      <c r="X42" s="823">
        <f t="shared" si="0"/>
        <v>1</v>
      </c>
      <c r="Y42" s="305">
        <v>21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4"/>
        <v>285</v>
      </c>
      <c r="GT42" s="873">
        <f t="shared" si="75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6"/>
        <v>0</v>
      </c>
      <c r="HB42" s="873">
        <f t="shared" si="77"/>
        <v>0</v>
      </c>
      <c r="HC42" s="346">
        <v>0</v>
      </c>
      <c r="HD42" s="343">
        <v>0</v>
      </c>
      <c r="HE42" s="343">
        <v>0</v>
      </c>
      <c r="HF42" s="343"/>
      <c r="HG42" s="343"/>
      <c r="HH42" s="343"/>
      <c r="HI42" s="872">
        <f t="shared" si="78"/>
        <v>0</v>
      </c>
      <c r="HJ42" s="873">
        <f t="shared" si="79"/>
        <v>0</v>
      </c>
    </row>
    <row r="43" spans="1:218" s="341" customFormat="1" x14ac:dyDescent="0.2">
      <c r="A43" s="21">
        <v>32</v>
      </c>
      <c r="B43" s="21" t="s">
        <v>167</v>
      </c>
      <c r="C43" s="715" t="s">
        <v>301</v>
      </c>
      <c r="D43" s="21">
        <v>25</v>
      </c>
      <c r="E43" s="24"/>
      <c r="F43" s="24">
        <v>0</v>
      </c>
      <c r="G43" s="24"/>
      <c r="H43" s="24"/>
      <c r="I43" s="24"/>
      <c r="J43" s="360">
        <f>SUMIF(SUMPK!$B:$B,$B:$B,SUMPK!$O:$O)</f>
        <v>0</v>
      </c>
      <c r="K43" s="24"/>
      <c r="L43" s="24">
        <f t="shared" si="91"/>
        <v>0</v>
      </c>
      <c r="M43" s="15">
        <f t="shared" si="92"/>
        <v>0</v>
      </c>
      <c r="N43" s="15">
        <v>101.5</v>
      </c>
      <c r="O43" s="276">
        <f t="shared" si="26"/>
        <v>0</v>
      </c>
      <c r="P43" s="15">
        <v>302.16666666666669</v>
      </c>
      <c r="Q43" s="711">
        <f t="shared" si="27"/>
        <v>1333.3333333333333</v>
      </c>
      <c r="R43" s="276">
        <f t="shared" si="28"/>
        <v>0</v>
      </c>
      <c r="S43" s="712">
        <f t="shared" si="29"/>
        <v>307.69230769230768</v>
      </c>
      <c r="T43" s="713">
        <v>8000</v>
      </c>
      <c r="U43" s="276">
        <f t="shared" si="86"/>
        <v>0</v>
      </c>
      <c r="V43" s="278"/>
      <c r="W43" s="276">
        <f t="shared" si="31"/>
        <v>0</v>
      </c>
      <c r="X43" s="823" t="e">
        <f t="shared" si="0"/>
        <v>#DIV/0!</v>
      </c>
      <c r="Y43" s="305">
        <v>19.5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2"/>
        <v>970</v>
      </c>
      <c r="AH43" s="211">
        <f t="shared" si="33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4"/>
        <v>944</v>
      </c>
      <c r="AP43" s="809">
        <f t="shared" si="35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6"/>
        <v>1305</v>
      </c>
      <c r="AX43" s="211">
        <f t="shared" si="37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38"/>
        <v>2017</v>
      </c>
      <c r="BF43" s="211">
        <f t="shared" si="39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0"/>
        <v>1577</v>
      </c>
      <c r="BN43" s="211">
        <f t="shared" si="41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2"/>
        <v>878</v>
      </c>
      <c r="BV43" s="211">
        <f t="shared" si="43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4"/>
        <v>1525</v>
      </c>
      <c r="CD43" s="211">
        <f t="shared" si="45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6"/>
        <v>1790</v>
      </c>
      <c r="CL43" s="211">
        <f t="shared" si="47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48"/>
        <v>1690</v>
      </c>
      <c r="CT43" s="211">
        <f t="shared" si="49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0"/>
        <v>1254</v>
      </c>
      <c r="DB43" s="211">
        <f t="shared" si="51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2"/>
        <v>1866</v>
      </c>
      <c r="DJ43" s="211">
        <f t="shared" si="53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4"/>
        <v>1285</v>
      </c>
      <c r="DR43" s="211">
        <f t="shared" si="55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6"/>
        <v>2248</v>
      </c>
      <c r="DZ43" s="211">
        <f t="shared" si="57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58"/>
        <v>1561</v>
      </c>
      <c r="EH43" s="211">
        <f t="shared" si="59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0"/>
        <v>606</v>
      </c>
      <c r="EP43" s="211">
        <f t="shared" si="61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2"/>
        <v>2165</v>
      </c>
      <c r="EX43" s="211">
        <f t="shared" si="63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4"/>
        <v>950</v>
      </c>
      <c r="FF43" s="211">
        <f t="shared" si="65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6"/>
        <v>1947</v>
      </c>
      <c r="FN43" s="211">
        <f t="shared" si="67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68"/>
        <v>1803</v>
      </c>
      <c r="FV43" s="211">
        <f t="shared" si="69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0"/>
        <v>2137</v>
      </c>
      <c r="GD43" s="211">
        <f t="shared" si="71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2"/>
        <v>1052</v>
      </c>
      <c r="GL43" s="211">
        <f t="shared" si="73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4"/>
        <v>886</v>
      </c>
      <c r="GT43" s="873">
        <f t="shared" si="75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6"/>
        <v>609</v>
      </c>
      <c r="HB43" s="873">
        <f t="shared" si="77"/>
        <v>101.5</v>
      </c>
      <c r="HC43" s="346">
        <v>0</v>
      </c>
      <c r="HD43" s="343">
        <v>416</v>
      </c>
      <c r="HE43" s="343">
        <v>0</v>
      </c>
      <c r="HF43" s="343"/>
      <c r="HG43" s="343"/>
      <c r="HH43" s="343"/>
      <c r="HI43" s="872">
        <f t="shared" si="78"/>
        <v>416</v>
      </c>
      <c r="HJ43" s="873">
        <f t="shared" si="79"/>
        <v>69.333333333333329</v>
      </c>
    </row>
    <row r="44" spans="1:218" s="341" customFormat="1" x14ac:dyDescent="0.2">
      <c r="A44" s="21">
        <v>33</v>
      </c>
      <c r="B44" s="297">
        <v>12907005510005</v>
      </c>
      <c r="C44" s="715" t="s">
        <v>486</v>
      </c>
      <c r="D44" s="296">
        <v>5</v>
      </c>
      <c r="E44" s="24"/>
      <c r="F44" s="24">
        <v>1225</v>
      </c>
      <c r="G44" s="24"/>
      <c r="H44" s="24"/>
      <c r="I44" s="24"/>
      <c r="J44" s="360">
        <f>SUMIF(SUMPK!$B:$B,$B:$B,SUMPK!$O:$O)</f>
        <v>0</v>
      </c>
      <c r="K44" s="24"/>
      <c r="L44" s="24">
        <f t="shared" si="91"/>
        <v>1225</v>
      </c>
      <c r="M44" s="15">
        <f t="shared" si="92"/>
        <v>1225</v>
      </c>
      <c r="N44" s="15">
        <v>0</v>
      </c>
      <c r="O44" s="276">
        <f t="shared" si="26"/>
        <v>0</v>
      </c>
      <c r="P44" s="15"/>
      <c r="Q44" s="711"/>
      <c r="R44" s="276"/>
      <c r="S44" s="712">
        <f t="shared" si="29"/>
        <v>0</v>
      </c>
      <c r="T44" s="713"/>
      <c r="U44" s="276"/>
      <c r="V44" s="278"/>
      <c r="W44" s="276">
        <f t="shared" si="31"/>
        <v>0</v>
      </c>
      <c r="X44" s="823">
        <f t="shared" si="0"/>
        <v>1</v>
      </c>
      <c r="Y44" s="305">
        <v>20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4"/>
        <v>525</v>
      </c>
      <c r="AP44" s="809">
        <f t="shared" si="35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6"/>
        <v>0</v>
      </c>
      <c r="AX44" s="211">
        <f t="shared" si="37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38"/>
        <v>400</v>
      </c>
      <c r="BF44" s="211">
        <f t="shared" si="39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0"/>
        <v>0</v>
      </c>
      <c r="BN44" s="211">
        <f t="shared" si="41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2"/>
        <v>0</v>
      </c>
      <c r="BV44" s="211">
        <f t="shared" si="43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4"/>
        <v>0</v>
      </c>
      <c r="CD44" s="211">
        <f t="shared" si="45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6"/>
        <v>600</v>
      </c>
      <c r="CL44" s="211">
        <f t="shared" si="47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48"/>
        <v>630</v>
      </c>
      <c r="CT44" s="211">
        <f t="shared" si="49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0"/>
        <v>0</v>
      </c>
      <c r="DB44" s="211">
        <f t="shared" si="51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2"/>
        <v>585</v>
      </c>
      <c r="DJ44" s="211">
        <f t="shared" si="53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4"/>
        <v>0</v>
      </c>
      <c r="DR44" s="211">
        <f t="shared" si="55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6"/>
        <v>600</v>
      </c>
      <c r="DZ44" s="211">
        <f t="shared" si="57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58"/>
        <v>0</v>
      </c>
      <c r="EH44" s="211">
        <f t="shared" si="59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0"/>
        <v>600</v>
      </c>
      <c r="EP44" s="211">
        <f t="shared" si="61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2"/>
        <v>200</v>
      </c>
      <c r="EX44" s="211">
        <f t="shared" si="63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4"/>
        <v>490</v>
      </c>
      <c r="FF44" s="211">
        <f t="shared" si="65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6"/>
        <v>600</v>
      </c>
      <c r="FN44" s="211">
        <f t="shared" si="67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68"/>
        <v>400</v>
      </c>
      <c r="FV44" s="211">
        <f t="shared" si="69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0"/>
        <v>0</v>
      </c>
      <c r="GD44" s="211">
        <f t="shared" si="71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2"/>
        <v>800</v>
      </c>
      <c r="GL44" s="211">
        <f t="shared" si="73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4"/>
        <v>495</v>
      </c>
      <c r="GT44" s="873">
        <f t="shared" si="75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6"/>
        <v>0</v>
      </c>
      <c r="HB44" s="873">
        <f t="shared" si="77"/>
        <v>0</v>
      </c>
      <c r="HC44" s="346">
        <v>0</v>
      </c>
      <c r="HD44" s="343">
        <v>0</v>
      </c>
      <c r="HE44" s="343">
        <v>0</v>
      </c>
      <c r="HF44" s="343"/>
      <c r="HG44" s="343"/>
      <c r="HH44" s="343"/>
      <c r="HI44" s="872">
        <f t="shared" si="78"/>
        <v>0</v>
      </c>
      <c r="HJ44" s="873">
        <f t="shared" si="79"/>
        <v>0</v>
      </c>
    </row>
    <row r="45" spans="1:218" s="341" customFormat="1" x14ac:dyDescent="0.2">
      <c r="A45" s="21">
        <v>34</v>
      </c>
      <c r="B45" s="21" t="s">
        <v>489</v>
      </c>
      <c r="C45" s="715" t="s">
        <v>490</v>
      </c>
      <c r="D45" s="21">
        <v>25</v>
      </c>
      <c r="E45" s="24"/>
      <c r="F45" s="24">
        <v>245</v>
      </c>
      <c r="G45" s="24"/>
      <c r="H45" s="24"/>
      <c r="I45" s="24"/>
      <c r="J45" s="360">
        <f>SUMIF(SUMPK!$B:$B,$B:$B,SUMPK!$O:$O)</f>
        <v>0</v>
      </c>
      <c r="K45" s="24"/>
      <c r="L45" s="24">
        <f t="shared" si="91"/>
        <v>245</v>
      </c>
      <c r="M45" s="15">
        <f t="shared" si="92"/>
        <v>245</v>
      </c>
      <c r="N45" s="15">
        <v>0</v>
      </c>
      <c r="O45" s="276">
        <f t="shared" si="26"/>
        <v>0</v>
      </c>
      <c r="P45" s="15"/>
      <c r="Q45" s="711"/>
      <c r="R45" s="276"/>
      <c r="S45" s="712">
        <f t="shared" si="29"/>
        <v>0</v>
      </c>
      <c r="T45" s="713"/>
      <c r="U45" s="276"/>
      <c r="V45" s="278"/>
      <c r="W45" s="276">
        <f t="shared" si="31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4"/>
        <v>105</v>
      </c>
      <c r="AP45" s="809">
        <f t="shared" si="35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6"/>
        <v>0</v>
      </c>
      <c r="AX45" s="211">
        <f t="shared" si="37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38"/>
        <v>80</v>
      </c>
      <c r="BF45" s="211">
        <f t="shared" si="39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0"/>
        <v>0</v>
      </c>
      <c r="BN45" s="211">
        <f t="shared" si="41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2"/>
        <v>0</v>
      </c>
      <c r="BV45" s="211">
        <f t="shared" si="43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4"/>
        <v>0</v>
      </c>
      <c r="CD45" s="211">
        <f t="shared" si="45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6"/>
        <v>120</v>
      </c>
      <c r="CL45" s="211">
        <f t="shared" si="47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48"/>
        <v>126</v>
      </c>
      <c r="CT45" s="211">
        <f t="shared" si="49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0"/>
        <v>0</v>
      </c>
      <c r="DB45" s="211">
        <f t="shared" si="51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2"/>
        <v>117</v>
      </c>
      <c r="DJ45" s="211">
        <f t="shared" si="53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4"/>
        <v>0</v>
      </c>
      <c r="DR45" s="211">
        <f t="shared" si="55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6"/>
        <v>120</v>
      </c>
      <c r="DZ45" s="211">
        <f t="shared" si="57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58"/>
        <v>0</v>
      </c>
      <c r="EH45" s="211">
        <f t="shared" si="59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0"/>
        <v>120</v>
      </c>
      <c r="EP45" s="211">
        <f t="shared" si="61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2"/>
        <v>40</v>
      </c>
      <c r="EX45" s="211">
        <f t="shared" si="63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4"/>
        <v>98</v>
      </c>
      <c r="FF45" s="211">
        <f t="shared" si="65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6"/>
        <v>120</v>
      </c>
      <c r="FN45" s="211">
        <f t="shared" si="67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68"/>
        <v>80</v>
      </c>
      <c r="FV45" s="211">
        <f t="shared" si="69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0"/>
        <v>0</v>
      </c>
      <c r="GD45" s="211">
        <f t="shared" si="71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2"/>
        <v>160</v>
      </c>
      <c r="GL45" s="211">
        <f t="shared" si="73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4"/>
        <v>99</v>
      </c>
      <c r="GT45" s="873">
        <f t="shared" si="75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6"/>
        <v>0</v>
      </c>
      <c r="HB45" s="873">
        <f t="shared" si="77"/>
        <v>0</v>
      </c>
      <c r="HC45" s="346">
        <v>0</v>
      </c>
      <c r="HD45" s="343">
        <v>0</v>
      </c>
      <c r="HE45" s="343">
        <v>0</v>
      </c>
      <c r="HF45" s="343"/>
      <c r="HG45" s="343"/>
      <c r="HH45" s="343"/>
      <c r="HI45" s="872">
        <f t="shared" si="78"/>
        <v>0</v>
      </c>
      <c r="HJ45" s="873">
        <f t="shared" si="79"/>
        <v>0</v>
      </c>
    </row>
    <row r="46" spans="1:218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2884</v>
      </c>
      <c r="G46" s="24"/>
      <c r="H46" s="24"/>
      <c r="I46" s="360"/>
      <c r="J46" s="360">
        <f>SUMIF(SUMPK!$B:$B,$B:$B,SUMPK!$O:$O)</f>
        <v>0</v>
      </c>
      <c r="K46" s="24"/>
      <c r="L46" s="24">
        <f t="shared" si="91"/>
        <v>2884</v>
      </c>
      <c r="M46" s="15">
        <f t="shared" si="92"/>
        <v>2884</v>
      </c>
      <c r="N46" s="15">
        <v>541.33333333333337</v>
      </c>
      <c r="O46" s="276">
        <f t="shared" si="26"/>
        <v>5.3275862068965516</v>
      </c>
      <c r="P46" s="15">
        <v>219</v>
      </c>
      <c r="Q46" s="711">
        <f>T46/$Q$8</f>
        <v>1066.6666666666667</v>
      </c>
      <c r="R46" s="276">
        <f t="shared" si="28"/>
        <v>79.013698630136986</v>
      </c>
      <c r="S46" s="712">
        <f t="shared" si="29"/>
        <v>246.15384615384616</v>
      </c>
      <c r="T46" s="713">
        <v>6400</v>
      </c>
      <c r="U46" s="276">
        <f t="shared" si="86"/>
        <v>11.71625</v>
      </c>
      <c r="V46" s="278"/>
      <c r="W46" s="276">
        <f t="shared" si="31"/>
        <v>11.71625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2"/>
        <v>4317</v>
      </c>
      <c r="AH46" s="211">
        <f t="shared" si="33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4"/>
        <v>2267</v>
      </c>
      <c r="AP46" s="809">
        <f t="shared" si="35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6"/>
        <v>2458</v>
      </c>
      <c r="AX46" s="211">
        <f t="shared" si="37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38"/>
        <v>3376</v>
      </c>
      <c r="BF46" s="211">
        <f t="shared" si="39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0"/>
        <v>339</v>
      </c>
      <c r="BN46" s="211">
        <f t="shared" si="41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2"/>
        <v>3765</v>
      </c>
      <c r="BV46" s="211">
        <f t="shared" si="43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4"/>
        <v>1747</v>
      </c>
      <c r="CD46" s="211">
        <f t="shared" si="45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6"/>
        <v>1294</v>
      </c>
      <c r="CL46" s="211">
        <f t="shared" si="47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48"/>
        <v>4279</v>
      </c>
      <c r="CT46" s="211">
        <f t="shared" si="49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0"/>
        <v>4411</v>
      </c>
      <c r="DB46" s="211">
        <f t="shared" si="51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2"/>
        <v>3160</v>
      </c>
      <c r="DJ46" s="211">
        <f t="shared" si="53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4"/>
        <v>4853</v>
      </c>
      <c r="DR46" s="211">
        <f t="shared" si="55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6"/>
        <v>3634</v>
      </c>
      <c r="DZ46" s="211">
        <f t="shared" si="57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58"/>
        <v>3643</v>
      </c>
      <c r="EH46" s="211">
        <f t="shared" si="59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0"/>
        <v>3333</v>
      </c>
      <c r="EP46" s="211">
        <f t="shared" si="61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2"/>
        <v>3867</v>
      </c>
      <c r="EX46" s="211">
        <f t="shared" si="63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4"/>
        <v>2918</v>
      </c>
      <c r="FF46" s="211">
        <f t="shared" si="65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6"/>
        <v>2508</v>
      </c>
      <c r="FN46" s="211">
        <f t="shared" si="67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68"/>
        <v>2443</v>
      </c>
      <c r="FV46" s="211">
        <f t="shared" si="69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0"/>
        <v>2247</v>
      </c>
      <c r="GD46" s="211">
        <f t="shared" si="71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2"/>
        <v>2042</v>
      </c>
      <c r="GL46" s="211">
        <f t="shared" si="73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4"/>
        <v>2195</v>
      </c>
      <c r="GT46" s="873">
        <f t="shared" si="75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6"/>
        <v>3248</v>
      </c>
      <c r="HB46" s="873">
        <f t="shared" si="77"/>
        <v>541.33333333333337</v>
      </c>
      <c r="HC46" s="346">
        <v>311</v>
      </c>
      <c r="HD46" s="343">
        <v>155</v>
      </c>
      <c r="HE46" s="343">
        <v>1234</v>
      </c>
      <c r="HF46" s="343"/>
      <c r="HG46" s="343"/>
      <c r="HH46" s="343"/>
      <c r="HI46" s="872">
        <f t="shared" si="78"/>
        <v>1700</v>
      </c>
      <c r="HJ46" s="873">
        <f t="shared" si="79"/>
        <v>283.33333333333331</v>
      </c>
    </row>
    <row r="47" spans="1:218" s="323" customFormat="1" x14ac:dyDescent="0.2">
      <c r="A47" s="21">
        <v>36</v>
      </c>
      <c r="B47" s="21" t="s">
        <v>543</v>
      </c>
      <c r="C47" s="275" t="s">
        <v>546</v>
      </c>
      <c r="D47" s="21">
        <v>25</v>
      </c>
      <c r="E47" s="24"/>
      <c r="F47" s="24">
        <v>1701</v>
      </c>
      <c r="G47" s="24"/>
      <c r="H47" s="24"/>
      <c r="I47" s="360"/>
      <c r="J47" s="360">
        <f>SUMIF(SUMPK!$B:$B,$B:$B,SUMPK!$O:$O)+311</f>
        <v>311</v>
      </c>
      <c r="K47" s="24"/>
      <c r="L47" s="24">
        <f t="shared" si="91"/>
        <v>1390</v>
      </c>
      <c r="M47" s="15">
        <f t="shared" si="92"/>
        <v>1390</v>
      </c>
      <c r="N47" s="15">
        <v>0</v>
      </c>
      <c r="O47" s="276"/>
      <c r="P47" s="15"/>
      <c r="Q47" s="711"/>
      <c r="R47" s="276"/>
      <c r="S47" s="712"/>
      <c r="T47" s="713"/>
      <c r="U47" s="276"/>
      <c r="V47" s="278"/>
      <c r="W47" s="276"/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4"/>
        <v>0</v>
      </c>
      <c r="GT47" s="873">
        <f t="shared" si="75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6"/>
        <v>0</v>
      </c>
      <c r="HB47" s="873">
        <f t="shared" si="77"/>
        <v>0</v>
      </c>
      <c r="HC47" s="346">
        <v>0</v>
      </c>
      <c r="HD47" s="343">
        <v>0</v>
      </c>
      <c r="HE47" s="343">
        <v>0</v>
      </c>
      <c r="HF47" s="343"/>
      <c r="HG47" s="343"/>
      <c r="HH47" s="343"/>
      <c r="HI47" s="872">
        <f t="shared" si="78"/>
        <v>0</v>
      </c>
      <c r="HJ47" s="873">
        <f t="shared" si="79"/>
        <v>0</v>
      </c>
    </row>
    <row r="48" spans="1:218" s="323" customFormat="1" x14ac:dyDescent="0.2">
      <c r="A48" s="21">
        <v>37</v>
      </c>
      <c r="B48" s="21" t="s">
        <v>280</v>
      </c>
      <c r="C48" s="275" t="s">
        <v>281</v>
      </c>
      <c r="D48" s="21">
        <v>25</v>
      </c>
      <c r="E48" s="24"/>
      <c r="F48" s="24">
        <v>2329</v>
      </c>
      <c r="G48" s="24"/>
      <c r="H48" s="24"/>
      <c r="I48" s="360"/>
      <c r="J48" s="360">
        <f>SUMIF(SUMPK!$B:$B,$B:$B,SUMPK!$O:$O)</f>
        <v>0</v>
      </c>
      <c r="K48" s="24"/>
      <c r="L48" s="24">
        <f t="shared" si="91"/>
        <v>2329</v>
      </c>
      <c r="M48" s="15">
        <f t="shared" si="92"/>
        <v>2329</v>
      </c>
      <c r="N48" s="15">
        <v>0</v>
      </c>
      <c r="O48" s="276">
        <f t="shared" si="26"/>
        <v>0</v>
      </c>
      <c r="P48" s="15"/>
      <c r="Q48" s="711">
        <f>T48/$Q$8</f>
        <v>0</v>
      </c>
      <c r="R48" s="276"/>
      <c r="S48" s="712">
        <f t="shared" si="29"/>
        <v>0</v>
      </c>
      <c r="T48" s="713"/>
      <c r="U48" s="276">
        <f t="shared" si="86"/>
        <v>0</v>
      </c>
      <c r="V48" s="278"/>
      <c r="W48" s="276">
        <f t="shared" si="31"/>
        <v>0</v>
      </c>
      <c r="X48" s="823">
        <f t="shared" si="0"/>
        <v>1</v>
      </c>
      <c r="Y48" s="305">
        <v>20</v>
      </c>
      <c r="Z48" s="824"/>
      <c r="AA48" s="244">
        <v>0</v>
      </c>
      <c r="AB48" s="64">
        <v>0</v>
      </c>
      <c r="AC48" s="64">
        <v>0</v>
      </c>
      <c r="AD48" s="64">
        <v>0</v>
      </c>
      <c r="AE48" s="64">
        <v>961</v>
      </c>
      <c r="AF48" s="64">
        <v>0</v>
      </c>
      <c r="AG48" s="64">
        <f t="shared" si="32"/>
        <v>961</v>
      </c>
      <c r="AH48" s="211">
        <f t="shared" si="33"/>
        <v>160.16666666666666</v>
      </c>
      <c r="AI48" s="755">
        <v>0</v>
      </c>
      <c r="AJ48" s="345">
        <v>0</v>
      </c>
      <c r="AK48" s="345">
        <v>0</v>
      </c>
      <c r="AL48" s="345">
        <v>760</v>
      </c>
      <c r="AM48" s="345">
        <v>0</v>
      </c>
      <c r="AN48" s="345">
        <v>0</v>
      </c>
      <c r="AO48" s="808">
        <f t="shared" si="34"/>
        <v>760</v>
      </c>
      <c r="AP48" s="809">
        <f t="shared" si="35"/>
        <v>126.66666666666667</v>
      </c>
      <c r="AQ48" s="814">
        <v>0</v>
      </c>
      <c r="AR48" s="815">
        <v>0</v>
      </c>
      <c r="AS48" s="815">
        <v>0</v>
      </c>
      <c r="AT48" s="815">
        <v>110</v>
      </c>
      <c r="AU48" s="815">
        <v>516</v>
      </c>
      <c r="AV48" s="815">
        <v>0</v>
      </c>
      <c r="AW48" s="808">
        <f t="shared" si="36"/>
        <v>626</v>
      </c>
      <c r="AX48" s="211">
        <f t="shared" si="37"/>
        <v>104.33333333333333</v>
      </c>
      <c r="AY48" s="346">
        <v>0</v>
      </c>
      <c r="AZ48" s="343">
        <v>0</v>
      </c>
      <c r="BA48" s="343">
        <v>940</v>
      </c>
      <c r="BB48" s="343">
        <v>0</v>
      </c>
      <c r="BC48" s="343">
        <v>540</v>
      </c>
      <c r="BD48" s="343">
        <v>0</v>
      </c>
      <c r="BE48" s="808">
        <f t="shared" si="38"/>
        <v>1480</v>
      </c>
      <c r="BF48" s="211">
        <f t="shared" si="39"/>
        <v>246.66666666666666</v>
      </c>
      <c r="BG48" s="814">
        <v>0</v>
      </c>
      <c r="BH48" s="815">
        <v>0</v>
      </c>
      <c r="BI48" s="815">
        <v>0</v>
      </c>
      <c r="BJ48" s="815">
        <v>0</v>
      </c>
      <c r="BK48" s="815">
        <v>0</v>
      </c>
      <c r="BL48" s="815">
        <v>0</v>
      </c>
      <c r="BM48" s="808">
        <f t="shared" si="40"/>
        <v>0</v>
      </c>
      <c r="BN48" s="211">
        <f t="shared" si="41"/>
        <v>0</v>
      </c>
      <c r="BO48" s="755">
        <v>0</v>
      </c>
      <c r="BP48" s="345">
        <v>0</v>
      </c>
      <c r="BQ48" s="345">
        <v>950</v>
      </c>
      <c r="BR48" s="345">
        <v>0</v>
      </c>
      <c r="BS48" s="345">
        <v>0</v>
      </c>
      <c r="BT48" s="345">
        <v>0</v>
      </c>
      <c r="BU48" s="808">
        <f t="shared" si="42"/>
        <v>950</v>
      </c>
      <c r="BV48" s="211">
        <f t="shared" si="43"/>
        <v>158.33333333333334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0</v>
      </c>
      <c r="CC48" s="808">
        <f t="shared" si="44"/>
        <v>0</v>
      </c>
      <c r="CD48" s="211">
        <f t="shared" si="45"/>
        <v>0</v>
      </c>
      <c r="CE48" s="346">
        <v>0</v>
      </c>
      <c r="CF48" s="343">
        <v>0</v>
      </c>
      <c r="CG48" s="343">
        <v>0</v>
      </c>
      <c r="CH48" s="343">
        <v>0</v>
      </c>
      <c r="CI48" s="343">
        <v>591</v>
      </c>
      <c r="CJ48" s="343">
        <v>0</v>
      </c>
      <c r="CK48" s="808">
        <f t="shared" si="46"/>
        <v>591</v>
      </c>
      <c r="CL48" s="211">
        <f t="shared" si="47"/>
        <v>98.5</v>
      </c>
      <c r="CM48" s="346">
        <v>0</v>
      </c>
      <c r="CN48" s="343">
        <v>0</v>
      </c>
      <c r="CO48" s="343">
        <v>0</v>
      </c>
      <c r="CP48" s="343">
        <v>0</v>
      </c>
      <c r="CQ48" s="343">
        <v>0</v>
      </c>
      <c r="CR48" s="343">
        <v>0</v>
      </c>
      <c r="CS48" s="808">
        <f t="shared" si="48"/>
        <v>0</v>
      </c>
      <c r="CT48" s="211">
        <f t="shared" si="49"/>
        <v>0</v>
      </c>
      <c r="CU48" s="346">
        <v>0</v>
      </c>
      <c r="CV48" s="343">
        <v>0</v>
      </c>
      <c r="CW48" s="343">
        <v>0</v>
      </c>
      <c r="CX48" s="343">
        <v>0</v>
      </c>
      <c r="CY48" s="343">
        <v>0</v>
      </c>
      <c r="CZ48" s="343">
        <v>0</v>
      </c>
      <c r="DA48" s="808">
        <f t="shared" si="50"/>
        <v>0</v>
      </c>
      <c r="DB48" s="211">
        <f t="shared" si="51"/>
        <v>0</v>
      </c>
      <c r="DC48" s="346">
        <v>0</v>
      </c>
      <c r="DD48" s="343">
        <v>0</v>
      </c>
      <c r="DE48" s="343">
        <v>0</v>
      </c>
      <c r="DF48" s="343">
        <v>0</v>
      </c>
      <c r="DG48" s="343"/>
      <c r="DH48" s="343">
        <v>0</v>
      </c>
      <c r="DI48" s="808">
        <f t="shared" si="52"/>
        <v>0</v>
      </c>
      <c r="DJ48" s="211">
        <f t="shared" si="53"/>
        <v>0</v>
      </c>
      <c r="DK48" s="346">
        <v>0</v>
      </c>
      <c r="DL48" s="343">
        <v>0</v>
      </c>
      <c r="DM48" s="343">
        <v>0</v>
      </c>
      <c r="DN48" s="343">
        <v>0</v>
      </c>
      <c r="DO48" s="343">
        <v>0</v>
      </c>
      <c r="DP48" s="343">
        <v>0</v>
      </c>
      <c r="DQ48" s="808">
        <f t="shared" si="54"/>
        <v>0</v>
      </c>
      <c r="DR48" s="211">
        <f t="shared" si="55"/>
        <v>0</v>
      </c>
      <c r="DS48" s="346">
        <v>0</v>
      </c>
      <c r="DT48" s="343">
        <v>0</v>
      </c>
      <c r="DU48" s="343">
        <v>0</v>
      </c>
      <c r="DV48" s="343">
        <v>0</v>
      </c>
      <c r="DW48" s="343">
        <v>0</v>
      </c>
      <c r="DX48" s="343">
        <v>0</v>
      </c>
      <c r="DY48" s="808">
        <f t="shared" si="56"/>
        <v>0</v>
      </c>
      <c r="DZ48" s="211">
        <f t="shared" si="57"/>
        <v>0</v>
      </c>
      <c r="EA48" s="346">
        <v>0</v>
      </c>
      <c r="EB48" s="343">
        <v>0</v>
      </c>
      <c r="EC48" s="343"/>
      <c r="ED48" s="343">
        <v>0</v>
      </c>
      <c r="EE48" s="343">
        <v>0</v>
      </c>
      <c r="EF48" s="343">
        <v>0</v>
      </c>
      <c r="EG48" s="808">
        <f t="shared" si="58"/>
        <v>0</v>
      </c>
      <c r="EH48" s="211">
        <f t="shared" si="59"/>
        <v>0</v>
      </c>
      <c r="EI48" s="346">
        <v>0</v>
      </c>
      <c r="EJ48" s="343">
        <v>0</v>
      </c>
      <c r="EK48" s="343">
        <v>0</v>
      </c>
      <c r="EL48" s="343">
        <v>0</v>
      </c>
      <c r="EM48" s="343">
        <v>0</v>
      </c>
      <c r="EN48" s="343">
        <v>0</v>
      </c>
      <c r="EO48" s="808">
        <f t="shared" si="60"/>
        <v>0</v>
      </c>
      <c r="EP48" s="211">
        <f t="shared" si="61"/>
        <v>0</v>
      </c>
      <c r="EQ48" s="346">
        <v>0</v>
      </c>
      <c r="ER48" s="343">
        <v>0</v>
      </c>
      <c r="ES48" s="343">
        <v>0</v>
      </c>
      <c r="ET48" s="343">
        <v>0</v>
      </c>
      <c r="EU48" s="343">
        <v>0</v>
      </c>
      <c r="EV48" s="343">
        <v>0</v>
      </c>
      <c r="EW48" s="808">
        <f t="shared" si="62"/>
        <v>0</v>
      </c>
      <c r="EX48" s="211">
        <f t="shared" si="63"/>
        <v>0</v>
      </c>
      <c r="EY48" s="346">
        <v>0</v>
      </c>
      <c r="EZ48" s="343">
        <v>0</v>
      </c>
      <c r="FA48" s="343">
        <v>0</v>
      </c>
      <c r="FB48" s="343">
        <v>0</v>
      </c>
      <c r="FC48" s="343">
        <v>0</v>
      </c>
      <c r="FD48" s="343">
        <v>0</v>
      </c>
      <c r="FE48" s="808">
        <f t="shared" si="64"/>
        <v>0</v>
      </c>
      <c r="FF48" s="211">
        <f t="shared" si="65"/>
        <v>0</v>
      </c>
      <c r="FG48" s="755">
        <v>0</v>
      </c>
      <c r="FH48" s="345">
        <v>0</v>
      </c>
      <c r="FI48" s="345">
        <v>0</v>
      </c>
      <c r="FJ48" s="345">
        <v>0</v>
      </c>
      <c r="FK48" s="345">
        <v>0</v>
      </c>
      <c r="FL48" s="345">
        <v>0</v>
      </c>
      <c r="FM48" s="808">
        <f t="shared" si="66"/>
        <v>0</v>
      </c>
      <c r="FN48" s="211">
        <f t="shared" si="67"/>
        <v>0</v>
      </c>
      <c r="FO48" s="346">
        <v>0</v>
      </c>
      <c r="FP48" s="343">
        <v>0</v>
      </c>
      <c r="FQ48" s="343">
        <v>0</v>
      </c>
      <c r="FR48" s="343">
        <v>0</v>
      </c>
      <c r="FS48" s="343">
        <v>0</v>
      </c>
      <c r="FT48" s="343">
        <v>0</v>
      </c>
      <c r="FU48" s="808">
        <f t="shared" si="68"/>
        <v>0</v>
      </c>
      <c r="FV48" s="211">
        <f t="shared" si="69"/>
        <v>0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0"/>
        <v>0</v>
      </c>
      <c r="GD48" s="211">
        <f t="shared" si="71"/>
        <v>0</v>
      </c>
      <c r="GE48" s="346">
        <v>0</v>
      </c>
      <c r="GF48" s="343">
        <v>0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2"/>
        <v>0</v>
      </c>
      <c r="GL48" s="211">
        <f t="shared" si="73"/>
        <v>0</v>
      </c>
      <c r="GM48" s="755">
        <v>0</v>
      </c>
      <c r="GN48" s="345">
        <v>0</v>
      </c>
      <c r="GO48" s="345">
        <v>0</v>
      </c>
      <c r="GP48" s="345">
        <v>0</v>
      </c>
      <c r="GQ48" s="345">
        <v>0</v>
      </c>
      <c r="GR48" s="345">
        <v>0</v>
      </c>
      <c r="GS48" s="872">
        <f t="shared" si="74"/>
        <v>0</v>
      </c>
      <c r="GT48" s="873">
        <f t="shared" si="75"/>
        <v>0</v>
      </c>
      <c r="GU48" s="346">
        <v>0</v>
      </c>
      <c r="GV48" s="343">
        <v>0</v>
      </c>
      <c r="GW48" s="343">
        <v>0</v>
      </c>
      <c r="GX48" s="343">
        <v>0</v>
      </c>
      <c r="GY48" s="343">
        <v>0</v>
      </c>
      <c r="GZ48" s="343">
        <v>0</v>
      </c>
      <c r="HA48" s="872">
        <f t="shared" si="76"/>
        <v>0</v>
      </c>
      <c r="HB48" s="873">
        <f t="shared" si="77"/>
        <v>0</v>
      </c>
      <c r="HC48" s="346">
        <v>0</v>
      </c>
      <c r="HD48" s="343">
        <v>0</v>
      </c>
      <c r="HE48" s="343">
        <v>0</v>
      </c>
      <c r="HF48" s="343"/>
      <c r="HG48" s="343"/>
      <c r="HH48" s="343"/>
      <c r="HI48" s="872">
        <f t="shared" si="78"/>
        <v>0</v>
      </c>
      <c r="HJ48" s="873">
        <f t="shared" si="79"/>
        <v>0</v>
      </c>
    </row>
    <row r="49" spans="1:218" s="323" customFormat="1" x14ac:dyDescent="0.2">
      <c r="A49" s="21">
        <v>38</v>
      </c>
      <c r="B49" s="21" t="s">
        <v>168</v>
      </c>
      <c r="C49" s="715" t="s">
        <v>302</v>
      </c>
      <c r="D49" s="21">
        <v>25</v>
      </c>
      <c r="E49" s="24"/>
      <c r="F49" s="24">
        <v>0</v>
      </c>
      <c r="G49" s="24"/>
      <c r="H49" s="24"/>
      <c r="I49" s="24"/>
      <c r="J49" s="360">
        <f>SUMIF(SUMPK!$B:$B,$B:$B,SUMPK!$O:$O)</f>
        <v>0</v>
      </c>
      <c r="K49" s="24"/>
      <c r="L49" s="24">
        <f t="shared" si="91"/>
        <v>0</v>
      </c>
      <c r="M49" s="15">
        <f t="shared" si="92"/>
        <v>0</v>
      </c>
      <c r="N49" s="15">
        <v>132.5</v>
      </c>
      <c r="O49" s="276">
        <f t="shared" si="26"/>
        <v>0</v>
      </c>
      <c r="P49" s="15">
        <v>106.66666666666667</v>
      </c>
      <c r="Q49" s="711">
        <f>T49/$Q$8</f>
        <v>1066.6666666666667</v>
      </c>
      <c r="R49" s="276">
        <f t="shared" si="28"/>
        <v>0</v>
      </c>
      <c r="S49" s="712">
        <f t="shared" si="29"/>
        <v>246.15384615384616</v>
      </c>
      <c r="T49" s="713">
        <v>6400</v>
      </c>
      <c r="U49" s="276">
        <f t="shared" si="86"/>
        <v>0</v>
      </c>
      <c r="V49" s="278"/>
      <c r="W49" s="276">
        <f t="shared" si="31"/>
        <v>0</v>
      </c>
      <c r="X49" s="823" t="e">
        <f t="shared" si="0"/>
        <v>#DIV/0!</v>
      </c>
      <c r="Y49" s="305">
        <v>19</v>
      </c>
      <c r="Z49" s="824"/>
      <c r="AA49" s="244">
        <v>56</v>
      </c>
      <c r="AB49" s="64">
        <v>604</v>
      </c>
      <c r="AC49" s="64">
        <v>0</v>
      </c>
      <c r="AD49" s="64">
        <v>0</v>
      </c>
      <c r="AE49" s="64">
        <v>0</v>
      </c>
      <c r="AF49" s="64">
        <v>1221</v>
      </c>
      <c r="AG49" s="64">
        <f t="shared" si="32"/>
        <v>1881</v>
      </c>
      <c r="AH49" s="211">
        <f t="shared" si="33"/>
        <v>313.5</v>
      </c>
      <c r="AI49" s="755">
        <v>0</v>
      </c>
      <c r="AJ49" s="345">
        <v>0</v>
      </c>
      <c r="AK49" s="345">
        <v>0</v>
      </c>
      <c r="AL49" s="345">
        <v>923</v>
      </c>
      <c r="AM49" s="345">
        <v>0</v>
      </c>
      <c r="AN49" s="345">
        <v>0</v>
      </c>
      <c r="AO49" s="808">
        <f t="shared" si="34"/>
        <v>923</v>
      </c>
      <c r="AP49" s="809">
        <f t="shared" si="35"/>
        <v>153.83333333333334</v>
      </c>
      <c r="AQ49" s="814">
        <v>0</v>
      </c>
      <c r="AR49" s="815">
        <v>0</v>
      </c>
      <c r="AS49" s="815">
        <v>810</v>
      </c>
      <c r="AT49" s="815">
        <v>0</v>
      </c>
      <c r="AU49" s="815">
        <v>0</v>
      </c>
      <c r="AV49" s="815">
        <v>611</v>
      </c>
      <c r="AW49" s="808">
        <f t="shared" si="36"/>
        <v>1421</v>
      </c>
      <c r="AX49" s="211">
        <f t="shared" si="37"/>
        <v>236.83333333333334</v>
      </c>
      <c r="AY49" s="346">
        <v>0</v>
      </c>
      <c r="AZ49" s="343">
        <v>0</v>
      </c>
      <c r="BA49" s="343">
        <v>905</v>
      </c>
      <c r="BB49" s="343">
        <v>0</v>
      </c>
      <c r="BC49" s="343">
        <v>0</v>
      </c>
      <c r="BD49" s="343">
        <v>0</v>
      </c>
      <c r="BE49" s="808">
        <f t="shared" si="38"/>
        <v>905</v>
      </c>
      <c r="BF49" s="211">
        <f t="shared" si="39"/>
        <v>150.83333333333334</v>
      </c>
      <c r="BG49" s="814">
        <v>0</v>
      </c>
      <c r="BH49" s="815">
        <v>0</v>
      </c>
      <c r="BI49" s="815">
        <v>0</v>
      </c>
      <c r="BJ49" s="815">
        <v>0</v>
      </c>
      <c r="BK49" s="815">
        <v>576</v>
      </c>
      <c r="BL49" s="815">
        <v>0</v>
      </c>
      <c r="BM49" s="808">
        <f t="shared" si="40"/>
        <v>576</v>
      </c>
      <c r="BN49" s="211">
        <f t="shared" si="41"/>
        <v>96</v>
      </c>
      <c r="BO49" s="755">
        <v>0</v>
      </c>
      <c r="BP49" s="345">
        <v>1053</v>
      </c>
      <c r="BQ49" s="345">
        <v>0</v>
      </c>
      <c r="BR49" s="345">
        <v>8</v>
      </c>
      <c r="BS49" s="345">
        <v>0</v>
      </c>
      <c r="BT49" s="345">
        <v>0</v>
      </c>
      <c r="BU49" s="808">
        <f t="shared" si="42"/>
        <v>1061</v>
      </c>
      <c r="BV49" s="211">
        <f t="shared" si="43"/>
        <v>176.83333333333334</v>
      </c>
      <c r="BW49" s="755">
        <v>0</v>
      </c>
      <c r="BX49" s="345">
        <v>0</v>
      </c>
      <c r="BY49" s="345">
        <v>0</v>
      </c>
      <c r="BZ49" s="345">
        <v>0</v>
      </c>
      <c r="CA49" s="345">
        <v>0</v>
      </c>
      <c r="CB49" s="345">
        <v>622</v>
      </c>
      <c r="CC49" s="808">
        <f t="shared" si="44"/>
        <v>622</v>
      </c>
      <c r="CD49" s="211">
        <f t="shared" si="45"/>
        <v>103.66666666666667</v>
      </c>
      <c r="CE49" s="346">
        <v>0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6"/>
        <v>0</v>
      </c>
      <c r="CL49" s="211">
        <f t="shared" si="47"/>
        <v>0</v>
      </c>
      <c r="CM49" s="346">
        <v>0</v>
      </c>
      <c r="CN49" s="343">
        <v>420</v>
      </c>
      <c r="CO49" s="343">
        <v>0</v>
      </c>
      <c r="CP49" s="343">
        <v>0</v>
      </c>
      <c r="CQ49" s="343">
        <v>595</v>
      </c>
      <c r="CR49" s="343">
        <v>0</v>
      </c>
      <c r="CS49" s="808">
        <f t="shared" si="48"/>
        <v>1015</v>
      </c>
      <c r="CT49" s="211">
        <f t="shared" si="49"/>
        <v>169.16666666666666</v>
      </c>
      <c r="CU49" s="346">
        <v>0</v>
      </c>
      <c r="CV49" s="343">
        <v>0</v>
      </c>
      <c r="CW49" s="343">
        <v>0</v>
      </c>
      <c r="CX49" s="343">
        <v>510</v>
      </c>
      <c r="CY49" s="343">
        <v>0</v>
      </c>
      <c r="CZ49" s="343">
        <v>0</v>
      </c>
      <c r="DA49" s="808">
        <f t="shared" si="50"/>
        <v>510</v>
      </c>
      <c r="DB49" s="211">
        <f t="shared" si="51"/>
        <v>85</v>
      </c>
      <c r="DC49" s="346">
        <v>0</v>
      </c>
      <c r="DD49" s="343">
        <v>599</v>
      </c>
      <c r="DE49" s="343">
        <v>0</v>
      </c>
      <c r="DF49" s="343">
        <v>119</v>
      </c>
      <c r="DG49" s="343"/>
      <c r="DH49" s="343">
        <v>0</v>
      </c>
      <c r="DI49" s="808">
        <f t="shared" si="52"/>
        <v>718</v>
      </c>
      <c r="DJ49" s="211">
        <f t="shared" si="53"/>
        <v>119.66666666666667</v>
      </c>
      <c r="DK49" s="346">
        <v>0</v>
      </c>
      <c r="DL49" s="343">
        <v>623</v>
      </c>
      <c r="DM49" s="343">
        <v>0</v>
      </c>
      <c r="DN49" s="343">
        <v>0</v>
      </c>
      <c r="DO49" s="343">
        <v>612</v>
      </c>
      <c r="DP49" s="343">
        <v>0</v>
      </c>
      <c r="DQ49" s="808">
        <f t="shared" si="54"/>
        <v>1235</v>
      </c>
      <c r="DR49" s="211">
        <f t="shared" si="55"/>
        <v>205.83333333333334</v>
      </c>
      <c r="DS49" s="346">
        <v>0</v>
      </c>
      <c r="DT49" s="343">
        <v>0</v>
      </c>
      <c r="DU49" s="343">
        <v>0</v>
      </c>
      <c r="DV49" s="343">
        <v>0</v>
      </c>
      <c r="DW49" s="343">
        <v>693</v>
      </c>
      <c r="DX49" s="343">
        <v>0</v>
      </c>
      <c r="DY49" s="808">
        <f t="shared" si="56"/>
        <v>693</v>
      </c>
      <c r="DZ49" s="211">
        <f t="shared" si="57"/>
        <v>115.5</v>
      </c>
      <c r="EA49" s="346">
        <v>0</v>
      </c>
      <c r="EB49" s="343">
        <v>606</v>
      </c>
      <c r="EC49" s="343"/>
      <c r="ED49" s="343">
        <v>0</v>
      </c>
      <c r="EE49" s="343">
        <v>0</v>
      </c>
      <c r="EF49" s="343">
        <v>606</v>
      </c>
      <c r="EG49" s="808">
        <f t="shared" si="58"/>
        <v>1212</v>
      </c>
      <c r="EH49" s="211">
        <f t="shared" si="59"/>
        <v>202</v>
      </c>
      <c r="EI49" s="346">
        <v>0</v>
      </c>
      <c r="EJ49" s="343">
        <v>0</v>
      </c>
      <c r="EK49" s="343">
        <v>0</v>
      </c>
      <c r="EL49" s="343">
        <v>1640</v>
      </c>
      <c r="EM49" s="343">
        <v>0</v>
      </c>
      <c r="EN49" s="343">
        <v>0</v>
      </c>
      <c r="EO49" s="808">
        <f t="shared" si="60"/>
        <v>1640</v>
      </c>
      <c r="EP49" s="211">
        <f t="shared" si="61"/>
        <v>273.33333333333331</v>
      </c>
      <c r="EQ49" s="346">
        <v>0</v>
      </c>
      <c r="ER49" s="343">
        <v>642</v>
      </c>
      <c r="ES49" s="343">
        <v>0</v>
      </c>
      <c r="ET49" s="343">
        <v>712</v>
      </c>
      <c r="EU49" s="343">
        <v>0</v>
      </c>
      <c r="EV49" s="343">
        <v>0</v>
      </c>
      <c r="EW49" s="808">
        <f t="shared" si="62"/>
        <v>1354</v>
      </c>
      <c r="EX49" s="211">
        <f t="shared" si="63"/>
        <v>225.66666666666666</v>
      </c>
      <c r="EY49" s="346">
        <v>0</v>
      </c>
      <c r="EZ49" s="343">
        <v>0</v>
      </c>
      <c r="FA49" s="343">
        <v>54</v>
      </c>
      <c r="FB49" s="343">
        <v>0</v>
      </c>
      <c r="FC49" s="343">
        <v>110</v>
      </c>
      <c r="FD49" s="343">
        <v>502</v>
      </c>
      <c r="FE49" s="808">
        <f t="shared" si="64"/>
        <v>666</v>
      </c>
      <c r="FF49" s="211">
        <f t="shared" si="65"/>
        <v>111</v>
      </c>
      <c r="FG49" s="755">
        <v>0</v>
      </c>
      <c r="FH49" s="345">
        <v>0</v>
      </c>
      <c r="FI49" s="345">
        <v>657</v>
      </c>
      <c r="FJ49" s="345">
        <v>0</v>
      </c>
      <c r="FK49" s="345">
        <v>0</v>
      </c>
      <c r="FL49" s="345">
        <v>0</v>
      </c>
      <c r="FM49" s="808">
        <f t="shared" si="66"/>
        <v>657</v>
      </c>
      <c r="FN49" s="211">
        <f t="shared" si="67"/>
        <v>109.5</v>
      </c>
      <c r="FO49" s="346">
        <v>0</v>
      </c>
      <c r="FP49" s="343">
        <v>0</v>
      </c>
      <c r="FQ49" s="343">
        <v>936</v>
      </c>
      <c r="FR49" s="343">
        <v>0</v>
      </c>
      <c r="FS49" s="343">
        <v>0</v>
      </c>
      <c r="FT49" s="343">
        <v>0</v>
      </c>
      <c r="FU49" s="808">
        <f t="shared" si="68"/>
        <v>936</v>
      </c>
      <c r="FV49" s="211">
        <f t="shared" si="69"/>
        <v>156</v>
      </c>
      <c r="FW49" s="346">
        <v>0</v>
      </c>
      <c r="FX49" s="343">
        <v>0</v>
      </c>
      <c r="FY49" s="343">
        <v>0</v>
      </c>
      <c r="FZ49" s="343">
        <v>0</v>
      </c>
      <c r="GA49" s="343">
        <v>0</v>
      </c>
      <c r="GB49" s="343">
        <v>0</v>
      </c>
      <c r="GC49" s="808">
        <f t="shared" si="70"/>
        <v>0</v>
      </c>
      <c r="GD49" s="211">
        <f t="shared" si="71"/>
        <v>0</v>
      </c>
      <c r="GE49" s="346">
        <v>0</v>
      </c>
      <c r="GF49" s="343">
        <v>983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2"/>
        <v>983</v>
      </c>
      <c r="GL49" s="211">
        <f t="shared" si="73"/>
        <v>163.83333333333334</v>
      </c>
      <c r="GM49" s="755">
        <v>754</v>
      </c>
      <c r="GN49" s="345">
        <v>0</v>
      </c>
      <c r="GO49" s="345">
        <v>0</v>
      </c>
      <c r="GP49" s="345">
        <v>0</v>
      </c>
      <c r="GQ49" s="345">
        <v>951</v>
      </c>
      <c r="GR49" s="345">
        <v>0</v>
      </c>
      <c r="GS49" s="872">
        <f t="shared" si="74"/>
        <v>1705</v>
      </c>
      <c r="GT49" s="873">
        <f t="shared" si="75"/>
        <v>284.16666666666669</v>
      </c>
      <c r="GU49" s="346">
        <v>0</v>
      </c>
      <c r="GV49" s="343">
        <v>490</v>
      </c>
      <c r="GW49" s="343">
        <v>0</v>
      </c>
      <c r="GX49" s="343">
        <v>0</v>
      </c>
      <c r="GY49" s="343">
        <v>0</v>
      </c>
      <c r="GZ49" s="343">
        <v>305</v>
      </c>
      <c r="HA49" s="872">
        <f t="shared" si="76"/>
        <v>795</v>
      </c>
      <c r="HB49" s="873">
        <f t="shared" si="77"/>
        <v>132.5</v>
      </c>
      <c r="HC49" s="346">
        <v>0</v>
      </c>
      <c r="HD49" s="343">
        <v>227</v>
      </c>
      <c r="HE49" s="343">
        <v>0</v>
      </c>
      <c r="HF49" s="343"/>
      <c r="HG49" s="343"/>
      <c r="HH49" s="343"/>
      <c r="HI49" s="872">
        <f t="shared" si="78"/>
        <v>227</v>
      </c>
      <c r="HJ49" s="873">
        <f t="shared" si="79"/>
        <v>37.833333333333336</v>
      </c>
    </row>
    <row r="50" spans="1:218" s="323" customFormat="1" ht="15" customHeight="1" x14ac:dyDescent="0.2">
      <c r="A50" s="21">
        <v>39</v>
      </c>
      <c r="B50" s="21" t="s">
        <v>85</v>
      </c>
      <c r="C50" s="275" t="s">
        <v>86</v>
      </c>
      <c r="D50" s="21">
        <v>25</v>
      </c>
      <c r="E50" s="24"/>
      <c r="F50" s="24">
        <v>5615</v>
      </c>
      <c r="G50" s="24"/>
      <c r="H50" s="24"/>
      <c r="I50" s="360"/>
      <c r="J50" s="360">
        <f>SUMIF(SUMPK!$B:$B,$B:$B,SUMPK!$O:$O)</f>
        <v>0</v>
      </c>
      <c r="K50" s="24"/>
      <c r="L50" s="24">
        <f t="shared" si="91"/>
        <v>5615</v>
      </c>
      <c r="M50" s="15">
        <f t="shared" si="92"/>
        <v>5615</v>
      </c>
      <c r="N50" s="15">
        <v>88.5</v>
      </c>
      <c r="O50" s="276">
        <f t="shared" si="26"/>
        <v>63.44632768361582</v>
      </c>
      <c r="P50" s="15">
        <v>125.16666666666667</v>
      </c>
      <c r="Q50" s="711">
        <f t="shared" si="27"/>
        <v>800</v>
      </c>
      <c r="R50" s="276">
        <f t="shared" si="28"/>
        <v>269.16111850865514</v>
      </c>
      <c r="S50" s="712">
        <f t="shared" si="29"/>
        <v>184.61538461538461</v>
      </c>
      <c r="T50" s="713">
        <v>4800</v>
      </c>
      <c r="U50" s="276">
        <f t="shared" si="86"/>
        <v>30.414583333333333</v>
      </c>
      <c r="V50" s="278"/>
      <c r="W50" s="276">
        <f t="shared" si="31"/>
        <v>30.414583333333333</v>
      </c>
      <c r="X50" s="823">
        <f t="shared" si="0"/>
        <v>1</v>
      </c>
      <c r="Y50" s="305">
        <v>19</v>
      </c>
      <c r="Z50" s="824"/>
      <c r="AA50" s="244">
        <v>351</v>
      </c>
      <c r="AB50" s="64">
        <v>0</v>
      </c>
      <c r="AC50" s="64">
        <v>0</v>
      </c>
      <c r="AD50" s="64">
        <v>528</v>
      </c>
      <c r="AE50" s="64">
        <v>1086</v>
      </c>
      <c r="AF50" s="64">
        <v>0</v>
      </c>
      <c r="AG50" s="64">
        <f t="shared" si="32"/>
        <v>1965</v>
      </c>
      <c r="AH50" s="211">
        <f t="shared" si="33"/>
        <v>327.5</v>
      </c>
      <c r="AI50" s="755">
        <v>0</v>
      </c>
      <c r="AJ50" s="345">
        <v>1337</v>
      </c>
      <c r="AK50" s="345">
        <v>1367</v>
      </c>
      <c r="AL50" s="345">
        <v>0</v>
      </c>
      <c r="AM50" s="345">
        <v>0</v>
      </c>
      <c r="AN50" s="345">
        <v>0</v>
      </c>
      <c r="AO50" s="808">
        <f t="shared" si="34"/>
        <v>2704</v>
      </c>
      <c r="AP50" s="809">
        <f t="shared" si="35"/>
        <v>450.66666666666669</v>
      </c>
      <c r="AQ50" s="814">
        <v>0</v>
      </c>
      <c r="AR50" s="815">
        <v>0</v>
      </c>
      <c r="AS50" s="815">
        <v>920</v>
      </c>
      <c r="AT50" s="815">
        <v>284</v>
      </c>
      <c r="AU50" s="815">
        <v>0</v>
      </c>
      <c r="AV50" s="815">
        <v>0</v>
      </c>
      <c r="AW50" s="808">
        <f t="shared" si="36"/>
        <v>1204</v>
      </c>
      <c r="AX50" s="211">
        <f t="shared" si="37"/>
        <v>200.66666666666666</v>
      </c>
      <c r="AY50" s="346">
        <v>0</v>
      </c>
      <c r="AZ50" s="343">
        <v>0</v>
      </c>
      <c r="BA50" s="343">
        <v>871</v>
      </c>
      <c r="BB50" s="343">
        <v>1107</v>
      </c>
      <c r="BC50" s="343">
        <v>0</v>
      </c>
      <c r="BD50" s="343">
        <v>110</v>
      </c>
      <c r="BE50" s="808">
        <f t="shared" si="38"/>
        <v>2088</v>
      </c>
      <c r="BF50" s="211">
        <f t="shared" si="39"/>
        <v>348</v>
      </c>
      <c r="BG50" s="814">
        <v>1152</v>
      </c>
      <c r="BH50" s="815">
        <v>0</v>
      </c>
      <c r="BI50" s="815">
        <v>0</v>
      </c>
      <c r="BJ50" s="815">
        <v>0</v>
      </c>
      <c r="BK50" s="815">
        <v>0</v>
      </c>
      <c r="BL50" s="815">
        <v>0</v>
      </c>
      <c r="BM50" s="808">
        <f t="shared" si="40"/>
        <v>1152</v>
      </c>
      <c r="BN50" s="211">
        <f t="shared" si="41"/>
        <v>192</v>
      </c>
      <c r="BO50" s="755">
        <v>0</v>
      </c>
      <c r="BP50" s="345">
        <v>0</v>
      </c>
      <c r="BQ50" s="345">
        <v>601</v>
      </c>
      <c r="BR50" s="345">
        <v>82</v>
      </c>
      <c r="BS50" s="345">
        <v>0</v>
      </c>
      <c r="BT50" s="345">
        <v>0</v>
      </c>
      <c r="BU50" s="808">
        <f t="shared" si="42"/>
        <v>683</v>
      </c>
      <c r="BV50" s="211">
        <f t="shared" si="43"/>
        <v>113.83333333333333</v>
      </c>
      <c r="BW50" s="755">
        <v>0</v>
      </c>
      <c r="BX50" s="345">
        <v>860</v>
      </c>
      <c r="BY50" s="345">
        <v>0</v>
      </c>
      <c r="BZ50" s="345">
        <v>206</v>
      </c>
      <c r="CA50" s="345">
        <v>0</v>
      </c>
      <c r="CB50" s="345">
        <v>902</v>
      </c>
      <c r="CC50" s="808">
        <f t="shared" si="44"/>
        <v>1968</v>
      </c>
      <c r="CD50" s="211">
        <f t="shared" si="45"/>
        <v>328</v>
      </c>
      <c r="CE50" s="346">
        <v>109</v>
      </c>
      <c r="CF50" s="343">
        <v>0</v>
      </c>
      <c r="CG50" s="343">
        <v>0</v>
      </c>
      <c r="CH50" s="343">
        <v>0</v>
      </c>
      <c r="CI50" s="343">
        <v>0</v>
      </c>
      <c r="CJ50" s="343">
        <v>0</v>
      </c>
      <c r="CK50" s="808">
        <f t="shared" si="46"/>
        <v>109</v>
      </c>
      <c r="CL50" s="211">
        <f t="shared" si="47"/>
        <v>18.166666666666668</v>
      </c>
      <c r="CM50" s="346">
        <v>280</v>
      </c>
      <c r="CN50" s="343">
        <v>0</v>
      </c>
      <c r="CO50" s="343">
        <v>0</v>
      </c>
      <c r="CP50" s="343">
        <v>605</v>
      </c>
      <c r="CQ50" s="343">
        <v>0</v>
      </c>
      <c r="CR50" s="343">
        <v>582</v>
      </c>
      <c r="CS50" s="808">
        <f t="shared" si="48"/>
        <v>1467</v>
      </c>
      <c r="CT50" s="211">
        <f t="shared" si="49"/>
        <v>244.5</v>
      </c>
      <c r="CU50" s="346">
        <v>0</v>
      </c>
      <c r="CV50" s="343">
        <v>0</v>
      </c>
      <c r="CW50" s="343">
        <v>894</v>
      </c>
      <c r="CX50" s="343">
        <v>0</v>
      </c>
      <c r="CY50" s="343">
        <v>0</v>
      </c>
      <c r="CZ50" s="343">
        <v>0</v>
      </c>
      <c r="DA50" s="808">
        <f t="shared" si="50"/>
        <v>894</v>
      </c>
      <c r="DB50" s="211">
        <f t="shared" si="51"/>
        <v>149</v>
      </c>
      <c r="DC50" s="346">
        <v>0</v>
      </c>
      <c r="DD50" s="343">
        <v>0</v>
      </c>
      <c r="DE50" s="343">
        <v>0</v>
      </c>
      <c r="DF50" s="343">
        <v>0</v>
      </c>
      <c r="DG50" s="343">
        <v>1909</v>
      </c>
      <c r="DH50" s="343">
        <v>0</v>
      </c>
      <c r="DI50" s="808">
        <f t="shared" si="52"/>
        <v>1909</v>
      </c>
      <c r="DJ50" s="211">
        <f t="shared" si="53"/>
        <v>318.16666666666669</v>
      </c>
      <c r="DK50" s="346">
        <v>0</v>
      </c>
      <c r="DL50" s="343">
        <v>0</v>
      </c>
      <c r="DM50" s="343">
        <v>0</v>
      </c>
      <c r="DN50" s="343">
        <v>1937</v>
      </c>
      <c r="DO50" s="343">
        <v>0</v>
      </c>
      <c r="DP50" s="343">
        <v>0</v>
      </c>
      <c r="DQ50" s="808">
        <f t="shared" si="54"/>
        <v>1937</v>
      </c>
      <c r="DR50" s="211">
        <f t="shared" si="55"/>
        <v>322.83333333333331</v>
      </c>
      <c r="DS50" s="346">
        <v>0</v>
      </c>
      <c r="DT50" s="343">
        <v>0</v>
      </c>
      <c r="DU50" s="343">
        <v>934</v>
      </c>
      <c r="DV50" s="343">
        <v>0</v>
      </c>
      <c r="DW50" s="343">
        <v>0</v>
      </c>
      <c r="DX50" s="343">
        <v>0</v>
      </c>
      <c r="DY50" s="808">
        <f t="shared" si="56"/>
        <v>934</v>
      </c>
      <c r="DZ50" s="211">
        <f t="shared" si="57"/>
        <v>155.66666666666666</v>
      </c>
      <c r="EA50" s="346">
        <v>581</v>
      </c>
      <c r="EB50" s="343">
        <v>1228</v>
      </c>
      <c r="EC50" s="343"/>
      <c r="ED50" s="343">
        <v>0</v>
      </c>
      <c r="EE50" s="343">
        <v>660</v>
      </c>
      <c r="EF50" s="343">
        <v>855</v>
      </c>
      <c r="EG50" s="808">
        <f t="shared" si="58"/>
        <v>3324</v>
      </c>
      <c r="EH50" s="211">
        <f t="shared" si="59"/>
        <v>554</v>
      </c>
      <c r="EI50" s="346">
        <v>0</v>
      </c>
      <c r="EJ50" s="343">
        <v>0</v>
      </c>
      <c r="EK50" s="343">
        <v>0</v>
      </c>
      <c r="EL50" s="343">
        <v>634</v>
      </c>
      <c r="EM50" s="343">
        <v>450</v>
      </c>
      <c r="EN50" s="343">
        <v>1616</v>
      </c>
      <c r="EO50" s="808">
        <f t="shared" si="60"/>
        <v>2700</v>
      </c>
      <c r="EP50" s="211">
        <f t="shared" si="61"/>
        <v>450</v>
      </c>
      <c r="EQ50" s="346">
        <v>0</v>
      </c>
      <c r="ER50" s="343">
        <v>330</v>
      </c>
      <c r="ES50" s="343">
        <v>274</v>
      </c>
      <c r="ET50" s="343">
        <v>608</v>
      </c>
      <c r="EU50" s="343">
        <v>1182</v>
      </c>
      <c r="EV50" s="343">
        <v>0</v>
      </c>
      <c r="EW50" s="808">
        <f t="shared" si="62"/>
        <v>2394</v>
      </c>
      <c r="EX50" s="211">
        <f t="shared" si="63"/>
        <v>399</v>
      </c>
      <c r="EY50" s="346">
        <v>0</v>
      </c>
      <c r="EZ50" s="343">
        <v>0</v>
      </c>
      <c r="FA50" s="343">
        <v>556</v>
      </c>
      <c r="FB50" s="343">
        <v>0</v>
      </c>
      <c r="FC50" s="343">
        <v>185</v>
      </c>
      <c r="FD50" s="343">
        <v>0</v>
      </c>
      <c r="FE50" s="808">
        <f t="shared" si="64"/>
        <v>741</v>
      </c>
      <c r="FF50" s="211">
        <f t="shared" si="65"/>
        <v>123.5</v>
      </c>
      <c r="FG50" s="755">
        <v>200</v>
      </c>
      <c r="FH50" s="345">
        <v>0</v>
      </c>
      <c r="FI50" s="345">
        <v>0</v>
      </c>
      <c r="FJ50" s="345">
        <v>0</v>
      </c>
      <c r="FK50" s="345">
        <v>0</v>
      </c>
      <c r="FL50" s="345">
        <v>288</v>
      </c>
      <c r="FM50" s="808">
        <f t="shared" si="66"/>
        <v>488</v>
      </c>
      <c r="FN50" s="211">
        <f t="shared" si="67"/>
        <v>81.333333333333329</v>
      </c>
      <c r="FO50" s="346">
        <v>595</v>
      </c>
      <c r="FP50" s="343">
        <v>0</v>
      </c>
      <c r="FQ50" s="343">
        <v>0</v>
      </c>
      <c r="FR50" s="343">
        <v>0</v>
      </c>
      <c r="FS50" s="343">
        <v>0</v>
      </c>
      <c r="FT50" s="343">
        <v>280</v>
      </c>
      <c r="FU50" s="808">
        <f t="shared" si="68"/>
        <v>875</v>
      </c>
      <c r="FV50" s="211">
        <f t="shared" si="69"/>
        <v>145.83333333333334</v>
      </c>
      <c r="FW50" s="346">
        <v>0</v>
      </c>
      <c r="FX50" s="343">
        <v>0</v>
      </c>
      <c r="FY50" s="343">
        <v>222</v>
      </c>
      <c r="FZ50" s="343">
        <v>599</v>
      </c>
      <c r="GA50" s="343">
        <v>0</v>
      </c>
      <c r="GB50" s="343">
        <v>0</v>
      </c>
      <c r="GC50" s="808">
        <f t="shared" si="70"/>
        <v>821</v>
      </c>
      <c r="GD50" s="211">
        <f t="shared" si="71"/>
        <v>136.83333333333334</v>
      </c>
      <c r="GE50" s="346">
        <v>0</v>
      </c>
      <c r="GF50" s="343">
        <v>0</v>
      </c>
      <c r="GG50" s="343">
        <v>0</v>
      </c>
      <c r="GH50" s="343">
        <v>0</v>
      </c>
      <c r="GI50" s="343">
        <v>0</v>
      </c>
      <c r="GJ50" s="343">
        <v>0</v>
      </c>
      <c r="GK50" s="808">
        <f t="shared" si="72"/>
        <v>0</v>
      </c>
      <c r="GL50" s="211">
        <f t="shared" si="73"/>
        <v>0</v>
      </c>
      <c r="GM50" s="755">
        <v>0</v>
      </c>
      <c r="GN50" s="345">
        <v>223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4"/>
        <v>223</v>
      </c>
      <c r="GT50" s="873">
        <f t="shared" si="75"/>
        <v>37.166666666666664</v>
      </c>
      <c r="GU50" s="346">
        <v>149</v>
      </c>
      <c r="GV50" s="343">
        <v>0</v>
      </c>
      <c r="GW50" s="343">
        <v>0</v>
      </c>
      <c r="GX50" s="343">
        <v>347</v>
      </c>
      <c r="GY50" s="343">
        <v>35</v>
      </c>
      <c r="GZ50" s="343">
        <v>0</v>
      </c>
      <c r="HA50" s="872">
        <f t="shared" si="76"/>
        <v>531</v>
      </c>
      <c r="HB50" s="873">
        <f t="shared" si="77"/>
        <v>88.5</v>
      </c>
      <c r="HC50" s="346">
        <v>0</v>
      </c>
      <c r="HD50" s="343">
        <v>304</v>
      </c>
      <c r="HE50" s="343">
        <v>0</v>
      </c>
      <c r="HF50" s="343"/>
      <c r="HG50" s="343"/>
      <c r="HH50" s="343"/>
      <c r="HI50" s="872">
        <f t="shared" si="78"/>
        <v>304</v>
      </c>
      <c r="HJ50" s="873">
        <f t="shared" si="79"/>
        <v>50.666666666666664</v>
      </c>
    </row>
    <row r="51" spans="1:218" s="323" customFormat="1" ht="15" customHeight="1" x14ac:dyDescent="0.2">
      <c r="A51" s="21">
        <v>40</v>
      </c>
      <c r="B51" s="21" t="s">
        <v>544</v>
      </c>
      <c r="C51" s="275" t="s">
        <v>547</v>
      </c>
      <c r="D51" s="21">
        <v>25</v>
      </c>
      <c r="E51" s="24"/>
      <c r="F51" s="24">
        <v>1927</v>
      </c>
      <c r="G51" s="24"/>
      <c r="H51" s="24"/>
      <c r="I51" s="360"/>
      <c r="J51" s="360">
        <f>SUMIF(SUMPK!$B:$B,$B:$B,SUMPK!$O:$O)</f>
        <v>0</v>
      </c>
      <c r="K51" s="24"/>
      <c r="L51" s="24">
        <f t="shared" si="91"/>
        <v>1927</v>
      </c>
      <c r="M51" s="15">
        <f t="shared" si="92"/>
        <v>1927</v>
      </c>
      <c r="N51" s="15">
        <v>0</v>
      </c>
      <c r="O51" s="276"/>
      <c r="P51" s="15"/>
      <c r="Q51" s="711"/>
      <c r="R51" s="276"/>
      <c r="S51" s="712"/>
      <c r="T51" s="713"/>
      <c r="U51" s="276"/>
      <c r="V51" s="278"/>
      <c r="W51" s="276"/>
      <c r="X51" s="823">
        <f t="shared" si="0"/>
        <v>1</v>
      </c>
      <c r="Y51" s="305">
        <v>19</v>
      </c>
      <c r="Z51" s="824"/>
      <c r="AA51" s="244"/>
      <c r="AB51" s="64"/>
      <c r="AC51" s="64"/>
      <c r="AD51" s="64"/>
      <c r="AE51" s="64"/>
      <c r="AF51" s="64"/>
      <c r="AG51" s="64"/>
      <c r="AH51" s="211"/>
      <c r="AI51" s="755"/>
      <c r="AJ51" s="345"/>
      <c r="AK51" s="345"/>
      <c r="AL51" s="345"/>
      <c r="AM51" s="345"/>
      <c r="AN51" s="345"/>
      <c r="AO51" s="808"/>
      <c r="AP51" s="809"/>
      <c r="AQ51" s="814"/>
      <c r="AR51" s="815"/>
      <c r="AS51" s="815"/>
      <c r="AT51" s="815"/>
      <c r="AU51" s="815"/>
      <c r="AV51" s="815"/>
      <c r="AW51" s="808"/>
      <c r="AX51" s="211"/>
      <c r="AY51" s="346"/>
      <c r="AZ51" s="343"/>
      <c r="BA51" s="343"/>
      <c r="BB51" s="343"/>
      <c r="BC51" s="343"/>
      <c r="BD51" s="343"/>
      <c r="BE51" s="808"/>
      <c r="BF51" s="211"/>
      <c r="BG51" s="814"/>
      <c r="BH51" s="815"/>
      <c r="BI51" s="815"/>
      <c r="BJ51" s="815"/>
      <c r="BK51" s="815"/>
      <c r="BL51" s="815"/>
      <c r="BM51" s="808"/>
      <c r="BN51" s="211"/>
      <c r="BO51" s="755"/>
      <c r="BP51" s="345"/>
      <c r="BQ51" s="345"/>
      <c r="BR51" s="345"/>
      <c r="BS51" s="345"/>
      <c r="BT51" s="345"/>
      <c r="BU51" s="808"/>
      <c r="BV51" s="211"/>
      <c r="BW51" s="755"/>
      <c r="BX51" s="345"/>
      <c r="BY51" s="345"/>
      <c r="BZ51" s="345"/>
      <c r="CA51" s="345"/>
      <c r="CB51" s="345"/>
      <c r="CC51" s="808"/>
      <c r="CD51" s="211"/>
      <c r="CE51" s="346"/>
      <c r="CF51" s="343"/>
      <c r="CG51" s="343"/>
      <c r="CH51" s="343"/>
      <c r="CI51" s="343"/>
      <c r="CJ51" s="343"/>
      <c r="CK51" s="808"/>
      <c r="CL51" s="211"/>
      <c r="CM51" s="346"/>
      <c r="CN51" s="343"/>
      <c r="CO51" s="343"/>
      <c r="CP51" s="343"/>
      <c r="CQ51" s="343"/>
      <c r="CR51" s="343"/>
      <c r="CS51" s="808"/>
      <c r="CT51" s="211"/>
      <c r="CU51" s="346"/>
      <c r="CV51" s="343"/>
      <c r="CW51" s="343"/>
      <c r="CX51" s="343"/>
      <c r="CY51" s="343"/>
      <c r="CZ51" s="343"/>
      <c r="DA51" s="808"/>
      <c r="DB51" s="211"/>
      <c r="DC51" s="346"/>
      <c r="DD51" s="343"/>
      <c r="DE51" s="343"/>
      <c r="DF51" s="343"/>
      <c r="DG51" s="343"/>
      <c r="DH51" s="343"/>
      <c r="DI51" s="808"/>
      <c r="DJ51" s="211"/>
      <c r="DK51" s="346"/>
      <c r="DL51" s="343"/>
      <c r="DM51" s="343"/>
      <c r="DN51" s="343"/>
      <c r="DO51" s="343"/>
      <c r="DP51" s="343"/>
      <c r="DQ51" s="808"/>
      <c r="DR51" s="211"/>
      <c r="DS51" s="346"/>
      <c r="DT51" s="343"/>
      <c r="DU51" s="343"/>
      <c r="DV51" s="343"/>
      <c r="DW51" s="343"/>
      <c r="DX51" s="343"/>
      <c r="DY51" s="808"/>
      <c r="DZ51" s="211"/>
      <c r="EA51" s="346"/>
      <c r="EB51" s="343"/>
      <c r="EC51" s="343"/>
      <c r="ED51" s="343"/>
      <c r="EE51" s="343"/>
      <c r="EF51" s="343"/>
      <c r="EG51" s="808"/>
      <c r="EH51" s="211"/>
      <c r="EI51" s="346"/>
      <c r="EJ51" s="343"/>
      <c r="EK51" s="343"/>
      <c r="EL51" s="343"/>
      <c r="EM51" s="343"/>
      <c r="EN51" s="343"/>
      <c r="EO51" s="808"/>
      <c r="EP51" s="211"/>
      <c r="EQ51" s="346"/>
      <c r="ER51" s="343"/>
      <c r="ES51" s="343"/>
      <c r="ET51" s="343"/>
      <c r="EU51" s="343"/>
      <c r="EV51" s="343"/>
      <c r="EW51" s="808"/>
      <c r="EX51" s="211"/>
      <c r="EY51" s="346"/>
      <c r="EZ51" s="343"/>
      <c r="FA51" s="343"/>
      <c r="FB51" s="343"/>
      <c r="FC51" s="343"/>
      <c r="FD51" s="343"/>
      <c r="FE51" s="808"/>
      <c r="FF51" s="211"/>
      <c r="FG51" s="755"/>
      <c r="FH51" s="345"/>
      <c r="FI51" s="345"/>
      <c r="FJ51" s="345"/>
      <c r="FK51" s="345"/>
      <c r="FL51" s="345"/>
      <c r="FM51" s="808"/>
      <c r="FN51" s="211"/>
      <c r="FO51" s="346"/>
      <c r="FP51" s="343"/>
      <c r="FQ51" s="343"/>
      <c r="FR51" s="343"/>
      <c r="FS51" s="343"/>
      <c r="FT51" s="343"/>
      <c r="FU51" s="808"/>
      <c r="FV51" s="211"/>
      <c r="FW51" s="346"/>
      <c r="FX51" s="343"/>
      <c r="FY51" s="343"/>
      <c r="FZ51" s="343"/>
      <c r="GA51" s="343"/>
      <c r="GB51" s="343"/>
      <c r="GC51" s="808"/>
      <c r="GD51" s="211"/>
      <c r="GE51" s="346"/>
      <c r="GF51" s="343"/>
      <c r="GG51" s="343"/>
      <c r="GH51" s="343">
        <v>0</v>
      </c>
      <c r="GI51" s="343">
        <v>0</v>
      </c>
      <c r="GJ51" s="343">
        <v>0</v>
      </c>
      <c r="GK51" s="808"/>
      <c r="GL51" s="211"/>
      <c r="GM51" s="755">
        <v>0</v>
      </c>
      <c r="GN51" s="345">
        <v>0</v>
      </c>
      <c r="GO51" s="345">
        <v>0</v>
      </c>
      <c r="GP51" s="345">
        <v>0</v>
      </c>
      <c r="GQ51" s="345">
        <v>0</v>
      </c>
      <c r="GR51" s="345">
        <v>0</v>
      </c>
      <c r="GS51" s="872">
        <f t="shared" si="74"/>
        <v>0</v>
      </c>
      <c r="GT51" s="873">
        <f t="shared" si="75"/>
        <v>0</v>
      </c>
      <c r="GU51" s="346">
        <v>0</v>
      </c>
      <c r="GV51" s="343">
        <v>0</v>
      </c>
      <c r="GW51" s="343">
        <v>0</v>
      </c>
      <c r="GX51" s="343">
        <v>0</v>
      </c>
      <c r="GY51" s="343">
        <v>0</v>
      </c>
      <c r="GZ51" s="343">
        <v>0</v>
      </c>
      <c r="HA51" s="872">
        <f t="shared" si="76"/>
        <v>0</v>
      </c>
      <c r="HB51" s="873">
        <f t="shared" si="77"/>
        <v>0</v>
      </c>
      <c r="HC51" s="346">
        <v>0</v>
      </c>
      <c r="HD51" s="343">
        <v>0</v>
      </c>
      <c r="HE51" s="343">
        <v>0</v>
      </c>
      <c r="HF51" s="343"/>
      <c r="HG51" s="343"/>
      <c r="HH51" s="343"/>
      <c r="HI51" s="872">
        <f t="shared" si="78"/>
        <v>0</v>
      </c>
      <c r="HJ51" s="873">
        <f t="shared" si="79"/>
        <v>0</v>
      </c>
    </row>
    <row r="52" spans="1:218" s="323" customFormat="1" x14ac:dyDescent="0.2">
      <c r="A52" s="21">
        <v>41</v>
      </c>
      <c r="B52" s="21" t="s">
        <v>87</v>
      </c>
      <c r="C52" s="275" t="s">
        <v>88</v>
      </c>
      <c r="D52" s="21">
        <v>25</v>
      </c>
      <c r="E52" s="24"/>
      <c r="F52" s="24">
        <v>22632</v>
      </c>
      <c r="G52" s="24"/>
      <c r="H52" s="235"/>
      <c r="I52" s="360"/>
      <c r="J52" s="360">
        <f>SUMIF(SUMPK!$B:$B,$B:$B,SUMPK!$O:$O)</f>
        <v>2915</v>
      </c>
      <c r="K52" s="24"/>
      <c r="L52" s="24">
        <f t="shared" si="91"/>
        <v>19717</v>
      </c>
      <c r="M52" s="15">
        <f t="shared" si="92"/>
        <v>19717</v>
      </c>
      <c r="N52" s="15">
        <v>1186.6666666666667</v>
      </c>
      <c r="O52" s="276">
        <f t="shared" si="26"/>
        <v>16.615449438202248</v>
      </c>
      <c r="P52" s="15">
        <v>1603.1666666666667</v>
      </c>
      <c r="Q52" s="711">
        <f t="shared" si="27"/>
        <v>6666.666666666667</v>
      </c>
      <c r="R52" s="276">
        <f t="shared" si="28"/>
        <v>73.792701944069023</v>
      </c>
      <c r="S52" s="712">
        <f t="shared" si="29"/>
        <v>1538.4615384615386</v>
      </c>
      <c r="T52" s="713">
        <v>40000</v>
      </c>
      <c r="U52" s="276">
        <f t="shared" si="86"/>
        <v>12.816049999999999</v>
      </c>
      <c r="V52" s="278"/>
      <c r="W52" s="276">
        <f t="shared" si="31"/>
        <v>12.816049999999999</v>
      </c>
      <c r="X52" s="823">
        <f t="shared" si="0"/>
        <v>1</v>
      </c>
      <c r="Y52" s="305">
        <v>17</v>
      </c>
      <c r="Z52" s="824"/>
      <c r="AA52" s="244">
        <v>989</v>
      </c>
      <c r="AB52" s="64">
        <v>0</v>
      </c>
      <c r="AC52" s="64">
        <v>2116</v>
      </c>
      <c r="AD52" s="64">
        <v>0</v>
      </c>
      <c r="AE52" s="64">
        <v>3941</v>
      </c>
      <c r="AF52" s="64">
        <v>1737</v>
      </c>
      <c r="AG52" s="64">
        <f t="shared" si="32"/>
        <v>8783</v>
      </c>
      <c r="AH52" s="211">
        <f t="shared" si="33"/>
        <v>1463.8333333333333</v>
      </c>
      <c r="AI52" s="755">
        <v>1364</v>
      </c>
      <c r="AJ52" s="345">
        <v>0</v>
      </c>
      <c r="AK52" s="345">
        <v>2657</v>
      </c>
      <c r="AL52" s="345">
        <v>0</v>
      </c>
      <c r="AM52" s="345">
        <v>1859</v>
      </c>
      <c r="AN52" s="345">
        <v>0</v>
      </c>
      <c r="AO52" s="808">
        <f t="shared" si="34"/>
        <v>5880</v>
      </c>
      <c r="AP52" s="809">
        <f t="shared" si="35"/>
        <v>980</v>
      </c>
      <c r="AQ52" s="814">
        <v>0</v>
      </c>
      <c r="AR52" s="815">
        <v>1632</v>
      </c>
      <c r="AS52" s="815">
        <v>0</v>
      </c>
      <c r="AT52" s="815">
        <v>0</v>
      </c>
      <c r="AU52" s="815">
        <v>1689</v>
      </c>
      <c r="AV52" s="815">
        <v>0</v>
      </c>
      <c r="AW52" s="808">
        <f t="shared" si="36"/>
        <v>3321</v>
      </c>
      <c r="AX52" s="211">
        <f t="shared" si="37"/>
        <v>553.5</v>
      </c>
      <c r="AY52" s="346">
        <v>3274</v>
      </c>
      <c r="AZ52" s="343">
        <v>720</v>
      </c>
      <c r="BA52" s="343">
        <v>311</v>
      </c>
      <c r="BB52" s="343">
        <v>1611</v>
      </c>
      <c r="BC52" s="343">
        <v>0</v>
      </c>
      <c r="BD52" s="343">
        <v>2048</v>
      </c>
      <c r="BE52" s="808">
        <f t="shared" si="38"/>
        <v>7964</v>
      </c>
      <c r="BF52" s="211">
        <f t="shared" si="39"/>
        <v>1327.3333333333333</v>
      </c>
      <c r="BG52" s="814">
        <v>0</v>
      </c>
      <c r="BH52" s="815">
        <v>1152</v>
      </c>
      <c r="BI52" s="815">
        <v>2843</v>
      </c>
      <c r="BJ52" s="815">
        <v>2690</v>
      </c>
      <c r="BK52" s="815">
        <v>0</v>
      </c>
      <c r="BL52" s="815">
        <v>2153</v>
      </c>
      <c r="BM52" s="808">
        <f t="shared" si="40"/>
        <v>8838</v>
      </c>
      <c r="BN52" s="211">
        <f t="shared" si="41"/>
        <v>1473</v>
      </c>
      <c r="BO52" s="755">
        <v>0</v>
      </c>
      <c r="BP52" s="345">
        <v>0</v>
      </c>
      <c r="BQ52" s="345">
        <v>2225</v>
      </c>
      <c r="BR52" s="345">
        <v>1997</v>
      </c>
      <c r="BS52" s="345">
        <v>0</v>
      </c>
      <c r="BT52" s="345">
        <v>0</v>
      </c>
      <c r="BU52" s="808">
        <f t="shared" si="42"/>
        <v>4222</v>
      </c>
      <c r="BV52" s="211">
        <f t="shared" si="43"/>
        <v>703.66666666666663</v>
      </c>
      <c r="BW52" s="755">
        <v>770</v>
      </c>
      <c r="BX52" s="345">
        <v>4093</v>
      </c>
      <c r="BY52" s="345">
        <v>880</v>
      </c>
      <c r="BZ52" s="345">
        <v>0</v>
      </c>
      <c r="CA52" s="345">
        <v>2495</v>
      </c>
      <c r="CB52" s="345">
        <v>2404</v>
      </c>
      <c r="CC52" s="808">
        <f t="shared" si="44"/>
        <v>10642</v>
      </c>
      <c r="CD52" s="211">
        <f t="shared" si="45"/>
        <v>1773.6666666666667</v>
      </c>
      <c r="CE52" s="346">
        <v>0</v>
      </c>
      <c r="CF52" s="343">
        <v>1623</v>
      </c>
      <c r="CG52" s="343">
        <v>0</v>
      </c>
      <c r="CH52" s="343">
        <v>0</v>
      </c>
      <c r="CI52" s="343">
        <v>394</v>
      </c>
      <c r="CJ52" s="343">
        <v>0</v>
      </c>
      <c r="CK52" s="808">
        <f t="shared" si="46"/>
        <v>2017</v>
      </c>
      <c r="CL52" s="211">
        <f t="shared" si="47"/>
        <v>336.16666666666669</v>
      </c>
      <c r="CM52" s="346">
        <v>1615</v>
      </c>
      <c r="CN52" s="343">
        <v>0</v>
      </c>
      <c r="CO52" s="343">
        <v>1750</v>
      </c>
      <c r="CP52" s="343">
        <v>0</v>
      </c>
      <c r="CQ52" s="343">
        <v>972</v>
      </c>
      <c r="CR52" s="343">
        <v>0</v>
      </c>
      <c r="CS52" s="808">
        <f t="shared" si="48"/>
        <v>4337</v>
      </c>
      <c r="CT52" s="211">
        <f t="shared" si="49"/>
        <v>722.83333333333337</v>
      </c>
      <c r="CU52" s="346">
        <v>1259</v>
      </c>
      <c r="CV52" s="343">
        <v>1084</v>
      </c>
      <c r="CW52" s="343">
        <v>0</v>
      </c>
      <c r="CX52" s="343">
        <v>1485</v>
      </c>
      <c r="CY52" s="343">
        <v>57</v>
      </c>
      <c r="CZ52" s="343">
        <v>0</v>
      </c>
      <c r="DA52" s="808">
        <f t="shared" si="50"/>
        <v>3885</v>
      </c>
      <c r="DB52" s="211">
        <f t="shared" si="51"/>
        <v>647.5</v>
      </c>
      <c r="DC52" s="346">
        <v>2613</v>
      </c>
      <c r="DD52" s="343">
        <v>845</v>
      </c>
      <c r="DE52" s="343">
        <v>0</v>
      </c>
      <c r="DF52" s="343">
        <v>2600</v>
      </c>
      <c r="DG52" s="343"/>
      <c r="DH52" s="343">
        <v>0</v>
      </c>
      <c r="DI52" s="808">
        <f t="shared" si="52"/>
        <v>6058</v>
      </c>
      <c r="DJ52" s="211">
        <f t="shared" si="53"/>
        <v>1009.6666666666666</v>
      </c>
      <c r="DK52" s="346">
        <v>2908</v>
      </c>
      <c r="DL52" s="343">
        <v>0</v>
      </c>
      <c r="DM52" s="343">
        <v>0</v>
      </c>
      <c r="DN52" s="343">
        <v>1595</v>
      </c>
      <c r="DO52" s="343">
        <v>0</v>
      </c>
      <c r="DP52" s="343">
        <v>2024</v>
      </c>
      <c r="DQ52" s="808">
        <f t="shared" si="54"/>
        <v>6527</v>
      </c>
      <c r="DR52" s="211">
        <f t="shared" si="55"/>
        <v>1087.8333333333333</v>
      </c>
      <c r="DS52" s="346">
        <v>0</v>
      </c>
      <c r="DT52" s="343">
        <v>770</v>
      </c>
      <c r="DU52" s="343">
        <v>861</v>
      </c>
      <c r="DV52" s="343">
        <v>0</v>
      </c>
      <c r="DW52" s="343">
        <v>822</v>
      </c>
      <c r="DX52" s="343">
        <v>2382</v>
      </c>
      <c r="DY52" s="808">
        <f t="shared" si="56"/>
        <v>4835</v>
      </c>
      <c r="DZ52" s="211">
        <f t="shared" si="57"/>
        <v>805.83333333333337</v>
      </c>
      <c r="EA52" s="346">
        <v>1632</v>
      </c>
      <c r="EB52" s="343">
        <v>0</v>
      </c>
      <c r="EC52" s="343"/>
      <c r="ED52" s="343">
        <v>0</v>
      </c>
      <c r="EE52" s="343">
        <v>2413</v>
      </c>
      <c r="EF52" s="343">
        <v>0</v>
      </c>
      <c r="EG52" s="808">
        <f t="shared" si="58"/>
        <v>4045</v>
      </c>
      <c r="EH52" s="211">
        <f t="shared" si="59"/>
        <v>674.16666666666663</v>
      </c>
      <c r="EI52" s="346">
        <v>0</v>
      </c>
      <c r="EJ52" s="343">
        <v>856</v>
      </c>
      <c r="EK52" s="343">
        <v>0</v>
      </c>
      <c r="EL52" s="343">
        <v>2371</v>
      </c>
      <c r="EM52" s="343">
        <v>0</v>
      </c>
      <c r="EN52" s="343">
        <v>1405</v>
      </c>
      <c r="EO52" s="808">
        <f t="shared" si="60"/>
        <v>4632</v>
      </c>
      <c r="EP52" s="211">
        <f t="shared" si="61"/>
        <v>772</v>
      </c>
      <c r="EQ52" s="346">
        <v>3301</v>
      </c>
      <c r="ER52" s="343">
        <v>0</v>
      </c>
      <c r="ES52" s="343">
        <v>45</v>
      </c>
      <c r="ET52" s="343">
        <v>1370</v>
      </c>
      <c r="EU52" s="343">
        <v>0</v>
      </c>
      <c r="EV52" s="343">
        <v>0</v>
      </c>
      <c r="EW52" s="808">
        <f t="shared" si="62"/>
        <v>4716</v>
      </c>
      <c r="EX52" s="211">
        <f t="shared" si="63"/>
        <v>786</v>
      </c>
      <c r="EY52" s="346">
        <v>923</v>
      </c>
      <c r="EZ52" s="343">
        <v>0</v>
      </c>
      <c r="FA52" s="343">
        <v>1499</v>
      </c>
      <c r="FB52" s="343">
        <v>1906</v>
      </c>
      <c r="FC52" s="343">
        <v>524</v>
      </c>
      <c r="FD52" s="343">
        <v>770</v>
      </c>
      <c r="FE52" s="808">
        <f t="shared" si="64"/>
        <v>5622</v>
      </c>
      <c r="FF52" s="211">
        <f t="shared" si="65"/>
        <v>937</v>
      </c>
      <c r="FG52" s="755">
        <v>1166</v>
      </c>
      <c r="FH52" s="345">
        <v>0</v>
      </c>
      <c r="FI52" s="345">
        <v>1988</v>
      </c>
      <c r="FJ52" s="345">
        <v>0</v>
      </c>
      <c r="FK52" s="345">
        <v>0</v>
      </c>
      <c r="FL52" s="345">
        <v>960</v>
      </c>
      <c r="FM52" s="808">
        <f t="shared" si="66"/>
        <v>4114</v>
      </c>
      <c r="FN52" s="211">
        <f t="shared" si="67"/>
        <v>685.66666666666663</v>
      </c>
      <c r="FO52" s="346">
        <v>3044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68"/>
        <v>3044</v>
      </c>
      <c r="FV52" s="211">
        <f t="shared" si="69"/>
        <v>507.33333333333331</v>
      </c>
      <c r="FW52" s="346">
        <v>1320</v>
      </c>
      <c r="FX52" s="343">
        <v>2892</v>
      </c>
      <c r="FY52" s="343">
        <v>4410</v>
      </c>
      <c r="FZ52" s="343">
        <v>265</v>
      </c>
      <c r="GA52" s="343">
        <v>0</v>
      </c>
      <c r="GB52" s="343">
        <v>396</v>
      </c>
      <c r="GC52" s="808">
        <f t="shared" si="70"/>
        <v>9283</v>
      </c>
      <c r="GD52" s="211">
        <f t="shared" si="71"/>
        <v>1547.1666666666667</v>
      </c>
      <c r="GE52" s="346">
        <v>440</v>
      </c>
      <c r="GF52" s="343">
        <v>2973</v>
      </c>
      <c r="GG52" s="343">
        <v>0</v>
      </c>
      <c r="GH52" s="343">
        <v>1122</v>
      </c>
      <c r="GI52" s="343">
        <v>2930</v>
      </c>
      <c r="GJ52" s="343">
        <v>2561</v>
      </c>
      <c r="GK52" s="808">
        <f t="shared" si="72"/>
        <v>10026</v>
      </c>
      <c r="GL52" s="211">
        <f t="shared" si="73"/>
        <v>1671</v>
      </c>
      <c r="GM52" s="755">
        <v>1214</v>
      </c>
      <c r="GN52" s="345">
        <v>0</v>
      </c>
      <c r="GO52" s="345">
        <v>1600</v>
      </c>
      <c r="GP52" s="345">
        <v>2075</v>
      </c>
      <c r="GQ52" s="345">
        <v>0</v>
      </c>
      <c r="GR52" s="345">
        <v>0</v>
      </c>
      <c r="GS52" s="872">
        <f t="shared" si="74"/>
        <v>4889</v>
      </c>
      <c r="GT52" s="873">
        <f t="shared" si="75"/>
        <v>814.83333333333337</v>
      </c>
      <c r="GU52" s="346">
        <v>1521</v>
      </c>
      <c r="GV52" s="343">
        <v>0</v>
      </c>
      <c r="GW52" s="343">
        <v>2898</v>
      </c>
      <c r="GX52" s="343">
        <v>2701</v>
      </c>
      <c r="GY52" s="343">
        <v>0</v>
      </c>
      <c r="GZ52" s="343">
        <v>0</v>
      </c>
      <c r="HA52" s="872">
        <f t="shared" si="76"/>
        <v>7120</v>
      </c>
      <c r="HB52" s="873">
        <f t="shared" si="77"/>
        <v>1186.6666666666667</v>
      </c>
      <c r="HC52" s="346">
        <v>0</v>
      </c>
      <c r="HD52" s="343">
        <v>790</v>
      </c>
      <c r="HE52" s="343">
        <v>2203</v>
      </c>
      <c r="HF52" s="343"/>
      <c r="HG52" s="343"/>
      <c r="HH52" s="343"/>
      <c r="HI52" s="872">
        <f t="shared" si="78"/>
        <v>2993</v>
      </c>
      <c r="HJ52" s="873">
        <f t="shared" si="79"/>
        <v>498.83333333333331</v>
      </c>
    </row>
    <row r="53" spans="1:218" s="323" customFormat="1" ht="15" customHeight="1" x14ac:dyDescent="0.2">
      <c r="A53" s="21">
        <v>42</v>
      </c>
      <c r="B53" s="21" t="s">
        <v>312</v>
      </c>
      <c r="C53" s="275" t="s">
        <v>313</v>
      </c>
      <c r="D53" s="21">
        <v>25</v>
      </c>
      <c r="E53" s="24"/>
      <c r="F53" s="24">
        <v>1277</v>
      </c>
      <c r="G53" s="24"/>
      <c r="H53" s="235"/>
      <c r="I53" s="360"/>
      <c r="J53" s="360">
        <f>SUMIF(SUMPK!$B:$B,$B:$B,SUMPK!$O:$O)</f>
        <v>0</v>
      </c>
      <c r="K53" s="24"/>
      <c r="L53" s="24">
        <f t="shared" si="91"/>
        <v>1277</v>
      </c>
      <c r="M53" s="15">
        <f t="shared" si="92"/>
        <v>1277</v>
      </c>
      <c r="N53" s="15">
        <v>0</v>
      </c>
      <c r="O53" s="276">
        <f t="shared" si="26"/>
        <v>0</v>
      </c>
      <c r="P53" s="15"/>
      <c r="Q53" s="711">
        <f t="shared" si="27"/>
        <v>0</v>
      </c>
      <c r="R53" s="276"/>
      <c r="S53" s="712">
        <f t="shared" si="29"/>
        <v>0</v>
      </c>
      <c r="T53" s="713"/>
      <c r="U53" s="276"/>
      <c r="V53" s="278"/>
      <c r="W53" s="276">
        <f t="shared" si="31"/>
        <v>0</v>
      </c>
      <c r="X53" s="823">
        <f t="shared" si="0"/>
        <v>1</v>
      </c>
      <c r="Y53" s="305">
        <v>18</v>
      </c>
      <c r="Z53" s="824"/>
      <c r="AA53" s="244">
        <v>0</v>
      </c>
      <c r="AB53" s="64">
        <v>0</v>
      </c>
      <c r="AC53" s="64">
        <v>0</v>
      </c>
      <c r="AD53" s="64">
        <v>681</v>
      </c>
      <c r="AE53" s="64">
        <v>0</v>
      </c>
      <c r="AF53" s="64">
        <v>0</v>
      </c>
      <c r="AG53" s="64">
        <f t="shared" si="32"/>
        <v>681</v>
      </c>
      <c r="AH53" s="211">
        <f t="shared" si="33"/>
        <v>113.5</v>
      </c>
      <c r="AI53" s="755">
        <v>0</v>
      </c>
      <c r="AJ53" s="345">
        <v>0</v>
      </c>
      <c r="AK53" s="345">
        <v>0</v>
      </c>
      <c r="AL53" s="345">
        <v>0</v>
      </c>
      <c r="AM53" s="345">
        <v>0</v>
      </c>
      <c r="AN53" s="345">
        <v>0</v>
      </c>
      <c r="AO53" s="808">
        <f t="shared" si="34"/>
        <v>0</v>
      </c>
      <c r="AP53" s="809">
        <f t="shared" si="35"/>
        <v>0</v>
      </c>
      <c r="AQ53" s="814">
        <v>0</v>
      </c>
      <c r="AR53" s="815">
        <v>637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6"/>
        <v>637</v>
      </c>
      <c r="AX53" s="211">
        <f t="shared" si="37"/>
        <v>106.16666666666667</v>
      </c>
      <c r="AY53" s="346">
        <v>0</v>
      </c>
      <c r="AZ53" s="343">
        <v>0</v>
      </c>
      <c r="BA53" s="343">
        <v>0</v>
      </c>
      <c r="BB53" s="343">
        <v>0</v>
      </c>
      <c r="BC53" s="343">
        <v>328</v>
      </c>
      <c r="BD53" s="343">
        <v>0</v>
      </c>
      <c r="BE53" s="808">
        <f t="shared" si="38"/>
        <v>328</v>
      </c>
      <c r="BF53" s="211">
        <f t="shared" si="39"/>
        <v>54.666666666666664</v>
      </c>
      <c r="BG53" s="814">
        <v>331</v>
      </c>
      <c r="BH53" s="815">
        <v>0</v>
      </c>
      <c r="BI53" s="815">
        <v>0</v>
      </c>
      <c r="BJ53" s="815">
        <v>672</v>
      </c>
      <c r="BK53" s="815">
        <v>0</v>
      </c>
      <c r="BL53" s="815">
        <v>0</v>
      </c>
      <c r="BM53" s="808">
        <f t="shared" si="40"/>
        <v>1003</v>
      </c>
      <c r="BN53" s="211">
        <f t="shared" si="41"/>
        <v>167.16666666666666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0</v>
      </c>
      <c r="BU53" s="808">
        <f t="shared" si="42"/>
        <v>0</v>
      </c>
      <c r="BV53" s="211">
        <f t="shared" si="43"/>
        <v>0</v>
      </c>
      <c r="BW53" s="755">
        <v>0</v>
      </c>
      <c r="BX53" s="345">
        <v>258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4"/>
        <v>258</v>
      </c>
      <c r="CD53" s="211">
        <f t="shared" si="45"/>
        <v>43</v>
      </c>
      <c r="CE53" s="346">
        <v>0</v>
      </c>
      <c r="CF53" s="343">
        <v>0</v>
      </c>
      <c r="CG53" s="343">
        <v>0</v>
      </c>
      <c r="CH53" s="343">
        <v>0</v>
      </c>
      <c r="CI53" s="343">
        <v>0</v>
      </c>
      <c r="CJ53" s="343">
        <v>177</v>
      </c>
      <c r="CK53" s="808">
        <f t="shared" si="46"/>
        <v>177</v>
      </c>
      <c r="CL53" s="211">
        <f t="shared" si="47"/>
        <v>29.5</v>
      </c>
      <c r="CM53" s="346">
        <v>298</v>
      </c>
      <c r="CN53" s="343">
        <v>0</v>
      </c>
      <c r="CO53" s="343">
        <v>0</v>
      </c>
      <c r="CP53" s="343">
        <v>0</v>
      </c>
      <c r="CQ53" s="343">
        <v>0</v>
      </c>
      <c r="CR53" s="343">
        <v>0</v>
      </c>
      <c r="CS53" s="808">
        <f t="shared" si="48"/>
        <v>298</v>
      </c>
      <c r="CT53" s="211">
        <f t="shared" si="49"/>
        <v>49.666666666666664</v>
      </c>
      <c r="CU53" s="346">
        <v>0</v>
      </c>
      <c r="CV53" s="343">
        <v>0</v>
      </c>
      <c r="CW53" s="343">
        <v>0</v>
      </c>
      <c r="CX53" s="343">
        <v>281</v>
      </c>
      <c r="CY53" s="343">
        <v>0</v>
      </c>
      <c r="CZ53" s="343">
        <v>0</v>
      </c>
      <c r="DA53" s="808">
        <f t="shared" si="50"/>
        <v>281</v>
      </c>
      <c r="DB53" s="211">
        <f t="shared" si="51"/>
        <v>46.833333333333336</v>
      </c>
      <c r="DC53" s="346">
        <v>332</v>
      </c>
      <c r="DD53" s="343">
        <v>0</v>
      </c>
      <c r="DE53" s="343">
        <v>0</v>
      </c>
      <c r="DF53" s="343">
        <v>0</v>
      </c>
      <c r="DG53" s="343"/>
      <c r="DH53" s="343">
        <v>0</v>
      </c>
      <c r="DI53" s="808">
        <f t="shared" si="52"/>
        <v>332</v>
      </c>
      <c r="DJ53" s="211">
        <f t="shared" si="53"/>
        <v>55.333333333333336</v>
      </c>
      <c r="DK53" s="346">
        <v>333</v>
      </c>
      <c r="DL53" s="343">
        <v>0</v>
      </c>
      <c r="DM53" s="343">
        <v>0</v>
      </c>
      <c r="DN53" s="343">
        <v>550</v>
      </c>
      <c r="DO53" s="343">
        <v>117</v>
      </c>
      <c r="DP53" s="343">
        <v>0</v>
      </c>
      <c r="DQ53" s="808">
        <f t="shared" si="54"/>
        <v>1000</v>
      </c>
      <c r="DR53" s="211">
        <f t="shared" si="55"/>
        <v>166.66666666666666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386</v>
      </c>
      <c r="DY53" s="808">
        <f t="shared" si="56"/>
        <v>386</v>
      </c>
      <c r="DZ53" s="211">
        <f t="shared" si="57"/>
        <v>64.333333333333329</v>
      </c>
      <c r="EA53" s="346">
        <v>0</v>
      </c>
      <c r="EB53" s="343">
        <v>0</v>
      </c>
      <c r="EC53" s="343"/>
      <c r="ED53" s="343">
        <v>0</v>
      </c>
      <c r="EE53" s="343">
        <v>0</v>
      </c>
      <c r="EF53" s="343">
        <v>648</v>
      </c>
      <c r="EG53" s="808">
        <f t="shared" si="58"/>
        <v>648</v>
      </c>
      <c r="EH53" s="211">
        <f t="shared" si="59"/>
        <v>108</v>
      </c>
      <c r="EI53" s="346">
        <v>0</v>
      </c>
      <c r="EJ53" s="343">
        <v>0</v>
      </c>
      <c r="EK53" s="343">
        <v>0</v>
      </c>
      <c r="EL53" s="343">
        <v>330</v>
      </c>
      <c r="EM53" s="343">
        <v>311</v>
      </c>
      <c r="EN53" s="343">
        <v>0</v>
      </c>
      <c r="EO53" s="808">
        <f t="shared" si="60"/>
        <v>641</v>
      </c>
      <c r="EP53" s="211">
        <f t="shared" si="61"/>
        <v>106.83333333333333</v>
      </c>
      <c r="EQ53" s="346">
        <v>0</v>
      </c>
      <c r="ER53" s="343">
        <v>0</v>
      </c>
      <c r="ES53" s="343">
        <v>0</v>
      </c>
      <c r="ET53" s="343">
        <v>0</v>
      </c>
      <c r="EU53" s="343">
        <v>659</v>
      </c>
      <c r="EV53" s="343">
        <v>0</v>
      </c>
      <c r="EW53" s="808">
        <f t="shared" si="62"/>
        <v>659</v>
      </c>
      <c r="EX53" s="211">
        <f t="shared" si="63"/>
        <v>109.83333333333333</v>
      </c>
      <c r="EY53" s="346">
        <v>0</v>
      </c>
      <c r="EZ53" s="343">
        <v>0</v>
      </c>
      <c r="FA53" s="343">
        <v>0</v>
      </c>
      <c r="FB53" s="343">
        <v>608</v>
      </c>
      <c r="FC53" s="343">
        <v>0</v>
      </c>
      <c r="FD53" s="343">
        <v>0</v>
      </c>
      <c r="FE53" s="808">
        <f t="shared" si="64"/>
        <v>608</v>
      </c>
      <c r="FF53" s="211">
        <f t="shared" si="65"/>
        <v>101.33333333333333</v>
      </c>
      <c r="FG53" s="755">
        <v>0</v>
      </c>
      <c r="FH53" s="345">
        <v>0</v>
      </c>
      <c r="FI53" s="345">
        <v>0</v>
      </c>
      <c r="FJ53" s="345">
        <v>0</v>
      </c>
      <c r="FK53" s="345">
        <v>0</v>
      </c>
      <c r="FL53" s="345">
        <v>0</v>
      </c>
      <c r="FM53" s="808">
        <f t="shared" si="66"/>
        <v>0</v>
      </c>
      <c r="FN53" s="211">
        <f t="shared" si="67"/>
        <v>0</v>
      </c>
      <c r="FO53" s="346">
        <v>0</v>
      </c>
      <c r="FP53" s="343">
        <v>0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68"/>
        <v>0</v>
      </c>
      <c r="FV53" s="211">
        <f t="shared" si="69"/>
        <v>0</v>
      </c>
      <c r="FW53" s="346">
        <v>0</v>
      </c>
      <c r="FX53" s="343">
        <v>0</v>
      </c>
      <c r="FY53" s="343">
        <v>0</v>
      </c>
      <c r="FZ53" s="343">
        <v>0</v>
      </c>
      <c r="GA53" s="343">
        <v>0</v>
      </c>
      <c r="GB53" s="343">
        <v>220</v>
      </c>
      <c r="GC53" s="808">
        <f t="shared" si="70"/>
        <v>220</v>
      </c>
      <c r="GD53" s="211">
        <f t="shared" si="71"/>
        <v>36.666666666666664</v>
      </c>
      <c r="GE53" s="346">
        <v>83</v>
      </c>
      <c r="GF53" s="343">
        <v>0</v>
      </c>
      <c r="GG53" s="343">
        <v>0</v>
      </c>
      <c r="GH53" s="343">
        <v>0</v>
      </c>
      <c r="GI53" s="343">
        <v>0</v>
      </c>
      <c r="GJ53" s="343">
        <v>318</v>
      </c>
      <c r="GK53" s="808">
        <f t="shared" si="72"/>
        <v>401</v>
      </c>
      <c r="GL53" s="211">
        <f t="shared" si="73"/>
        <v>66.833333333333329</v>
      </c>
      <c r="GM53" s="755">
        <v>0</v>
      </c>
      <c r="GN53" s="345">
        <v>0</v>
      </c>
      <c r="GO53" s="345">
        <v>0</v>
      </c>
      <c r="GP53" s="345">
        <v>0</v>
      </c>
      <c r="GQ53" s="345">
        <v>329</v>
      </c>
      <c r="GR53" s="345">
        <v>0</v>
      </c>
      <c r="GS53" s="872">
        <f t="shared" si="74"/>
        <v>329</v>
      </c>
      <c r="GT53" s="873">
        <f t="shared" si="75"/>
        <v>54.833333333333336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0</v>
      </c>
      <c r="HA53" s="872">
        <f t="shared" si="76"/>
        <v>0</v>
      </c>
      <c r="HB53" s="873">
        <f t="shared" si="77"/>
        <v>0</v>
      </c>
      <c r="HC53" s="346">
        <v>0</v>
      </c>
      <c r="HD53" s="343">
        <v>306</v>
      </c>
      <c r="HE53" s="343">
        <v>0</v>
      </c>
      <c r="HF53" s="343"/>
      <c r="HG53" s="343"/>
      <c r="HH53" s="343"/>
      <c r="HI53" s="872">
        <f t="shared" si="78"/>
        <v>306</v>
      </c>
      <c r="HJ53" s="873">
        <f t="shared" si="79"/>
        <v>51</v>
      </c>
    </row>
    <row r="54" spans="1:218" s="323" customFormat="1" ht="15" customHeight="1" x14ac:dyDescent="0.2">
      <c r="A54" s="21">
        <v>43</v>
      </c>
      <c r="B54" s="21" t="s">
        <v>178</v>
      </c>
      <c r="C54" s="275" t="s">
        <v>177</v>
      </c>
      <c r="D54" s="21">
        <v>25</v>
      </c>
      <c r="E54" s="24"/>
      <c r="F54" s="24">
        <v>174</v>
      </c>
      <c r="G54" s="24"/>
      <c r="H54" s="24"/>
      <c r="I54" s="24"/>
      <c r="J54" s="360">
        <f>SUMIF(SUMPK!$B:$B,$B:$B,SUMPK!$O:$O)</f>
        <v>0</v>
      </c>
      <c r="K54" s="24"/>
      <c r="L54" s="24">
        <f t="shared" si="91"/>
        <v>174</v>
      </c>
      <c r="M54" s="15">
        <f t="shared" si="92"/>
        <v>174</v>
      </c>
      <c r="N54" s="15">
        <v>109.66666666666667</v>
      </c>
      <c r="O54" s="276">
        <f t="shared" si="26"/>
        <v>1.5866261398176291</v>
      </c>
      <c r="P54" s="15">
        <v>155.83333333333334</v>
      </c>
      <c r="Q54" s="711">
        <f t="shared" si="27"/>
        <v>0</v>
      </c>
      <c r="R54" s="276">
        <f t="shared" si="28"/>
        <v>6.699465240641711</v>
      </c>
      <c r="S54" s="712">
        <f t="shared" si="29"/>
        <v>0</v>
      </c>
      <c r="T54" s="713"/>
      <c r="U54" s="276">
        <f t="shared" si="86"/>
        <v>0</v>
      </c>
      <c r="V54" s="278"/>
      <c r="W54" s="276">
        <f t="shared" si="31"/>
        <v>0</v>
      </c>
      <c r="X54" s="823">
        <f t="shared" si="0"/>
        <v>1</v>
      </c>
      <c r="Y54" s="305">
        <v>14</v>
      </c>
      <c r="Z54" s="824"/>
      <c r="AA54" s="244">
        <v>0</v>
      </c>
      <c r="AB54" s="64">
        <v>0</v>
      </c>
      <c r="AC54" s="64">
        <v>0</v>
      </c>
      <c r="AD54" s="64">
        <v>0</v>
      </c>
      <c r="AE54" s="64">
        <v>971</v>
      </c>
      <c r="AF54" s="64">
        <v>0</v>
      </c>
      <c r="AG54" s="64">
        <f t="shared" si="32"/>
        <v>971</v>
      </c>
      <c r="AH54" s="211">
        <f t="shared" si="33"/>
        <v>161.83333333333334</v>
      </c>
      <c r="AI54" s="755">
        <v>0</v>
      </c>
      <c r="AJ54" s="345">
        <v>0</v>
      </c>
      <c r="AK54" s="345">
        <v>0</v>
      </c>
      <c r="AL54" s="345">
        <v>0</v>
      </c>
      <c r="AM54" s="345">
        <v>970</v>
      </c>
      <c r="AN54" s="345">
        <v>0</v>
      </c>
      <c r="AO54" s="808">
        <f t="shared" si="34"/>
        <v>970</v>
      </c>
      <c r="AP54" s="809">
        <f t="shared" si="35"/>
        <v>161.66666666666666</v>
      </c>
      <c r="AQ54" s="814">
        <v>0</v>
      </c>
      <c r="AR54" s="815">
        <v>0</v>
      </c>
      <c r="AS54" s="815">
        <v>0</v>
      </c>
      <c r="AT54" s="815">
        <v>0</v>
      </c>
      <c r="AU54" s="815">
        <v>0</v>
      </c>
      <c r="AV54" s="815">
        <v>0</v>
      </c>
      <c r="AW54" s="808">
        <f t="shared" si="36"/>
        <v>0</v>
      </c>
      <c r="AX54" s="211">
        <f t="shared" si="37"/>
        <v>0</v>
      </c>
      <c r="AY54" s="346">
        <v>0</v>
      </c>
      <c r="AZ54" s="343">
        <v>0</v>
      </c>
      <c r="BA54" s="343">
        <v>0</v>
      </c>
      <c r="BB54" s="343">
        <v>0</v>
      </c>
      <c r="BC54" s="343">
        <v>663</v>
      </c>
      <c r="BD54" s="343">
        <v>0</v>
      </c>
      <c r="BE54" s="808">
        <f t="shared" si="38"/>
        <v>663</v>
      </c>
      <c r="BF54" s="211">
        <f t="shared" si="39"/>
        <v>110.5</v>
      </c>
      <c r="BG54" s="814">
        <v>0</v>
      </c>
      <c r="BH54" s="815">
        <v>0</v>
      </c>
      <c r="BI54" s="815">
        <v>0</v>
      </c>
      <c r="BJ54" s="815">
        <v>0</v>
      </c>
      <c r="BK54" s="815">
        <v>645</v>
      </c>
      <c r="BL54" s="815">
        <v>0</v>
      </c>
      <c r="BM54" s="808">
        <f t="shared" si="40"/>
        <v>645</v>
      </c>
      <c r="BN54" s="211">
        <f t="shared" si="41"/>
        <v>107.5</v>
      </c>
      <c r="BO54" s="755">
        <v>0</v>
      </c>
      <c r="BP54" s="345">
        <v>0</v>
      </c>
      <c r="BQ54" s="345">
        <v>0</v>
      </c>
      <c r="BR54" s="345">
        <v>0</v>
      </c>
      <c r="BS54" s="345">
        <v>0</v>
      </c>
      <c r="BT54" s="345">
        <v>651</v>
      </c>
      <c r="BU54" s="808">
        <f t="shared" si="42"/>
        <v>651</v>
      </c>
      <c r="BV54" s="211">
        <f t="shared" si="43"/>
        <v>108.5</v>
      </c>
      <c r="BW54" s="755">
        <v>0</v>
      </c>
      <c r="BX54" s="345">
        <v>0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4"/>
        <v>0</v>
      </c>
      <c r="CD54" s="211">
        <f t="shared" si="45"/>
        <v>0</v>
      </c>
      <c r="CE54" s="346">
        <v>644</v>
      </c>
      <c r="CF54" s="343">
        <v>0</v>
      </c>
      <c r="CG54" s="343">
        <v>0</v>
      </c>
      <c r="CH54" s="343">
        <v>0</v>
      </c>
      <c r="CI54" s="343">
        <v>0</v>
      </c>
      <c r="CJ54" s="343">
        <v>0</v>
      </c>
      <c r="CK54" s="808">
        <f t="shared" si="46"/>
        <v>644</v>
      </c>
      <c r="CL54" s="211">
        <f t="shared" si="47"/>
        <v>107.33333333333333</v>
      </c>
      <c r="CM54" s="346">
        <v>0</v>
      </c>
      <c r="CN54" s="343">
        <v>0</v>
      </c>
      <c r="CO54" s="343">
        <v>0</v>
      </c>
      <c r="CP54" s="343">
        <v>962</v>
      </c>
      <c r="CQ54" s="343">
        <v>0</v>
      </c>
      <c r="CR54" s="343">
        <v>0</v>
      </c>
      <c r="CS54" s="808">
        <f t="shared" si="48"/>
        <v>962</v>
      </c>
      <c r="CT54" s="211">
        <f t="shared" si="49"/>
        <v>160.33333333333334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0"/>
        <v>0</v>
      </c>
      <c r="DB54" s="211">
        <f t="shared" si="51"/>
        <v>0</v>
      </c>
      <c r="DC54" s="346">
        <v>0</v>
      </c>
      <c r="DD54" s="343">
        <v>608</v>
      </c>
      <c r="DE54" s="343">
        <v>0</v>
      </c>
      <c r="DF54" s="343">
        <v>0</v>
      </c>
      <c r="DG54" s="343"/>
      <c r="DH54" s="343">
        <v>0</v>
      </c>
      <c r="DI54" s="808">
        <f t="shared" si="52"/>
        <v>608</v>
      </c>
      <c r="DJ54" s="211">
        <f t="shared" si="53"/>
        <v>101.33333333333333</v>
      </c>
      <c r="DK54" s="346">
        <v>0</v>
      </c>
      <c r="DL54" s="343">
        <v>989</v>
      </c>
      <c r="DM54" s="343">
        <v>0</v>
      </c>
      <c r="DN54" s="343">
        <v>0</v>
      </c>
      <c r="DO54" s="343">
        <v>0</v>
      </c>
      <c r="DP54" s="343">
        <v>0</v>
      </c>
      <c r="DQ54" s="808">
        <f t="shared" si="54"/>
        <v>989</v>
      </c>
      <c r="DR54" s="211">
        <f t="shared" si="55"/>
        <v>164.83333333333334</v>
      </c>
      <c r="DS54" s="346">
        <v>0</v>
      </c>
      <c r="DT54" s="343">
        <v>0</v>
      </c>
      <c r="DU54" s="343">
        <v>0</v>
      </c>
      <c r="DV54" s="343">
        <v>0</v>
      </c>
      <c r="DW54" s="343">
        <v>0</v>
      </c>
      <c r="DX54" s="343">
        <v>0</v>
      </c>
      <c r="DY54" s="808">
        <f t="shared" si="56"/>
        <v>0</v>
      </c>
      <c r="DZ54" s="211">
        <f t="shared" si="57"/>
        <v>0</v>
      </c>
      <c r="EA54" s="346">
        <v>0</v>
      </c>
      <c r="EB54" s="343">
        <v>0</v>
      </c>
      <c r="EC54" s="343"/>
      <c r="ED54" s="343">
        <v>655</v>
      </c>
      <c r="EE54" s="343">
        <v>0</v>
      </c>
      <c r="EF54" s="343">
        <v>0</v>
      </c>
      <c r="EG54" s="808">
        <f t="shared" si="58"/>
        <v>655</v>
      </c>
      <c r="EH54" s="211">
        <f t="shared" si="59"/>
        <v>109.16666666666667</v>
      </c>
      <c r="EI54" s="346">
        <v>0</v>
      </c>
      <c r="EJ54" s="343">
        <v>584</v>
      </c>
      <c r="EK54" s="343">
        <v>0</v>
      </c>
      <c r="EL54" s="343">
        <v>643</v>
      </c>
      <c r="EM54" s="343">
        <v>0</v>
      </c>
      <c r="EN54" s="343">
        <v>0</v>
      </c>
      <c r="EO54" s="808">
        <f t="shared" si="60"/>
        <v>1227</v>
      </c>
      <c r="EP54" s="211">
        <f t="shared" si="61"/>
        <v>204.5</v>
      </c>
      <c r="EQ54" s="346">
        <v>0</v>
      </c>
      <c r="ER54" s="343">
        <v>0</v>
      </c>
      <c r="ES54" s="343">
        <v>0</v>
      </c>
      <c r="ET54" s="343">
        <v>645</v>
      </c>
      <c r="EU54" s="343">
        <v>0</v>
      </c>
      <c r="EV54" s="343">
        <v>0</v>
      </c>
      <c r="EW54" s="808">
        <f t="shared" si="62"/>
        <v>645</v>
      </c>
      <c r="EX54" s="211">
        <f t="shared" si="63"/>
        <v>107.5</v>
      </c>
      <c r="EY54" s="346">
        <v>0</v>
      </c>
      <c r="EZ54" s="343">
        <v>0</v>
      </c>
      <c r="FA54" s="343">
        <v>0</v>
      </c>
      <c r="FB54" s="343">
        <v>0</v>
      </c>
      <c r="FC54" s="343">
        <v>0</v>
      </c>
      <c r="FD54" s="343">
        <v>0</v>
      </c>
      <c r="FE54" s="808">
        <f t="shared" si="64"/>
        <v>0</v>
      </c>
      <c r="FF54" s="211">
        <f t="shared" si="65"/>
        <v>0</v>
      </c>
      <c r="FG54" s="755">
        <v>0</v>
      </c>
      <c r="FH54" s="345">
        <v>0</v>
      </c>
      <c r="FI54" s="345">
        <v>637</v>
      </c>
      <c r="FJ54" s="345">
        <v>0</v>
      </c>
      <c r="FK54" s="345">
        <v>0</v>
      </c>
      <c r="FL54" s="345">
        <v>0</v>
      </c>
      <c r="FM54" s="808">
        <f t="shared" si="66"/>
        <v>637</v>
      </c>
      <c r="FN54" s="211">
        <f t="shared" si="67"/>
        <v>106.16666666666667</v>
      </c>
      <c r="FO54" s="346">
        <v>0</v>
      </c>
      <c r="FP54" s="343">
        <v>645</v>
      </c>
      <c r="FQ54" s="343">
        <v>0</v>
      </c>
      <c r="FR54" s="343">
        <v>0</v>
      </c>
      <c r="FS54" s="343">
        <v>0</v>
      </c>
      <c r="FT54" s="343">
        <v>0</v>
      </c>
      <c r="FU54" s="808">
        <f t="shared" si="68"/>
        <v>645</v>
      </c>
      <c r="FV54" s="211">
        <f t="shared" si="69"/>
        <v>107.5</v>
      </c>
      <c r="FW54" s="346">
        <v>0</v>
      </c>
      <c r="FX54" s="343">
        <v>643</v>
      </c>
      <c r="FY54" s="343">
        <v>0</v>
      </c>
      <c r="FZ54" s="343">
        <v>0</v>
      </c>
      <c r="GA54" s="343">
        <v>0</v>
      </c>
      <c r="GB54" s="343">
        <v>0</v>
      </c>
      <c r="GC54" s="808">
        <f t="shared" si="70"/>
        <v>643</v>
      </c>
      <c r="GD54" s="211">
        <f t="shared" si="71"/>
        <v>107.16666666666667</v>
      </c>
      <c r="GE54" s="346">
        <v>641</v>
      </c>
      <c r="GF54" s="343">
        <v>0</v>
      </c>
      <c r="GG54" s="343">
        <v>0</v>
      </c>
      <c r="GH54" s="343">
        <v>0</v>
      </c>
      <c r="GI54" s="343">
        <v>0</v>
      </c>
      <c r="GJ54" s="343">
        <v>0</v>
      </c>
      <c r="GK54" s="808">
        <f t="shared" si="72"/>
        <v>641</v>
      </c>
      <c r="GL54" s="211">
        <f t="shared" si="73"/>
        <v>106.83333333333333</v>
      </c>
      <c r="GM54" s="755">
        <v>0</v>
      </c>
      <c r="GN54" s="345">
        <v>649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4"/>
        <v>649</v>
      </c>
      <c r="GT54" s="873">
        <f t="shared" si="75"/>
        <v>108.16666666666667</v>
      </c>
      <c r="GU54" s="346">
        <v>0</v>
      </c>
      <c r="GV54" s="343">
        <v>0</v>
      </c>
      <c r="GW54" s="343">
        <v>0</v>
      </c>
      <c r="GX54" s="343">
        <v>0</v>
      </c>
      <c r="GY54" s="343">
        <v>0</v>
      </c>
      <c r="GZ54" s="343">
        <v>658</v>
      </c>
      <c r="HA54" s="872">
        <f t="shared" si="76"/>
        <v>658</v>
      </c>
      <c r="HB54" s="873">
        <f t="shared" si="77"/>
        <v>109.66666666666667</v>
      </c>
      <c r="HC54" s="346">
        <v>0</v>
      </c>
      <c r="HD54" s="343">
        <v>0</v>
      </c>
      <c r="HE54" s="343">
        <v>0</v>
      </c>
      <c r="HF54" s="343"/>
      <c r="HG54" s="343"/>
      <c r="HH54" s="343"/>
      <c r="HI54" s="872">
        <f t="shared" si="78"/>
        <v>0</v>
      </c>
      <c r="HJ54" s="873">
        <f t="shared" si="79"/>
        <v>0</v>
      </c>
    </row>
    <row r="55" spans="1:218" s="323" customFormat="1" ht="15" customHeight="1" x14ac:dyDescent="0.2">
      <c r="A55" s="21">
        <v>44</v>
      </c>
      <c r="B55" s="21" t="s">
        <v>89</v>
      </c>
      <c r="C55" s="275" t="s">
        <v>90</v>
      </c>
      <c r="D55" s="21">
        <v>25</v>
      </c>
      <c r="E55" s="24"/>
      <c r="F55" s="24">
        <v>4394</v>
      </c>
      <c r="G55" s="24"/>
      <c r="H55" s="24"/>
      <c r="I55" s="360"/>
      <c r="J55" s="360">
        <f>SUMIF(SUMPK!$B:$B,$B:$B,SUMPK!$O:$O)</f>
        <v>330</v>
      </c>
      <c r="K55" s="24"/>
      <c r="L55" s="24">
        <f t="shared" si="80"/>
        <v>4064</v>
      </c>
      <c r="M55" s="15">
        <f t="shared" si="25"/>
        <v>4064</v>
      </c>
      <c r="N55" s="15">
        <v>647</v>
      </c>
      <c r="O55" s="276">
        <f t="shared" si="26"/>
        <v>6.2812982998454405</v>
      </c>
      <c r="P55" s="15">
        <v>237.5</v>
      </c>
      <c r="Q55" s="711">
        <f t="shared" si="27"/>
        <v>1566.6666666666667</v>
      </c>
      <c r="R55" s="276">
        <f t="shared" si="28"/>
        <v>102.66947368421053</v>
      </c>
      <c r="S55" s="712">
        <f t="shared" si="29"/>
        <v>361.53846153846155</v>
      </c>
      <c r="T55" s="713">
        <v>9400</v>
      </c>
      <c r="U55" s="276">
        <f t="shared" si="86"/>
        <v>11.240851063829787</v>
      </c>
      <c r="V55" s="278"/>
      <c r="W55" s="276">
        <f t="shared" si="31"/>
        <v>11.240851063829787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440</v>
      </c>
      <c r="AD55" s="64">
        <v>571</v>
      </c>
      <c r="AE55" s="64">
        <v>470</v>
      </c>
      <c r="AF55" s="64">
        <v>2173</v>
      </c>
      <c r="AG55" s="64">
        <f t="shared" si="32"/>
        <v>3654</v>
      </c>
      <c r="AH55" s="211">
        <f t="shared" si="33"/>
        <v>609</v>
      </c>
      <c r="AI55" s="755">
        <v>0</v>
      </c>
      <c r="AJ55" s="345">
        <v>0</v>
      </c>
      <c r="AK55" s="345">
        <v>0</v>
      </c>
      <c r="AL55" s="345">
        <v>1956</v>
      </c>
      <c r="AM55" s="345">
        <v>0</v>
      </c>
      <c r="AN55" s="345">
        <v>688</v>
      </c>
      <c r="AO55" s="808">
        <f t="shared" si="34"/>
        <v>2644</v>
      </c>
      <c r="AP55" s="809">
        <f t="shared" si="35"/>
        <v>440.66666666666669</v>
      </c>
      <c r="AQ55" s="814">
        <v>0</v>
      </c>
      <c r="AR55" s="815">
        <v>0</v>
      </c>
      <c r="AS55" s="815">
        <v>0</v>
      </c>
      <c r="AT55" s="815">
        <v>163</v>
      </c>
      <c r="AU55" s="815">
        <v>0</v>
      </c>
      <c r="AV55" s="815">
        <v>971</v>
      </c>
      <c r="AW55" s="808">
        <f t="shared" si="36"/>
        <v>1134</v>
      </c>
      <c r="AX55" s="211">
        <f t="shared" si="37"/>
        <v>189</v>
      </c>
      <c r="AY55" s="346">
        <v>0</v>
      </c>
      <c r="AZ55" s="343">
        <v>1959</v>
      </c>
      <c r="BA55" s="343">
        <v>485</v>
      </c>
      <c r="BB55" s="343">
        <v>0</v>
      </c>
      <c r="BC55" s="343">
        <v>0</v>
      </c>
      <c r="BD55" s="343">
        <v>0</v>
      </c>
      <c r="BE55" s="808">
        <f t="shared" si="38"/>
        <v>2444</v>
      </c>
      <c r="BF55" s="211">
        <f t="shared" si="39"/>
        <v>407.33333333333331</v>
      </c>
      <c r="BG55" s="814">
        <v>1332</v>
      </c>
      <c r="BH55" s="815">
        <v>0</v>
      </c>
      <c r="BI55" s="815">
        <v>0</v>
      </c>
      <c r="BJ55" s="815">
        <v>0</v>
      </c>
      <c r="BK55" s="815">
        <v>0</v>
      </c>
      <c r="BL55" s="815">
        <v>1992</v>
      </c>
      <c r="BM55" s="808">
        <f t="shared" si="40"/>
        <v>3324</v>
      </c>
      <c r="BN55" s="211">
        <f t="shared" si="41"/>
        <v>554</v>
      </c>
      <c r="BO55" s="755">
        <v>0</v>
      </c>
      <c r="BP55" s="345">
        <v>0</v>
      </c>
      <c r="BQ55" s="345">
        <v>0</v>
      </c>
      <c r="BR55" s="345">
        <v>1970</v>
      </c>
      <c r="BS55" s="345">
        <v>0</v>
      </c>
      <c r="BT55" s="345">
        <v>0</v>
      </c>
      <c r="BU55" s="808">
        <f t="shared" si="42"/>
        <v>1970</v>
      </c>
      <c r="BV55" s="211">
        <f t="shared" si="43"/>
        <v>328.33333333333331</v>
      </c>
      <c r="BW55" s="755">
        <v>0</v>
      </c>
      <c r="BX55" s="345">
        <v>1998</v>
      </c>
      <c r="BY55" s="345">
        <v>0</v>
      </c>
      <c r="BZ55" s="345">
        <v>0</v>
      </c>
      <c r="CA55" s="345">
        <v>0</v>
      </c>
      <c r="CB55" s="345">
        <v>0</v>
      </c>
      <c r="CC55" s="808">
        <f t="shared" si="44"/>
        <v>1998</v>
      </c>
      <c r="CD55" s="211">
        <f t="shared" si="45"/>
        <v>333</v>
      </c>
      <c r="CE55" s="346">
        <v>110</v>
      </c>
      <c r="CF55" s="343">
        <v>1537</v>
      </c>
      <c r="CG55" s="343">
        <v>0</v>
      </c>
      <c r="CH55" s="343">
        <v>0</v>
      </c>
      <c r="CI55" s="343">
        <v>0</v>
      </c>
      <c r="CJ55" s="343">
        <v>946</v>
      </c>
      <c r="CK55" s="808">
        <f t="shared" si="46"/>
        <v>2593</v>
      </c>
      <c r="CL55" s="211">
        <f t="shared" si="47"/>
        <v>432.16666666666669</v>
      </c>
      <c r="CM55" s="346">
        <v>440</v>
      </c>
      <c r="CN55" s="343">
        <v>1496</v>
      </c>
      <c r="CO55" s="343">
        <v>0</v>
      </c>
      <c r="CP55" s="343">
        <v>0</v>
      </c>
      <c r="CQ55" s="343">
        <v>1902</v>
      </c>
      <c r="CR55" s="343">
        <v>0</v>
      </c>
      <c r="CS55" s="808">
        <f t="shared" si="48"/>
        <v>3838</v>
      </c>
      <c r="CT55" s="211">
        <f t="shared" si="49"/>
        <v>639.66666666666663</v>
      </c>
      <c r="CU55" s="346">
        <v>0</v>
      </c>
      <c r="CV55" s="343">
        <v>0</v>
      </c>
      <c r="CW55" s="343">
        <v>0</v>
      </c>
      <c r="CX55" s="343">
        <v>0</v>
      </c>
      <c r="CY55" s="343">
        <v>0</v>
      </c>
      <c r="CZ55" s="343">
        <v>0</v>
      </c>
      <c r="DA55" s="808">
        <f t="shared" si="50"/>
        <v>0</v>
      </c>
      <c r="DB55" s="211">
        <f t="shared" si="51"/>
        <v>0</v>
      </c>
      <c r="DC55" s="346">
        <v>2978</v>
      </c>
      <c r="DD55" s="343">
        <v>0</v>
      </c>
      <c r="DE55" s="343">
        <v>0</v>
      </c>
      <c r="DF55" s="343">
        <v>0</v>
      </c>
      <c r="DG55" s="343"/>
      <c r="DH55" s="343">
        <v>1673</v>
      </c>
      <c r="DI55" s="808">
        <f t="shared" si="52"/>
        <v>4651</v>
      </c>
      <c r="DJ55" s="211">
        <f t="shared" si="53"/>
        <v>775.16666666666663</v>
      </c>
      <c r="DK55" s="346">
        <v>0</v>
      </c>
      <c r="DL55" s="343">
        <v>1968</v>
      </c>
      <c r="DM55" s="343">
        <v>0</v>
      </c>
      <c r="DN55" s="343">
        <v>0</v>
      </c>
      <c r="DO55" s="343">
        <v>0</v>
      </c>
      <c r="DP55" s="343">
        <v>1928</v>
      </c>
      <c r="DQ55" s="808">
        <f t="shared" si="54"/>
        <v>3896</v>
      </c>
      <c r="DR55" s="211">
        <f t="shared" si="55"/>
        <v>649.33333333333337</v>
      </c>
      <c r="DS55" s="346">
        <v>0</v>
      </c>
      <c r="DT55" s="343">
        <v>0</v>
      </c>
      <c r="DU55" s="343">
        <v>1327</v>
      </c>
      <c r="DV55" s="343">
        <v>0</v>
      </c>
      <c r="DW55" s="343">
        <v>925</v>
      </c>
      <c r="DX55" s="343">
        <v>1606</v>
      </c>
      <c r="DY55" s="808">
        <f t="shared" si="56"/>
        <v>3858</v>
      </c>
      <c r="DZ55" s="211">
        <f t="shared" si="57"/>
        <v>643</v>
      </c>
      <c r="EA55" s="346">
        <v>1635</v>
      </c>
      <c r="EB55" s="343">
        <v>0</v>
      </c>
      <c r="EC55" s="343"/>
      <c r="ED55" s="343">
        <v>0</v>
      </c>
      <c r="EE55" s="343">
        <v>0</v>
      </c>
      <c r="EF55" s="343">
        <v>993</v>
      </c>
      <c r="EG55" s="808">
        <f t="shared" si="58"/>
        <v>2628</v>
      </c>
      <c r="EH55" s="211">
        <f t="shared" si="59"/>
        <v>438</v>
      </c>
      <c r="EI55" s="346">
        <v>0</v>
      </c>
      <c r="EJ55" s="343">
        <v>1526</v>
      </c>
      <c r="EK55" s="343">
        <v>0</v>
      </c>
      <c r="EL55" s="343">
        <v>1671</v>
      </c>
      <c r="EM55" s="343">
        <v>0</v>
      </c>
      <c r="EN55" s="343">
        <v>0</v>
      </c>
      <c r="EO55" s="808">
        <f t="shared" si="60"/>
        <v>3197</v>
      </c>
      <c r="EP55" s="211">
        <f t="shared" si="61"/>
        <v>532.83333333333337</v>
      </c>
      <c r="EQ55" s="346">
        <v>0</v>
      </c>
      <c r="ER55" s="343">
        <v>0</v>
      </c>
      <c r="ES55" s="343">
        <v>0</v>
      </c>
      <c r="ET55" s="343">
        <v>1922</v>
      </c>
      <c r="EU55" s="343">
        <v>0</v>
      </c>
      <c r="EV55" s="343">
        <v>0</v>
      </c>
      <c r="EW55" s="808">
        <f t="shared" si="62"/>
        <v>1922</v>
      </c>
      <c r="EX55" s="211">
        <f t="shared" si="63"/>
        <v>320.33333333333331</v>
      </c>
      <c r="EY55" s="346">
        <v>1760</v>
      </c>
      <c r="EZ55" s="343">
        <v>182</v>
      </c>
      <c r="FA55" s="343">
        <v>0</v>
      </c>
      <c r="FB55" s="343">
        <v>1619</v>
      </c>
      <c r="FC55" s="343">
        <v>0</v>
      </c>
      <c r="FD55" s="343">
        <v>0</v>
      </c>
      <c r="FE55" s="808">
        <f t="shared" si="64"/>
        <v>3561</v>
      </c>
      <c r="FF55" s="211">
        <f t="shared" si="65"/>
        <v>593.5</v>
      </c>
      <c r="FG55" s="755">
        <v>0</v>
      </c>
      <c r="FH55" s="345">
        <v>1917</v>
      </c>
      <c r="FI55" s="345">
        <v>0</v>
      </c>
      <c r="FJ55" s="345">
        <v>0</v>
      </c>
      <c r="FK55" s="345">
        <v>1540</v>
      </c>
      <c r="FL55" s="345">
        <v>0</v>
      </c>
      <c r="FM55" s="808">
        <f t="shared" si="66"/>
        <v>3457</v>
      </c>
      <c r="FN55" s="211">
        <f t="shared" si="67"/>
        <v>576.16666666666663</v>
      </c>
      <c r="FO55" s="346">
        <v>0</v>
      </c>
      <c r="FP55" s="343">
        <v>1320</v>
      </c>
      <c r="FQ55" s="343">
        <v>329</v>
      </c>
      <c r="FR55" s="343">
        <v>0</v>
      </c>
      <c r="FS55" s="343">
        <v>1965</v>
      </c>
      <c r="FT55" s="343">
        <v>657</v>
      </c>
      <c r="FU55" s="808">
        <f t="shared" si="68"/>
        <v>4271</v>
      </c>
      <c r="FV55" s="211">
        <f t="shared" si="69"/>
        <v>711.83333333333337</v>
      </c>
      <c r="FW55" s="346">
        <v>0</v>
      </c>
      <c r="FX55" s="343">
        <v>0</v>
      </c>
      <c r="FY55" s="343">
        <v>1963</v>
      </c>
      <c r="FZ55" s="343">
        <v>0</v>
      </c>
      <c r="GA55" s="343">
        <v>1282</v>
      </c>
      <c r="GB55" s="343">
        <v>0</v>
      </c>
      <c r="GC55" s="808">
        <f t="shared" si="70"/>
        <v>3245</v>
      </c>
      <c r="GD55" s="211">
        <f t="shared" si="71"/>
        <v>540.83333333333337</v>
      </c>
      <c r="GE55" s="346">
        <v>0</v>
      </c>
      <c r="GF55" s="343">
        <v>0</v>
      </c>
      <c r="GG55" s="343">
        <v>1524</v>
      </c>
      <c r="GH55" s="343">
        <v>0</v>
      </c>
      <c r="GI55" s="343">
        <v>0</v>
      </c>
      <c r="GJ55" s="343">
        <v>0</v>
      </c>
      <c r="GK55" s="808">
        <f t="shared" si="72"/>
        <v>1524</v>
      </c>
      <c r="GL55" s="211">
        <f t="shared" si="73"/>
        <v>254</v>
      </c>
      <c r="GM55" s="755">
        <v>0</v>
      </c>
      <c r="GN55" s="345">
        <v>2640</v>
      </c>
      <c r="GO55" s="345">
        <v>0</v>
      </c>
      <c r="GP55" s="345">
        <v>0</v>
      </c>
      <c r="GQ55" s="345">
        <v>0</v>
      </c>
      <c r="GR55" s="345">
        <v>0</v>
      </c>
      <c r="GS55" s="872">
        <f t="shared" si="74"/>
        <v>2640</v>
      </c>
      <c r="GT55" s="873">
        <f t="shared" si="75"/>
        <v>440</v>
      </c>
      <c r="GU55" s="346">
        <v>1284</v>
      </c>
      <c r="GV55" s="343">
        <v>964</v>
      </c>
      <c r="GW55" s="343">
        <v>0</v>
      </c>
      <c r="GX55" s="343">
        <v>1634</v>
      </c>
      <c r="GY55" s="343">
        <v>0</v>
      </c>
      <c r="GZ55" s="343">
        <v>0</v>
      </c>
      <c r="HA55" s="872">
        <f t="shared" si="76"/>
        <v>3882</v>
      </c>
      <c r="HB55" s="873">
        <f t="shared" si="77"/>
        <v>647</v>
      </c>
      <c r="HC55" s="346">
        <v>0</v>
      </c>
      <c r="HD55" s="343">
        <v>1014</v>
      </c>
      <c r="HE55" s="343">
        <v>1882</v>
      </c>
      <c r="HF55" s="343"/>
      <c r="HG55" s="343"/>
      <c r="HH55" s="343"/>
      <c r="HI55" s="872">
        <f t="shared" si="78"/>
        <v>2896</v>
      </c>
      <c r="HJ55" s="873">
        <f t="shared" si="79"/>
        <v>482.66666666666669</v>
      </c>
    </row>
    <row r="56" spans="1:218" s="323" customFormat="1" ht="15" customHeight="1" x14ac:dyDescent="0.2">
      <c r="A56" s="21">
        <v>45</v>
      </c>
      <c r="B56" s="21" t="s">
        <v>145</v>
      </c>
      <c r="C56" s="275" t="s">
        <v>144</v>
      </c>
      <c r="D56" s="21">
        <v>25</v>
      </c>
      <c r="E56" s="24"/>
      <c r="F56" s="24">
        <v>4153</v>
      </c>
      <c r="G56" s="24"/>
      <c r="H56" s="24"/>
      <c r="I56" s="24"/>
      <c r="J56" s="360">
        <f>SUMIF(SUMPK!$B:$B,$B:$B,SUMPK!$O:$O)</f>
        <v>0</v>
      </c>
      <c r="K56" s="24"/>
      <c r="L56" s="24">
        <f t="shared" si="80"/>
        <v>4153</v>
      </c>
      <c r="M56" s="15">
        <f t="shared" si="25"/>
        <v>4153</v>
      </c>
      <c r="N56" s="15">
        <v>0</v>
      </c>
      <c r="O56" s="276">
        <f t="shared" si="26"/>
        <v>0</v>
      </c>
      <c r="P56" s="15">
        <v>55.833333333333336</v>
      </c>
      <c r="Q56" s="711">
        <f t="shared" si="27"/>
        <v>426.66666666666669</v>
      </c>
      <c r="R56" s="276">
        <f t="shared" si="28"/>
        <v>446.29253731343283</v>
      </c>
      <c r="S56" s="712">
        <f t="shared" si="29"/>
        <v>98.461538461538467</v>
      </c>
      <c r="T56" s="713">
        <v>2560</v>
      </c>
      <c r="U56" s="276">
        <f t="shared" si="86"/>
        <v>42.178906249999997</v>
      </c>
      <c r="V56" s="278"/>
      <c r="W56" s="276">
        <f t="shared" si="31"/>
        <v>42.178906249999997</v>
      </c>
      <c r="X56" s="823">
        <f t="shared" si="0"/>
        <v>1</v>
      </c>
      <c r="Y56" s="305">
        <v>18</v>
      </c>
      <c r="Z56" s="824"/>
      <c r="AA56" s="244">
        <v>0</v>
      </c>
      <c r="AB56" s="64">
        <v>0</v>
      </c>
      <c r="AC56" s="64">
        <v>0</v>
      </c>
      <c r="AD56" s="64">
        <v>0</v>
      </c>
      <c r="AE56" s="64">
        <v>0</v>
      </c>
      <c r="AF56" s="64">
        <v>0</v>
      </c>
      <c r="AG56" s="64">
        <f t="shared" si="32"/>
        <v>0</v>
      </c>
      <c r="AH56" s="211">
        <f t="shared" si="33"/>
        <v>0</v>
      </c>
      <c r="AI56" s="755">
        <v>686</v>
      </c>
      <c r="AJ56" s="345">
        <v>0</v>
      </c>
      <c r="AK56" s="345">
        <v>0</v>
      </c>
      <c r="AL56" s="345">
        <v>0</v>
      </c>
      <c r="AM56" s="345">
        <v>0</v>
      </c>
      <c r="AN56" s="345">
        <v>0</v>
      </c>
      <c r="AO56" s="808">
        <f t="shared" si="34"/>
        <v>686</v>
      </c>
      <c r="AP56" s="809">
        <f t="shared" si="35"/>
        <v>114.33333333333333</v>
      </c>
      <c r="AQ56" s="814">
        <v>0</v>
      </c>
      <c r="AR56" s="815">
        <v>0</v>
      </c>
      <c r="AS56" s="815">
        <v>0</v>
      </c>
      <c r="AT56" s="815">
        <v>675</v>
      </c>
      <c r="AU56" s="815">
        <v>294</v>
      </c>
      <c r="AV56" s="815">
        <v>0</v>
      </c>
      <c r="AW56" s="808">
        <f t="shared" si="36"/>
        <v>969</v>
      </c>
      <c r="AX56" s="211">
        <f t="shared" si="37"/>
        <v>161.5</v>
      </c>
      <c r="AY56" s="346">
        <v>0</v>
      </c>
      <c r="AZ56" s="343">
        <v>0</v>
      </c>
      <c r="BA56" s="343">
        <v>0</v>
      </c>
      <c r="BB56" s="343">
        <v>0</v>
      </c>
      <c r="BC56" s="343">
        <v>220</v>
      </c>
      <c r="BD56" s="343">
        <v>418</v>
      </c>
      <c r="BE56" s="808">
        <f t="shared" si="38"/>
        <v>638</v>
      </c>
      <c r="BF56" s="211">
        <f t="shared" si="39"/>
        <v>106.33333333333333</v>
      </c>
      <c r="BG56" s="814">
        <v>0</v>
      </c>
      <c r="BH56" s="815">
        <v>0</v>
      </c>
      <c r="BI56" s="815">
        <v>309</v>
      </c>
      <c r="BJ56" s="815">
        <v>0</v>
      </c>
      <c r="BK56" s="815">
        <v>0</v>
      </c>
      <c r="BL56" s="815">
        <v>0</v>
      </c>
      <c r="BM56" s="808">
        <f t="shared" si="40"/>
        <v>309</v>
      </c>
      <c r="BN56" s="211">
        <f t="shared" si="41"/>
        <v>51.5</v>
      </c>
      <c r="BO56" s="755">
        <v>0</v>
      </c>
      <c r="BP56" s="345">
        <v>614</v>
      </c>
      <c r="BQ56" s="345">
        <v>0</v>
      </c>
      <c r="BR56" s="345">
        <v>0</v>
      </c>
      <c r="BS56" s="345">
        <v>0</v>
      </c>
      <c r="BT56" s="345">
        <v>0</v>
      </c>
      <c r="BU56" s="808">
        <f t="shared" si="42"/>
        <v>614</v>
      </c>
      <c r="BV56" s="211">
        <f t="shared" si="43"/>
        <v>102.33333333333333</v>
      </c>
      <c r="BW56" s="755">
        <v>0</v>
      </c>
      <c r="BX56" s="345">
        <v>0</v>
      </c>
      <c r="BY56" s="345">
        <v>0</v>
      </c>
      <c r="BZ56" s="345">
        <v>0</v>
      </c>
      <c r="CA56" s="345">
        <v>0</v>
      </c>
      <c r="CB56" s="345">
        <v>311</v>
      </c>
      <c r="CC56" s="808">
        <f t="shared" si="44"/>
        <v>311</v>
      </c>
      <c r="CD56" s="211">
        <f t="shared" si="45"/>
        <v>51.833333333333336</v>
      </c>
      <c r="CE56" s="346">
        <v>0</v>
      </c>
      <c r="CF56" s="343">
        <v>0</v>
      </c>
      <c r="CG56" s="343">
        <v>0</v>
      </c>
      <c r="CH56" s="343">
        <v>0</v>
      </c>
      <c r="CI56" s="343">
        <v>0</v>
      </c>
      <c r="CJ56" s="343">
        <v>602</v>
      </c>
      <c r="CK56" s="808">
        <f t="shared" si="46"/>
        <v>602</v>
      </c>
      <c r="CL56" s="211">
        <f t="shared" si="47"/>
        <v>100.33333333333333</v>
      </c>
      <c r="CM56" s="346">
        <v>0</v>
      </c>
      <c r="CN56" s="343">
        <v>0</v>
      </c>
      <c r="CO56" s="343">
        <v>0</v>
      </c>
      <c r="CP56" s="343">
        <v>663</v>
      </c>
      <c r="CQ56" s="343">
        <v>0</v>
      </c>
      <c r="CR56" s="343">
        <v>0</v>
      </c>
      <c r="CS56" s="808">
        <f t="shared" si="48"/>
        <v>663</v>
      </c>
      <c r="CT56" s="211">
        <f t="shared" si="49"/>
        <v>110.5</v>
      </c>
      <c r="CU56" s="346">
        <v>0</v>
      </c>
      <c r="CV56" s="343">
        <v>0</v>
      </c>
      <c r="CW56" s="343">
        <v>329</v>
      </c>
      <c r="CX56" s="343">
        <v>0</v>
      </c>
      <c r="CY56" s="343">
        <v>0</v>
      </c>
      <c r="CZ56" s="343">
        <v>0</v>
      </c>
      <c r="DA56" s="808">
        <f t="shared" si="50"/>
        <v>329</v>
      </c>
      <c r="DB56" s="211">
        <f t="shared" si="51"/>
        <v>54.833333333333336</v>
      </c>
      <c r="DC56" s="346">
        <v>0</v>
      </c>
      <c r="DD56" s="343">
        <v>0</v>
      </c>
      <c r="DE56" s="343">
        <v>0</v>
      </c>
      <c r="DF56" s="343">
        <v>0</v>
      </c>
      <c r="DG56" s="343"/>
      <c r="DH56" s="343">
        <v>0</v>
      </c>
      <c r="DI56" s="808">
        <f t="shared" si="52"/>
        <v>0</v>
      </c>
      <c r="DJ56" s="211">
        <f t="shared" si="53"/>
        <v>0</v>
      </c>
      <c r="DK56" s="346">
        <v>0</v>
      </c>
      <c r="DL56" s="343">
        <v>0</v>
      </c>
      <c r="DM56" s="343">
        <v>0</v>
      </c>
      <c r="DN56" s="343">
        <v>0</v>
      </c>
      <c r="DO56" s="343">
        <v>0</v>
      </c>
      <c r="DP56" s="343">
        <v>0</v>
      </c>
      <c r="DQ56" s="808">
        <f t="shared" si="54"/>
        <v>0</v>
      </c>
      <c r="DR56" s="211">
        <f t="shared" si="55"/>
        <v>0</v>
      </c>
      <c r="DS56" s="346">
        <v>0</v>
      </c>
      <c r="DT56" s="343">
        <v>677</v>
      </c>
      <c r="DU56" s="343">
        <v>0</v>
      </c>
      <c r="DV56" s="343">
        <v>0</v>
      </c>
      <c r="DW56" s="343">
        <v>0</v>
      </c>
      <c r="DX56" s="343">
        <v>0</v>
      </c>
      <c r="DY56" s="808">
        <f t="shared" si="56"/>
        <v>677</v>
      </c>
      <c r="DZ56" s="211">
        <f t="shared" si="57"/>
        <v>112.83333333333333</v>
      </c>
      <c r="EA56" s="346">
        <v>0</v>
      </c>
      <c r="EB56" s="343">
        <v>0</v>
      </c>
      <c r="EC56" s="343"/>
      <c r="ED56" s="343">
        <v>0</v>
      </c>
      <c r="EE56" s="343">
        <v>0</v>
      </c>
      <c r="EF56" s="343">
        <v>0</v>
      </c>
      <c r="EG56" s="808">
        <f t="shared" si="58"/>
        <v>0</v>
      </c>
      <c r="EH56" s="211">
        <f t="shared" si="59"/>
        <v>0</v>
      </c>
      <c r="EI56" s="346">
        <v>0</v>
      </c>
      <c r="EJ56" s="343">
        <v>0</v>
      </c>
      <c r="EK56" s="343">
        <v>0</v>
      </c>
      <c r="EL56" s="343">
        <v>336</v>
      </c>
      <c r="EM56" s="343">
        <v>0</v>
      </c>
      <c r="EN56" s="343">
        <v>0</v>
      </c>
      <c r="EO56" s="808">
        <f t="shared" si="60"/>
        <v>336</v>
      </c>
      <c r="EP56" s="211">
        <f t="shared" si="61"/>
        <v>56</v>
      </c>
      <c r="EQ56" s="346">
        <v>0</v>
      </c>
      <c r="ER56" s="343">
        <v>0</v>
      </c>
      <c r="ES56" s="343">
        <v>0</v>
      </c>
      <c r="ET56" s="343">
        <v>314</v>
      </c>
      <c r="EU56" s="343">
        <v>0</v>
      </c>
      <c r="EV56" s="343">
        <v>0</v>
      </c>
      <c r="EW56" s="808">
        <f t="shared" si="62"/>
        <v>314</v>
      </c>
      <c r="EX56" s="211">
        <f t="shared" si="63"/>
        <v>52.333333333333336</v>
      </c>
      <c r="EY56" s="346">
        <v>0</v>
      </c>
      <c r="EZ56" s="343">
        <v>0</v>
      </c>
      <c r="FA56" s="343">
        <v>0</v>
      </c>
      <c r="FB56" s="343">
        <v>0</v>
      </c>
      <c r="FC56" s="343">
        <v>0</v>
      </c>
      <c r="FD56" s="343">
        <v>312</v>
      </c>
      <c r="FE56" s="808">
        <f t="shared" si="64"/>
        <v>312</v>
      </c>
      <c r="FF56" s="211">
        <f t="shared" si="65"/>
        <v>52</v>
      </c>
      <c r="FG56" s="755">
        <v>0</v>
      </c>
      <c r="FH56" s="345">
        <v>0</v>
      </c>
      <c r="FI56" s="345">
        <v>0</v>
      </c>
      <c r="FJ56" s="345">
        <v>0</v>
      </c>
      <c r="FK56" s="345">
        <v>0</v>
      </c>
      <c r="FL56" s="345">
        <v>0</v>
      </c>
      <c r="FM56" s="808">
        <f t="shared" si="66"/>
        <v>0</v>
      </c>
      <c r="FN56" s="211">
        <f t="shared" si="67"/>
        <v>0</v>
      </c>
      <c r="FO56" s="346">
        <v>0</v>
      </c>
      <c r="FP56" s="343">
        <v>0</v>
      </c>
      <c r="FQ56" s="343">
        <v>0</v>
      </c>
      <c r="FR56" s="343">
        <v>0</v>
      </c>
      <c r="FS56" s="343">
        <v>0</v>
      </c>
      <c r="FT56" s="343">
        <v>333</v>
      </c>
      <c r="FU56" s="808">
        <f t="shared" si="68"/>
        <v>333</v>
      </c>
      <c r="FV56" s="211">
        <f t="shared" si="69"/>
        <v>55.5</v>
      </c>
      <c r="FW56" s="346">
        <v>0</v>
      </c>
      <c r="FX56" s="343">
        <v>0</v>
      </c>
      <c r="FY56" s="343">
        <v>0</v>
      </c>
      <c r="FZ56" s="343">
        <v>0</v>
      </c>
      <c r="GA56" s="343">
        <v>325</v>
      </c>
      <c r="GB56" s="343">
        <v>0</v>
      </c>
      <c r="GC56" s="808">
        <f t="shared" si="70"/>
        <v>325</v>
      </c>
      <c r="GD56" s="211">
        <f t="shared" si="71"/>
        <v>54.166666666666664</v>
      </c>
      <c r="GE56" s="346">
        <v>0</v>
      </c>
      <c r="GF56" s="343">
        <v>0</v>
      </c>
      <c r="GG56" s="343">
        <v>0</v>
      </c>
      <c r="GH56" s="343">
        <v>0</v>
      </c>
      <c r="GI56" s="343">
        <v>0</v>
      </c>
      <c r="GJ56" s="343">
        <v>0</v>
      </c>
      <c r="GK56" s="808">
        <f t="shared" si="72"/>
        <v>0</v>
      </c>
      <c r="GL56" s="211">
        <f t="shared" si="73"/>
        <v>0</v>
      </c>
      <c r="GM56" s="755">
        <v>0</v>
      </c>
      <c r="GN56" s="345">
        <v>0</v>
      </c>
      <c r="GO56" s="345">
        <v>0</v>
      </c>
      <c r="GP56" s="345">
        <v>0</v>
      </c>
      <c r="GQ56" s="345">
        <v>307</v>
      </c>
      <c r="GR56" s="345">
        <v>0</v>
      </c>
      <c r="GS56" s="872">
        <f t="shared" si="74"/>
        <v>307</v>
      </c>
      <c r="GT56" s="873">
        <f t="shared" si="75"/>
        <v>51.166666666666664</v>
      </c>
      <c r="GU56" s="346">
        <v>0</v>
      </c>
      <c r="GV56" s="343">
        <v>0</v>
      </c>
      <c r="GW56" s="343">
        <v>0</v>
      </c>
      <c r="GX56" s="343">
        <v>0</v>
      </c>
      <c r="GY56" s="343">
        <v>0</v>
      </c>
      <c r="GZ56" s="343">
        <v>0</v>
      </c>
      <c r="HA56" s="872">
        <f t="shared" si="76"/>
        <v>0</v>
      </c>
      <c r="HB56" s="873">
        <f t="shared" si="77"/>
        <v>0</v>
      </c>
      <c r="HC56" s="346">
        <v>0</v>
      </c>
      <c r="HD56" s="343">
        <v>0</v>
      </c>
      <c r="HE56" s="343">
        <v>0</v>
      </c>
      <c r="HF56" s="343"/>
      <c r="HG56" s="343"/>
      <c r="HH56" s="343"/>
      <c r="HI56" s="872">
        <f t="shared" si="78"/>
        <v>0</v>
      </c>
      <c r="HJ56" s="873">
        <f t="shared" si="79"/>
        <v>0</v>
      </c>
    </row>
    <row r="57" spans="1:218" s="323" customFormat="1" ht="15" customHeight="1" x14ac:dyDescent="0.2">
      <c r="A57" s="21">
        <v>46</v>
      </c>
      <c r="B57" s="21" t="s">
        <v>91</v>
      </c>
      <c r="C57" s="275" t="s">
        <v>92</v>
      </c>
      <c r="D57" s="21">
        <v>25</v>
      </c>
      <c r="E57" s="24"/>
      <c r="F57" s="24">
        <v>21688</v>
      </c>
      <c r="G57" s="24"/>
      <c r="H57" s="24"/>
      <c r="I57" s="360"/>
      <c r="J57" s="360">
        <f>SUMIF(SUMPK!$B:$B,$B:$B,SUMPK!$O:$O)</f>
        <v>722</v>
      </c>
      <c r="K57" s="24"/>
      <c r="L57" s="24">
        <f t="shared" si="80"/>
        <v>20966</v>
      </c>
      <c r="M57" s="15">
        <f t="shared" si="25"/>
        <v>20966</v>
      </c>
      <c r="N57" s="15">
        <v>1423.5</v>
      </c>
      <c r="O57" s="276">
        <f t="shared" si="26"/>
        <v>14.7284861257464</v>
      </c>
      <c r="P57" s="15">
        <v>972.66666666666663</v>
      </c>
      <c r="Q57" s="711">
        <f t="shared" si="27"/>
        <v>7333.333333333333</v>
      </c>
      <c r="R57" s="276">
        <f t="shared" si="28"/>
        <v>129.33104866346812</v>
      </c>
      <c r="S57" s="712">
        <f t="shared" si="29"/>
        <v>1692.3076923076924</v>
      </c>
      <c r="T57" s="713">
        <v>44000</v>
      </c>
      <c r="U57" s="276">
        <f t="shared" si="86"/>
        <v>12.388999999999999</v>
      </c>
      <c r="V57" s="278"/>
      <c r="W57" s="276">
        <f t="shared" si="31"/>
        <v>12.388999999999999</v>
      </c>
      <c r="X57" s="823">
        <f t="shared" si="0"/>
        <v>1</v>
      </c>
      <c r="Y57" s="305">
        <v>18</v>
      </c>
      <c r="Z57" s="824"/>
      <c r="AA57" s="244">
        <v>2148</v>
      </c>
      <c r="AB57" s="64">
        <v>1766</v>
      </c>
      <c r="AC57" s="64">
        <v>0</v>
      </c>
      <c r="AD57" s="64">
        <v>2425</v>
      </c>
      <c r="AE57" s="64">
        <v>0</v>
      </c>
      <c r="AF57" s="64">
        <v>0</v>
      </c>
      <c r="AG57" s="64">
        <f t="shared" si="32"/>
        <v>6339</v>
      </c>
      <c r="AH57" s="211">
        <f t="shared" si="33"/>
        <v>1056.5</v>
      </c>
      <c r="AI57" s="755">
        <v>2909</v>
      </c>
      <c r="AJ57" s="345">
        <v>0</v>
      </c>
      <c r="AK57" s="345">
        <v>0</v>
      </c>
      <c r="AL57" s="345">
        <v>0</v>
      </c>
      <c r="AM57" s="345">
        <v>2164</v>
      </c>
      <c r="AN57" s="345">
        <v>110</v>
      </c>
      <c r="AO57" s="808">
        <f t="shared" si="34"/>
        <v>5183</v>
      </c>
      <c r="AP57" s="809">
        <f t="shared" si="35"/>
        <v>863.83333333333337</v>
      </c>
      <c r="AQ57" s="814">
        <v>1888</v>
      </c>
      <c r="AR57" s="815">
        <v>5021</v>
      </c>
      <c r="AS57" s="815">
        <v>0</v>
      </c>
      <c r="AT57" s="815">
        <v>110</v>
      </c>
      <c r="AU57" s="815">
        <v>0</v>
      </c>
      <c r="AV57" s="815">
        <v>1026</v>
      </c>
      <c r="AW57" s="808">
        <f t="shared" si="36"/>
        <v>8045</v>
      </c>
      <c r="AX57" s="211">
        <f t="shared" si="37"/>
        <v>1340.8333333333333</v>
      </c>
      <c r="AY57" s="346">
        <v>0</v>
      </c>
      <c r="AZ57" s="343">
        <v>1650</v>
      </c>
      <c r="BA57" s="343">
        <v>1187</v>
      </c>
      <c r="BB57" s="343">
        <v>440</v>
      </c>
      <c r="BC57" s="343">
        <v>1775</v>
      </c>
      <c r="BD57" s="343">
        <v>3906</v>
      </c>
      <c r="BE57" s="808">
        <f t="shared" si="38"/>
        <v>8958</v>
      </c>
      <c r="BF57" s="211">
        <f t="shared" si="39"/>
        <v>1493</v>
      </c>
      <c r="BG57" s="814">
        <v>440</v>
      </c>
      <c r="BH57" s="815">
        <v>2501</v>
      </c>
      <c r="BI57" s="815">
        <v>0</v>
      </c>
      <c r="BJ57" s="815">
        <v>2815</v>
      </c>
      <c r="BK57" s="815">
        <v>3886</v>
      </c>
      <c r="BL57" s="815">
        <v>0</v>
      </c>
      <c r="BM57" s="808">
        <f t="shared" si="40"/>
        <v>9642</v>
      </c>
      <c r="BN57" s="211">
        <f t="shared" si="41"/>
        <v>1607</v>
      </c>
      <c r="BO57" s="755">
        <v>0</v>
      </c>
      <c r="BP57" s="345">
        <v>1392</v>
      </c>
      <c r="BQ57" s="345">
        <v>0</v>
      </c>
      <c r="BR57" s="345">
        <v>310</v>
      </c>
      <c r="BS57" s="345">
        <v>2743</v>
      </c>
      <c r="BT57" s="345">
        <v>0</v>
      </c>
      <c r="BU57" s="808">
        <f t="shared" si="42"/>
        <v>4445</v>
      </c>
      <c r="BV57" s="211">
        <f t="shared" si="43"/>
        <v>740.83333333333337</v>
      </c>
      <c r="BW57" s="755">
        <v>0</v>
      </c>
      <c r="BX57" s="345">
        <v>882</v>
      </c>
      <c r="BY57" s="345">
        <v>3520</v>
      </c>
      <c r="BZ57" s="345">
        <v>783</v>
      </c>
      <c r="CA57" s="345">
        <v>1082</v>
      </c>
      <c r="CB57" s="345">
        <v>0</v>
      </c>
      <c r="CC57" s="808">
        <f t="shared" si="44"/>
        <v>6267</v>
      </c>
      <c r="CD57" s="211">
        <f t="shared" si="45"/>
        <v>1044.5</v>
      </c>
      <c r="CE57" s="346">
        <v>616</v>
      </c>
      <c r="CF57" s="343">
        <v>0</v>
      </c>
      <c r="CG57" s="343">
        <v>2175</v>
      </c>
      <c r="CH57" s="343">
        <v>2386</v>
      </c>
      <c r="CI57" s="343">
        <v>2351</v>
      </c>
      <c r="CJ57" s="343">
        <v>220</v>
      </c>
      <c r="CK57" s="808">
        <f t="shared" si="46"/>
        <v>7748</v>
      </c>
      <c r="CL57" s="211">
        <f t="shared" si="47"/>
        <v>1291.3333333333333</v>
      </c>
      <c r="CM57" s="346">
        <v>6549</v>
      </c>
      <c r="CN57" s="343">
        <v>841</v>
      </c>
      <c r="CO57" s="343">
        <v>0</v>
      </c>
      <c r="CP57" s="343">
        <v>0</v>
      </c>
      <c r="CQ57" s="343">
        <v>1863</v>
      </c>
      <c r="CR57" s="343">
        <v>1515</v>
      </c>
      <c r="CS57" s="808">
        <f t="shared" si="48"/>
        <v>10768</v>
      </c>
      <c r="CT57" s="211">
        <f t="shared" si="49"/>
        <v>1794.6666666666667</v>
      </c>
      <c r="CU57" s="346">
        <v>0</v>
      </c>
      <c r="CV57" s="343">
        <v>0</v>
      </c>
      <c r="CW57" s="343">
        <v>1022</v>
      </c>
      <c r="CX57" s="343">
        <v>0</v>
      </c>
      <c r="CY57" s="343">
        <v>0</v>
      </c>
      <c r="CZ57" s="343">
        <v>1187</v>
      </c>
      <c r="DA57" s="808">
        <f t="shared" si="50"/>
        <v>2209</v>
      </c>
      <c r="DB57" s="211">
        <f t="shared" si="51"/>
        <v>368.16666666666669</v>
      </c>
      <c r="DC57" s="346">
        <v>1540</v>
      </c>
      <c r="DD57" s="343">
        <v>1269</v>
      </c>
      <c r="DE57" s="343">
        <v>4992</v>
      </c>
      <c r="DF57" s="343">
        <v>1584</v>
      </c>
      <c r="DG57" s="343"/>
      <c r="DH57" s="343">
        <v>2974</v>
      </c>
      <c r="DI57" s="808">
        <f t="shared" si="52"/>
        <v>12359</v>
      </c>
      <c r="DJ57" s="211">
        <f t="shared" si="53"/>
        <v>2059.8333333333335</v>
      </c>
      <c r="DK57" s="346">
        <v>2152</v>
      </c>
      <c r="DL57" s="343">
        <v>0</v>
      </c>
      <c r="DM57" s="343">
        <v>0</v>
      </c>
      <c r="DN57" s="343">
        <v>439</v>
      </c>
      <c r="DO57" s="343">
        <v>2037</v>
      </c>
      <c r="DP57" s="343">
        <v>0</v>
      </c>
      <c r="DQ57" s="808">
        <f t="shared" si="54"/>
        <v>4628</v>
      </c>
      <c r="DR57" s="211">
        <f t="shared" si="55"/>
        <v>771.33333333333337</v>
      </c>
      <c r="DS57" s="346">
        <v>0</v>
      </c>
      <c r="DT57" s="343">
        <v>1870</v>
      </c>
      <c r="DU57" s="343">
        <v>82</v>
      </c>
      <c r="DV57" s="343">
        <v>1764</v>
      </c>
      <c r="DW57" s="343">
        <v>1927</v>
      </c>
      <c r="DX57" s="343">
        <v>1495</v>
      </c>
      <c r="DY57" s="808">
        <f t="shared" si="56"/>
        <v>7138</v>
      </c>
      <c r="DZ57" s="211">
        <f t="shared" si="57"/>
        <v>1189.6666666666667</v>
      </c>
      <c r="EA57" s="346">
        <v>334</v>
      </c>
      <c r="EB57" s="343">
        <v>0</v>
      </c>
      <c r="EC57" s="343"/>
      <c r="ED57" s="343">
        <v>1634</v>
      </c>
      <c r="EE57" s="343">
        <v>961</v>
      </c>
      <c r="EF57" s="343">
        <v>2164</v>
      </c>
      <c r="EG57" s="808">
        <f t="shared" si="58"/>
        <v>5093</v>
      </c>
      <c r="EH57" s="211">
        <f t="shared" si="59"/>
        <v>848.83333333333337</v>
      </c>
      <c r="EI57" s="346">
        <v>371</v>
      </c>
      <c r="EJ57" s="343">
        <v>5031</v>
      </c>
      <c r="EK57" s="343">
        <v>3646</v>
      </c>
      <c r="EL57" s="343">
        <v>33</v>
      </c>
      <c r="EM57" s="343">
        <v>1306</v>
      </c>
      <c r="EN57" s="343">
        <v>0</v>
      </c>
      <c r="EO57" s="808">
        <f t="shared" si="60"/>
        <v>10387</v>
      </c>
      <c r="EP57" s="211">
        <f t="shared" si="61"/>
        <v>1731.1666666666667</v>
      </c>
      <c r="EQ57" s="346">
        <v>147</v>
      </c>
      <c r="ER57" s="343">
        <v>4652</v>
      </c>
      <c r="ES57" s="343">
        <v>0</v>
      </c>
      <c r="ET57" s="343">
        <v>0</v>
      </c>
      <c r="EU57" s="343">
        <v>1670</v>
      </c>
      <c r="EV57" s="343">
        <v>8796</v>
      </c>
      <c r="EW57" s="808">
        <f t="shared" si="62"/>
        <v>15265</v>
      </c>
      <c r="EX57" s="211">
        <f t="shared" si="63"/>
        <v>2544.1666666666665</v>
      </c>
      <c r="EY57" s="346">
        <v>2120</v>
      </c>
      <c r="EZ57" s="343">
        <v>0</v>
      </c>
      <c r="FA57" s="343">
        <v>0</v>
      </c>
      <c r="FB57" s="343">
        <v>0</v>
      </c>
      <c r="FC57" s="343">
        <v>3021</v>
      </c>
      <c r="FD57" s="343">
        <v>2428</v>
      </c>
      <c r="FE57" s="808">
        <f t="shared" si="64"/>
        <v>7569</v>
      </c>
      <c r="FF57" s="211">
        <f t="shared" si="65"/>
        <v>1261.5</v>
      </c>
      <c r="FG57" s="755">
        <v>530</v>
      </c>
      <c r="FH57" s="345">
        <v>1692</v>
      </c>
      <c r="FI57" s="345">
        <v>1779</v>
      </c>
      <c r="FJ57" s="345">
        <v>6211</v>
      </c>
      <c r="FK57" s="345">
        <v>1760</v>
      </c>
      <c r="FL57" s="345">
        <v>1115</v>
      </c>
      <c r="FM57" s="808">
        <f t="shared" si="66"/>
        <v>13087</v>
      </c>
      <c r="FN57" s="211">
        <f t="shared" si="67"/>
        <v>2181.1666666666665</v>
      </c>
      <c r="FO57" s="346">
        <v>2905</v>
      </c>
      <c r="FP57" s="343">
        <v>0</v>
      </c>
      <c r="FQ57" s="343">
        <v>5302</v>
      </c>
      <c r="FR57" s="343">
        <v>2113</v>
      </c>
      <c r="FS57" s="343">
        <v>203</v>
      </c>
      <c r="FT57" s="343">
        <v>2465</v>
      </c>
      <c r="FU57" s="808">
        <f t="shared" si="68"/>
        <v>12988</v>
      </c>
      <c r="FV57" s="211">
        <f t="shared" si="69"/>
        <v>2164.6666666666665</v>
      </c>
      <c r="FW57" s="346">
        <v>2348</v>
      </c>
      <c r="FX57" s="343">
        <v>1540</v>
      </c>
      <c r="FY57" s="343">
        <v>3509</v>
      </c>
      <c r="FZ57" s="343">
        <v>0</v>
      </c>
      <c r="GA57" s="343">
        <v>759</v>
      </c>
      <c r="GB57" s="343">
        <v>3158</v>
      </c>
      <c r="GC57" s="808">
        <f t="shared" si="70"/>
        <v>11314</v>
      </c>
      <c r="GD57" s="211">
        <f t="shared" si="71"/>
        <v>1885.6666666666667</v>
      </c>
      <c r="GE57" s="346">
        <v>0</v>
      </c>
      <c r="GF57" s="343">
        <v>0</v>
      </c>
      <c r="GG57" s="343">
        <v>650</v>
      </c>
      <c r="GH57" s="343">
        <v>156</v>
      </c>
      <c r="GI57" s="343">
        <v>4980</v>
      </c>
      <c r="GJ57" s="343">
        <v>1210</v>
      </c>
      <c r="GK57" s="808">
        <f t="shared" si="72"/>
        <v>6996</v>
      </c>
      <c r="GL57" s="211">
        <f t="shared" si="73"/>
        <v>1166</v>
      </c>
      <c r="GM57" s="755">
        <v>1054</v>
      </c>
      <c r="GN57" s="345">
        <v>0</v>
      </c>
      <c r="GO57" s="345">
        <v>1029</v>
      </c>
      <c r="GP57" s="345">
        <v>0</v>
      </c>
      <c r="GQ57" s="345">
        <v>2318</v>
      </c>
      <c r="GR57" s="345">
        <v>0</v>
      </c>
      <c r="GS57" s="872">
        <f t="shared" si="74"/>
        <v>4401</v>
      </c>
      <c r="GT57" s="873">
        <f t="shared" si="75"/>
        <v>733.5</v>
      </c>
      <c r="GU57" s="346">
        <v>0</v>
      </c>
      <c r="GV57" s="343">
        <v>2025</v>
      </c>
      <c r="GW57" s="343">
        <v>979</v>
      </c>
      <c r="GX57" s="343">
        <v>1645</v>
      </c>
      <c r="GY57" s="343">
        <v>2420</v>
      </c>
      <c r="GZ57" s="343">
        <v>1472</v>
      </c>
      <c r="HA57" s="872">
        <f t="shared" si="76"/>
        <v>8541</v>
      </c>
      <c r="HB57" s="873">
        <f t="shared" si="77"/>
        <v>1423.5</v>
      </c>
      <c r="HC57" s="346">
        <v>0</v>
      </c>
      <c r="HD57" s="343">
        <v>0</v>
      </c>
      <c r="HE57" s="343">
        <v>1961</v>
      </c>
      <c r="HF57" s="343"/>
      <c r="HG57" s="343"/>
      <c r="HH57" s="343"/>
      <c r="HI57" s="872">
        <f t="shared" si="78"/>
        <v>1961</v>
      </c>
      <c r="HJ57" s="873">
        <f t="shared" si="79"/>
        <v>326.83333333333331</v>
      </c>
    </row>
    <row r="58" spans="1:218" s="323" customFormat="1" ht="15" customHeight="1" x14ac:dyDescent="0.2">
      <c r="A58" s="21">
        <v>47</v>
      </c>
      <c r="B58" s="21" t="s">
        <v>176</v>
      </c>
      <c r="C58" s="275" t="s">
        <v>179</v>
      </c>
      <c r="D58" s="21">
        <v>25</v>
      </c>
      <c r="E58" s="24"/>
      <c r="F58" s="24">
        <v>3018</v>
      </c>
      <c r="G58" s="24"/>
      <c r="H58" s="24"/>
      <c r="I58" s="24"/>
      <c r="J58" s="360">
        <f>SUMIF(SUMPK!$B:$B,$B:$B,SUMPK!$O:$O)</f>
        <v>0</v>
      </c>
      <c r="K58" s="24"/>
      <c r="L58" s="24">
        <f t="shared" si="80"/>
        <v>3018</v>
      </c>
      <c r="M58" s="15">
        <f t="shared" si="25"/>
        <v>3018</v>
      </c>
      <c r="N58" s="15">
        <v>215</v>
      </c>
      <c r="O58" s="276">
        <f t="shared" si="26"/>
        <v>14.037209302325582</v>
      </c>
      <c r="P58" s="15">
        <v>220.5</v>
      </c>
      <c r="Q58" s="711">
        <f t="shared" si="27"/>
        <v>2400</v>
      </c>
      <c r="R58" s="276">
        <f t="shared" si="28"/>
        <v>82.122448979591837</v>
      </c>
      <c r="S58" s="712">
        <f t="shared" si="29"/>
        <v>553.84615384615381</v>
      </c>
      <c r="T58" s="713">
        <v>14400</v>
      </c>
      <c r="U58" s="276">
        <f t="shared" si="86"/>
        <v>5.4491666666666667</v>
      </c>
      <c r="V58" s="278"/>
      <c r="W58" s="276">
        <f t="shared" si="31"/>
        <v>5.4491666666666667</v>
      </c>
      <c r="X58" s="823">
        <f t="shared" si="0"/>
        <v>1</v>
      </c>
      <c r="Y58" s="305">
        <v>16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1511</v>
      </c>
      <c r="AF58" s="64">
        <v>417</v>
      </c>
      <c r="AG58" s="64">
        <f t="shared" si="32"/>
        <v>1928</v>
      </c>
      <c r="AH58" s="211">
        <f t="shared" si="33"/>
        <v>321.33333333333331</v>
      </c>
      <c r="AI58" s="755">
        <v>0</v>
      </c>
      <c r="AJ58" s="345">
        <v>0</v>
      </c>
      <c r="AK58" s="345">
        <v>0</v>
      </c>
      <c r="AL58" s="345">
        <v>0</v>
      </c>
      <c r="AM58" s="345">
        <v>0</v>
      </c>
      <c r="AN58" s="345">
        <v>2662</v>
      </c>
      <c r="AO58" s="808">
        <f t="shared" si="34"/>
        <v>2662</v>
      </c>
      <c r="AP58" s="809">
        <f t="shared" si="35"/>
        <v>443.66666666666669</v>
      </c>
      <c r="AQ58" s="814">
        <v>0</v>
      </c>
      <c r="AR58" s="815">
        <v>0</v>
      </c>
      <c r="AS58" s="815">
        <v>0</v>
      </c>
      <c r="AT58" s="815">
        <v>0</v>
      </c>
      <c r="AU58" s="815">
        <v>0</v>
      </c>
      <c r="AV58" s="815">
        <v>1995</v>
      </c>
      <c r="AW58" s="808">
        <f t="shared" si="36"/>
        <v>1995</v>
      </c>
      <c r="AX58" s="211">
        <f t="shared" si="37"/>
        <v>332.5</v>
      </c>
      <c r="AY58" s="346">
        <v>0</v>
      </c>
      <c r="AZ58" s="343">
        <v>0</v>
      </c>
      <c r="BA58" s="343">
        <v>0</v>
      </c>
      <c r="BB58" s="343">
        <v>0</v>
      </c>
      <c r="BC58" s="343">
        <v>0</v>
      </c>
      <c r="BD58" s="343">
        <v>0</v>
      </c>
      <c r="BE58" s="808">
        <f t="shared" si="38"/>
        <v>0</v>
      </c>
      <c r="BF58" s="211">
        <f t="shared" si="39"/>
        <v>0</v>
      </c>
      <c r="BG58" s="814">
        <v>0</v>
      </c>
      <c r="BH58" s="815">
        <v>0</v>
      </c>
      <c r="BI58" s="815">
        <v>1631</v>
      </c>
      <c r="BJ58" s="815">
        <v>0</v>
      </c>
      <c r="BK58" s="815">
        <v>0</v>
      </c>
      <c r="BL58" s="815">
        <v>1985</v>
      </c>
      <c r="BM58" s="808">
        <f t="shared" si="40"/>
        <v>3616</v>
      </c>
      <c r="BN58" s="211">
        <f t="shared" si="41"/>
        <v>602.66666666666663</v>
      </c>
      <c r="BO58" s="755">
        <v>0</v>
      </c>
      <c r="BP58" s="345">
        <v>0</v>
      </c>
      <c r="BQ58" s="345">
        <v>0</v>
      </c>
      <c r="BR58" s="345">
        <v>0</v>
      </c>
      <c r="BS58" s="345">
        <v>0</v>
      </c>
      <c r="BT58" s="345">
        <v>0</v>
      </c>
      <c r="BU58" s="808">
        <f t="shared" si="42"/>
        <v>0</v>
      </c>
      <c r="BV58" s="211">
        <f t="shared" si="43"/>
        <v>0</v>
      </c>
      <c r="BW58" s="755">
        <v>0</v>
      </c>
      <c r="BX58" s="345">
        <v>1971</v>
      </c>
      <c r="BY58" s="345">
        <v>0</v>
      </c>
      <c r="BZ58" s="345">
        <v>0</v>
      </c>
      <c r="CA58" s="345">
        <v>0</v>
      </c>
      <c r="CB58" s="345">
        <v>0</v>
      </c>
      <c r="CC58" s="808">
        <f t="shared" si="44"/>
        <v>1971</v>
      </c>
      <c r="CD58" s="211">
        <f t="shared" si="45"/>
        <v>328.5</v>
      </c>
      <c r="CE58" s="346">
        <v>1655</v>
      </c>
      <c r="CF58" s="343">
        <v>0</v>
      </c>
      <c r="CG58" s="343">
        <v>0</v>
      </c>
      <c r="CH58" s="343">
        <v>0</v>
      </c>
      <c r="CI58" s="343">
        <v>0</v>
      </c>
      <c r="CJ58" s="343">
        <v>0</v>
      </c>
      <c r="CK58" s="808">
        <f t="shared" si="46"/>
        <v>1655</v>
      </c>
      <c r="CL58" s="211">
        <f t="shared" si="47"/>
        <v>275.83333333333331</v>
      </c>
      <c r="CM58" s="346">
        <v>1292</v>
      </c>
      <c r="CN58" s="343">
        <v>0</v>
      </c>
      <c r="CO58" s="343">
        <v>0</v>
      </c>
      <c r="CP58" s="343">
        <v>962</v>
      </c>
      <c r="CQ58" s="343">
        <v>1929</v>
      </c>
      <c r="CR58" s="343">
        <v>0</v>
      </c>
      <c r="CS58" s="808">
        <f t="shared" si="48"/>
        <v>4183</v>
      </c>
      <c r="CT58" s="211">
        <f t="shared" si="49"/>
        <v>697.16666666666663</v>
      </c>
      <c r="CU58" s="346">
        <v>0</v>
      </c>
      <c r="CV58" s="343">
        <v>0</v>
      </c>
      <c r="CW58" s="343">
        <v>0</v>
      </c>
      <c r="CX58" s="343">
        <v>0</v>
      </c>
      <c r="CY58" s="343">
        <v>0</v>
      </c>
      <c r="CZ58" s="343">
        <v>0</v>
      </c>
      <c r="DA58" s="808">
        <f t="shared" si="50"/>
        <v>0</v>
      </c>
      <c r="DB58" s="211">
        <f t="shared" si="51"/>
        <v>0</v>
      </c>
      <c r="DC58" s="346">
        <v>0</v>
      </c>
      <c r="DD58" s="343">
        <v>0</v>
      </c>
      <c r="DE58" s="343">
        <v>1664</v>
      </c>
      <c r="DF58" s="343">
        <v>0</v>
      </c>
      <c r="DG58" s="343"/>
      <c r="DH58" s="343">
        <v>0</v>
      </c>
      <c r="DI58" s="808">
        <f t="shared" si="52"/>
        <v>1664</v>
      </c>
      <c r="DJ58" s="211">
        <f t="shared" si="53"/>
        <v>277.33333333333331</v>
      </c>
      <c r="DK58" s="346">
        <v>0</v>
      </c>
      <c r="DL58" s="343">
        <v>1979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4"/>
        <v>1979</v>
      </c>
      <c r="DR58" s="211">
        <f t="shared" si="55"/>
        <v>329.83333333333331</v>
      </c>
      <c r="DS58" s="346">
        <v>0</v>
      </c>
      <c r="DT58" s="343">
        <v>0</v>
      </c>
      <c r="DU58" s="343">
        <v>0</v>
      </c>
      <c r="DV58" s="343">
        <v>770</v>
      </c>
      <c r="DW58" s="343">
        <v>221</v>
      </c>
      <c r="DX58" s="343">
        <v>0</v>
      </c>
      <c r="DY58" s="808">
        <f t="shared" si="56"/>
        <v>991</v>
      </c>
      <c r="DZ58" s="211">
        <f t="shared" si="57"/>
        <v>165.16666666666666</v>
      </c>
      <c r="EA58" s="346">
        <v>0</v>
      </c>
      <c r="EB58" s="343">
        <v>0</v>
      </c>
      <c r="EC58" s="343"/>
      <c r="ED58" s="343">
        <v>0</v>
      </c>
      <c r="EE58" s="343">
        <v>2307</v>
      </c>
      <c r="EF58" s="343">
        <v>0</v>
      </c>
      <c r="EG58" s="808">
        <f t="shared" si="58"/>
        <v>2307</v>
      </c>
      <c r="EH58" s="211">
        <f t="shared" si="59"/>
        <v>384.5</v>
      </c>
      <c r="EI58" s="346">
        <v>0</v>
      </c>
      <c r="EJ58" s="343">
        <v>0</v>
      </c>
      <c r="EK58" s="343">
        <v>0</v>
      </c>
      <c r="EL58" s="343">
        <v>0</v>
      </c>
      <c r="EM58" s="343">
        <v>1670</v>
      </c>
      <c r="EN58" s="343">
        <v>0</v>
      </c>
      <c r="EO58" s="808">
        <f t="shared" si="60"/>
        <v>1670</v>
      </c>
      <c r="EP58" s="211">
        <f t="shared" si="61"/>
        <v>278.33333333333331</v>
      </c>
      <c r="EQ58" s="346">
        <v>0</v>
      </c>
      <c r="ER58" s="343">
        <v>0</v>
      </c>
      <c r="ES58" s="343">
        <v>0</v>
      </c>
      <c r="ET58" s="343">
        <v>0</v>
      </c>
      <c r="EU58" s="343">
        <v>954</v>
      </c>
      <c r="EV58" s="343">
        <v>0</v>
      </c>
      <c r="EW58" s="808">
        <f t="shared" si="62"/>
        <v>954</v>
      </c>
      <c r="EX58" s="211">
        <f t="shared" si="63"/>
        <v>159</v>
      </c>
      <c r="EY58" s="346">
        <v>0</v>
      </c>
      <c r="EZ58" s="343">
        <v>1995</v>
      </c>
      <c r="FA58" s="343">
        <v>0</v>
      </c>
      <c r="FB58" s="343">
        <v>0</v>
      </c>
      <c r="FC58" s="343">
        <v>0</v>
      </c>
      <c r="FD58" s="343">
        <v>0</v>
      </c>
      <c r="FE58" s="808">
        <f t="shared" si="64"/>
        <v>1995</v>
      </c>
      <c r="FF58" s="211">
        <f t="shared" si="65"/>
        <v>332.5</v>
      </c>
      <c r="FG58" s="755">
        <v>0</v>
      </c>
      <c r="FH58" s="345">
        <v>0</v>
      </c>
      <c r="FI58" s="345">
        <v>1648</v>
      </c>
      <c r="FJ58" s="345">
        <v>0</v>
      </c>
      <c r="FK58" s="345">
        <v>0</v>
      </c>
      <c r="FL58" s="345">
        <v>0</v>
      </c>
      <c r="FM58" s="808">
        <f t="shared" si="66"/>
        <v>1648</v>
      </c>
      <c r="FN58" s="211">
        <f t="shared" si="67"/>
        <v>274.66666666666669</v>
      </c>
      <c r="FO58" s="346">
        <v>0</v>
      </c>
      <c r="FP58" s="343">
        <v>1652</v>
      </c>
      <c r="FQ58" s="343">
        <v>0</v>
      </c>
      <c r="FR58" s="343">
        <v>0</v>
      </c>
      <c r="FS58" s="343">
        <v>0</v>
      </c>
      <c r="FT58" s="343">
        <v>0</v>
      </c>
      <c r="FU58" s="808">
        <f t="shared" si="68"/>
        <v>1652</v>
      </c>
      <c r="FV58" s="211">
        <f t="shared" si="69"/>
        <v>275.33333333333331</v>
      </c>
      <c r="FW58" s="346">
        <v>0</v>
      </c>
      <c r="FX58" s="343">
        <v>0</v>
      </c>
      <c r="FY58" s="343">
        <v>0</v>
      </c>
      <c r="FZ58" s="343">
        <v>0</v>
      </c>
      <c r="GA58" s="343">
        <v>0</v>
      </c>
      <c r="GB58" s="343">
        <v>1619</v>
      </c>
      <c r="GC58" s="808">
        <f t="shared" si="70"/>
        <v>1619</v>
      </c>
      <c r="GD58" s="211">
        <f t="shared" si="71"/>
        <v>269.83333333333331</v>
      </c>
      <c r="GE58" s="346">
        <v>0</v>
      </c>
      <c r="GF58" s="343">
        <v>0</v>
      </c>
      <c r="GG58" s="343">
        <v>0</v>
      </c>
      <c r="GH58" s="343">
        <v>0</v>
      </c>
      <c r="GI58" s="343">
        <v>0</v>
      </c>
      <c r="GJ58" s="343">
        <v>963</v>
      </c>
      <c r="GK58" s="808">
        <f t="shared" si="72"/>
        <v>963</v>
      </c>
      <c r="GL58" s="211">
        <f t="shared" si="73"/>
        <v>160.5</v>
      </c>
      <c r="GM58" s="755">
        <v>0</v>
      </c>
      <c r="GN58" s="345">
        <v>0</v>
      </c>
      <c r="GO58" s="345">
        <v>0</v>
      </c>
      <c r="GP58" s="345">
        <v>948</v>
      </c>
      <c r="GQ58" s="345">
        <v>0</v>
      </c>
      <c r="GR58" s="345">
        <v>0</v>
      </c>
      <c r="GS58" s="872">
        <f t="shared" si="74"/>
        <v>948</v>
      </c>
      <c r="GT58" s="873">
        <f t="shared" si="75"/>
        <v>158</v>
      </c>
      <c r="GU58" s="346">
        <v>0</v>
      </c>
      <c r="GV58" s="343">
        <v>0</v>
      </c>
      <c r="GW58" s="343">
        <v>1290</v>
      </c>
      <c r="GX58" s="343">
        <v>0</v>
      </c>
      <c r="GY58" s="343">
        <v>0</v>
      </c>
      <c r="GZ58" s="343">
        <v>0</v>
      </c>
      <c r="HA58" s="872">
        <f t="shared" si="76"/>
        <v>1290</v>
      </c>
      <c r="HB58" s="873">
        <f t="shared" si="77"/>
        <v>215</v>
      </c>
      <c r="HC58" s="346">
        <v>0</v>
      </c>
      <c r="HD58" s="343">
        <v>0</v>
      </c>
      <c r="HE58" s="343">
        <v>679</v>
      </c>
      <c r="HF58" s="343"/>
      <c r="HG58" s="343"/>
      <c r="HH58" s="343"/>
      <c r="HI58" s="872">
        <f t="shared" si="78"/>
        <v>679</v>
      </c>
      <c r="HJ58" s="873">
        <f t="shared" si="79"/>
        <v>113.16666666666667</v>
      </c>
    </row>
    <row r="59" spans="1:218" s="323" customFormat="1" ht="15" customHeight="1" x14ac:dyDescent="0.2">
      <c r="A59" s="21">
        <v>48</v>
      </c>
      <c r="B59" s="21" t="s">
        <v>93</v>
      </c>
      <c r="C59" s="275" t="s">
        <v>94</v>
      </c>
      <c r="D59" s="21">
        <v>25</v>
      </c>
      <c r="E59" s="24"/>
      <c r="F59" s="24">
        <v>5101</v>
      </c>
      <c r="G59" s="24"/>
      <c r="H59" s="24"/>
      <c r="I59" s="360"/>
      <c r="J59" s="360">
        <f>SUMIF(SUMPK!$B:$B,$B:$B,SUMPK!$O:$O)</f>
        <v>0</v>
      </c>
      <c r="K59" s="24"/>
      <c r="L59" s="24">
        <f t="shared" si="80"/>
        <v>5101</v>
      </c>
      <c r="M59" s="15">
        <f t="shared" si="25"/>
        <v>5101</v>
      </c>
      <c r="N59" s="15">
        <v>440.5</v>
      </c>
      <c r="O59" s="276">
        <f t="shared" si="26"/>
        <v>11.580022701475595</v>
      </c>
      <c r="P59" s="15">
        <v>319.16666666666669</v>
      </c>
      <c r="Q59" s="711">
        <f t="shared" si="27"/>
        <v>1333.3333333333333</v>
      </c>
      <c r="R59" s="276">
        <f t="shared" si="28"/>
        <v>95.893472584856383</v>
      </c>
      <c r="S59" s="712">
        <f t="shared" si="29"/>
        <v>307.69230769230768</v>
      </c>
      <c r="T59" s="713">
        <v>8000</v>
      </c>
      <c r="U59" s="276">
        <f t="shared" si="86"/>
        <v>16.578250000000001</v>
      </c>
      <c r="V59" s="278"/>
      <c r="W59" s="276">
        <f t="shared" si="31"/>
        <v>16.578250000000001</v>
      </c>
      <c r="X59" s="823">
        <f t="shared" si="0"/>
        <v>1</v>
      </c>
      <c r="Y59" s="305">
        <v>18</v>
      </c>
      <c r="Z59" s="824"/>
      <c r="AA59" s="244">
        <v>0</v>
      </c>
      <c r="AB59" s="64">
        <v>0</v>
      </c>
      <c r="AC59" s="64">
        <v>0</v>
      </c>
      <c r="AD59" s="64">
        <v>0</v>
      </c>
      <c r="AE59" s="64">
        <v>249</v>
      </c>
      <c r="AF59" s="64">
        <v>334</v>
      </c>
      <c r="AG59" s="64">
        <f t="shared" si="32"/>
        <v>583</v>
      </c>
      <c r="AH59" s="211">
        <f t="shared" si="33"/>
        <v>97.166666666666671</v>
      </c>
      <c r="AI59" s="755">
        <v>1245</v>
      </c>
      <c r="AJ59" s="345">
        <v>0</v>
      </c>
      <c r="AK59" s="345">
        <v>0</v>
      </c>
      <c r="AL59" s="345">
        <v>877</v>
      </c>
      <c r="AM59" s="345">
        <v>0</v>
      </c>
      <c r="AN59" s="345">
        <v>854</v>
      </c>
      <c r="AO59" s="808">
        <f t="shared" si="34"/>
        <v>2976</v>
      </c>
      <c r="AP59" s="809">
        <f t="shared" si="35"/>
        <v>496</v>
      </c>
      <c r="AQ59" s="814">
        <v>1224</v>
      </c>
      <c r="AR59" s="815">
        <v>0</v>
      </c>
      <c r="AS59" s="815">
        <v>0</v>
      </c>
      <c r="AT59" s="815">
        <v>564</v>
      </c>
      <c r="AU59" s="815">
        <v>1671</v>
      </c>
      <c r="AV59" s="815">
        <v>1543</v>
      </c>
      <c r="AW59" s="808">
        <f t="shared" si="36"/>
        <v>5002</v>
      </c>
      <c r="AX59" s="211">
        <f t="shared" si="37"/>
        <v>833.66666666666663</v>
      </c>
      <c r="AY59" s="346">
        <v>0</v>
      </c>
      <c r="AZ59" s="343">
        <v>0</v>
      </c>
      <c r="BA59" s="343">
        <v>879</v>
      </c>
      <c r="BB59" s="343">
        <v>165</v>
      </c>
      <c r="BC59" s="343">
        <v>0</v>
      </c>
      <c r="BD59" s="343">
        <v>0</v>
      </c>
      <c r="BE59" s="808">
        <f t="shared" si="38"/>
        <v>1044</v>
      </c>
      <c r="BF59" s="211">
        <f t="shared" si="39"/>
        <v>174</v>
      </c>
      <c r="BG59" s="814">
        <v>487</v>
      </c>
      <c r="BH59" s="815">
        <v>770</v>
      </c>
      <c r="BI59" s="815">
        <v>1269</v>
      </c>
      <c r="BJ59" s="815">
        <v>259</v>
      </c>
      <c r="BK59" s="815">
        <v>0</v>
      </c>
      <c r="BL59" s="815">
        <v>1679</v>
      </c>
      <c r="BM59" s="808">
        <f t="shared" si="40"/>
        <v>4464</v>
      </c>
      <c r="BN59" s="211">
        <f t="shared" si="41"/>
        <v>744</v>
      </c>
      <c r="BO59" s="755">
        <v>0</v>
      </c>
      <c r="BP59" s="345">
        <v>439</v>
      </c>
      <c r="BQ59" s="345">
        <v>273</v>
      </c>
      <c r="BR59" s="345">
        <v>0</v>
      </c>
      <c r="BS59" s="345">
        <v>1370</v>
      </c>
      <c r="BT59" s="345">
        <v>572</v>
      </c>
      <c r="BU59" s="808">
        <f t="shared" si="42"/>
        <v>2654</v>
      </c>
      <c r="BV59" s="211">
        <f t="shared" si="43"/>
        <v>442.33333333333331</v>
      </c>
      <c r="BW59" s="755">
        <v>132</v>
      </c>
      <c r="BX59" s="345">
        <v>0</v>
      </c>
      <c r="BY59" s="345">
        <v>0</v>
      </c>
      <c r="BZ59" s="345">
        <v>1321</v>
      </c>
      <c r="CA59" s="345">
        <v>0</v>
      </c>
      <c r="CB59" s="345">
        <v>0</v>
      </c>
      <c r="CC59" s="808">
        <f t="shared" si="44"/>
        <v>1453</v>
      </c>
      <c r="CD59" s="211">
        <f t="shared" si="45"/>
        <v>242.16666666666666</v>
      </c>
      <c r="CE59" s="346">
        <v>0</v>
      </c>
      <c r="CF59" s="343">
        <v>0</v>
      </c>
      <c r="CG59" s="343">
        <v>584</v>
      </c>
      <c r="CH59" s="343">
        <v>0</v>
      </c>
      <c r="CI59" s="343">
        <v>2266</v>
      </c>
      <c r="CJ59" s="343">
        <v>0</v>
      </c>
      <c r="CK59" s="808">
        <f t="shared" si="46"/>
        <v>2850</v>
      </c>
      <c r="CL59" s="211">
        <f t="shared" si="47"/>
        <v>475</v>
      </c>
      <c r="CM59" s="346">
        <v>0</v>
      </c>
      <c r="CN59" s="343">
        <v>0</v>
      </c>
      <c r="CO59" s="343">
        <v>0</v>
      </c>
      <c r="CP59" s="343">
        <v>949</v>
      </c>
      <c r="CQ59" s="343">
        <v>0</v>
      </c>
      <c r="CR59" s="343">
        <v>1639</v>
      </c>
      <c r="CS59" s="808">
        <f t="shared" si="48"/>
        <v>2588</v>
      </c>
      <c r="CT59" s="211">
        <f t="shared" si="49"/>
        <v>431.33333333333331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1334</v>
      </c>
      <c r="CZ59" s="343">
        <v>0</v>
      </c>
      <c r="DA59" s="808">
        <f t="shared" si="50"/>
        <v>1334</v>
      </c>
      <c r="DB59" s="211">
        <f t="shared" si="51"/>
        <v>222.33333333333334</v>
      </c>
      <c r="DC59" s="346">
        <v>0</v>
      </c>
      <c r="DD59" s="343">
        <v>1343</v>
      </c>
      <c r="DE59" s="343">
        <v>0</v>
      </c>
      <c r="DF59" s="343">
        <v>0</v>
      </c>
      <c r="DG59" s="343"/>
      <c r="DH59" s="343">
        <v>0</v>
      </c>
      <c r="DI59" s="808">
        <f t="shared" si="52"/>
        <v>1343</v>
      </c>
      <c r="DJ59" s="211">
        <f t="shared" si="53"/>
        <v>223.83333333333334</v>
      </c>
      <c r="DK59" s="346">
        <v>2990</v>
      </c>
      <c r="DL59" s="343">
        <v>0</v>
      </c>
      <c r="DM59" s="343">
        <v>0</v>
      </c>
      <c r="DN59" s="343">
        <v>0</v>
      </c>
      <c r="DO59" s="343">
        <v>0</v>
      </c>
      <c r="DP59" s="343">
        <v>0</v>
      </c>
      <c r="DQ59" s="808">
        <f t="shared" si="54"/>
        <v>2990</v>
      </c>
      <c r="DR59" s="211">
        <f t="shared" si="55"/>
        <v>498.33333333333331</v>
      </c>
      <c r="DS59" s="346">
        <v>2200</v>
      </c>
      <c r="DT59" s="343">
        <v>756</v>
      </c>
      <c r="DU59" s="343">
        <v>0</v>
      </c>
      <c r="DV59" s="343">
        <v>643</v>
      </c>
      <c r="DW59" s="343">
        <v>0</v>
      </c>
      <c r="DX59" s="343">
        <v>0</v>
      </c>
      <c r="DY59" s="808">
        <f t="shared" si="56"/>
        <v>3599</v>
      </c>
      <c r="DZ59" s="211">
        <f t="shared" si="57"/>
        <v>599.83333333333337</v>
      </c>
      <c r="EA59" s="346">
        <v>0</v>
      </c>
      <c r="EB59" s="343">
        <v>612</v>
      </c>
      <c r="EC59" s="343"/>
      <c r="ED59" s="343">
        <v>1650</v>
      </c>
      <c r="EE59" s="343">
        <v>1324</v>
      </c>
      <c r="EF59" s="343">
        <v>1356</v>
      </c>
      <c r="EG59" s="808">
        <f t="shared" si="58"/>
        <v>4942</v>
      </c>
      <c r="EH59" s="211">
        <f t="shared" si="59"/>
        <v>823.66666666666663</v>
      </c>
      <c r="EI59" s="346">
        <v>995</v>
      </c>
      <c r="EJ59" s="343">
        <v>1609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0"/>
        <v>2604</v>
      </c>
      <c r="EP59" s="211">
        <f t="shared" si="61"/>
        <v>434</v>
      </c>
      <c r="EQ59" s="346">
        <v>0</v>
      </c>
      <c r="ER59" s="343">
        <v>0</v>
      </c>
      <c r="ES59" s="343">
        <v>0</v>
      </c>
      <c r="ET59" s="343">
        <v>0</v>
      </c>
      <c r="EU59" s="343">
        <v>0</v>
      </c>
      <c r="EV59" s="343">
        <v>0</v>
      </c>
      <c r="EW59" s="808">
        <f t="shared" si="62"/>
        <v>0</v>
      </c>
      <c r="EX59" s="211">
        <f t="shared" si="63"/>
        <v>0</v>
      </c>
      <c r="EY59" s="346">
        <v>1949</v>
      </c>
      <c r="EZ59" s="343">
        <v>0</v>
      </c>
      <c r="FA59" s="343">
        <v>400</v>
      </c>
      <c r="FB59" s="343">
        <v>1306</v>
      </c>
      <c r="FC59" s="343">
        <v>2813</v>
      </c>
      <c r="FD59" s="343">
        <v>0</v>
      </c>
      <c r="FE59" s="808">
        <f t="shared" si="64"/>
        <v>6468</v>
      </c>
      <c r="FF59" s="211">
        <f t="shared" si="65"/>
        <v>1078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6"/>
        <v>0</v>
      </c>
      <c r="FN59" s="211">
        <f t="shared" si="67"/>
        <v>0</v>
      </c>
      <c r="FO59" s="346">
        <v>0</v>
      </c>
      <c r="FP59" s="343">
        <v>0</v>
      </c>
      <c r="FQ59" s="343">
        <v>1306</v>
      </c>
      <c r="FR59" s="343">
        <v>1608</v>
      </c>
      <c r="FS59" s="343">
        <v>374</v>
      </c>
      <c r="FT59" s="343">
        <v>0</v>
      </c>
      <c r="FU59" s="808">
        <f t="shared" si="68"/>
        <v>3288</v>
      </c>
      <c r="FV59" s="211">
        <f t="shared" si="69"/>
        <v>548</v>
      </c>
      <c r="FW59" s="346">
        <v>654</v>
      </c>
      <c r="FX59" s="343">
        <v>0</v>
      </c>
      <c r="FY59" s="343">
        <v>770</v>
      </c>
      <c r="FZ59" s="343">
        <v>1191</v>
      </c>
      <c r="GA59" s="343">
        <v>0</v>
      </c>
      <c r="GB59" s="343">
        <v>0</v>
      </c>
      <c r="GC59" s="808">
        <f t="shared" si="70"/>
        <v>2615</v>
      </c>
      <c r="GD59" s="211">
        <f t="shared" si="71"/>
        <v>435.83333333333331</v>
      </c>
      <c r="GE59" s="346">
        <v>0</v>
      </c>
      <c r="GF59" s="343">
        <v>1921</v>
      </c>
      <c r="GG59" s="343">
        <v>0</v>
      </c>
      <c r="GH59" s="343">
        <v>0</v>
      </c>
      <c r="GI59" s="343">
        <v>0</v>
      </c>
      <c r="GJ59" s="343">
        <v>0</v>
      </c>
      <c r="GK59" s="808">
        <f t="shared" si="72"/>
        <v>1921</v>
      </c>
      <c r="GL59" s="211">
        <f t="shared" si="73"/>
        <v>320.16666666666669</v>
      </c>
      <c r="GM59" s="755">
        <v>0</v>
      </c>
      <c r="GN59" s="345">
        <v>0</v>
      </c>
      <c r="GO59" s="345">
        <v>2250</v>
      </c>
      <c r="GP59" s="345">
        <v>0</v>
      </c>
      <c r="GQ59" s="345">
        <v>0</v>
      </c>
      <c r="GR59" s="345">
        <v>0</v>
      </c>
      <c r="GS59" s="872">
        <f t="shared" si="74"/>
        <v>2250</v>
      </c>
      <c r="GT59" s="873">
        <f t="shared" si="75"/>
        <v>375</v>
      </c>
      <c r="GU59" s="346">
        <v>0</v>
      </c>
      <c r="GV59" s="343">
        <v>0</v>
      </c>
      <c r="GW59" s="343">
        <v>0</v>
      </c>
      <c r="GX59" s="343">
        <v>330</v>
      </c>
      <c r="GY59" s="343">
        <v>2313</v>
      </c>
      <c r="GZ59" s="343">
        <v>0</v>
      </c>
      <c r="HA59" s="872">
        <f t="shared" si="76"/>
        <v>2643</v>
      </c>
      <c r="HB59" s="873">
        <f t="shared" si="77"/>
        <v>440.5</v>
      </c>
      <c r="HC59" s="346">
        <v>0</v>
      </c>
      <c r="HD59" s="343">
        <v>308</v>
      </c>
      <c r="HE59" s="343">
        <v>1313</v>
      </c>
      <c r="HF59" s="343"/>
      <c r="HG59" s="343"/>
      <c r="HH59" s="343"/>
      <c r="HI59" s="872">
        <f t="shared" si="78"/>
        <v>1621</v>
      </c>
      <c r="HJ59" s="873">
        <f t="shared" si="79"/>
        <v>270.16666666666669</v>
      </c>
    </row>
    <row r="60" spans="1:218" s="323" customFormat="1" ht="15" customHeight="1" x14ac:dyDescent="0.2">
      <c r="A60" s="21">
        <v>49</v>
      </c>
      <c r="B60" s="21" t="s">
        <v>95</v>
      </c>
      <c r="C60" s="275" t="s">
        <v>96</v>
      </c>
      <c r="D60" s="21">
        <v>25</v>
      </c>
      <c r="E60" s="24"/>
      <c r="F60" s="24">
        <v>6343</v>
      </c>
      <c r="G60" s="24"/>
      <c r="H60" s="24"/>
      <c r="I60" s="360"/>
      <c r="J60" s="360">
        <f>SUMIF(SUMPK!$B:$B,$B:$B,SUMPK!$O:$O)</f>
        <v>0</v>
      </c>
      <c r="K60" s="24"/>
      <c r="L60" s="24">
        <f t="shared" si="80"/>
        <v>6343</v>
      </c>
      <c r="M60" s="15">
        <f t="shared" si="25"/>
        <v>6343</v>
      </c>
      <c r="N60" s="15">
        <v>236.16666666666666</v>
      </c>
      <c r="O60" s="276">
        <f t="shared" si="26"/>
        <v>26.858151023288638</v>
      </c>
      <c r="P60" s="15">
        <v>167.5</v>
      </c>
      <c r="Q60" s="711">
        <f t="shared" si="27"/>
        <v>1600</v>
      </c>
      <c r="R60" s="276">
        <f t="shared" si="28"/>
        <v>227.21194029850744</v>
      </c>
      <c r="S60" s="712">
        <f t="shared" si="29"/>
        <v>369.23076923076923</v>
      </c>
      <c r="T60" s="713">
        <v>9600</v>
      </c>
      <c r="U60" s="276">
        <f t="shared" si="86"/>
        <v>17.178958333333334</v>
      </c>
      <c r="V60" s="278"/>
      <c r="W60" s="276">
        <f t="shared" si="31"/>
        <v>17.178958333333334</v>
      </c>
      <c r="X60" s="823">
        <f t="shared" si="0"/>
        <v>1</v>
      </c>
      <c r="Y60" s="305">
        <v>15</v>
      </c>
      <c r="Z60" s="824"/>
      <c r="AA60" s="244">
        <v>0</v>
      </c>
      <c r="AB60" s="64">
        <v>0</v>
      </c>
      <c r="AC60" s="64">
        <v>1912</v>
      </c>
      <c r="AD60" s="64">
        <v>0</v>
      </c>
      <c r="AE60" s="64">
        <v>1870</v>
      </c>
      <c r="AF60" s="64">
        <v>445</v>
      </c>
      <c r="AG60" s="64">
        <f t="shared" si="32"/>
        <v>4227</v>
      </c>
      <c r="AH60" s="211">
        <f t="shared" si="33"/>
        <v>704.5</v>
      </c>
      <c r="AI60" s="755">
        <v>1114</v>
      </c>
      <c r="AJ60" s="345">
        <v>0</v>
      </c>
      <c r="AK60" s="345">
        <v>0</v>
      </c>
      <c r="AL60" s="345">
        <v>330</v>
      </c>
      <c r="AM60" s="345">
        <v>2019</v>
      </c>
      <c r="AN60" s="345">
        <v>581</v>
      </c>
      <c r="AO60" s="808">
        <f t="shared" si="34"/>
        <v>4044</v>
      </c>
      <c r="AP60" s="809">
        <f t="shared" si="35"/>
        <v>674</v>
      </c>
      <c r="AQ60" s="814">
        <v>0</v>
      </c>
      <c r="AR60" s="815">
        <v>655</v>
      </c>
      <c r="AS60" s="815">
        <v>0</v>
      </c>
      <c r="AT60" s="815">
        <v>0</v>
      </c>
      <c r="AU60" s="815">
        <v>0</v>
      </c>
      <c r="AV60" s="815">
        <v>1426</v>
      </c>
      <c r="AW60" s="808">
        <f t="shared" si="36"/>
        <v>2081</v>
      </c>
      <c r="AX60" s="211">
        <f t="shared" si="37"/>
        <v>346.83333333333331</v>
      </c>
      <c r="AY60" s="346">
        <v>0</v>
      </c>
      <c r="AZ60" s="343">
        <v>2868</v>
      </c>
      <c r="BA60" s="343">
        <v>0</v>
      </c>
      <c r="BB60" s="343">
        <v>0</v>
      </c>
      <c r="BC60" s="343">
        <v>0</v>
      </c>
      <c r="BD60" s="343">
        <v>418</v>
      </c>
      <c r="BE60" s="808">
        <f t="shared" si="38"/>
        <v>3286</v>
      </c>
      <c r="BF60" s="211">
        <f t="shared" si="39"/>
        <v>547.66666666666663</v>
      </c>
      <c r="BG60" s="814">
        <v>0</v>
      </c>
      <c r="BH60" s="815">
        <v>1775</v>
      </c>
      <c r="BI60" s="815">
        <v>0</v>
      </c>
      <c r="BJ60" s="815">
        <v>645</v>
      </c>
      <c r="BK60" s="815">
        <v>0</v>
      </c>
      <c r="BL60" s="815">
        <v>1407</v>
      </c>
      <c r="BM60" s="808">
        <f t="shared" si="40"/>
        <v>3827</v>
      </c>
      <c r="BN60" s="211">
        <f t="shared" si="41"/>
        <v>637.83333333333337</v>
      </c>
      <c r="BO60" s="755">
        <v>0</v>
      </c>
      <c r="BP60" s="345">
        <v>1416</v>
      </c>
      <c r="BQ60" s="345">
        <v>0</v>
      </c>
      <c r="BR60" s="345">
        <v>1362</v>
      </c>
      <c r="BS60" s="345">
        <v>990</v>
      </c>
      <c r="BT60" s="345">
        <v>0</v>
      </c>
      <c r="BU60" s="808">
        <f t="shared" si="42"/>
        <v>3768</v>
      </c>
      <c r="BV60" s="211">
        <f t="shared" si="43"/>
        <v>628</v>
      </c>
      <c r="BW60" s="755">
        <v>0</v>
      </c>
      <c r="BX60" s="345">
        <v>0</v>
      </c>
      <c r="BY60" s="345">
        <v>0</v>
      </c>
      <c r="BZ60" s="345">
        <v>704</v>
      </c>
      <c r="CA60" s="345">
        <v>0</v>
      </c>
      <c r="CB60" s="345">
        <v>1275</v>
      </c>
      <c r="CC60" s="808">
        <f t="shared" si="44"/>
        <v>1979</v>
      </c>
      <c r="CD60" s="211">
        <f t="shared" si="45"/>
        <v>329.83333333333331</v>
      </c>
      <c r="CE60" s="346">
        <v>0</v>
      </c>
      <c r="CF60" s="343">
        <v>1396</v>
      </c>
      <c r="CG60" s="343">
        <v>0</v>
      </c>
      <c r="CH60" s="343">
        <v>0</v>
      </c>
      <c r="CI60" s="343">
        <v>1526</v>
      </c>
      <c r="CJ60" s="343">
        <v>0</v>
      </c>
      <c r="CK60" s="808">
        <f t="shared" si="46"/>
        <v>2922</v>
      </c>
      <c r="CL60" s="211">
        <f t="shared" si="47"/>
        <v>487</v>
      </c>
      <c r="CM60" s="346">
        <v>967</v>
      </c>
      <c r="CN60" s="343">
        <v>0</v>
      </c>
      <c r="CO60" s="343">
        <v>0</v>
      </c>
      <c r="CP60" s="343">
        <v>0</v>
      </c>
      <c r="CQ60" s="343">
        <v>0</v>
      </c>
      <c r="CR60" s="343">
        <v>985</v>
      </c>
      <c r="CS60" s="808">
        <f t="shared" si="48"/>
        <v>1952</v>
      </c>
      <c r="CT60" s="211">
        <f t="shared" si="49"/>
        <v>325.33333333333331</v>
      </c>
      <c r="CU60" s="346">
        <v>0</v>
      </c>
      <c r="CV60" s="343">
        <v>0</v>
      </c>
      <c r="CW60" s="343">
        <v>0</v>
      </c>
      <c r="CX60" s="343">
        <v>0</v>
      </c>
      <c r="CY60" s="343">
        <v>968</v>
      </c>
      <c r="CZ60" s="343">
        <v>0</v>
      </c>
      <c r="DA60" s="808">
        <f t="shared" si="50"/>
        <v>968</v>
      </c>
      <c r="DB60" s="211">
        <f t="shared" si="51"/>
        <v>161.33333333333334</v>
      </c>
      <c r="DC60" s="346">
        <v>0</v>
      </c>
      <c r="DD60" s="343">
        <v>0</v>
      </c>
      <c r="DE60" s="343">
        <v>1272</v>
      </c>
      <c r="DF60" s="343">
        <v>0</v>
      </c>
      <c r="DG60" s="343"/>
      <c r="DH60" s="343">
        <v>0</v>
      </c>
      <c r="DI60" s="808">
        <f t="shared" si="52"/>
        <v>1272</v>
      </c>
      <c r="DJ60" s="211">
        <f t="shared" si="53"/>
        <v>212</v>
      </c>
      <c r="DK60" s="346">
        <v>1676</v>
      </c>
      <c r="DL60" s="343">
        <v>0</v>
      </c>
      <c r="DM60" s="343">
        <v>0</v>
      </c>
      <c r="DN60" s="343">
        <v>1018</v>
      </c>
      <c r="DO60" s="343">
        <v>0</v>
      </c>
      <c r="DP60" s="343">
        <v>1718</v>
      </c>
      <c r="DQ60" s="808">
        <f t="shared" si="54"/>
        <v>4412</v>
      </c>
      <c r="DR60" s="211">
        <f t="shared" si="55"/>
        <v>735.33333333333337</v>
      </c>
      <c r="DS60" s="346">
        <v>0</v>
      </c>
      <c r="DT60" s="343">
        <v>0</v>
      </c>
      <c r="DU60" s="343">
        <v>0</v>
      </c>
      <c r="DV60" s="343">
        <v>571</v>
      </c>
      <c r="DW60" s="343">
        <v>0</v>
      </c>
      <c r="DX60" s="343">
        <v>1251</v>
      </c>
      <c r="DY60" s="808">
        <f t="shared" si="56"/>
        <v>1822</v>
      </c>
      <c r="DZ60" s="211">
        <f t="shared" si="57"/>
        <v>303.66666666666669</v>
      </c>
      <c r="EA60" s="346">
        <v>0</v>
      </c>
      <c r="EB60" s="343">
        <v>0</v>
      </c>
      <c r="EC60" s="343"/>
      <c r="ED60" s="343">
        <v>1320</v>
      </c>
      <c r="EE60" s="343">
        <v>301</v>
      </c>
      <c r="EF60" s="343">
        <v>0</v>
      </c>
      <c r="EG60" s="808">
        <f t="shared" si="58"/>
        <v>1621</v>
      </c>
      <c r="EH60" s="211">
        <f t="shared" si="59"/>
        <v>270.16666666666669</v>
      </c>
      <c r="EI60" s="346">
        <v>1979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0"/>
        <v>1979</v>
      </c>
      <c r="EP60" s="211">
        <f t="shared" si="61"/>
        <v>329.83333333333331</v>
      </c>
      <c r="EQ60" s="346">
        <v>0</v>
      </c>
      <c r="ER60" s="343">
        <v>0</v>
      </c>
      <c r="ES60" s="343">
        <v>1168</v>
      </c>
      <c r="ET60" s="343">
        <v>0</v>
      </c>
      <c r="EU60" s="343">
        <v>1619</v>
      </c>
      <c r="EV60" s="343">
        <v>0</v>
      </c>
      <c r="EW60" s="808">
        <f t="shared" si="62"/>
        <v>2787</v>
      </c>
      <c r="EX60" s="211">
        <f t="shared" si="63"/>
        <v>464.5</v>
      </c>
      <c r="EY60" s="346">
        <v>0</v>
      </c>
      <c r="EZ60" s="343">
        <v>1400</v>
      </c>
      <c r="FA60" s="343">
        <v>0</v>
      </c>
      <c r="FB60" s="343">
        <v>0</v>
      </c>
      <c r="FC60" s="343">
        <v>1831</v>
      </c>
      <c r="FD60" s="343">
        <v>287</v>
      </c>
      <c r="FE60" s="808">
        <f t="shared" si="64"/>
        <v>3518</v>
      </c>
      <c r="FF60" s="211">
        <f t="shared" si="65"/>
        <v>586.33333333333337</v>
      </c>
      <c r="FG60" s="755">
        <v>0</v>
      </c>
      <c r="FH60" s="345">
        <v>0</v>
      </c>
      <c r="FI60" s="345">
        <v>0</v>
      </c>
      <c r="FJ60" s="345">
        <v>0</v>
      </c>
      <c r="FK60" s="345">
        <v>0</v>
      </c>
      <c r="FL60" s="345">
        <v>0</v>
      </c>
      <c r="FM60" s="808">
        <f t="shared" si="66"/>
        <v>0</v>
      </c>
      <c r="FN60" s="211">
        <f t="shared" si="67"/>
        <v>0</v>
      </c>
      <c r="FO60" s="346">
        <v>211</v>
      </c>
      <c r="FP60" s="343">
        <v>0</v>
      </c>
      <c r="FQ60" s="343">
        <v>0</v>
      </c>
      <c r="FR60" s="343">
        <v>0</v>
      </c>
      <c r="FS60" s="343">
        <v>1208</v>
      </c>
      <c r="FT60" s="343">
        <v>0</v>
      </c>
      <c r="FU60" s="808">
        <f t="shared" si="68"/>
        <v>1419</v>
      </c>
      <c r="FV60" s="211">
        <f t="shared" si="69"/>
        <v>236.5</v>
      </c>
      <c r="FW60" s="346">
        <v>127</v>
      </c>
      <c r="FX60" s="343">
        <v>0</v>
      </c>
      <c r="FY60" s="343">
        <v>1159</v>
      </c>
      <c r="FZ60" s="343">
        <v>0</v>
      </c>
      <c r="GA60" s="343">
        <v>1263</v>
      </c>
      <c r="GB60" s="343">
        <v>0</v>
      </c>
      <c r="GC60" s="808">
        <f t="shared" si="70"/>
        <v>2549</v>
      </c>
      <c r="GD60" s="211">
        <f t="shared" si="71"/>
        <v>424.83333333333331</v>
      </c>
      <c r="GE60" s="346">
        <v>0</v>
      </c>
      <c r="GF60" s="343">
        <v>1169</v>
      </c>
      <c r="GG60" s="343">
        <v>0</v>
      </c>
      <c r="GH60" s="343">
        <v>0</v>
      </c>
      <c r="GI60" s="343">
        <v>0</v>
      </c>
      <c r="GJ60" s="343">
        <v>1631</v>
      </c>
      <c r="GK60" s="808">
        <f t="shared" si="72"/>
        <v>2800</v>
      </c>
      <c r="GL60" s="211">
        <f t="shared" si="73"/>
        <v>466.66666666666669</v>
      </c>
      <c r="GM60" s="755">
        <v>83</v>
      </c>
      <c r="GN60" s="345">
        <v>0</v>
      </c>
      <c r="GO60" s="345">
        <v>0</v>
      </c>
      <c r="GP60" s="345">
        <v>0</v>
      </c>
      <c r="GQ60" s="345">
        <v>1292</v>
      </c>
      <c r="GR60" s="345">
        <v>0</v>
      </c>
      <c r="GS60" s="872">
        <f t="shared" si="74"/>
        <v>1375</v>
      </c>
      <c r="GT60" s="873">
        <f t="shared" si="75"/>
        <v>229.16666666666666</v>
      </c>
      <c r="GU60" s="346">
        <v>0</v>
      </c>
      <c r="GV60" s="343">
        <v>0</v>
      </c>
      <c r="GW60" s="343">
        <v>1417</v>
      </c>
      <c r="GX60" s="343">
        <v>0</v>
      </c>
      <c r="GY60" s="343">
        <v>0</v>
      </c>
      <c r="GZ60" s="343">
        <v>0</v>
      </c>
      <c r="HA60" s="872">
        <f t="shared" si="76"/>
        <v>1417</v>
      </c>
      <c r="HB60" s="873">
        <f t="shared" si="77"/>
        <v>236.16666666666666</v>
      </c>
      <c r="HC60" s="346">
        <v>0</v>
      </c>
      <c r="HD60" s="343">
        <v>787</v>
      </c>
      <c r="HE60" s="343">
        <v>0</v>
      </c>
      <c r="HF60" s="343"/>
      <c r="HG60" s="343"/>
      <c r="HH60" s="343"/>
      <c r="HI60" s="872">
        <f t="shared" si="78"/>
        <v>787</v>
      </c>
      <c r="HJ60" s="873">
        <f t="shared" si="79"/>
        <v>131.16666666666666</v>
      </c>
    </row>
    <row r="61" spans="1:218" s="323" customFormat="1" ht="15" customHeight="1" x14ac:dyDescent="0.2">
      <c r="A61" s="21">
        <v>50</v>
      </c>
      <c r="B61" s="21" t="s">
        <v>97</v>
      </c>
      <c r="C61" s="275" t="s">
        <v>98</v>
      </c>
      <c r="D61" s="21">
        <v>25</v>
      </c>
      <c r="E61" s="24"/>
      <c r="F61" s="24">
        <v>8203</v>
      </c>
      <c r="G61" s="24"/>
      <c r="H61" s="24"/>
      <c r="I61" s="360"/>
      <c r="J61" s="360">
        <f>SUMIF(SUMPK!$B:$B,$B:$B,SUMPK!$O:$O)</f>
        <v>0</v>
      </c>
      <c r="K61" s="24"/>
      <c r="L61" s="24">
        <f t="shared" si="80"/>
        <v>8203</v>
      </c>
      <c r="M61" s="15">
        <f t="shared" si="25"/>
        <v>8203</v>
      </c>
      <c r="N61" s="15">
        <v>473</v>
      </c>
      <c r="O61" s="276">
        <f t="shared" si="26"/>
        <v>17.342494714587737</v>
      </c>
      <c r="P61" s="15"/>
      <c r="Q61" s="711">
        <f t="shared" si="27"/>
        <v>2000</v>
      </c>
      <c r="R61" s="276">
        <f t="shared" si="28"/>
        <v>0</v>
      </c>
      <c r="S61" s="712">
        <f t="shared" si="29"/>
        <v>461.53846153846155</v>
      </c>
      <c r="T61" s="713">
        <v>12000</v>
      </c>
      <c r="U61" s="276">
        <f t="shared" si="86"/>
        <v>17.773166666666665</v>
      </c>
      <c r="V61" s="278"/>
      <c r="W61" s="276">
        <f t="shared" si="31"/>
        <v>17.773166666666665</v>
      </c>
      <c r="X61" s="279">
        <f t="shared" si="0"/>
        <v>1</v>
      </c>
      <c r="Y61" s="305">
        <v>17</v>
      </c>
      <c r="Z61" s="721"/>
      <c r="AA61" s="244">
        <v>0</v>
      </c>
      <c r="AB61" s="64">
        <v>0</v>
      </c>
      <c r="AC61" s="64">
        <v>0</v>
      </c>
      <c r="AD61" s="64">
        <v>2016</v>
      </c>
      <c r="AE61" s="64">
        <v>0</v>
      </c>
      <c r="AF61" s="64">
        <v>246</v>
      </c>
      <c r="AG61" s="64">
        <f t="shared" si="32"/>
        <v>2262</v>
      </c>
      <c r="AH61" s="211">
        <f t="shared" si="33"/>
        <v>377</v>
      </c>
      <c r="AI61" s="755">
        <v>602</v>
      </c>
      <c r="AJ61" s="345">
        <v>1644</v>
      </c>
      <c r="AK61" s="345">
        <v>0</v>
      </c>
      <c r="AL61" s="345">
        <v>0</v>
      </c>
      <c r="AM61" s="345">
        <v>261</v>
      </c>
      <c r="AN61" s="345">
        <v>963</v>
      </c>
      <c r="AO61" s="808">
        <f t="shared" si="34"/>
        <v>3470</v>
      </c>
      <c r="AP61" s="809">
        <f t="shared" si="35"/>
        <v>578.33333333333337</v>
      </c>
      <c r="AQ61" s="814">
        <v>1644</v>
      </c>
      <c r="AR61" s="815">
        <v>0</v>
      </c>
      <c r="AS61" s="815">
        <v>1927</v>
      </c>
      <c r="AT61" s="815">
        <v>506</v>
      </c>
      <c r="AU61" s="815">
        <v>0</v>
      </c>
      <c r="AV61" s="815">
        <v>0</v>
      </c>
      <c r="AW61" s="808">
        <f t="shared" si="36"/>
        <v>4077</v>
      </c>
      <c r="AX61" s="211">
        <f t="shared" si="37"/>
        <v>679.5</v>
      </c>
      <c r="AY61" s="346">
        <v>2937</v>
      </c>
      <c r="AZ61" s="343">
        <v>948</v>
      </c>
      <c r="BA61" s="343">
        <v>2541</v>
      </c>
      <c r="BB61" s="343">
        <v>0</v>
      </c>
      <c r="BC61" s="343">
        <v>182</v>
      </c>
      <c r="BD61" s="343">
        <v>0</v>
      </c>
      <c r="BE61" s="808">
        <f t="shared" si="38"/>
        <v>6608</v>
      </c>
      <c r="BF61" s="211">
        <f t="shared" si="39"/>
        <v>1101.3333333333333</v>
      </c>
      <c r="BG61" s="814">
        <v>2626</v>
      </c>
      <c r="BH61" s="815">
        <v>0</v>
      </c>
      <c r="BI61" s="815">
        <v>0</v>
      </c>
      <c r="BJ61" s="815">
        <v>0</v>
      </c>
      <c r="BK61" s="815">
        <v>1743</v>
      </c>
      <c r="BL61" s="815">
        <v>0</v>
      </c>
      <c r="BM61" s="808">
        <f t="shared" si="40"/>
        <v>4369</v>
      </c>
      <c r="BN61" s="211">
        <f t="shared" si="41"/>
        <v>728.16666666666663</v>
      </c>
      <c r="BO61" s="755">
        <v>2064</v>
      </c>
      <c r="BP61" s="345">
        <v>1611</v>
      </c>
      <c r="BQ61" s="345">
        <v>0</v>
      </c>
      <c r="BR61" s="345">
        <v>0</v>
      </c>
      <c r="BS61" s="345">
        <v>2184</v>
      </c>
      <c r="BT61" s="345">
        <v>0</v>
      </c>
      <c r="BU61" s="808">
        <f t="shared" si="42"/>
        <v>5859</v>
      </c>
      <c r="BV61" s="211">
        <f t="shared" si="43"/>
        <v>976.5</v>
      </c>
      <c r="BW61" s="755">
        <v>0</v>
      </c>
      <c r="BX61" s="345">
        <v>2381</v>
      </c>
      <c r="BY61" s="345">
        <v>0</v>
      </c>
      <c r="BZ61" s="345">
        <v>0</v>
      </c>
      <c r="CA61" s="345">
        <v>1870</v>
      </c>
      <c r="CB61" s="345">
        <v>1164</v>
      </c>
      <c r="CC61" s="808">
        <f t="shared" si="44"/>
        <v>5415</v>
      </c>
      <c r="CD61" s="211">
        <f t="shared" si="45"/>
        <v>902.5</v>
      </c>
      <c r="CE61" s="346">
        <v>71</v>
      </c>
      <c r="CF61" s="343">
        <v>1221</v>
      </c>
      <c r="CG61" s="343">
        <v>0</v>
      </c>
      <c r="CH61" s="343">
        <v>270</v>
      </c>
      <c r="CI61" s="343">
        <v>0</v>
      </c>
      <c r="CJ61" s="343">
        <v>615</v>
      </c>
      <c r="CK61" s="808">
        <f t="shared" si="46"/>
        <v>2177</v>
      </c>
      <c r="CL61" s="211">
        <f t="shared" si="47"/>
        <v>362.83333333333331</v>
      </c>
      <c r="CM61" s="346">
        <v>0</v>
      </c>
      <c r="CN61" s="343">
        <v>0</v>
      </c>
      <c r="CO61" s="343">
        <v>0</v>
      </c>
      <c r="CP61" s="343">
        <v>2245</v>
      </c>
      <c r="CQ61" s="343">
        <v>0</v>
      </c>
      <c r="CR61" s="343">
        <v>0</v>
      </c>
      <c r="CS61" s="808">
        <f t="shared" si="48"/>
        <v>2245</v>
      </c>
      <c r="CT61" s="211">
        <f t="shared" si="49"/>
        <v>374.16666666666669</v>
      </c>
      <c r="CU61" s="346">
        <v>0</v>
      </c>
      <c r="CV61" s="343">
        <v>0</v>
      </c>
      <c r="CW61" s="343">
        <v>2886</v>
      </c>
      <c r="CX61" s="343">
        <v>0</v>
      </c>
      <c r="CY61" s="343">
        <v>0</v>
      </c>
      <c r="CZ61" s="343">
        <v>1320</v>
      </c>
      <c r="DA61" s="808">
        <f t="shared" si="50"/>
        <v>4206</v>
      </c>
      <c r="DB61" s="211">
        <f t="shared" si="51"/>
        <v>701</v>
      </c>
      <c r="DC61" s="346">
        <v>587</v>
      </c>
      <c r="DD61" s="343">
        <v>440</v>
      </c>
      <c r="DE61" s="343">
        <v>2852</v>
      </c>
      <c r="DF61" s="343">
        <v>0</v>
      </c>
      <c r="DG61" s="343"/>
      <c r="DH61" s="343">
        <v>5140</v>
      </c>
      <c r="DI61" s="808">
        <f t="shared" si="52"/>
        <v>9019</v>
      </c>
      <c r="DJ61" s="211">
        <f t="shared" si="53"/>
        <v>1503.1666666666667</v>
      </c>
      <c r="DK61" s="346">
        <v>0</v>
      </c>
      <c r="DL61" s="343">
        <v>0</v>
      </c>
      <c r="DM61" s="343">
        <v>0</v>
      </c>
      <c r="DN61" s="343">
        <v>0</v>
      </c>
      <c r="DO61" s="343">
        <v>1549</v>
      </c>
      <c r="DP61" s="343">
        <v>0</v>
      </c>
      <c r="DQ61" s="808">
        <f t="shared" si="54"/>
        <v>1549</v>
      </c>
      <c r="DR61" s="211">
        <f t="shared" si="55"/>
        <v>258.16666666666669</v>
      </c>
      <c r="DS61" s="346">
        <v>0</v>
      </c>
      <c r="DT61" s="343">
        <v>2963</v>
      </c>
      <c r="DU61" s="343">
        <v>0</v>
      </c>
      <c r="DV61" s="343">
        <v>356</v>
      </c>
      <c r="DW61" s="343">
        <v>0</v>
      </c>
      <c r="DX61" s="343">
        <v>0</v>
      </c>
      <c r="DY61" s="808">
        <f t="shared" si="56"/>
        <v>3319</v>
      </c>
      <c r="DZ61" s="211">
        <f t="shared" si="57"/>
        <v>553.16666666666663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1407</v>
      </c>
      <c r="EG61" s="808">
        <f t="shared" si="58"/>
        <v>1407</v>
      </c>
      <c r="EH61" s="211">
        <f t="shared" si="59"/>
        <v>234.5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0"/>
        <v>0</v>
      </c>
      <c r="EP61" s="211">
        <f t="shared" si="61"/>
        <v>0</v>
      </c>
      <c r="EQ61" s="346">
        <v>1663</v>
      </c>
      <c r="ER61" s="343">
        <v>0</v>
      </c>
      <c r="ES61" s="343">
        <v>0</v>
      </c>
      <c r="ET61" s="343">
        <v>144</v>
      </c>
      <c r="EU61" s="343">
        <v>0</v>
      </c>
      <c r="EV61" s="343">
        <v>0</v>
      </c>
      <c r="EW61" s="808">
        <f t="shared" si="62"/>
        <v>1807</v>
      </c>
      <c r="EX61" s="211">
        <f t="shared" si="63"/>
        <v>301.16666666666669</v>
      </c>
      <c r="EY61" s="346">
        <v>1543</v>
      </c>
      <c r="EZ61" s="343">
        <v>0</v>
      </c>
      <c r="FA61" s="343">
        <v>1619</v>
      </c>
      <c r="FB61" s="343">
        <v>0</v>
      </c>
      <c r="FC61" s="343">
        <v>0</v>
      </c>
      <c r="FD61" s="343">
        <v>1546</v>
      </c>
      <c r="FE61" s="808">
        <f t="shared" si="64"/>
        <v>4708</v>
      </c>
      <c r="FF61" s="211">
        <f t="shared" si="65"/>
        <v>784.66666666666663</v>
      </c>
      <c r="FG61" s="755">
        <v>0</v>
      </c>
      <c r="FH61" s="345">
        <v>0</v>
      </c>
      <c r="FI61" s="345">
        <v>0</v>
      </c>
      <c r="FJ61" s="345">
        <v>810</v>
      </c>
      <c r="FK61" s="345">
        <v>836</v>
      </c>
      <c r="FL61" s="345">
        <v>0</v>
      </c>
      <c r="FM61" s="808">
        <f t="shared" si="66"/>
        <v>1646</v>
      </c>
      <c r="FN61" s="211">
        <f t="shared" si="67"/>
        <v>274.33333333333331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1213</v>
      </c>
      <c r="FU61" s="808">
        <f t="shared" si="68"/>
        <v>1213</v>
      </c>
      <c r="FV61" s="211">
        <f t="shared" si="69"/>
        <v>202.16666666666666</v>
      </c>
      <c r="FW61" s="346">
        <v>0</v>
      </c>
      <c r="FX61" s="343">
        <v>721</v>
      </c>
      <c r="FY61" s="343">
        <v>0</v>
      </c>
      <c r="FZ61" s="343">
        <v>693</v>
      </c>
      <c r="GA61" s="343">
        <v>0</v>
      </c>
      <c r="GB61" s="343">
        <v>1630</v>
      </c>
      <c r="GC61" s="808">
        <f t="shared" si="70"/>
        <v>3044</v>
      </c>
      <c r="GD61" s="211">
        <f t="shared" si="71"/>
        <v>507.33333333333331</v>
      </c>
      <c r="GE61" s="346">
        <v>0</v>
      </c>
      <c r="GF61" s="343">
        <v>0</v>
      </c>
      <c r="GG61" s="343">
        <v>532</v>
      </c>
      <c r="GH61" s="343">
        <v>1622</v>
      </c>
      <c r="GI61" s="343">
        <v>0</v>
      </c>
      <c r="GJ61" s="343">
        <v>0</v>
      </c>
      <c r="GK61" s="808">
        <f t="shared" si="72"/>
        <v>2154</v>
      </c>
      <c r="GL61" s="211">
        <f t="shared" si="73"/>
        <v>359</v>
      </c>
      <c r="GM61" s="755">
        <v>90</v>
      </c>
      <c r="GN61" s="345">
        <v>0</v>
      </c>
      <c r="GO61" s="345">
        <v>0</v>
      </c>
      <c r="GP61" s="345">
        <v>300</v>
      </c>
      <c r="GQ61" s="345">
        <v>626</v>
      </c>
      <c r="GR61" s="345">
        <v>0</v>
      </c>
      <c r="GS61" s="872">
        <f t="shared" si="74"/>
        <v>1016</v>
      </c>
      <c r="GT61" s="873">
        <f t="shared" si="75"/>
        <v>169.33333333333334</v>
      </c>
      <c r="GU61" s="346">
        <v>0</v>
      </c>
      <c r="GV61" s="343">
        <v>1438</v>
      </c>
      <c r="GW61" s="343">
        <v>0</v>
      </c>
      <c r="GX61" s="343">
        <v>0</v>
      </c>
      <c r="GY61" s="343">
        <v>0</v>
      </c>
      <c r="GZ61" s="343">
        <v>1400</v>
      </c>
      <c r="HA61" s="872">
        <f t="shared" si="76"/>
        <v>2838</v>
      </c>
      <c r="HB61" s="873">
        <f t="shared" si="77"/>
        <v>473</v>
      </c>
      <c r="HC61" s="346">
        <v>0</v>
      </c>
      <c r="HD61" s="343">
        <v>1003</v>
      </c>
      <c r="HE61" s="343">
        <v>1309</v>
      </c>
      <c r="HF61" s="343"/>
      <c r="HG61" s="343"/>
      <c r="HH61" s="343"/>
      <c r="HI61" s="872">
        <f t="shared" si="78"/>
        <v>2312</v>
      </c>
      <c r="HJ61" s="873">
        <f t="shared" si="79"/>
        <v>385.33333333333331</v>
      </c>
    </row>
    <row r="62" spans="1:218" s="323" customFormat="1" ht="15" customHeight="1" x14ac:dyDescent="0.2">
      <c r="A62" s="21">
        <v>51</v>
      </c>
      <c r="B62" s="21" t="s">
        <v>181</v>
      </c>
      <c r="C62" s="275" t="s">
        <v>180</v>
      </c>
      <c r="D62" s="21">
        <v>25</v>
      </c>
      <c r="E62" s="24"/>
      <c r="F62" s="24">
        <v>1238</v>
      </c>
      <c r="G62" s="24"/>
      <c r="H62" s="24"/>
      <c r="I62" s="24"/>
      <c r="J62" s="360">
        <f>SUMIF(SUMPK!$B:$B,$B:$B,SUMPK!$O:$O)</f>
        <v>0</v>
      </c>
      <c r="K62" s="24"/>
      <c r="L62" s="24">
        <f t="shared" si="80"/>
        <v>1238</v>
      </c>
      <c r="M62" s="15">
        <f t="shared" si="25"/>
        <v>1238</v>
      </c>
      <c r="N62" s="15">
        <v>0</v>
      </c>
      <c r="O62" s="276">
        <f t="shared" si="26"/>
        <v>0</v>
      </c>
      <c r="P62" s="15"/>
      <c r="Q62" s="711">
        <f t="shared" si="27"/>
        <v>0</v>
      </c>
      <c r="R62" s="276">
        <f t="shared" si="28"/>
        <v>0</v>
      </c>
      <c r="S62" s="712">
        <f t="shared" si="29"/>
        <v>0</v>
      </c>
      <c r="T62" s="713"/>
      <c r="U62" s="276">
        <f t="shared" si="86"/>
        <v>0</v>
      </c>
      <c r="V62" s="278"/>
      <c r="W62" s="276">
        <f t="shared" si="31"/>
        <v>0</v>
      </c>
      <c r="X62" s="279">
        <f t="shared" si="0"/>
        <v>1</v>
      </c>
      <c r="Y62" s="305">
        <v>13.5</v>
      </c>
      <c r="Z62" s="721"/>
      <c r="AA62" s="24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64">
        <f t="shared" si="32"/>
        <v>0</v>
      </c>
      <c r="AH62" s="211">
        <f t="shared" si="33"/>
        <v>0</v>
      </c>
      <c r="AI62" s="755">
        <v>0</v>
      </c>
      <c r="AJ62" s="345">
        <v>0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4"/>
        <v>0</v>
      </c>
      <c r="AP62" s="809">
        <f t="shared" si="35"/>
        <v>0</v>
      </c>
      <c r="AQ62" s="814">
        <v>0</v>
      </c>
      <c r="AR62" s="815">
        <v>0</v>
      </c>
      <c r="AS62" s="815">
        <v>0</v>
      </c>
      <c r="AT62" s="815">
        <v>0</v>
      </c>
      <c r="AU62" s="815">
        <v>0</v>
      </c>
      <c r="AV62" s="815">
        <v>0</v>
      </c>
      <c r="AW62" s="808">
        <f t="shared" si="36"/>
        <v>0</v>
      </c>
      <c r="AX62" s="211">
        <f t="shared" si="37"/>
        <v>0</v>
      </c>
      <c r="AY62" s="346">
        <v>0</v>
      </c>
      <c r="AZ62" s="343">
        <v>0</v>
      </c>
      <c r="BA62" s="343">
        <v>0</v>
      </c>
      <c r="BB62" s="343">
        <v>0</v>
      </c>
      <c r="BC62" s="343">
        <v>0</v>
      </c>
      <c r="BD62" s="343">
        <v>0</v>
      </c>
      <c r="BE62" s="808">
        <f t="shared" si="38"/>
        <v>0</v>
      </c>
      <c r="BF62" s="211">
        <f t="shared" si="39"/>
        <v>0</v>
      </c>
      <c r="BG62" s="814">
        <v>0</v>
      </c>
      <c r="BH62" s="815">
        <v>0</v>
      </c>
      <c r="BI62" s="815">
        <v>0</v>
      </c>
      <c r="BJ62" s="815">
        <v>0</v>
      </c>
      <c r="BK62" s="815">
        <v>0</v>
      </c>
      <c r="BL62" s="815">
        <v>0</v>
      </c>
      <c r="BM62" s="808">
        <f t="shared" si="40"/>
        <v>0</v>
      </c>
      <c r="BN62" s="211">
        <f t="shared" si="41"/>
        <v>0</v>
      </c>
      <c r="BO62" s="755">
        <v>0</v>
      </c>
      <c r="BP62" s="345">
        <v>0</v>
      </c>
      <c r="BQ62" s="345">
        <v>0</v>
      </c>
      <c r="BR62" s="345">
        <v>0</v>
      </c>
      <c r="BS62" s="345">
        <v>0</v>
      </c>
      <c r="BT62" s="345">
        <v>0</v>
      </c>
      <c r="BU62" s="808">
        <f t="shared" si="42"/>
        <v>0</v>
      </c>
      <c r="BV62" s="211">
        <f t="shared" si="43"/>
        <v>0</v>
      </c>
      <c r="BW62" s="755">
        <v>0</v>
      </c>
      <c r="BX62" s="345">
        <v>0</v>
      </c>
      <c r="BY62" s="345">
        <v>0</v>
      </c>
      <c r="BZ62" s="345">
        <v>0</v>
      </c>
      <c r="CA62" s="345">
        <v>0</v>
      </c>
      <c r="CB62" s="345">
        <v>0</v>
      </c>
      <c r="CC62" s="808">
        <f t="shared" si="44"/>
        <v>0</v>
      </c>
      <c r="CD62" s="211">
        <f t="shared" si="45"/>
        <v>0</v>
      </c>
      <c r="CE62" s="346">
        <v>0</v>
      </c>
      <c r="CF62" s="343">
        <v>0</v>
      </c>
      <c r="CG62" s="343">
        <v>0</v>
      </c>
      <c r="CH62" s="343">
        <v>0</v>
      </c>
      <c r="CI62" s="343">
        <v>0</v>
      </c>
      <c r="CJ62" s="343">
        <v>0</v>
      </c>
      <c r="CK62" s="808">
        <f t="shared" si="46"/>
        <v>0</v>
      </c>
      <c r="CL62" s="211">
        <f t="shared" si="47"/>
        <v>0</v>
      </c>
      <c r="CM62" s="346">
        <v>0</v>
      </c>
      <c r="CN62" s="343">
        <v>0</v>
      </c>
      <c r="CO62" s="343">
        <v>0</v>
      </c>
      <c r="CP62" s="343">
        <v>0</v>
      </c>
      <c r="CQ62" s="343">
        <v>0</v>
      </c>
      <c r="CR62" s="343">
        <v>0</v>
      </c>
      <c r="CS62" s="808">
        <f t="shared" si="48"/>
        <v>0</v>
      </c>
      <c r="CT62" s="211">
        <f t="shared" si="49"/>
        <v>0</v>
      </c>
      <c r="CU62" s="346">
        <v>0</v>
      </c>
      <c r="CV62" s="343">
        <v>0</v>
      </c>
      <c r="CW62" s="343">
        <v>0</v>
      </c>
      <c r="CX62" s="343">
        <v>0</v>
      </c>
      <c r="CY62" s="343">
        <v>0</v>
      </c>
      <c r="CZ62" s="343">
        <v>0</v>
      </c>
      <c r="DA62" s="808">
        <f t="shared" si="50"/>
        <v>0</v>
      </c>
      <c r="DB62" s="211">
        <f t="shared" si="51"/>
        <v>0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0</v>
      </c>
      <c r="DI62" s="808">
        <f t="shared" si="52"/>
        <v>0</v>
      </c>
      <c r="DJ62" s="211">
        <f t="shared" si="53"/>
        <v>0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4"/>
        <v>0</v>
      </c>
      <c r="DR62" s="211">
        <f t="shared" si="55"/>
        <v>0</v>
      </c>
      <c r="DS62" s="346">
        <v>0</v>
      </c>
      <c r="DT62" s="343">
        <v>0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6"/>
        <v>0</v>
      </c>
      <c r="DZ62" s="211">
        <f t="shared" si="57"/>
        <v>0</v>
      </c>
      <c r="EA62" s="346">
        <v>0</v>
      </c>
      <c r="EB62" s="343">
        <v>0</v>
      </c>
      <c r="EC62" s="343"/>
      <c r="ED62" s="343">
        <v>0</v>
      </c>
      <c r="EE62" s="343">
        <v>0</v>
      </c>
      <c r="EF62" s="343">
        <v>0</v>
      </c>
      <c r="EG62" s="808">
        <f t="shared" si="58"/>
        <v>0</v>
      </c>
      <c r="EH62" s="211">
        <f t="shared" si="59"/>
        <v>0</v>
      </c>
      <c r="EI62" s="346">
        <v>0</v>
      </c>
      <c r="EJ62" s="343">
        <v>0</v>
      </c>
      <c r="EK62" s="343">
        <v>0</v>
      </c>
      <c r="EL62" s="343">
        <v>0</v>
      </c>
      <c r="EM62" s="343">
        <v>0</v>
      </c>
      <c r="EN62" s="343">
        <v>0</v>
      </c>
      <c r="EO62" s="808">
        <f t="shared" si="60"/>
        <v>0</v>
      </c>
      <c r="EP62" s="211">
        <f t="shared" si="61"/>
        <v>0</v>
      </c>
      <c r="EQ62" s="346">
        <v>0</v>
      </c>
      <c r="ER62" s="343">
        <v>0</v>
      </c>
      <c r="ES62" s="343">
        <v>0</v>
      </c>
      <c r="ET62" s="343">
        <v>0</v>
      </c>
      <c r="EU62" s="343">
        <v>0</v>
      </c>
      <c r="EV62" s="343">
        <v>0</v>
      </c>
      <c r="EW62" s="808">
        <f t="shared" si="62"/>
        <v>0</v>
      </c>
      <c r="EX62" s="211">
        <f t="shared" si="63"/>
        <v>0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4"/>
        <v>0</v>
      </c>
      <c r="FF62" s="211">
        <f t="shared" si="65"/>
        <v>0</v>
      </c>
      <c r="FG62" s="755">
        <v>0</v>
      </c>
      <c r="FH62" s="345">
        <v>0</v>
      </c>
      <c r="FI62" s="345">
        <v>0</v>
      </c>
      <c r="FJ62" s="345">
        <v>0</v>
      </c>
      <c r="FK62" s="345">
        <v>0</v>
      </c>
      <c r="FL62" s="345">
        <v>0</v>
      </c>
      <c r="FM62" s="808">
        <f t="shared" si="66"/>
        <v>0</v>
      </c>
      <c r="FN62" s="211">
        <f t="shared" si="67"/>
        <v>0</v>
      </c>
      <c r="FO62" s="346">
        <v>0</v>
      </c>
      <c r="FP62" s="343">
        <v>0</v>
      </c>
      <c r="FQ62" s="343">
        <v>0</v>
      </c>
      <c r="FR62" s="343">
        <v>0</v>
      </c>
      <c r="FS62" s="343">
        <v>0</v>
      </c>
      <c r="FT62" s="343">
        <v>0</v>
      </c>
      <c r="FU62" s="808">
        <f t="shared" si="68"/>
        <v>0</v>
      </c>
      <c r="FV62" s="211">
        <f t="shared" si="69"/>
        <v>0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314</v>
      </c>
      <c r="GC62" s="808">
        <f t="shared" si="70"/>
        <v>314</v>
      </c>
      <c r="GD62" s="211">
        <f t="shared" si="71"/>
        <v>52.333333333333336</v>
      </c>
      <c r="GE62" s="346">
        <v>0</v>
      </c>
      <c r="GF62" s="343">
        <v>0</v>
      </c>
      <c r="GG62" s="343">
        <v>0</v>
      </c>
      <c r="GH62" s="343">
        <v>0</v>
      </c>
      <c r="GI62" s="343">
        <v>0</v>
      </c>
      <c r="GJ62" s="343">
        <v>0</v>
      </c>
      <c r="GK62" s="808">
        <f t="shared" si="72"/>
        <v>0</v>
      </c>
      <c r="GL62" s="211">
        <f t="shared" si="73"/>
        <v>0</v>
      </c>
      <c r="GM62" s="755">
        <v>0</v>
      </c>
      <c r="GN62" s="345">
        <v>0</v>
      </c>
      <c r="GO62" s="345">
        <v>0</v>
      </c>
      <c r="GP62" s="345">
        <v>0</v>
      </c>
      <c r="GQ62" s="345">
        <v>0</v>
      </c>
      <c r="GR62" s="345">
        <v>0</v>
      </c>
      <c r="GS62" s="872">
        <f t="shared" si="74"/>
        <v>0</v>
      </c>
      <c r="GT62" s="873">
        <f t="shared" si="75"/>
        <v>0</v>
      </c>
      <c r="GU62" s="346">
        <v>0</v>
      </c>
      <c r="GV62" s="343">
        <v>0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6"/>
        <v>0</v>
      </c>
      <c r="HB62" s="873">
        <f t="shared" si="77"/>
        <v>0</v>
      </c>
      <c r="HC62" s="346">
        <v>0</v>
      </c>
      <c r="HD62" s="343">
        <v>0</v>
      </c>
      <c r="HE62" s="343">
        <v>0</v>
      </c>
      <c r="HF62" s="343"/>
      <c r="HG62" s="343"/>
      <c r="HH62" s="343"/>
      <c r="HI62" s="872">
        <f t="shared" si="78"/>
        <v>0</v>
      </c>
      <c r="HJ62" s="873">
        <f t="shared" si="79"/>
        <v>0</v>
      </c>
    </row>
    <row r="63" spans="1:218" s="323" customFormat="1" ht="15" customHeight="1" x14ac:dyDescent="0.2">
      <c r="A63" s="21">
        <v>52</v>
      </c>
      <c r="B63" s="21" t="s">
        <v>99</v>
      </c>
      <c r="C63" s="275" t="s">
        <v>100</v>
      </c>
      <c r="D63" s="21">
        <v>25</v>
      </c>
      <c r="E63" s="24"/>
      <c r="F63" s="24">
        <v>3678</v>
      </c>
      <c r="G63" s="24"/>
      <c r="H63" s="24"/>
      <c r="I63" s="24"/>
      <c r="J63" s="360">
        <f>SUMIF(SUMPK!$B:$B,$B:$B,SUMPK!$O:$O)</f>
        <v>0</v>
      </c>
      <c r="K63" s="24"/>
      <c r="L63" s="24">
        <f t="shared" si="80"/>
        <v>3678</v>
      </c>
      <c r="M63" s="15">
        <f t="shared" si="25"/>
        <v>3678</v>
      </c>
      <c r="N63" s="15">
        <v>157</v>
      </c>
      <c r="O63" s="276">
        <f t="shared" si="26"/>
        <v>23.426751592356688</v>
      </c>
      <c r="P63" s="15">
        <v>90</v>
      </c>
      <c r="Q63" s="711">
        <f t="shared" si="27"/>
        <v>933.33333333333337</v>
      </c>
      <c r="R63" s="276">
        <f t="shared" si="28"/>
        <v>245.2</v>
      </c>
      <c r="S63" s="712">
        <f t="shared" si="29"/>
        <v>215.38461538461539</v>
      </c>
      <c r="T63" s="713">
        <v>5600</v>
      </c>
      <c r="U63" s="276">
        <f t="shared" si="86"/>
        <v>17.076428571428572</v>
      </c>
      <c r="V63" s="278"/>
      <c r="W63" s="276">
        <f t="shared" si="31"/>
        <v>17.076428571428572</v>
      </c>
      <c r="X63" s="279">
        <f t="shared" si="0"/>
        <v>1</v>
      </c>
      <c r="Y63" s="305">
        <v>17</v>
      </c>
      <c r="Z63" s="721"/>
      <c r="AA63" s="244">
        <v>0</v>
      </c>
      <c r="AB63" s="64">
        <v>0</v>
      </c>
      <c r="AC63" s="64">
        <v>1331</v>
      </c>
      <c r="AD63" s="64">
        <v>0</v>
      </c>
      <c r="AE63" s="64">
        <v>0</v>
      </c>
      <c r="AF63" s="64">
        <v>0</v>
      </c>
      <c r="AG63" s="64">
        <f t="shared" si="32"/>
        <v>1331</v>
      </c>
      <c r="AH63" s="211">
        <f t="shared" si="33"/>
        <v>221.83333333333334</v>
      </c>
      <c r="AI63" s="755">
        <v>0</v>
      </c>
      <c r="AJ63" s="345">
        <v>1617</v>
      </c>
      <c r="AK63" s="345">
        <v>0</v>
      </c>
      <c r="AL63" s="345">
        <v>0</v>
      </c>
      <c r="AM63" s="345">
        <v>0</v>
      </c>
      <c r="AN63" s="345">
        <v>0</v>
      </c>
      <c r="AO63" s="808">
        <f t="shared" si="34"/>
        <v>1617</v>
      </c>
      <c r="AP63" s="809">
        <f t="shared" si="35"/>
        <v>269.5</v>
      </c>
      <c r="AQ63" s="814">
        <v>0</v>
      </c>
      <c r="AR63" s="815">
        <v>0</v>
      </c>
      <c r="AS63" s="815">
        <v>312</v>
      </c>
      <c r="AT63" s="815">
        <v>0</v>
      </c>
      <c r="AU63" s="815">
        <v>0</v>
      </c>
      <c r="AV63" s="815">
        <v>0</v>
      </c>
      <c r="AW63" s="808">
        <f t="shared" si="36"/>
        <v>312</v>
      </c>
      <c r="AX63" s="211">
        <f t="shared" si="37"/>
        <v>52</v>
      </c>
      <c r="AY63" s="346">
        <v>0</v>
      </c>
      <c r="AZ63" s="343">
        <v>0</v>
      </c>
      <c r="BA63" s="343">
        <v>967</v>
      </c>
      <c r="BB63" s="343">
        <v>0</v>
      </c>
      <c r="BC63" s="343">
        <v>0</v>
      </c>
      <c r="BD63" s="343">
        <v>0</v>
      </c>
      <c r="BE63" s="808">
        <f t="shared" si="38"/>
        <v>967</v>
      </c>
      <c r="BF63" s="211">
        <f t="shared" si="39"/>
        <v>161.16666666666666</v>
      </c>
      <c r="BG63" s="814">
        <v>0</v>
      </c>
      <c r="BH63" s="815">
        <v>0</v>
      </c>
      <c r="BI63" s="815">
        <v>0</v>
      </c>
      <c r="BJ63" s="815">
        <v>972</v>
      </c>
      <c r="BK63" s="815">
        <v>0</v>
      </c>
      <c r="BL63" s="815">
        <v>0</v>
      </c>
      <c r="BM63" s="808">
        <f t="shared" si="40"/>
        <v>972</v>
      </c>
      <c r="BN63" s="211">
        <f t="shared" si="41"/>
        <v>162</v>
      </c>
      <c r="BO63" s="755">
        <v>0</v>
      </c>
      <c r="BP63" s="345">
        <v>0</v>
      </c>
      <c r="BQ63" s="345">
        <v>0</v>
      </c>
      <c r="BR63" s="345">
        <v>654</v>
      </c>
      <c r="BS63" s="345">
        <v>0</v>
      </c>
      <c r="BT63" s="345">
        <v>0</v>
      </c>
      <c r="BU63" s="808">
        <f t="shared" si="42"/>
        <v>654</v>
      </c>
      <c r="BV63" s="211">
        <f t="shared" si="43"/>
        <v>109</v>
      </c>
      <c r="BW63" s="755">
        <v>0</v>
      </c>
      <c r="BX63" s="345">
        <v>0</v>
      </c>
      <c r="BY63" s="345">
        <v>0</v>
      </c>
      <c r="BZ63" s="345">
        <v>1294</v>
      </c>
      <c r="CA63" s="345">
        <v>0</v>
      </c>
      <c r="CB63" s="345">
        <v>0</v>
      </c>
      <c r="CC63" s="808">
        <f t="shared" si="44"/>
        <v>1294</v>
      </c>
      <c r="CD63" s="211">
        <f t="shared" si="45"/>
        <v>215.66666666666666</v>
      </c>
      <c r="CE63" s="346">
        <v>0</v>
      </c>
      <c r="CF63" s="343">
        <v>0</v>
      </c>
      <c r="CG63" s="343">
        <v>0</v>
      </c>
      <c r="CH63" s="343">
        <v>0</v>
      </c>
      <c r="CI63" s="343">
        <v>963</v>
      </c>
      <c r="CJ63" s="343">
        <v>0</v>
      </c>
      <c r="CK63" s="808">
        <f t="shared" si="46"/>
        <v>963</v>
      </c>
      <c r="CL63" s="211">
        <f t="shared" si="47"/>
        <v>160.5</v>
      </c>
      <c r="CM63" s="346">
        <v>0</v>
      </c>
      <c r="CN63" s="343">
        <v>0</v>
      </c>
      <c r="CO63" s="343">
        <v>597</v>
      </c>
      <c r="CP63" s="343">
        <v>0</v>
      </c>
      <c r="CQ63" s="343">
        <v>334</v>
      </c>
      <c r="CR63" s="343">
        <v>0</v>
      </c>
      <c r="CS63" s="808">
        <f t="shared" si="48"/>
        <v>931</v>
      </c>
      <c r="CT63" s="211">
        <f t="shared" si="49"/>
        <v>155.16666666666666</v>
      </c>
      <c r="CU63" s="346">
        <v>0</v>
      </c>
      <c r="CV63" s="343">
        <v>0</v>
      </c>
      <c r="CW63" s="343">
        <v>0</v>
      </c>
      <c r="CX63" s="343">
        <v>0</v>
      </c>
      <c r="CY63" s="343">
        <v>654</v>
      </c>
      <c r="CZ63" s="343">
        <v>0</v>
      </c>
      <c r="DA63" s="808">
        <f t="shared" si="50"/>
        <v>654</v>
      </c>
      <c r="DB63" s="211">
        <f t="shared" si="51"/>
        <v>109</v>
      </c>
      <c r="DC63" s="346">
        <v>0</v>
      </c>
      <c r="DD63" s="343">
        <v>0</v>
      </c>
      <c r="DE63" s="343">
        <v>0</v>
      </c>
      <c r="DF63" s="343">
        <v>0</v>
      </c>
      <c r="DG63" s="343"/>
      <c r="DH63" s="343">
        <v>1301</v>
      </c>
      <c r="DI63" s="808">
        <f t="shared" si="52"/>
        <v>1301</v>
      </c>
      <c r="DJ63" s="211">
        <f t="shared" si="53"/>
        <v>216.83333333333334</v>
      </c>
      <c r="DK63" s="346">
        <v>0</v>
      </c>
      <c r="DL63" s="343">
        <v>0</v>
      </c>
      <c r="DM63" s="343">
        <v>0</v>
      </c>
      <c r="DN63" s="343">
        <v>0</v>
      </c>
      <c r="DO63" s="343">
        <v>0</v>
      </c>
      <c r="DP63" s="343">
        <v>0</v>
      </c>
      <c r="DQ63" s="808">
        <f t="shared" si="54"/>
        <v>0</v>
      </c>
      <c r="DR63" s="211">
        <f t="shared" si="55"/>
        <v>0</v>
      </c>
      <c r="DS63" s="346">
        <v>0</v>
      </c>
      <c r="DT63" s="343">
        <v>1287</v>
      </c>
      <c r="DU63" s="343">
        <v>0</v>
      </c>
      <c r="DV63" s="343">
        <v>0</v>
      </c>
      <c r="DW63" s="343">
        <v>0</v>
      </c>
      <c r="DX63" s="343">
        <v>0</v>
      </c>
      <c r="DY63" s="808">
        <f t="shared" si="56"/>
        <v>1287</v>
      </c>
      <c r="DZ63" s="211">
        <f t="shared" si="57"/>
        <v>214.5</v>
      </c>
      <c r="EA63" s="346">
        <v>550</v>
      </c>
      <c r="EB63" s="343">
        <v>87</v>
      </c>
      <c r="EC63" s="343"/>
      <c r="ED63" s="343">
        <v>0</v>
      </c>
      <c r="EE63" s="343">
        <v>0</v>
      </c>
      <c r="EF63" s="343">
        <v>968</v>
      </c>
      <c r="EG63" s="808">
        <f t="shared" si="58"/>
        <v>1605</v>
      </c>
      <c r="EH63" s="211">
        <f t="shared" si="59"/>
        <v>267.5</v>
      </c>
      <c r="EI63" s="346">
        <v>0</v>
      </c>
      <c r="EJ63" s="343">
        <v>0</v>
      </c>
      <c r="EK63" s="343">
        <v>1521</v>
      </c>
      <c r="EL63" s="343">
        <v>0</v>
      </c>
      <c r="EM63" s="343">
        <v>0</v>
      </c>
      <c r="EN63" s="343">
        <v>0</v>
      </c>
      <c r="EO63" s="808">
        <f t="shared" si="60"/>
        <v>1521</v>
      </c>
      <c r="EP63" s="211">
        <f t="shared" si="61"/>
        <v>253.5</v>
      </c>
      <c r="EQ63" s="346">
        <v>0</v>
      </c>
      <c r="ER63" s="343">
        <v>0</v>
      </c>
      <c r="ES63" s="343">
        <v>0</v>
      </c>
      <c r="ET63" s="343">
        <v>0</v>
      </c>
      <c r="EU63" s="343">
        <v>1276</v>
      </c>
      <c r="EV63" s="343">
        <v>0</v>
      </c>
      <c r="EW63" s="808">
        <f t="shared" si="62"/>
        <v>1276</v>
      </c>
      <c r="EX63" s="211">
        <f t="shared" si="63"/>
        <v>212.66666666666666</v>
      </c>
      <c r="EY63" s="346">
        <v>0</v>
      </c>
      <c r="EZ63" s="343">
        <v>0</v>
      </c>
      <c r="FA63" s="343">
        <v>0</v>
      </c>
      <c r="FB63" s="343">
        <v>0</v>
      </c>
      <c r="FC63" s="343">
        <v>0</v>
      </c>
      <c r="FD63" s="343">
        <v>0</v>
      </c>
      <c r="FE63" s="808">
        <f t="shared" si="64"/>
        <v>0</v>
      </c>
      <c r="FF63" s="211">
        <f t="shared" si="65"/>
        <v>0</v>
      </c>
      <c r="FG63" s="755">
        <v>120</v>
      </c>
      <c r="FH63" s="345">
        <v>1604</v>
      </c>
      <c r="FI63" s="345">
        <v>0</v>
      </c>
      <c r="FJ63" s="345">
        <v>0</v>
      </c>
      <c r="FK63" s="345">
        <v>1286</v>
      </c>
      <c r="FL63" s="345">
        <v>0</v>
      </c>
      <c r="FM63" s="808">
        <f t="shared" si="66"/>
        <v>3010</v>
      </c>
      <c r="FN63" s="211">
        <f t="shared" si="67"/>
        <v>501.66666666666669</v>
      </c>
      <c r="FO63" s="346">
        <v>0</v>
      </c>
      <c r="FP63" s="343">
        <v>0</v>
      </c>
      <c r="FQ63" s="343">
        <v>0</v>
      </c>
      <c r="FR63" s="343">
        <v>0</v>
      </c>
      <c r="FS63" s="343">
        <v>1349</v>
      </c>
      <c r="FT63" s="343">
        <v>0</v>
      </c>
      <c r="FU63" s="808">
        <f t="shared" si="68"/>
        <v>1349</v>
      </c>
      <c r="FV63" s="211">
        <f t="shared" si="69"/>
        <v>224.83333333333334</v>
      </c>
      <c r="FW63" s="346">
        <v>0</v>
      </c>
      <c r="FX63" s="343">
        <v>0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0"/>
        <v>0</v>
      </c>
      <c r="GD63" s="211">
        <f t="shared" si="71"/>
        <v>0</v>
      </c>
      <c r="GE63" s="346">
        <v>1470</v>
      </c>
      <c r="GF63" s="343">
        <v>0</v>
      </c>
      <c r="GG63" s="343">
        <v>0</v>
      </c>
      <c r="GH63" s="343">
        <v>0</v>
      </c>
      <c r="GI63" s="343">
        <v>0</v>
      </c>
      <c r="GJ63" s="343">
        <v>220</v>
      </c>
      <c r="GK63" s="808">
        <f t="shared" si="72"/>
        <v>1690</v>
      </c>
      <c r="GL63" s="211">
        <f t="shared" si="73"/>
        <v>281.66666666666669</v>
      </c>
      <c r="GM63" s="755">
        <v>758</v>
      </c>
      <c r="GN63" s="345">
        <v>0</v>
      </c>
      <c r="GO63" s="345">
        <v>0</v>
      </c>
      <c r="GP63" s="345">
        <v>0</v>
      </c>
      <c r="GQ63" s="345">
        <v>961</v>
      </c>
      <c r="GR63" s="345">
        <v>0</v>
      </c>
      <c r="GS63" s="872">
        <f t="shared" si="74"/>
        <v>1719</v>
      </c>
      <c r="GT63" s="873">
        <f t="shared" si="75"/>
        <v>286.5</v>
      </c>
      <c r="GU63" s="346">
        <v>0</v>
      </c>
      <c r="GV63" s="343">
        <v>942</v>
      </c>
      <c r="GW63" s="343">
        <v>0</v>
      </c>
      <c r="GX63" s="343">
        <v>0</v>
      </c>
      <c r="GY63" s="343">
        <v>0</v>
      </c>
      <c r="GZ63" s="343">
        <v>0</v>
      </c>
      <c r="HA63" s="872">
        <f t="shared" si="76"/>
        <v>942</v>
      </c>
      <c r="HB63" s="873">
        <f t="shared" si="77"/>
        <v>157</v>
      </c>
      <c r="HC63" s="346">
        <v>550</v>
      </c>
      <c r="HD63" s="343">
        <v>397</v>
      </c>
      <c r="HE63" s="343">
        <v>0</v>
      </c>
      <c r="HF63" s="343"/>
      <c r="HG63" s="343"/>
      <c r="HH63" s="343"/>
      <c r="HI63" s="872">
        <f t="shared" si="78"/>
        <v>947</v>
      </c>
      <c r="HJ63" s="873">
        <f t="shared" si="79"/>
        <v>157.83333333333334</v>
      </c>
    </row>
    <row r="64" spans="1:218" s="323" customFormat="1" ht="15" customHeight="1" x14ac:dyDescent="0.2">
      <c r="A64" s="21">
        <v>53</v>
      </c>
      <c r="B64" s="21" t="s">
        <v>101</v>
      </c>
      <c r="C64" s="275" t="s">
        <v>102</v>
      </c>
      <c r="D64" s="21">
        <v>25</v>
      </c>
      <c r="E64" s="24"/>
      <c r="F64" s="24">
        <v>2246</v>
      </c>
      <c r="G64" s="24"/>
      <c r="H64" s="24"/>
      <c r="I64" s="24"/>
      <c r="J64" s="360">
        <f>SUMIF(SUMPK!$B:$B,$B:$B,SUMPK!$O:$O)</f>
        <v>0</v>
      </c>
      <c r="K64" s="24"/>
      <c r="L64" s="24">
        <f t="shared" si="80"/>
        <v>2246</v>
      </c>
      <c r="M64" s="15">
        <f t="shared" si="25"/>
        <v>2246</v>
      </c>
      <c r="N64" s="15">
        <v>104.33333333333333</v>
      </c>
      <c r="O64" s="276">
        <f t="shared" si="26"/>
        <v>21.527156549520768</v>
      </c>
      <c r="P64" s="15">
        <v>94.166666666666671</v>
      </c>
      <c r="Q64" s="711">
        <f t="shared" si="27"/>
        <v>533.33333333333337</v>
      </c>
      <c r="R64" s="276">
        <f t="shared" si="28"/>
        <v>143.10796460176991</v>
      </c>
      <c r="S64" s="712">
        <f t="shared" si="29"/>
        <v>123.07692307692308</v>
      </c>
      <c r="T64" s="713">
        <v>3200</v>
      </c>
      <c r="U64" s="276">
        <f t="shared" si="86"/>
        <v>18.248750000000001</v>
      </c>
      <c r="V64" s="278"/>
      <c r="W64" s="276">
        <f t="shared" si="31"/>
        <v>18.248750000000001</v>
      </c>
      <c r="X64" s="279">
        <f t="shared" si="0"/>
        <v>1</v>
      </c>
      <c r="Y64" s="305">
        <v>15</v>
      </c>
      <c r="Z64" s="721"/>
      <c r="AA64" s="244">
        <v>0</v>
      </c>
      <c r="AB64" s="64">
        <v>0</v>
      </c>
      <c r="AC64" s="64">
        <v>0</v>
      </c>
      <c r="AD64" s="64">
        <v>0</v>
      </c>
      <c r="AE64" s="64">
        <v>0</v>
      </c>
      <c r="AF64" s="64">
        <v>0</v>
      </c>
      <c r="AG64" s="64">
        <f t="shared" si="32"/>
        <v>0</v>
      </c>
      <c r="AH64" s="211">
        <f t="shared" si="33"/>
        <v>0</v>
      </c>
      <c r="AI64" s="755">
        <v>577</v>
      </c>
      <c r="AJ64" s="345">
        <v>0</v>
      </c>
      <c r="AK64" s="345">
        <v>674</v>
      </c>
      <c r="AL64" s="345">
        <v>0</v>
      </c>
      <c r="AM64" s="345">
        <v>0</v>
      </c>
      <c r="AN64" s="345">
        <v>0</v>
      </c>
      <c r="AO64" s="808">
        <f t="shared" si="34"/>
        <v>1251</v>
      </c>
      <c r="AP64" s="809">
        <f t="shared" si="35"/>
        <v>208.5</v>
      </c>
      <c r="AQ64" s="814">
        <v>0</v>
      </c>
      <c r="AR64" s="815">
        <v>452</v>
      </c>
      <c r="AS64" s="815">
        <v>282</v>
      </c>
      <c r="AT64" s="815">
        <v>0</v>
      </c>
      <c r="AU64" s="815">
        <v>638</v>
      </c>
      <c r="AV64" s="815">
        <v>0</v>
      </c>
      <c r="AW64" s="808">
        <f t="shared" si="36"/>
        <v>1372</v>
      </c>
      <c r="AX64" s="211">
        <f t="shared" si="37"/>
        <v>228.66666666666666</v>
      </c>
      <c r="AY64" s="346">
        <v>0</v>
      </c>
      <c r="AZ64" s="343">
        <v>0</v>
      </c>
      <c r="BA64" s="343">
        <v>0</v>
      </c>
      <c r="BB64" s="343">
        <v>0</v>
      </c>
      <c r="BC64" s="343">
        <v>295</v>
      </c>
      <c r="BD64" s="343">
        <v>0</v>
      </c>
      <c r="BE64" s="808">
        <f t="shared" si="38"/>
        <v>295</v>
      </c>
      <c r="BF64" s="211">
        <f t="shared" si="39"/>
        <v>49.166666666666664</v>
      </c>
      <c r="BG64" s="814">
        <v>0</v>
      </c>
      <c r="BH64" s="815">
        <v>0</v>
      </c>
      <c r="BI64" s="815">
        <v>647</v>
      </c>
      <c r="BJ64" s="815">
        <v>0</v>
      </c>
      <c r="BK64" s="815">
        <v>0</v>
      </c>
      <c r="BL64" s="815">
        <v>0</v>
      </c>
      <c r="BM64" s="808">
        <f t="shared" si="40"/>
        <v>647</v>
      </c>
      <c r="BN64" s="211">
        <f t="shared" si="41"/>
        <v>107.83333333333333</v>
      </c>
      <c r="BO64" s="755">
        <v>0</v>
      </c>
      <c r="BP64" s="345">
        <v>0</v>
      </c>
      <c r="BQ64" s="345">
        <v>0</v>
      </c>
      <c r="BR64" s="345">
        <v>0</v>
      </c>
      <c r="BS64" s="345">
        <v>625</v>
      </c>
      <c r="BT64" s="345">
        <v>0</v>
      </c>
      <c r="BU64" s="808">
        <f t="shared" si="42"/>
        <v>625</v>
      </c>
      <c r="BV64" s="211">
        <f t="shared" si="43"/>
        <v>104.16666666666667</v>
      </c>
      <c r="BW64" s="755">
        <v>0</v>
      </c>
      <c r="BX64" s="345">
        <v>646</v>
      </c>
      <c r="BY64" s="345">
        <v>0</v>
      </c>
      <c r="BZ64" s="345">
        <v>95</v>
      </c>
      <c r="CA64" s="345">
        <v>0</v>
      </c>
      <c r="CB64" s="345">
        <v>0</v>
      </c>
      <c r="CC64" s="808">
        <f t="shared" si="44"/>
        <v>741</v>
      </c>
      <c r="CD64" s="211">
        <f t="shared" si="45"/>
        <v>123.5</v>
      </c>
      <c r="CE64" s="346">
        <v>0</v>
      </c>
      <c r="CF64" s="343">
        <v>0</v>
      </c>
      <c r="CG64" s="343">
        <v>0</v>
      </c>
      <c r="CH64" s="343">
        <v>330</v>
      </c>
      <c r="CI64" s="343">
        <v>0</v>
      </c>
      <c r="CJ64" s="343">
        <v>0</v>
      </c>
      <c r="CK64" s="808">
        <f t="shared" si="46"/>
        <v>330</v>
      </c>
      <c r="CL64" s="211">
        <f t="shared" si="47"/>
        <v>55</v>
      </c>
      <c r="CM64" s="346">
        <v>0</v>
      </c>
      <c r="CN64" s="343">
        <v>0</v>
      </c>
      <c r="CO64" s="343">
        <v>0</v>
      </c>
      <c r="CP64" s="343">
        <v>0</v>
      </c>
      <c r="CQ64" s="343">
        <v>480</v>
      </c>
      <c r="CR64" s="343">
        <v>0</v>
      </c>
      <c r="CS64" s="808">
        <f t="shared" si="48"/>
        <v>480</v>
      </c>
      <c r="CT64" s="211">
        <f t="shared" si="49"/>
        <v>80</v>
      </c>
      <c r="CU64" s="346">
        <v>0</v>
      </c>
      <c r="CV64" s="343">
        <v>0</v>
      </c>
      <c r="CW64" s="343">
        <v>337</v>
      </c>
      <c r="CX64" s="343">
        <v>0</v>
      </c>
      <c r="CY64" s="343">
        <v>0</v>
      </c>
      <c r="CZ64" s="343">
        <v>0</v>
      </c>
      <c r="DA64" s="808">
        <f t="shared" si="50"/>
        <v>337</v>
      </c>
      <c r="DB64" s="211">
        <f t="shared" si="51"/>
        <v>56.166666666666664</v>
      </c>
      <c r="DC64" s="346">
        <v>0</v>
      </c>
      <c r="DD64" s="343">
        <v>662</v>
      </c>
      <c r="DE64" s="343">
        <v>0</v>
      </c>
      <c r="DF64" s="343">
        <v>0</v>
      </c>
      <c r="DG64" s="343"/>
      <c r="DH64" s="343">
        <v>0</v>
      </c>
      <c r="DI64" s="808">
        <f t="shared" si="52"/>
        <v>662</v>
      </c>
      <c r="DJ64" s="211">
        <f t="shared" si="53"/>
        <v>110.33333333333333</v>
      </c>
      <c r="DK64" s="346">
        <v>242</v>
      </c>
      <c r="DL64" s="343">
        <v>0</v>
      </c>
      <c r="DM64" s="343">
        <v>0</v>
      </c>
      <c r="DN64" s="343">
        <v>0</v>
      </c>
      <c r="DO64" s="343">
        <v>606</v>
      </c>
      <c r="DP64" s="343">
        <v>0</v>
      </c>
      <c r="DQ64" s="808">
        <f t="shared" si="54"/>
        <v>848</v>
      </c>
      <c r="DR64" s="211">
        <f t="shared" si="55"/>
        <v>141.33333333333334</v>
      </c>
      <c r="DS64" s="346">
        <v>0</v>
      </c>
      <c r="DT64" s="343">
        <v>0</v>
      </c>
      <c r="DU64" s="343">
        <v>333</v>
      </c>
      <c r="DV64" s="343">
        <v>0</v>
      </c>
      <c r="DW64" s="343">
        <v>0</v>
      </c>
      <c r="DX64" s="343">
        <v>73</v>
      </c>
      <c r="DY64" s="808">
        <f t="shared" si="56"/>
        <v>406</v>
      </c>
      <c r="DZ64" s="211">
        <f t="shared" si="57"/>
        <v>67.666666666666671</v>
      </c>
      <c r="EA64" s="346">
        <v>0</v>
      </c>
      <c r="EB64" s="343">
        <v>0</v>
      </c>
      <c r="EC64" s="343"/>
      <c r="ED64" s="343">
        <v>0</v>
      </c>
      <c r="EE64" s="343">
        <v>322</v>
      </c>
      <c r="EF64" s="343">
        <v>0</v>
      </c>
      <c r="EG64" s="808">
        <f t="shared" si="58"/>
        <v>322</v>
      </c>
      <c r="EH64" s="211">
        <f t="shared" si="59"/>
        <v>53.666666666666664</v>
      </c>
      <c r="EI64" s="346">
        <v>0</v>
      </c>
      <c r="EJ64" s="343">
        <v>0</v>
      </c>
      <c r="EK64" s="343">
        <v>0</v>
      </c>
      <c r="EL64" s="343">
        <v>320</v>
      </c>
      <c r="EM64" s="343">
        <v>89</v>
      </c>
      <c r="EN64" s="343">
        <v>0</v>
      </c>
      <c r="EO64" s="808">
        <f t="shared" si="60"/>
        <v>409</v>
      </c>
      <c r="EP64" s="211">
        <f t="shared" si="61"/>
        <v>68.166666666666671</v>
      </c>
      <c r="EQ64" s="346">
        <v>0</v>
      </c>
      <c r="ER64" s="343">
        <v>0</v>
      </c>
      <c r="ES64" s="343">
        <v>0</v>
      </c>
      <c r="ET64" s="343">
        <v>0</v>
      </c>
      <c r="EU64" s="343">
        <v>306</v>
      </c>
      <c r="EV64" s="343">
        <v>0</v>
      </c>
      <c r="EW64" s="808">
        <f t="shared" si="62"/>
        <v>306</v>
      </c>
      <c r="EX64" s="211">
        <f t="shared" si="63"/>
        <v>51</v>
      </c>
      <c r="EY64" s="346">
        <v>0</v>
      </c>
      <c r="EZ64" s="343">
        <v>0</v>
      </c>
      <c r="FA64" s="343">
        <v>0</v>
      </c>
      <c r="FB64" s="343">
        <v>302</v>
      </c>
      <c r="FC64" s="343">
        <v>0</v>
      </c>
      <c r="FD64" s="343">
        <v>0</v>
      </c>
      <c r="FE64" s="808">
        <f t="shared" si="64"/>
        <v>302</v>
      </c>
      <c r="FF64" s="211">
        <f t="shared" si="65"/>
        <v>50.333333333333336</v>
      </c>
      <c r="FG64" s="755">
        <v>200</v>
      </c>
      <c r="FH64" s="345">
        <v>328</v>
      </c>
      <c r="FI64" s="345">
        <v>0</v>
      </c>
      <c r="FJ64" s="345">
        <v>608</v>
      </c>
      <c r="FK64" s="345">
        <v>0</v>
      </c>
      <c r="FL64" s="345">
        <v>0</v>
      </c>
      <c r="FM64" s="808">
        <f t="shared" si="66"/>
        <v>1136</v>
      </c>
      <c r="FN64" s="211">
        <f t="shared" si="67"/>
        <v>189.33333333333334</v>
      </c>
      <c r="FO64" s="346">
        <v>0</v>
      </c>
      <c r="FP64" s="343">
        <v>0</v>
      </c>
      <c r="FQ64" s="343">
        <v>0</v>
      </c>
      <c r="FR64" s="343">
        <v>0</v>
      </c>
      <c r="FS64" s="343">
        <v>0</v>
      </c>
      <c r="FT64" s="343">
        <v>0</v>
      </c>
      <c r="FU64" s="808">
        <f t="shared" si="68"/>
        <v>0</v>
      </c>
      <c r="FV64" s="211">
        <f t="shared" si="69"/>
        <v>0</v>
      </c>
      <c r="FW64" s="346">
        <v>0</v>
      </c>
      <c r="FX64" s="343">
        <v>398</v>
      </c>
      <c r="FY64" s="343">
        <v>0</v>
      </c>
      <c r="FZ64" s="343">
        <v>0</v>
      </c>
      <c r="GA64" s="343">
        <v>0</v>
      </c>
      <c r="GB64" s="343">
        <v>0</v>
      </c>
      <c r="GC64" s="808">
        <f t="shared" si="70"/>
        <v>398</v>
      </c>
      <c r="GD64" s="211">
        <f t="shared" si="71"/>
        <v>66.333333333333329</v>
      </c>
      <c r="GE64" s="346">
        <v>0</v>
      </c>
      <c r="GF64" s="343">
        <v>0</v>
      </c>
      <c r="GG64" s="343">
        <v>0</v>
      </c>
      <c r="GH64" s="343">
        <v>240</v>
      </c>
      <c r="GI64" s="343">
        <v>0</v>
      </c>
      <c r="GJ64" s="343">
        <v>325</v>
      </c>
      <c r="GK64" s="808">
        <f t="shared" si="72"/>
        <v>565</v>
      </c>
      <c r="GL64" s="211">
        <f t="shared" si="73"/>
        <v>94.166666666666671</v>
      </c>
      <c r="GM64" s="755">
        <v>0</v>
      </c>
      <c r="GN64" s="345">
        <v>0</v>
      </c>
      <c r="GO64" s="345">
        <v>0</v>
      </c>
      <c r="GP64" s="345">
        <v>0</v>
      </c>
      <c r="GQ64" s="345">
        <v>0</v>
      </c>
      <c r="GR64" s="345">
        <v>257</v>
      </c>
      <c r="GS64" s="872">
        <f t="shared" si="74"/>
        <v>257</v>
      </c>
      <c r="GT64" s="873">
        <f t="shared" si="75"/>
        <v>42.833333333333336</v>
      </c>
      <c r="GU64" s="346">
        <v>0</v>
      </c>
      <c r="GV64" s="343">
        <v>0</v>
      </c>
      <c r="GW64" s="343">
        <v>0</v>
      </c>
      <c r="GX64" s="343">
        <v>310</v>
      </c>
      <c r="GY64" s="343">
        <v>0</v>
      </c>
      <c r="GZ64" s="343">
        <v>316</v>
      </c>
      <c r="HA64" s="872">
        <f t="shared" si="76"/>
        <v>626</v>
      </c>
      <c r="HB64" s="873">
        <f t="shared" si="77"/>
        <v>104.33333333333333</v>
      </c>
      <c r="HC64" s="346">
        <v>0</v>
      </c>
      <c r="HD64" s="343">
        <v>0</v>
      </c>
      <c r="HE64" s="343">
        <v>310</v>
      </c>
      <c r="HF64" s="343"/>
      <c r="HG64" s="343"/>
      <c r="HH64" s="343"/>
      <c r="HI64" s="872">
        <f t="shared" si="78"/>
        <v>310</v>
      </c>
      <c r="HJ64" s="873">
        <f t="shared" si="79"/>
        <v>51.666666666666664</v>
      </c>
    </row>
    <row r="65" spans="1:218" s="323" customFormat="1" ht="14.25" customHeight="1" x14ac:dyDescent="0.2">
      <c r="A65" s="21">
        <v>54</v>
      </c>
      <c r="B65" s="21" t="s">
        <v>103</v>
      </c>
      <c r="C65" s="275" t="s">
        <v>104</v>
      </c>
      <c r="D65" s="21">
        <v>25</v>
      </c>
      <c r="E65" s="24"/>
      <c r="F65" s="24">
        <v>17437</v>
      </c>
      <c r="G65" s="24"/>
      <c r="H65" s="24"/>
      <c r="I65" s="360"/>
      <c r="J65" s="360">
        <f>SUMIF(SUMPK!$B:$B,$B:$B,SUMPK!$O:$O)</f>
        <v>0</v>
      </c>
      <c r="K65" s="24"/>
      <c r="L65" s="24">
        <f>F65+H65-J65</f>
        <v>17437</v>
      </c>
      <c r="M65" s="15">
        <f t="shared" si="25"/>
        <v>17437</v>
      </c>
      <c r="N65" s="15">
        <v>526.33333333333337</v>
      </c>
      <c r="O65" s="276">
        <f t="shared" si="26"/>
        <v>33.129195693476881</v>
      </c>
      <c r="P65" s="15">
        <v>508.83333333333331</v>
      </c>
      <c r="Q65" s="711">
        <f t="shared" si="27"/>
        <v>3733.3333333333335</v>
      </c>
      <c r="R65" s="276">
        <f t="shared" si="28"/>
        <v>205.61152964297415</v>
      </c>
      <c r="S65" s="712">
        <f t="shared" si="29"/>
        <v>861.53846153846155</v>
      </c>
      <c r="T65" s="713">
        <v>22400</v>
      </c>
      <c r="U65" s="276">
        <f t="shared" si="86"/>
        <v>20.239374999999999</v>
      </c>
      <c r="V65" s="278"/>
      <c r="W65" s="276">
        <f t="shared" si="31"/>
        <v>20.239374999999999</v>
      </c>
      <c r="X65" s="279">
        <f t="shared" si="0"/>
        <v>1</v>
      </c>
      <c r="Y65" s="305">
        <v>13</v>
      </c>
      <c r="Z65" s="721"/>
      <c r="AA65" s="244">
        <v>1645</v>
      </c>
      <c r="AB65" s="64">
        <v>0</v>
      </c>
      <c r="AC65" s="64">
        <v>2062</v>
      </c>
      <c r="AD65" s="64">
        <v>0</v>
      </c>
      <c r="AE65" s="64">
        <v>0</v>
      </c>
      <c r="AF65" s="64">
        <v>3120</v>
      </c>
      <c r="AG65" s="64">
        <f t="shared" si="32"/>
        <v>6827</v>
      </c>
      <c r="AH65" s="211">
        <f t="shared" si="33"/>
        <v>1137.8333333333333</v>
      </c>
      <c r="AI65" s="755">
        <v>0</v>
      </c>
      <c r="AJ65" s="345">
        <v>2239</v>
      </c>
      <c r="AK65" s="345">
        <v>0</v>
      </c>
      <c r="AL65" s="345">
        <v>423</v>
      </c>
      <c r="AM65" s="345">
        <v>648</v>
      </c>
      <c r="AN65" s="345">
        <v>1807</v>
      </c>
      <c r="AO65" s="808">
        <f t="shared" si="34"/>
        <v>5117</v>
      </c>
      <c r="AP65" s="809">
        <f t="shared" si="35"/>
        <v>852.83333333333337</v>
      </c>
      <c r="AQ65" s="814">
        <v>0</v>
      </c>
      <c r="AR65" s="815">
        <v>3977</v>
      </c>
      <c r="AS65" s="815">
        <v>0</v>
      </c>
      <c r="AT65" s="815">
        <v>0</v>
      </c>
      <c r="AU65" s="815">
        <v>0</v>
      </c>
      <c r="AV65" s="815">
        <v>1805</v>
      </c>
      <c r="AW65" s="808">
        <f t="shared" si="36"/>
        <v>5782</v>
      </c>
      <c r="AX65" s="211">
        <f t="shared" si="37"/>
        <v>963.66666666666663</v>
      </c>
      <c r="AY65" s="346">
        <v>0</v>
      </c>
      <c r="AZ65" s="343">
        <v>911</v>
      </c>
      <c r="BA65" s="343">
        <v>0</v>
      </c>
      <c r="BB65" s="343">
        <v>3080</v>
      </c>
      <c r="BC65" s="343">
        <v>0</v>
      </c>
      <c r="BD65" s="343">
        <v>0</v>
      </c>
      <c r="BE65" s="808">
        <f t="shared" si="38"/>
        <v>3991</v>
      </c>
      <c r="BF65" s="211">
        <f t="shared" si="39"/>
        <v>665.16666666666663</v>
      </c>
      <c r="BG65" s="814">
        <v>0</v>
      </c>
      <c r="BH65" s="815">
        <v>1770</v>
      </c>
      <c r="BI65" s="815">
        <v>0</v>
      </c>
      <c r="BJ65" s="815">
        <v>0</v>
      </c>
      <c r="BK65" s="815">
        <v>3026</v>
      </c>
      <c r="BL65" s="815">
        <v>0</v>
      </c>
      <c r="BM65" s="808">
        <f t="shared" si="40"/>
        <v>4796</v>
      </c>
      <c r="BN65" s="211">
        <f t="shared" si="41"/>
        <v>799.33333333333337</v>
      </c>
      <c r="BO65" s="755">
        <v>0</v>
      </c>
      <c r="BP65" s="345">
        <v>1592</v>
      </c>
      <c r="BQ65" s="345">
        <v>0</v>
      </c>
      <c r="BR65" s="345">
        <v>0</v>
      </c>
      <c r="BS65" s="345">
        <v>1714</v>
      </c>
      <c r="BT65" s="345">
        <v>1457</v>
      </c>
      <c r="BU65" s="808">
        <f t="shared" si="42"/>
        <v>4763</v>
      </c>
      <c r="BV65" s="211">
        <f t="shared" si="43"/>
        <v>793.83333333333337</v>
      </c>
      <c r="BW65" s="755">
        <v>1887</v>
      </c>
      <c r="BX65" s="345">
        <v>0</v>
      </c>
      <c r="BY65" s="345">
        <v>0</v>
      </c>
      <c r="BZ65" s="345">
        <v>0</v>
      </c>
      <c r="CA65" s="345">
        <v>1615</v>
      </c>
      <c r="CB65" s="345">
        <v>1980</v>
      </c>
      <c r="CC65" s="808">
        <f t="shared" si="44"/>
        <v>5482</v>
      </c>
      <c r="CD65" s="211">
        <f t="shared" si="45"/>
        <v>913.66666666666663</v>
      </c>
      <c r="CE65" s="346">
        <v>2524</v>
      </c>
      <c r="CF65" s="343">
        <v>1117</v>
      </c>
      <c r="CG65" s="343">
        <v>920</v>
      </c>
      <c r="CH65" s="343">
        <v>0</v>
      </c>
      <c r="CI65" s="343">
        <v>0</v>
      </c>
      <c r="CJ65" s="343">
        <v>1918</v>
      </c>
      <c r="CK65" s="808">
        <f t="shared" si="46"/>
        <v>6479</v>
      </c>
      <c r="CL65" s="211">
        <f t="shared" si="47"/>
        <v>1079.8333333333333</v>
      </c>
      <c r="CM65" s="346">
        <v>0</v>
      </c>
      <c r="CN65" s="343">
        <v>2177</v>
      </c>
      <c r="CO65" s="343">
        <v>346</v>
      </c>
      <c r="CP65" s="343">
        <v>324</v>
      </c>
      <c r="CQ65" s="343">
        <v>0</v>
      </c>
      <c r="CR65" s="343">
        <v>605</v>
      </c>
      <c r="CS65" s="808">
        <f t="shared" si="48"/>
        <v>3452</v>
      </c>
      <c r="CT65" s="211">
        <f t="shared" si="49"/>
        <v>575.33333333333337</v>
      </c>
      <c r="CU65" s="346">
        <v>2577</v>
      </c>
      <c r="CV65" s="343">
        <v>0</v>
      </c>
      <c r="CW65" s="343">
        <v>1073</v>
      </c>
      <c r="CX65" s="343">
        <v>0</v>
      </c>
      <c r="CY65" s="343">
        <v>3276</v>
      </c>
      <c r="CZ65" s="343">
        <v>0</v>
      </c>
      <c r="DA65" s="808">
        <f t="shared" si="50"/>
        <v>6926</v>
      </c>
      <c r="DB65" s="211">
        <f t="shared" si="51"/>
        <v>1154.3333333333333</v>
      </c>
      <c r="DC65" s="346">
        <v>0</v>
      </c>
      <c r="DD65" s="343">
        <v>2618</v>
      </c>
      <c r="DE65" s="343">
        <v>2821</v>
      </c>
      <c r="DF65" s="343">
        <v>148</v>
      </c>
      <c r="DG65" s="343"/>
      <c r="DH65" s="343">
        <v>44</v>
      </c>
      <c r="DI65" s="808">
        <f t="shared" si="52"/>
        <v>5631</v>
      </c>
      <c r="DJ65" s="211">
        <f t="shared" si="53"/>
        <v>938.5</v>
      </c>
      <c r="DK65" s="346">
        <v>0</v>
      </c>
      <c r="DL65" s="343">
        <v>72</v>
      </c>
      <c r="DM65" s="343">
        <v>0</v>
      </c>
      <c r="DN65" s="343">
        <v>2245</v>
      </c>
      <c r="DO65" s="343">
        <v>0</v>
      </c>
      <c r="DP65" s="343">
        <v>1980</v>
      </c>
      <c r="DQ65" s="808">
        <f t="shared" si="54"/>
        <v>4297</v>
      </c>
      <c r="DR65" s="211">
        <f t="shared" si="55"/>
        <v>716.16666666666663</v>
      </c>
      <c r="DS65" s="346">
        <v>1959</v>
      </c>
      <c r="DT65" s="343">
        <v>0</v>
      </c>
      <c r="DU65" s="343">
        <v>0</v>
      </c>
      <c r="DV65" s="343">
        <v>308</v>
      </c>
      <c r="DW65" s="343">
        <v>3979</v>
      </c>
      <c r="DX65" s="343">
        <v>0</v>
      </c>
      <c r="DY65" s="808">
        <f t="shared" si="56"/>
        <v>6246</v>
      </c>
      <c r="DZ65" s="211">
        <f t="shared" si="57"/>
        <v>1041</v>
      </c>
      <c r="EA65" s="346">
        <v>2091</v>
      </c>
      <c r="EB65" s="343">
        <v>0</v>
      </c>
      <c r="EC65" s="343"/>
      <c r="ED65" s="343">
        <v>0</v>
      </c>
      <c r="EE65" s="343">
        <v>954</v>
      </c>
      <c r="EF65" s="343">
        <v>5063</v>
      </c>
      <c r="EG65" s="808">
        <f t="shared" si="58"/>
        <v>8108</v>
      </c>
      <c r="EH65" s="211">
        <f t="shared" si="59"/>
        <v>1351.3333333333333</v>
      </c>
      <c r="EI65" s="346">
        <v>0</v>
      </c>
      <c r="EJ65" s="343">
        <v>0</v>
      </c>
      <c r="EK65" s="343">
        <v>1183</v>
      </c>
      <c r="EL65" s="343">
        <v>357</v>
      </c>
      <c r="EM65" s="343">
        <v>436</v>
      </c>
      <c r="EN65" s="343">
        <v>2427</v>
      </c>
      <c r="EO65" s="808">
        <f t="shared" si="60"/>
        <v>4403</v>
      </c>
      <c r="EP65" s="211">
        <f t="shared" si="61"/>
        <v>733.83333333333337</v>
      </c>
      <c r="EQ65" s="346">
        <v>0</v>
      </c>
      <c r="ER65" s="343">
        <v>0</v>
      </c>
      <c r="ES65" s="343">
        <v>908</v>
      </c>
      <c r="ET65" s="343">
        <v>0</v>
      </c>
      <c r="EU65" s="343">
        <v>1269</v>
      </c>
      <c r="EV65" s="343">
        <v>0</v>
      </c>
      <c r="EW65" s="808">
        <f t="shared" si="62"/>
        <v>2177</v>
      </c>
      <c r="EX65" s="211">
        <f t="shared" si="63"/>
        <v>362.83333333333331</v>
      </c>
      <c r="EY65" s="346">
        <v>3083</v>
      </c>
      <c r="EZ65" s="343">
        <v>0</v>
      </c>
      <c r="FA65" s="343">
        <v>0</v>
      </c>
      <c r="FB65" s="343">
        <v>2259</v>
      </c>
      <c r="FC65" s="343">
        <v>525</v>
      </c>
      <c r="FD65" s="343">
        <v>0</v>
      </c>
      <c r="FE65" s="808">
        <f t="shared" si="64"/>
        <v>5867</v>
      </c>
      <c r="FF65" s="211">
        <f t="shared" si="65"/>
        <v>977.83333333333337</v>
      </c>
      <c r="FG65" s="755">
        <v>2099</v>
      </c>
      <c r="FH65" s="345">
        <v>0</v>
      </c>
      <c r="FI65" s="345">
        <v>877</v>
      </c>
      <c r="FJ65" s="345">
        <v>2233</v>
      </c>
      <c r="FK65" s="345">
        <v>0</v>
      </c>
      <c r="FL65" s="345">
        <v>3103</v>
      </c>
      <c r="FM65" s="808">
        <f t="shared" si="66"/>
        <v>8312</v>
      </c>
      <c r="FN65" s="211">
        <f t="shared" si="67"/>
        <v>1385.3333333333333</v>
      </c>
      <c r="FO65" s="346">
        <v>0</v>
      </c>
      <c r="FP65" s="343">
        <v>440</v>
      </c>
      <c r="FQ65" s="343">
        <v>275</v>
      </c>
      <c r="FR65" s="343">
        <v>400</v>
      </c>
      <c r="FS65" s="343">
        <v>0</v>
      </c>
      <c r="FT65" s="343">
        <v>1320</v>
      </c>
      <c r="FU65" s="808">
        <f t="shared" si="68"/>
        <v>2435</v>
      </c>
      <c r="FV65" s="211">
        <f t="shared" si="69"/>
        <v>405.83333333333331</v>
      </c>
      <c r="FW65" s="346">
        <v>1844</v>
      </c>
      <c r="FX65" s="343">
        <v>1134</v>
      </c>
      <c r="FY65" s="343">
        <v>3853</v>
      </c>
      <c r="FZ65" s="343">
        <v>0</v>
      </c>
      <c r="GA65" s="343">
        <v>0</v>
      </c>
      <c r="GB65" s="343">
        <v>384</v>
      </c>
      <c r="GC65" s="808">
        <f t="shared" si="70"/>
        <v>7215</v>
      </c>
      <c r="GD65" s="211">
        <f t="shared" si="71"/>
        <v>1202.5</v>
      </c>
      <c r="GE65" s="346">
        <v>0</v>
      </c>
      <c r="GF65" s="343">
        <v>0</v>
      </c>
      <c r="GG65" s="343">
        <v>431</v>
      </c>
      <c r="GH65" s="343">
        <v>515</v>
      </c>
      <c r="GI65" s="343">
        <v>14</v>
      </c>
      <c r="GJ65" s="343">
        <v>1792</v>
      </c>
      <c r="GK65" s="808">
        <f t="shared" si="72"/>
        <v>2752</v>
      </c>
      <c r="GL65" s="211">
        <f t="shared" si="73"/>
        <v>458.66666666666669</v>
      </c>
      <c r="GM65" s="755">
        <v>3099</v>
      </c>
      <c r="GN65" s="345">
        <v>0</v>
      </c>
      <c r="GO65" s="345">
        <v>1637</v>
      </c>
      <c r="GP65" s="345">
        <v>0</v>
      </c>
      <c r="GQ65" s="345">
        <v>0</v>
      </c>
      <c r="GR65" s="345">
        <v>0</v>
      </c>
      <c r="GS65" s="872">
        <f t="shared" si="74"/>
        <v>4736</v>
      </c>
      <c r="GT65" s="873">
        <f t="shared" si="75"/>
        <v>789.33333333333337</v>
      </c>
      <c r="GU65" s="346">
        <v>1107</v>
      </c>
      <c r="GV65" s="343">
        <v>0</v>
      </c>
      <c r="GW65" s="343">
        <v>403</v>
      </c>
      <c r="GX65" s="343">
        <v>0</v>
      </c>
      <c r="GY65" s="343">
        <v>1648</v>
      </c>
      <c r="GZ65" s="343">
        <v>0</v>
      </c>
      <c r="HA65" s="872">
        <f t="shared" si="76"/>
        <v>3158</v>
      </c>
      <c r="HB65" s="873">
        <f t="shared" si="77"/>
        <v>526.33333333333337</v>
      </c>
      <c r="HC65" s="346">
        <v>202</v>
      </c>
      <c r="HD65" s="343">
        <v>0</v>
      </c>
      <c r="HE65" s="343">
        <v>0</v>
      </c>
      <c r="HF65" s="343"/>
      <c r="HG65" s="343"/>
      <c r="HH65" s="343"/>
      <c r="HI65" s="872">
        <f t="shared" si="78"/>
        <v>202</v>
      </c>
      <c r="HJ65" s="873">
        <f t="shared" si="79"/>
        <v>33.666666666666664</v>
      </c>
    </row>
    <row r="66" spans="1:218" s="323" customFormat="1" ht="15" customHeight="1" x14ac:dyDescent="0.2">
      <c r="A66" s="21">
        <v>55</v>
      </c>
      <c r="B66" s="21" t="s">
        <v>105</v>
      </c>
      <c r="C66" s="275" t="s">
        <v>106</v>
      </c>
      <c r="D66" s="21">
        <v>25</v>
      </c>
      <c r="E66" s="24"/>
      <c r="F66" s="24">
        <v>3774</v>
      </c>
      <c r="G66" s="24"/>
      <c r="H66" s="24"/>
      <c r="I66" s="360"/>
      <c r="J66" s="360">
        <f>SUMIF(SUMPK!$B:$B,$B:$B,SUMPK!$O:$O)</f>
        <v>0</v>
      </c>
      <c r="K66" s="24"/>
      <c r="L66" s="24">
        <f>F66+H66-J66</f>
        <v>3774</v>
      </c>
      <c r="M66" s="15">
        <f t="shared" si="25"/>
        <v>3774</v>
      </c>
      <c r="N66" s="15">
        <v>140</v>
      </c>
      <c r="O66" s="276">
        <f t="shared" si="26"/>
        <v>26.957142857142856</v>
      </c>
      <c r="P66" s="15">
        <v>145.5</v>
      </c>
      <c r="Q66" s="711">
        <f t="shared" si="27"/>
        <v>666.66666666666663</v>
      </c>
      <c r="R66" s="276">
        <f t="shared" si="28"/>
        <v>155.62886597938143</v>
      </c>
      <c r="S66" s="712">
        <f t="shared" si="29"/>
        <v>153.84615384615384</v>
      </c>
      <c r="T66" s="713">
        <v>4000</v>
      </c>
      <c r="U66" s="276">
        <f t="shared" si="86"/>
        <v>24.531000000000002</v>
      </c>
      <c r="V66" s="278"/>
      <c r="W66" s="276">
        <f t="shared" si="31"/>
        <v>24.531000000000002</v>
      </c>
      <c r="X66" s="279">
        <f t="shared" si="0"/>
        <v>1</v>
      </c>
      <c r="Y66" s="305">
        <v>16</v>
      </c>
      <c r="Z66" s="721"/>
      <c r="AA66" s="244">
        <v>0</v>
      </c>
      <c r="AB66" s="64">
        <v>0</v>
      </c>
      <c r="AC66" s="64">
        <v>1442</v>
      </c>
      <c r="AD66" s="64">
        <v>0</v>
      </c>
      <c r="AE66" s="64">
        <v>0</v>
      </c>
      <c r="AF66" s="64">
        <v>0</v>
      </c>
      <c r="AG66" s="64">
        <f t="shared" si="32"/>
        <v>1442</v>
      </c>
      <c r="AH66" s="211">
        <f t="shared" si="33"/>
        <v>240.33333333333334</v>
      </c>
      <c r="AI66" s="755">
        <v>0</v>
      </c>
      <c r="AJ66" s="345">
        <v>0</v>
      </c>
      <c r="AK66" s="345">
        <v>0</v>
      </c>
      <c r="AL66" s="345">
        <v>0</v>
      </c>
      <c r="AM66" s="345">
        <v>740</v>
      </c>
      <c r="AN66" s="345">
        <v>0</v>
      </c>
      <c r="AO66" s="808">
        <f t="shared" si="34"/>
        <v>740</v>
      </c>
      <c r="AP66" s="809">
        <f t="shared" si="35"/>
        <v>123.33333333333333</v>
      </c>
      <c r="AQ66" s="814">
        <v>0</v>
      </c>
      <c r="AR66" s="815">
        <v>0</v>
      </c>
      <c r="AS66" s="815">
        <v>0</v>
      </c>
      <c r="AT66" s="815">
        <v>0</v>
      </c>
      <c r="AU66" s="815">
        <v>924</v>
      </c>
      <c r="AV66" s="815">
        <v>0</v>
      </c>
      <c r="AW66" s="808">
        <f t="shared" si="36"/>
        <v>924</v>
      </c>
      <c r="AX66" s="211">
        <f t="shared" si="37"/>
        <v>154</v>
      </c>
      <c r="AY66" s="346">
        <v>0</v>
      </c>
      <c r="AZ66" s="343">
        <v>877</v>
      </c>
      <c r="BA66" s="343">
        <v>0</v>
      </c>
      <c r="BB66" s="343">
        <v>0</v>
      </c>
      <c r="BC66" s="343">
        <v>0</v>
      </c>
      <c r="BD66" s="343">
        <v>490</v>
      </c>
      <c r="BE66" s="808">
        <f t="shared" si="38"/>
        <v>1367</v>
      </c>
      <c r="BF66" s="211">
        <f t="shared" si="39"/>
        <v>227.83333333333334</v>
      </c>
      <c r="BG66" s="814">
        <v>0</v>
      </c>
      <c r="BH66" s="815">
        <v>0</v>
      </c>
      <c r="BI66" s="815">
        <v>0</v>
      </c>
      <c r="BJ66" s="815">
        <v>803</v>
      </c>
      <c r="BK66" s="815">
        <v>0</v>
      </c>
      <c r="BL66" s="815">
        <v>928</v>
      </c>
      <c r="BM66" s="808">
        <f t="shared" si="40"/>
        <v>1731</v>
      </c>
      <c r="BN66" s="211">
        <f t="shared" si="41"/>
        <v>288.5</v>
      </c>
      <c r="BO66" s="755">
        <v>0</v>
      </c>
      <c r="BP66" s="345">
        <v>0</v>
      </c>
      <c r="BQ66" s="345">
        <v>0</v>
      </c>
      <c r="BR66" s="345">
        <v>0</v>
      </c>
      <c r="BS66" s="345">
        <v>851</v>
      </c>
      <c r="BT66" s="345">
        <v>0</v>
      </c>
      <c r="BU66" s="808">
        <f t="shared" si="42"/>
        <v>851</v>
      </c>
      <c r="BV66" s="211">
        <f t="shared" si="43"/>
        <v>141.83333333333334</v>
      </c>
      <c r="BW66" s="755">
        <v>0</v>
      </c>
      <c r="BX66" s="345">
        <v>0</v>
      </c>
      <c r="BY66" s="345">
        <v>0</v>
      </c>
      <c r="BZ66" s="345">
        <v>0</v>
      </c>
      <c r="CA66" s="345">
        <v>0</v>
      </c>
      <c r="CB66" s="345">
        <v>1209</v>
      </c>
      <c r="CC66" s="808">
        <f t="shared" si="44"/>
        <v>1209</v>
      </c>
      <c r="CD66" s="211">
        <f t="shared" si="45"/>
        <v>201.5</v>
      </c>
      <c r="CE66" s="346">
        <v>0</v>
      </c>
      <c r="CF66" s="343">
        <v>0</v>
      </c>
      <c r="CG66" s="343">
        <v>0</v>
      </c>
      <c r="CH66" s="343">
        <v>820</v>
      </c>
      <c r="CI66" s="343">
        <v>0</v>
      </c>
      <c r="CJ66" s="343">
        <v>0</v>
      </c>
      <c r="CK66" s="808">
        <f t="shared" si="46"/>
        <v>820</v>
      </c>
      <c r="CL66" s="211">
        <f t="shared" si="47"/>
        <v>136.66666666666666</v>
      </c>
      <c r="CM66" s="346">
        <v>0</v>
      </c>
      <c r="CN66" s="343">
        <v>0</v>
      </c>
      <c r="CO66" s="343">
        <v>0</v>
      </c>
      <c r="CP66" s="343">
        <v>845</v>
      </c>
      <c r="CQ66" s="343">
        <v>0</v>
      </c>
      <c r="CR66" s="343">
        <v>1188</v>
      </c>
      <c r="CS66" s="808">
        <f t="shared" si="48"/>
        <v>2033</v>
      </c>
      <c r="CT66" s="211">
        <f t="shared" si="49"/>
        <v>338.83333333333331</v>
      </c>
      <c r="CU66" s="346">
        <v>0</v>
      </c>
      <c r="CV66" s="343">
        <v>0</v>
      </c>
      <c r="CW66" s="343">
        <v>0</v>
      </c>
      <c r="CX66" s="343">
        <v>0</v>
      </c>
      <c r="CY66" s="343">
        <v>0</v>
      </c>
      <c r="CZ66" s="343">
        <v>0</v>
      </c>
      <c r="DA66" s="808">
        <f t="shared" si="50"/>
        <v>0</v>
      </c>
      <c r="DB66" s="211">
        <f t="shared" si="51"/>
        <v>0</v>
      </c>
      <c r="DC66" s="346">
        <v>0</v>
      </c>
      <c r="DD66" s="343">
        <v>832</v>
      </c>
      <c r="DE66" s="343">
        <v>0</v>
      </c>
      <c r="DF66" s="343">
        <v>0</v>
      </c>
      <c r="DG66" s="343"/>
      <c r="DH66" s="343">
        <v>0</v>
      </c>
      <c r="DI66" s="808">
        <f t="shared" si="52"/>
        <v>832</v>
      </c>
      <c r="DJ66" s="211">
        <f t="shared" si="53"/>
        <v>138.66666666666666</v>
      </c>
      <c r="DK66" s="346">
        <v>1129</v>
      </c>
      <c r="DL66" s="343">
        <v>0</v>
      </c>
      <c r="DM66" s="343">
        <v>0</v>
      </c>
      <c r="DN66" s="343">
        <v>0</v>
      </c>
      <c r="DO66" s="343">
        <v>0</v>
      </c>
      <c r="DP66" s="343">
        <v>0</v>
      </c>
      <c r="DQ66" s="808">
        <f t="shared" si="54"/>
        <v>1129</v>
      </c>
      <c r="DR66" s="211">
        <f t="shared" si="55"/>
        <v>188.16666666666666</v>
      </c>
      <c r="DS66" s="346">
        <v>1047</v>
      </c>
      <c r="DT66" s="343">
        <v>0</v>
      </c>
      <c r="DU66" s="343">
        <v>0</v>
      </c>
      <c r="DV66" s="343">
        <v>997</v>
      </c>
      <c r="DW66" s="343">
        <v>0</v>
      </c>
      <c r="DX66" s="343">
        <v>0</v>
      </c>
      <c r="DY66" s="808">
        <f t="shared" si="56"/>
        <v>2044</v>
      </c>
      <c r="DZ66" s="211">
        <f t="shared" si="57"/>
        <v>340.66666666666669</v>
      </c>
      <c r="EA66" s="346">
        <v>0</v>
      </c>
      <c r="EB66" s="343">
        <v>0</v>
      </c>
      <c r="EC66" s="343"/>
      <c r="ED66" s="343">
        <v>0</v>
      </c>
      <c r="EE66" s="343">
        <v>868</v>
      </c>
      <c r="EF66" s="343">
        <v>0</v>
      </c>
      <c r="EG66" s="808">
        <f t="shared" si="58"/>
        <v>868</v>
      </c>
      <c r="EH66" s="211">
        <f t="shared" si="59"/>
        <v>144.66666666666666</v>
      </c>
      <c r="EI66" s="346">
        <v>0</v>
      </c>
      <c r="EJ66" s="343">
        <v>1183</v>
      </c>
      <c r="EK66" s="343">
        <v>0</v>
      </c>
      <c r="EL66" s="343">
        <v>0</v>
      </c>
      <c r="EM66" s="343">
        <v>0</v>
      </c>
      <c r="EN66" s="343">
        <v>693</v>
      </c>
      <c r="EO66" s="808">
        <f t="shared" si="60"/>
        <v>1876</v>
      </c>
      <c r="EP66" s="211">
        <f t="shared" si="61"/>
        <v>312.66666666666669</v>
      </c>
      <c r="EQ66" s="346">
        <v>0</v>
      </c>
      <c r="ER66" s="343">
        <v>0</v>
      </c>
      <c r="ES66" s="343">
        <v>0</v>
      </c>
      <c r="ET66" s="343">
        <v>0</v>
      </c>
      <c r="EU66" s="343">
        <v>974</v>
      </c>
      <c r="EV66" s="343">
        <v>0</v>
      </c>
      <c r="EW66" s="808">
        <f t="shared" si="62"/>
        <v>974</v>
      </c>
      <c r="EX66" s="211">
        <f t="shared" si="63"/>
        <v>162.33333333333334</v>
      </c>
      <c r="EY66" s="346">
        <v>0</v>
      </c>
      <c r="EZ66" s="343">
        <v>0</v>
      </c>
      <c r="FA66" s="343">
        <v>0</v>
      </c>
      <c r="FB66" s="343">
        <v>1193</v>
      </c>
      <c r="FC66" s="343">
        <v>0</v>
      </c>
      <c r="FD66" s="343">
        <v>0</v>
      </c>
      <c r="FE66" s="808">
        <f t="shared" si="64"/>
        <v>1193</v>
      </c>
      <c r="FF66" s="211">
        <f t="shared" si="65"/>
        <v>198.83333333333334</v>
      </c>
      <c r="FG66" s="755">
        <v>0</v>
      </c>
      <c r="FH66" s="345">
        <v>0</v>
      </c>
      <c r="FI66" s="345">
        <v>0</v>
      </c>
      <c r="FJ66" s="345">
        <v>849</v>
      </c>
      <c r="FK66" s="345">
        <v>0</v>
      </c>
      <c r="FL66" s="345">
        <v>0</v>
      </c>
      <c r="FM66" s="808">
        <f t="shared" si="66"/>
        <v>849</v>
      </c>
      <c r="FN66" s="211">
        <f t="shared" si="67"/>
        <v>141.5</v>
      </c>
      <c r="FO66" s="346">
        <v>969</v>
      </c>
      <c r="FP66" s="343">
        <v>0</v>
      </c>
      <c r="FQ66" s="343">
        <v>0</v>
      </c>
      <c r="FR66" s="343">
        <v>0</v>
      </c>
      <c r="FS66" s="343">
        <v>0</v>
      </c>
      <c r="FT66" s="343">
        <v>840</v>
      </c>
      <c r="FU66" s="808">
        <f t="shared" si="68"/>
        <v>1809</v>
      </c>
      <c r="FV66" s="211">
        <f t="shared" si="69"/>
        <v>301.5</v>
      </c>
      <c r="FW66" s="346">
        <v>0</v>
      </c>
      <c r="FX66" s="343">
        <v>0</v>
      </c>
      <c r="FY66" s="343">
        <v>975</v>
      </c>
      <c r="FZ66" s="343">
        <v>0</v>
      </c>
      <c r="GA66" s="343">
        <v>0</v>
      </c>
      <c r="GB66" s="343">
        <v>0</v>
      </c>
      <c r="GC66" s="808">
        <f t="shared" si="70"/>
        <v>975</v>
      </c>
      <c r="GD66" s="211">
        <f t="shared" si="71"/>
        <v>162.5</v>
      </c>
      <c r="GE66" s="346">
        <v>1060</v>
      </c>
      <c r="GF66" s="343">
        <v>0</v>
      </c>
      <c r="GG66" s="343">
        <v>0</v>
      </c>
      <c r="GH66" s="343">
        <v>0</v>
      </c>
      <c r="GI66" s="343">
        <v>0</v>
      </c>
      <c r="GJ66" s="343">
        <v>0</v>
      </c>
      <c r="GK66" s="808">
        <f t="shared" si="72"/>
        <v>1060</v>
      </c>
      <c r="GL66" s="211">
        <f t="shared" si="73"/>
        <v>176.66666666666666</v>
      </c>
      <c r="GM66" s="755">
        <v>1216</v>
      </c>
      <c r="GN66" s="345">
        <v>0</v>
      </c>
      <c r="GO66" s="345">
        <v>0</v>
      </c>
      <c r="GP66" s="345">
        <v>457</v>
      </c>
      <c r="GQ66" s="345">
        <v>0</v>
      </c>
      <c r="GR66" s="345">
        <v>0</v>
      </c>
      <c r="GS66" s="872">
        <f t="shared" si="74"/>
        <v>1673</v>
      </c>
      <c r="GT66" s="873">
        <f t="shared" si="75"/>
        <v>278.83333333333331</v>
      </c>
      <c r="GU66" s="346">
        <v>0</v>
      </c>
      <c r="GV66" s="343">
        <v>0</v>
      </c>
      <c r="GW66" s="343">
        <v>840</v>
      </c>
      <c r="GX66" s="343">
        <v>0</v>
      </c>
      <c r="GY66" s="343">
        <v>0</v>
      </c>
      <c r="GZ66" s="343">
        <v>0</v>
      </c>
      <c r="HA66" s="872">
        <f t="shared" si="76"/>
        <v>840</v>
      </c>
      <c r="HB66" s="873">
        <f t="shared" si="77"/>
        <v>140</v>
      </c>
      <c r="HC66" s="346">
        <v>0</v>
      </c>
      <c r="HD66" s="343">
        <v>0</v>
      </c>
      <c r="HE66" s="343">
        <v>757</v>
      </c>
      <c r="HF66" s="343"/>
      <c r="HG66" s="343"/>
      <c r="HH66" s="343"/>
      <c r="HI66" s="872">
        <f t="shared" si="78"/>
        <v>757</v>
      </c>
      <c r="HJ66" s="873">
        <f t="shared" si="79"/>
        <v>126.16666666666667</v>
      </c>
    </row>
    <row r="67" spans="1:218" s="323" customFormat="1" ht="15" customHeight="1" x14ac:dyDescent="0.2">
      <c r="A67" s="21">
        <v>56</v>
      </c>
      <c r="B67" s="21" t="s">
        <v>107</v>
      </c>
      <c r="C67" s="275" t="s">
        <v>108</v>
      </c>
      <c r="D67" s="21">
        <v>25</v>
      </c>
      <c r="E67" s="24"/>
      <c r="F67" s="24">
        <v>8492</v>
      </c>
      <c r="G67" s="24"/>
      <c r="H67" s="24"/>
      <c r="I67" s="360"/>
      <c r="J67" s="360">
        <f>SUMIF(SUMPK!$B:$B,$B:$B,SUMPK!$O:$O)</f>
        <v>2296</v>
      </c>
      <c r="K67" s="24"/>
      <c r="L67" s="24">
        <f t="shared" si="80"/>
        <v>6196</v>
      </c>
      <c r="M67" s="15">
        <f t="shared" si="25"/>
        <v>6196</v>
      </c>
      <c r="N67" s="15">
        <v>538.33333333333337</v>
      </c>
      <c r="O67" s="276">
        <f t="shared" si="26"/>
        <v>11.509597523219814</v>
      </c>
      <c r="P67" s="15">
        <v>781.33333333333337</v>
      </c>
      <c r="Q67" s="711">
        <f t="shared" si="27"/>
        <v>3200</v>
      </c>
      <c r="R67" s="276">
        <f t="shared" si="28"/>
        <v>47.580204778156997</v>
      </c>
      <c r="S67" s="712">
        <f t="shared" si="29"/>
        <v>738.46153846153845</v>
      </c>
      <c r="T67" s="713">
        <v>19200</v>
      </c>
      <c r="U67" s="276">
        <f t="shared" si="86"/>
        <v>8.3904166666666669</v>
      </c>
      <c r="V67" s="278"/>
      <c r="W67" s="276">
        <f t="shared" si="31"/>
        <v>8.3904166666666669</v>
      </c>
      <c r="X67" s="279">
        <f t="shared" si="0"/>
        <v>1</v>
      </c>
      <c r="Y67" s="305">
        <v>17</v>
      </c>
      <c r="Z67" s="721"/>
      <c r="AA67" s="244">
        <v>1596</v>
      </c>
      <c r="AB67" s="64">
        <v>0</v>
      </c>
      <c r="AC67" s="64">
        <v>0</v>
      </c>
      <c r="AD67" s="64">
        <v>1684</v>
      </c>
      <c r="AE67" s="64">
        <v>0</v>
      </c>
      <c r="AF67" s="64">
        <v>0</v>
      </c>
      <c r="AG67" s="64">
        <f t="shared" si="32"/>
        <v>3280</v>
      </c>
      <c r="AH67" s="211">
        <f t="shared" si="33"/>
        <v>546.66666666666663</v>
      </c>
      <c r="AI67" s="755">
        <v>2061</v>
      </c>
      <c r="AJ67" s="345">
        <v>0</v>
      </c>
      <c r="AK67" s="345">
        <v>419</v>
      </c>
      <c r="AL67" s="345">
        <v>2376</v>
      </c>
      <c r="AM67" s="345">
        <v>0</v>
      </c>
      <c r="AN67" s="345">
        <v>0</v>
      </c>
      <c r="AO67" s="808">
        <f t="shared" si="34"/>
        <v>4856</v>
      </c>
      <c r="AP67" s="809">
        <f t="shared" si="35"/>
        <v>809.33333333333337</v>
      </c>
      <c r="AQ67" s="814">
        <v>0</v>
      </c>
      <c r="AR67" s="815">
        <v>880</v>
      </c>
      <c r="AS67" s="815">
        <v>380</v>
      </c>
      <c r="AT67" s="815">
        <v>0</v>
      </c>
      <c r="AU67" s="815">
        <v>330</v>
      </c>
      <c r="AV67" s="815">
        <v>1822</v>
      </c>
      <c r="AW67" s="808">
        <f t="shared" si="36"/>
        <v>3412</v>
      </c>
      <c r="AX67" s="211">
        <f t="shared" si="37"/>
        <v>568.66666666666663</v>
      </c>
      <c r="AY67" s="346">
        <v>440</v>
      </c>
      <c r="AZ67" s="343">
        <v>1173</v>
      </c>
      <c r="BA67" s="343">
        <v>1939</v>
      </c>
      <c r="BB67" s="343">
        <v>0</v>
      </c>
      <c r="BC67" s="343">
        <v>0</v>
      </c>
      <c r="BD67" s="343">
        <v>0</v>
      </c>
      <c r="BE67" s="808">
        <f t="shared" si="38"/>
        <v>3552</v>
      </c>
      <c r="BF67" s="211">
        <f t="shared" si="39"/>
        <v>592</v>
      </c>
      <c r="BG67" s="814">
        <v>1708</v>
      </c>
      <c r="BH67" s="815">
        <v>0</v>
      </c>
      <c r="BI67" s="815">
        <v>2582</v>
      </c>
      <c r="BJ67" s="815">
        <v>0</v>
      </c>
      <c r="BK67" s="815">
        <v>0</v>
      </c>
      <c r="BL67" s="815">
        <v>0</v>
      </c>
      <c r="BM67" s="808">
        <f t="shared" si="40"/>
        <v>4290</v>
      </c>
      <c r="BN67" s="211">
        <f t="shared" si="41"/>
        <v>715</v>
      </c>
      <c r="BO67" s="755">
        <v>1290</v>
      </c>
      <c r="BP67" s="345">
        <v>847</v>
      </c>
      <c r="BQ67" s="345">
        <v>0</v>
      </c>
      <c r="BR67" s="345">
        <v>1123</v>
      </c>
      <c r="BS67" s="345">
        <v>124</v>
      </c>
      <c r="BT67" s="345">
        <v>1243</v>
      </c>
      <c r="BU67" s="808">
        <f t="shared" si="42"/>
        <v>4627</v>
      </c>
      <c r="BV67" s="211">
        <f t="shared" si="43"/>
        <v>771.16666666666663</v>
      </c>
      <c r="BW67" s="755">
        <v>1296</v>
      </c>
      <c r="BX67" s="345">
        <v>214</v>
      </c>
      <c r="BY67" s="345">
        <v>0</v>
      </c>
      <c r="BZ67" s="345">
        <v>440</v>
      </c>
      <c r="CA67" s="345">
        <v>1247</v>
      </c>
      <c r="CB67" s="345">
        <v>1371</v>
      </c>
      <c r="CC67" s="808">
        <f t="shared" si="44"/>
        <v>4568</v>
      </c>
      <c r="CD67" s="211">
        <f t="shared" si="45"/>
        <v>761.33333333333337</v>
      </c>
      <c r="CE67" s="346">
        <v>343</v>
      </c>
      <c r="CF67" s="343">
        <v>307</v>
      </c>
      <c r="CG67" s="343">
        <v>1507</v>
      </c>
      <c r="CH67" s="343">
        <v>0</v>
      </c>
      <c r="CI67" s="343">
        <v>0</v>
      </c>
      <c r="CJ67" s="343">
        <v>1676</v>
      </c>
      <c r="CK67" s="808">
        <f t="shared" si="46"/>
        <v>3833</v>
      </c>
      <c r="CL67" s="211">
        <f t="shared" si="47"/>
        <v>638.83333333333337</v>
      </c>
      <c r="CM67" s="346">
        <v>0</v>
      </c>
      <c r="CN67" s="343">
        <v>0</v>
      </c>
      <c r="CO67" s="343">
        <v>891</v>
      </c>
      <c r="CP67" s="343">
        <v>2827</v>
      </c>
      <c r="CQ67" s="343">
        <v>0</v>
      </c>
      <c r="CR67" s="343">
        <v>1126</v>
      </c>
      <c r="CS67" s="808">
        <f t="shared" si="48"/>
        <v>4844</v>
      </c>
      <c r="CT67" s="211">
        <f t="shared" si="49"/>
        <v>807.33333333333337</v>
      </c>
      <c r="CU67" s="346">
        <v>276</v>
      </c>
      <c r="CV67" s="343">
        <v>382</v>
      </c>
      <c r="CW67" s="343">
        <v>0</v>
      </c>
      <c r="CX67" s="343">
        <v>0</v>
      </c>
      <c r="CY67" s="343">
        <v>0</v>
      </c>
      <c r="CZ67" s="343">
        <v>2581</v>
      </c>
      <c r="DA67" s="808">
        <f t="shared" si="50"/>
        <v>3239</v>
      </c>
      <c r="DB67" s="211">
        <f t="shared" si="51"/>
        <v>539.83333333333337</v>
      </c>
      <c r="DC67" s="346">
        <v>0</v>
      </c>
      <c r="DD67" s="343">
        <v>0</v>
      </c>
      <c r="DE67" s="343">
        <v>2943</v>
      </c>
      <c r="DF67" s="343">
        <v>0</v>
      </c>
      <c r="DG67" s="343"/>
      <c r="DH67" s="343">
        <v>2231</v>
      </c>
      <c r="DI67" s="808">
        <f t="shared" si="52"/>
        <v>5174</v>
      </c>
      <c r="DJ67" s="211">
        <f t="shared" si="53"/>
        <v>862.33333333333337</v>
      </c>
      <c r="DK67" s="346">
        <v>0</v>
      </c>
      <c r="DL67" s="343">
        <v>0</v>
      </c>
      <c r="DM67" s="343">
        <v>1246</v>
      </c>
      <c r="DN67" s="343">
        <v>0</v>
      </c>
      <c r="DO67" s="343">
        <v>2255</v>
      </c>
      <c r="DP67" s="343">
        <v>0</v>
      </c>
      <c r="DQ67" s="808">
        <f t="shared" si="54"/>
        <v>3501</v>
      </c>
      <c r="DR67" s="211">
        <f t="shared" si="55"/>
        <v>583.5</v>
      </c>
      <c r="DS67" s="346">
        <v>770</v>
      </c>
      <c r="DT67" s="343">
        <v>1290</v>
      </c>
      <c r="DU67" s="343">
        <v>0</v>
      </c>
      <c r="DV67" s="343">
        <v>600</v>
      </c>
      <c r="DW67" s="343">
        <v>0</v>
      </c>
      <c r="DX67" s="343">
        <v>2947</v>
      </c>
      <c r="DY67" s="808">
        <f t="shared" si="56"/>
        <v>5607</v>
      </c>
      <c r="DZ67" s="211">
        <f t="shared" si="57"/>
        <v>934.5</v>
      </c>
      <c r="EA67" s="346">
        <v>15</v>
      </c>
      <c r="EB67" s="343">
        <v>360</v>
      </c>
      <c r="EC67" s="343"/>
      <c r="ED67" s="343">
        <v>566</v>
      </c>
      <c r="EE67" s="343">
        <v>1453</v>
      </c>
      <c r="EF67" s="343">
        <v>0</v>
      </c>
      <c r="EG67" s="808">
        <f t="shared" si="58"/>
        <v>2394</v>
      </c>
      <c r="EH67" s="211">
        <f t="shared" si="59"/>
        <v>399</v>
      </c>
      <c r="EI67" s="346">
        <v>0</v>
      </c>
      <c r="EJ67" s="343">
        <v>2712</v>
      </c>
      <c r="EK67" s="343">
        <v>0</v>
      </c>
      <c r="EL67" s="343">
        <v>328</v>
      </c>
      <c r="EM67" s="343">
        <v>0</v>
      </c>
      <c r="EN67" s="343">
        <v>1992</v>
      </c>
      <c r="EO67" s="808">
        <f t="shared" si="60"/>
        <v>5032</v>
      </c>
      <c r="EP67" s="211">
        <f t="shared" si="61"/>
        <v>838.66666666666663</v>
      </c>
      <c r="EQ67" s="346">
        <v>0</v>
      </c>
      <c r="ER67" s="343">
        <v>0</v>
      </c>
      <c r="ES67" s="343">
        <v>1620</v>
      </c>
      <c r="ET67" s="343">
        <v>0</v>
      </c>
      <c r="EU67" s="343">
        <v>0</v>
      </c>
      <c r="EV67" s="343">
        <v>1858</v>
      </c>
      <c r="EW67" s="808">
        <f t="shared" si="62"/>
        <v>3478</v>
      </c>
      <c r="EX67" s="211">
        <f t="shared" si="63"/>
        <v>579.66666666666663</v>
      </c>
      <c r="EY67" s="346">
        <v>0</v>
      </c>
      <c r="EZ67" s="343">
        <v>1441</v>
      </c>
      <c r="FA67" s="343">
        <v>0</v>
      </c>
      <c r="FB67" s="343">
        <v>0</v>
      </c>
      <c r="FC67" s="343">
        <v>3160</v>
      </c>
      <c r="FD67" s="343">
        <v>0</v>
      </c>
      <c r="FE67" s="808">
        <f t="shared" si="64"/>
        <v>4601</v>
      </c>
      <c r="FF67" s="211">
        <f t="shared" si="65"/>
        <v>766.83333333333337</v>
      </c>
      <c r="FG67" s="755">
        <v>1192</v>
      </c>
      <c r="FH67" s="345">
        <v>2052</v>
      </c>
      <c r="FI67" s="345">
        <v>0</v>
      </c>
      <c r="FJ67" s="345">
        <v>1331</v>
      </c>
      <c r="FK67" s="345">
        <v>0</v>
      </c>
      <c r="FL67" s="345">
        <v>0</v>
      </c>
      <c r="FM67" s="808">
        <f t="shared" si="66"/>
        <v>4575</v>
      </c>
      <c r="FN67" s="211">
        <f t="shared" si="67"/>
        <v>762.5</v>
      </c>
      <c r="FO67" s="346">
        <v>0</v>
      </c>
      <c r="FP67" s="343">
        <v>1468</v>
      </c>
      <c r="FQ67" s="343">
        <v>0</v>
      </c>
      <c r="FR67" s="343">
        <v>2735</v>
      </c>
      <c r="FS67" s="343">
        <v>0</v>
      </c>
      <c r="FT67" s="343">
        <v>1593</v>
      </c>
      <c r="FU67" s="808">
        <f t="shared" si="68"/>
        <v>5796</v>
      </c>
      <c r="FV67" s="211">
        <f t="shared" si="69"/>
        <v>966</v>
      </c>
      <c r="FW67" s="346">
        <v>615</v>
      </c>
      <c r="FX67" s="343">
        <v>0</v>
      </c>
      <c r="FY67" s="343">
        <v>0</v>
      </c>
      <c r="FZ67" s="343">
        <v>0</v>
      </c>
      <c r="GA67" s="343">
        <v>2334</v>
      </c>
      <c r="GB67" s="343">
        <v>0</v>
      </c>
      <c r="GC67" s="808">
        <f t="shared" si="70"/>
        <v>2949</v>
      </c>
      <c r="GD67" s="211">
        <f t="shared" si="71"/>
        <v>491.5</v>
      </c>
      <c r="GE67" s="346">
        <v>0</v>
      </c>
      <c r="GF67" s="343">
        <v>0</v>
      </c>
      <c r="GG67" s="343">
        <v>0</v>
      </c>
      <c r="GH67" s="343">
        <v>1535</v>
      </c>
      <c r="GI67" s="343">
        <v>0</v>
      </c>
      <c r="GJ67" s="343">
        <v>0</v>
      </c>
      <c r="GK67" s="808">
        <f t="shared" si="72"/>
        <v>1535</v>
      </c>
      <c r="GL67" s="211">
        <f t="shared" si="73"/>
        <v>255.83333333333334</v>
      </c>
      <c r="GM67" s="755">
        <v>0</v>
      </c>
      <c r="GN67" s="345">
        <v>2241</v>
      </c>
      <c r="GO67" s="345">
        <v>0</v>
      </c>
      <c r="GP67" s="345">
        <v>2380</v>
      </c>
      <c r="GQ67" s="345">
        <v>0</v>
      </c>
      <c r="GR67" s="345">
        <v>0</v>
      </c>
      <c r="GS67" s="872">
        <f t="shared" si="74"/>
        <v>4621</v>
      </c>
      <c r="GT67" s="873">
        <f t="shared" si="75"/>
        <v>770.16666666666663</v>
      </c>
      <c r="GU67" s="346">
        <v>915</v>
      </c>
      <c r="GV67" s="343">
        <v>0</v>
      </c>
      <c r="GW67" s="343">
        <v>0</v>
      </c>
      <c r="GX67" s="343">
        <v>1371</v>
      </c>
      <c r="GY67" s="343">
        <v>0</v>
      </c>
      <c r="GZ67" s="343">
        <v>944</v>
      </c>
      <c r="HA67" s="872">
        <f t="shared" si="76"/>
        <v>3230</v>
      </c>
      <c r="HB67" s="873">
        <f t="shared" si="77"/>
        <v>538.33333333333337</v>
      </c>
      <c r="HC67" s="346">
        <v>0</v>
      </c>
      <c r="HD67" s="343">
        <v>1129</v>
      </c>
      <c r="HE67" s="343">
        <v>330</v>
      </c>
      <c r="HF67" s="343"/>
      <c r="HG67" s="343"/>
      <c r="HH67" s="343"/>
      <c r="HI67" s="872">
        <f t="shared" si="78"/>
        <v>1459</v>
      </c>
      <c r="HJ67" s="873">
        <f t="shared" si="79"/>
        <v>243.16666666666666</v>
      </c>
    </row>
    <row r="68" spans="1:218" s="323" customFormat="1" ht="15" customHeight="1" x14ac:dyDescent="0.2">
      <c r="A68" s="21">
        <v>57</v>
      </c>
      <c r="B68" s="21" t="s">
        <v>314</v>
      </c>
      <c r="C68" s="275" t="s">
        <v>514</v>
      </c>
      <c r="D68" s="21">
        <v>25</v>
      </c>
      <c r="E68" s="24"/>
      <c r="F68" s="24">
        <v>2000</v>
      </c>
      <c r="G68" s="24"/>
      <c r="H68" s="24"/>
      <c r="I68" s="360"/>
      <c r="J68" s="360">
        <f>SUMIF(SUMPK!$B:$B,$B:$B,SUMPK!$O:$O)</f>
        <v>0</v>
      </c>
      <c r="K68" s="24"/>
      <c r="L68" s="24">
        <f t="shared" ref="L68:L69" si="93">F68+H68-J68</f>
        <v>2000</v>
      </c>
      <c r="M68" s="15">
        <f t="shared" ref="M68:M69" si="94">K68+L68</f>
        <v>2000</v>
      </c>
      <c r="N68" s="15">
        <v>0</v>
      </c>
      <c r="O68" s="276">
        <f t="shared" si="26"/>
        <v>0</v>
      </c>
      <c r="P68" s="15"/>
      <c r="Q68" s="711">
        <f t="shared" si="27"/>
        <v>0</v>
      </c>
      <c r="R68" s="276"/>
      <c r="S68" s="712">
        <f t="shared" si="29"/>
        <v>0</v>
      </c>
      <c r="T68" s="713"/>
      <c r="U68" s="276">
        <f t="shared" si="86"/>
        <v>0</v>
      </c>
      <c r="V68" s="278"/>
      <c r="W68" s="276">
        <f t="shared" si="31"/>
        <v>0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0</v>
      </c>
      <c r="AG68" s="64">
        <f t="shared" si="32"/>
        <v>0</v>
      </c>
      <c r="AH68" s="211">
        <f t="shared" si="33"/>
        <v>0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4"/>
        <v>0</v>
      </c>
      <c r="AP68" s="809">
        <f t="shared" si="35"/>
        <v>0</v>
      </c>
      <c r="AQ68" s="814">
        <v>0</v>
      </c>
      <c r="AR68" s="815">
        <v>0</v>
      </c>
      <c r="AS68" s="815">
        <v>0</v>
      </c>
      <c r="AT68" s="815">
        <v>0</v>
      </c>
      <c r="AU68" s="815">
        <v>0</v>
      </c>
      <c r="AV68" s="815">
        <v>0</v>
      </c>
      <c r="AW68" s="808">
        <f t="shared" si="36"/>
        <v>0</v>
      </c>
      <c r="AX68" s="211">
        <f t="shared" si="37"/>
        <v>0</v>
      </c>
      <c r="AY68" s="346">
        <v>0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38"/>
        <v>0</v>
      </c>
      <c r="BF68" s="211">
        <f t="shared" si="39"/>
        <v>0</v>
      </c>
      <c r="BG68" s="814">
        <v>0</v>
      </c>
      <c r="BH68" s="815">
        <v>0</v>
      </c>
      <c r="BI68" s="815">
        <v>0</v>
      </c>
      <c r="BJ68" s="815">
        <v>0</v>
      </c>
      <c r="BK68" s="815">
        <v>0</v>
      </c>
      <c r="BL68" s="815">
        <v>0</v>
      </c>
      <c r="BM68" s="808">
        <f t="shared" si="40"/>
        <v>0</v>
      </c>
      <c r="BN68" s="211">
        <f t="shared" si="41"/>
        <v>0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2"/>
        <v>0</v>
      </c>
      <c r="BV68" s="211">
        <f t="shared" si="43"/>
        <v>0</v>
      </c>
      <c r="BW68" s="755">
        <v>0</v>
      </c>
      <c r="BX68" s="345">
        <v>0</v>
      </c>
      <c r="BY68" s="345">
        <v>0</v>
      </c>
      <c r="BZ68" s="345">
        <v>0</v>
      </c>
      <c r="CA68" s="345">
        <v>0</v>
      </c>
      <c r="CB68" s="345">
        <v>0</v>
      </c>
      <c r="CC68" s="808">
        <f t="shared" si="44"/>
        <v>0</v>
      </c>
      <c r="CD68" s="211">
        <f t="shared" si="45"/>
        <v>0</v>
      </c>
      <c r="CE68" s="346">
        <v>0</v>
      </c>
      <c r="CF68" s="343">
        <v>0</v>
      </c>
      <c r="CG68" s="343">
        <v>0</v>
      </c>
      <c r="CH68" s="343">
        <v>0</v>
      </c>
      <c r="CI68" s="343">
        <v>122</v>
      </c>
      <c r="CJ68" s="343">
        <v>0</v>
      </c>
      <c r="CK68" s="808">
        <f t="shared" si="46"/>
        <v>122</v>
      </c>
      <c r="CL68" s="211">
        <f t="shared" si="47"/>
        <v>20.333333333333332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48"/>
        <v>0</v>
      </c>
      <c r="CT68" s="211">
        <f t="shared" si="49"/>
        <v>0</v>
      </c>
      <c r="CU68" s="346">
        <v>0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0"/>
        <v>0</v>
      </c>
      <c r="DB68" s="211">
        <f t="shared" si="51"/>
        <v>0</v>
      </c>
      <c r="DC68" s="346">
        <v>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2"/>
        <v>0</v>
      </c>
      <c r="DJ68" s="211">
        <f t="shared" si="53"/>
        <v>0</v>
      </c>
      <c r="DK68" s="346">
        <v>0</v>
      </c>
      <c r="DL68" s="343">
        <v>0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4"/>
        <v>0</v>
      </c>
      <c r="DR68" s="211">
        <f t="shared" si="55"/>
        <v>0</v>
      </c>
      <c r="DS68" s="346">
        <v>0</v>
      </c>
      <c r="DT68" s="343">
        <v>0</v>
      </c>
      <c r="DU68" s="343">
        <v>0</v>
      </c>
      <c r="DV68" s="343">
        <v>0</v>
      </c>
      <c r="DW68" s="343">
        <v>0</v>
      </c>
      <c r="DX68" s="343">
        <v>0</v>
      </c>
      <c r="DY68" s="808">
        <f t="shared" si="56"/>
        <v>0</v>
      </c>
      <c r="DZ68" s="211">
        <f t="shared" si="57"/>
        <v>0</v>
      </c>
      <c r="EA68" s="346">
        <v>0</v>
      </c>
      <c r="EB68" s="343">
        <v>0</v>
      </c>
      <c r="EC68" s="343"/>
      <c r="ED68" s="343">
        <v>0</v>
      </c>
      <c r="EE68" s="343">
        <v>0</v>
      </c>
      <c r="EF68" s="343">
        <v>0</v>
      </c>
      <c r="EG68" s="808">
        <f t="shared" si="58"/>
        <v>0</v>
      </c>
      <c r="EH68" s="211">
        <f t="shared" si="59"/>
        <v>0</v>
      </c>
      <c r="EI68" s="346">
        <v>0</v>
      </c>
      <c r="EJ68" s="343">
        <v>0</v>
      </c>
      <c r="EK68" s="343">
        <v>0</v>
      </c>
      <c r="EL68" s="343">
        <v>0</v>
      </c>
      <c r="EM68" s="343">
        <v>0</v>
      </c>
      <c r="EN68" s="343">
        <v>0</v>
      </c>
      <c r="EO68" s="808">
        <f t="shared" si="60"/>
        <v>0</v>
      </c>
      <c r="EP68" s="211">
        <f t="shared" si="61"/>
        <v>0</v>
      </c>
      <c r="EQ68" s="346">
        <v>0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2"/>
        <v>0</v>
      </c>
      <c r="EX68" s="211">
        <f t="shared" si="63"/>
        <v>0</v>
      </c>
      <c r="EY68" s="346">
        <v>0</v>
      </c>
      <c r="EZ68" s="343">
        <v>0</v>
      </c>
      <c r="FA68" s="343">
        <v>0</v>
      </c>
      <c r="FB68" s="343">
        <v>0</v>
      </c>
      <c r="FC68" s="343">
        <v>0</v>
      </c>
      <c r="FD68" s="343">
        <v>0</v>
      </c>
      <c r="FE68" s="808">
        <f t="shared" si="64"/>
        <v>0</v>
      </c>
      <c r="FF68" s="211">
        <f t="shared" si="65"/>
        <v>0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6"/>
        <v>0</v>
      </c>
      <c r="FN68" s="211">
        <f t="shared" si="67"/>
        <v>0</v>
      </c>
      <c r="FO68" s="346">
        <v>0</v>
      </c>
      <c r="FP68" s="343">
        <v>0</v>
      </c>
      <c r="FQ68" s="343">
        <v>0</v>
      </c>
      <c r="FR68" s="343">
        <v>0</v>
      </c>
      <c r="FS68" s="343">
        <v>0</v>
      </c>
      <c r="FT68" s="343">
        <v>0</v>
      </c>
      <c r="FU68" s="808">
        <f t="shared" si="68"/>
        <v>0</v>
      </c>
      <c r="FV68" s="211">
        <f t="shared" si="69"/>
        <v>0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0"/>
        <v>0</v>
      </c>
      <c r="GD68" s="211">
        <f t="shared" si="71"/>
        <v>0</v>
      </c>
      <c r="GE68" s="346">
        <v>0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2"/>
        <v>0</v>
      </c>
      <c r="GL68" s="211">
        <f t="shared" si="73"/>
        <v>0</v>
      </c>
      <c r="GM68" s="755">
        <v>0</v>
      </c>
      <c r="GN68" s="345">
        <v>0</v>
      </c>
      <c r="GO68" s="345">
        <v>929</v>
      </c>
      <c r="GP68" s="345">
        <v>0</v>
      </c>
      <c r="GQ68" s="345">
        <v>0</v>
      </c>
      <c r="GR68" s="345">
        <v>0</v>
      </c>
      <c r="GS68" s="872">
        <f t="shared" si="74"/>
        <v>929</v>
      </c>
      <c r="GT68" s="873">
        <f t="shared" si="75"/>
        <v>154.83333333333334</v>
      </c>
      <c r="GU68" s="346">
        <v>0</v>
      </c>
      <c r="GV68" s="343">
        <v>0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6"/>
        <v>0</v>
      </c>
      <c r="HB68" s="873">
        <f t="shared" si="77"/>
        <v>0</v>
      </c>
      <c r="HC68" s="346">
        <v>0</v>
      </c>
      <c r="HD68" s="343">
        <v>0</v>
      </c>
      <c r="HE68" s="343">
        <v>0</v>
      </c>
      <c r="HF68" s="343"/>
      <c r="HG68" s="343"/>
      <c r="HH68" s="343"/>
      <c r="HI68" s="872">
        <f t="shared" si="78"/>
        <v>0</v>
      </c>
      <c r="HJ68" s="873">
        <f t="shared" si="79"/>
        <v>0</v>
      </c>
    </row>
    <row r="69" spans="1:218" s="323" customFormat="1" ht="15" customHeight="1" x14ac:dyDescent="0.2">
      <c r="A69" s="21">
        <v>58</v>
      </c>
      <c r="B69" s="21" t="s">
        <v>52</v>
      </c>
      <c r="C69" s="275" t="s">
        <v>53</v>
      </c>
      <c r="D69" s="21">
        <v>25</v>
      </c>
      <c r="E69" s="24"/>
      <c r="F69" s="24">
        <v>700</v>
      </c>
      <c r="G69" s="24"/>
      <c r="H69" s="24"/>
      <c r="I69" s="360"/>
      <c r="J69" s="360">
        <f>SUMIF(SUMPK!$B:$B,$B:$B,SUMPK!$O:$O)</f>
        <v>344</v>
      </c>
      <c r="K69" s="24"/>
      <c r="L69" s="24">
        <f t="shared" si="93"/>
        <v>356</v>
      </c>
      <c r="M69" s="15">
        <f t="shared" si="94"/>
        <v>356</v>
      </c>
      <c r="N69" s="15">
        <v>39</v>
      </c>
      <c r="O69" s="276">
        <f t="shared" si="26"/>
        <v>9.1282051282051277</v>
      </c>
      <c r="P69" s="15">
        <v>123.83333333333333</v>
      </c>
      <c r="Q69" s="711">
        <f t="shared" si="27"/>
        <v>213.33333333333334</v>
      </c>
      <c r="R69" s="276">
        <f t="shared" si="28"/>
        <v>17.248990578734862</v>
      </c>
      <c r="S69" s="712">
        <f t="shared" si="29"/>
        <v>49.230769230769234</v>
      </c>
      <c r="T69" s="713">
        <v>1280</v>
      </c>
      <c r="U69" s="276">
        <f t="shared" si="86"/>
        <v>7.2312499999999993</v>
      </c>
      <c r="V69" s="278"/>
      <c r="W69" s="276">
        <f t="shared" si="31"/>
        <v>7.2312499999999993</v>
      </c>
      <c r="X69" s="279">
        <f t="shared" si="0"/>
        <v>1</v>
      </c>
      <c r="Y69" s="305">
        <v>18</v>
      </c>
      <c r="Z69" s="721"/>
      <c r="AA69" s="244">
        <v>0</v>
      </c>
      <c r="AB69" s="64">
        <v>0</v>
      </c>
      <c r="AC69" s="64">
        <v>0</v>
      </c>
      <c r="AD69" s="64">
        <v>0</v>
      </c>
      <c r="AE69" s="64">
        <v>0</v>
      </c>
      <c r="AF69" s="64">
        <v>343</v>
      </c>
      <c r="AG69" s="64">
        <f t="shared" si="32"/>
        <v>343</v>
      </c>
      <c r="AH69" s="211">
        <f t="shared" si="33"/>
        <v>57.166666666666664</v>
      </c>
      <c r="AI69" s="755">
        <v>0</v>
      </c>
      <c r="AJ69" s="345">
        <v>0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4"/>
        <v>0</v>
      </c>
      <c r="AP69" s="809">
        <f t="shared" si="35"/>
        <v>0</v>
      </c>
      <c r="AQ69" s="814">
        <v>0</v>
      </c>
      <c r="AR69" s="815">
        <v>0</v>
      </c>
      <c r="AS69" s="815">
        <v>200</v>
      </c>
      <c r="AT69" s="815">
        <v>0</v>
      </c>
      <c r="AU69" s="815">
        <v>0</v>
      </c>
      <c r="AV69" s="815">
        <v>0</v>
      </c>
      <c r="AW69" s="808">
        <f t="shared" si="36"/>
        <v>200</v>
      </c>
      <c r="AX69" s="211">
        <f t="shared" si="37"/>
        <v>33.333333333333336</v>
      </c>
      <c r="AY69" s="346">
        <v>469</v>
      </c>
      <c r="AZ69" s="343">
        <v>0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38"/>
        <v>469</v>
      </c>
      <c r="BF69" s="211">
        <f t="shared" si="39"/>
        <v>78.166666666666671</v>
      </c>
      <c r="BG69" s="814">
        <v>0</v>
      </c>
      <c r="BH69" s="815">
        <v>0</v>
      </c>
      <c r="BI69" s="815">
        <v>476</v>
      </c>
      <c r="BJ69" s="815">
        <v>0</v>
      </c>
      <c r="BK69" s="815">
        <v>0</v>
      </c>
      <c r="BL69" s="815">
        <v>0</v>
      </c>
      <c r="BM69" s="808">
        <f t="shared" si="40"/>
        <v>476</v>
      </c>
      <c r="BN69" s="211">
        <f t="shared" si="41"/>
        <v>79.333333333333329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0</v>
      </c>
      <c r="BU69" s="808">
        <f t="shared" si="42"/>
        <v>0</v>
      </c>
      <c r="BV69" s="211">
        <f t="shared" si="43"/>
        <v>0</v>
      </c>
      <c r="BW69" s="755">
        <v>339</v>
      </c>
      <c r="BX69" s="345">
        <v>0</v>
      </c>
      <c r="BY69" s="345">
        <v>0</v>
      </c>
      <c r="BZ69" s="345">
        <v>0</v>
      </c>
      <c r="CA69" s="345">
        <v>0</v>
      </c>
      <c r="CB69" s="345">
        <v>580</v>
      </c>
      <c r="CC69" s="808">
        <f t="shared" si="44"/>
        <v>919</v>
      </c>
      <c r="CD69" s="211">
        <f t="shared" si="45"/>
        <v>153.16666666666666</v>
      </c>
      <c r="CE69" s="346">
        <v>0</v>
      </c>
      <c r="CF69" s="343">
        <v>0</v>
      </c>
      <c r="CG69" s="343">
        <v>0</v>
      </c>
      <c r="CH69" s="343">
        <v>0</v>
      </c>
      <c r="CI69" s="343">
        <v>0</v>
      </c>
      <c r="CJ69" s="343">
        <v>0</v>
      </c>
      <c r="CK69" s="808">
        <f t="shared" si="46"/>
        <v>0</v>
      </c>
      <c r="CL69" s="211">
        <f t="shared" si="47"/>
        <v>0</v>
      </c>
      <c r="CM69" s="346">
        <v>0</v>
      </c>
      <c r="CN69" s="343">
        <v>0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48"/>
        <v>0</v>
      </c>
      <c r="CT69" s="211">
        <f t="shared" si="49"/>
        <v>0</v>
      </c>
      <c r="CU69" s="346">
        <v>184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0"/>
        <v>184</v>
      </c>
      <c r="DB69" s="211">
        <f t="shared" si="51"/>
        <v>30.666666666666668</v>
      </c>
      <c r="DC69" s="346">
        <v>180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2"/>
        <v>180</v>
      </c>
      <c r="DJ69" s="211">
        <f t="shared" si="53"/>
        <v>30</v>
      </c>
      <c r="DK69" s="346">
        <v>0</v>
      </c>
      <c r="DL69" s="343">
        <v>339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4"/>
        <v>339</v>
      </c>
      <c r="DR69" s="211">
        <f t="shared" si="55"/>
        <v>56.5</v>
      </c>
      <c r="DS69" s="346">
        <v>0</v>
      </c>
      <c r="DT69" s="343">
        <v>0</v>
      </c>
      <c r="DU69" s="343">
        <v>361</v>
      </c>
      <c r="DV69" s="343">
        <v>0</v>
      </c>
      <c r="DW69" s="343">
        <v>0</v>
      </c>
      <c r="DX69" s="343">
        <v>0</v>
      </c>
      <c r="DY69" s="808">
        <f t="shared" si="56"/>
        <v>361</v>
      </c>
      <c r="DZ69" s="211">
        <f t="shared" si="57"/>
        <v>60.166666666666664</v>
      </c>
      <c r="EA69" s="346">
        <v>0</v>
      </c>
      <c r="EB69" s="343">
        <v>301</v>
      </c>
      <c r="EC69" s="343"/>
      <c r="ED69" s="343">
        <v>0</v>
      </c>
      <c r="EE69" s="343">
        <v>0</v>
      </c>
      <c r="EF69" s="343">
        <v>0</v>
      </c>
      <c r="EG69" s="808">
        <f t="shared" si="58"/>
        <v>301</v>
      </c>
      <c r="EH69" s="211">
        <f t="shared" si="59"/>
        <v>50.166666666666664</v>
      </c>
      <c r="EI69" s="346">
        <v>0</v>
      </c>
      <c r="EJ69" s="343">
        <v>0</v>
      </c>
      <c r="EK69" s="343">
        <v>199</v>
      </c>
      <c r="EL69" s="343">
        <v>0</v>
      </c>
      <c r="EM69" s="343">
        <v>0</v>
      </c>
      <c r="EN69" s="343">
        <v>0</v>
      </c>
      <c r="EO69" s="808">
        <f t="shared" si="60"/>
        <v>199</v>
      </c>
      <c r="EP69" s="211">
        <f t="shared" si="61"/>
        <v>33.166666666666664</v>
      </c>
      <c r="EQ69" s="346">
        <v>338</v>
      </c>
      <c r="ER69" s="343">
        <v>0</v>
      </c>
      <c r="ES69" s="343">
        <v>0</v>
      </c>
      <c r="ET69" s="343">
        <v>0</v>
      </c>
      <c r="EU69" s="343">
        <v>0</v>
      </c>
      <c r="EV69" s="343">
        <v>0</v>
      </c>
      <c r="EW69" s="808">
        <f t="shared" si="62"/>
        <v>338</v>
      </c>
      <c r="EX69" s="211">
        <f t="shared" si="63"/>
        <v>56.333333333333336</v>
      </c>
      <c r="EY69" s="346">
        <v>0</v>
      </c>
      <c r="EZ69" s="343">
        <v>220</v>
      </c>
      <c r="FA69" s="343">
        <v>211</v>
      </c>
      <c r="FB69" s="343">
        <v>0</v>
      </c>
      <c r="FC69" s="343">
        <v>0</v>
      </c>
      <c r="FD69" s="343">
        <v>0</v>
      </c>
      <c r="FE69" s="808">
        <f t="shared" si="64"/>
        <v>431</v>
      </c>
      <c r="FF69" s="211">
        <f t="shared" si="65"/>
        <v>71.833333333333329</v>
      </c>
      <c r="FG69" s="755">
        <v>0</v>
      </c>
      <c r="FH69" s="345">
        <v>0</v>
      </c>
      <c r="FI69" s="345">
        <v>0</v>
      </c>
      <c r="FJ69" s="345">
        <v>0</v>
      </c>
      <c r="FK69" s="345">
        <v>0</v>
      </c>
      <c r="FL69" s="345">
        <v>0</v>
      </c>
      <c r="FM69" s="808">
        <f t="shared" si="66"/>
        <v>0</v>
      </c>
      <c r="FN69" s="211">
        <f t="shared" si="67"/>
        <v>0</v>
      </c>
      <c r="FO69" s="346">
        <v>0</v>
      </c>
      <c r="FP69" s="343">
        <v>0</v>
      </c>
      <c r="FQ69" s="343">
        <v>558</v>
      </c>
      <c r="FR69" s="343">
        <v>0</v>
      </c>
      <c r="FS69" s="343">
        <v>0</v>
      </c>
      <c r="FT69" s="343">
        <v>0</v>
      </c>
      <c r="FU69" s="808">
        <f t="shared" si="68"/>
        <v>558</v>
      </c>
      <c r="FV69" s="211">
        <f t="shared" si="69"/>
        <v>93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0"/>
        <v>0</v>
      </c>
      <c r="GD69" s="211">
        <f t="shared" si="71"/>
        <v>0</v>
      </c>
      <c r="GE69" s="346">
        <v>54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2"/>
        <v>54</v>
      </c>
      <c r="GL69" s="211">
        <f t="shared" si="73"/>
        <v>9</v>
      </c>
      <c r="GM69" s="755">
        <v>0</v>
      </c>
      <c r="GN69" s="345">
        <v>0</v>
      </c>
      <c r="GO69" s="345">
        <v>341</v>
      </c>
      <c r="GP69" s="345">
        <v>0</v>
      </c>
      <c r="GQ69" s="345">
        <v>0</v>
      </c>
      <c r="GR69" s="345">
        <v>0</v>
      </c>
      <c r="GS69" s="872">
        <f t="shared" si="74"/>
        <v>341</v>
      </c>
      <c r="GT69" s="873">
        <f t="shared" si="75"/>
        <v>56.833333333333336</v>
      </c>
      <c r="GU69" s="346">
        <v>0</v>
      </c>
      <c r="GV69" s="343">
        <v>234</v>
      </c>
      <c r="GW69" s="343">
        <v>0</v>
      </c>
      <c r="GX69" s="343">
        <v>0</v>
      </c>
      <c r="GY69" s="343">
        <v>0</v>
      </c>
      <c r="GZ69" s="343">
        <v>0</v>
      </c>
      <c r="HA69" s="872">
        <f t="shared" si="76"/>
        <v>234</v>
      </c>
      <c r="HB69" s="873">
        <f t="shared" si="77"/>
        <v>39</v>
      </c>
      <c r="HC69" s="346">
        <v>0</v>
      </c>
      <c r="HD69" s="343">
        <v>0</v>
      </c>
      <c r="HE69" s="343">
        <v>0</v>
      </c>
      <c r="HF69" s="343"/>
      <c r="HG69" s="343"/>
      <c r="HH69" s="343"/>
      <c r="HI69" s="872">
        <f t="shared" si="78"/>
        <v>0</v>
      </c>
      <c r="HJ69" s="873">
        <f t="shared" si="79"/>
        <v>0</v>
      </c>
    </row>
    <row r="70" spans="1:218" s="323" customFormat="1" ht="15" customHeight="1" x14ac:dyDescent="0.2">
      <c r="A70" s="21">
        <v>59</v>
      </c>
      <c r="B70" s="21" t="s">
        <v>109</v>
      </c>
      <c r="C70" s="275" t="s">
        <v>110</v>
      </c>
      <c r="D70" s="21">
        <v>25</v>
      </c>
      <c r="E70" s="24"/>
      <c r="F70" s="24">
        <v>2690</v>
      </c>
      <c r="G70" s="24"/>
      <c r="H70" s="24"/>
      <c r="I70" s="360"/>
      <c r="J70" s="360">
        <f>SUMIF(SUMPK!$B:$B,$B:$B,SUMPK!$O:$O)</f>
        <v>260</v>
      </c>
      <c r="K70" s="24"/>
      <c r="L70" s="24">
        <f t="shared" si="80"/>
        <v>2430</v>
      </c>
      <c r="M70" s="15">
        <f t="shared" si="25"/>
        <v>2430</v>
      </c>
      <c r="N70" s="15">
        <v>314.16666666666669</v>
      </c>
      <c r="O70" s="276">
        <f t="shared" si="26"/>
        <v>7.7347480106100788</v>
      </c>
      <c r="P70" s="15">
        <v>0</v>
      </c>
      <c r="Q70" s="711">
        <f t="shared" si="27"/>
        <v>320</v>
      </c>
      <c r="R70" s="276">
        <f t="shared" si="28"/>
        <v>0</v>
      </c>
      <c r="S70" s="712">
        <f t="shared" si="29"/>
        <v>73.84615384615384</v>
      </c>
      <c r="T70" s="713">
        <v>1920</v>
      </c>
      <c r="U70" s="276">
        <f t="shared" si="86"/>
        <v>32.90625</v>
      </c>
      <c r="V70" s="278"/>
      <c r="W70" s="276">
        <f t="shared" si="31"/>
        <v>32.90625</v>
      </c>
      <c r="X70" s="279">
        <f t="shared" si="0"/>
        <v>1</v>
      </c>
      <c r="Y70" s="305">
        <v>18</v>
      </c>
      <c r="Z70" s="721"/>
      <c r="AA70" s="244">
        <v>349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64">
        <f t="shared" si="32"/>
        <v>349</v>
      </c>
      <c r="AH70" s="211">
        <f t="shared" si="33"/>
        <v>58.166666666666664</v>
      </c>
      <c r="AI70" s="755">
        <v>0</v>
      </c>
      <c r="AJ70" s="345">
        <v>726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4"/>
        <v>726</v>
      </c>
      <c r="AP70" s="809">
        <f t="shared" si="35"/>
        <v>121</v>
      </c>
      <c r="AQ70" s="814">
        <v>0</v>
      </c>
      <c r="AR70" s="815">
        <v>0</v>
      </c>
      <c r="AS70" s="815">
        <v>0</v>
      </c>
      <c r="AT70" s="815">
        <v>0</v>
      </c>
      <c r="AU70" s="815">
        <v>0</v>
      </c>
      <c r="AV70" s="815">
        <v>0</v>
      </c>
      <c r="AW70" s="808">
        <f t="shared" si="36"/>
        <v>0</v>
      </c>
      <c r="AX70" s="211">
        <f t="shared" si="37"/>
        <v>0</v>
      </c>
      <c r="AY70" s="346">
        <v>200</v>
      </c>
      <c r="AZ70" s="343">
        <v>487</v>
      </c>
      <c r="BA70" s="343">
        <v>0</v>
      </c>
      <c r="BB70" s="343">
        <v>0</v>
      </c>
      <c r="BC70" s="343">
        <v>0</v>
      </c>
      <c r="BD70" s="343">
        <v>0</v>
      </c>
      <c r="BE70" s="808">
        <f t="shared" si="38"/>
        <v>687</v>
      </c>
      <c r="BF70" s="211">
        <f t="shared" si="39"/>
        <v>114.5</v>
      </c>
      <c r="BG70" s="814">
        <v>0</v>
      </c>
      <c r="BH70" s="815">
        <v>0</v>
      </c>
      <c r="BI70" s="815">
        <v>0</v>
      </c>
      <c r="BJ70" s="815">
        <v>0</v>
      </c>
      <c r="BK70" s="815">
        <v>0</v>
      </c>
      <c r="BL70" s="815">
        <v>682</v>
      </c>
      <c r="BM70" s="808">
        <f t="shared" si="40"/>
        <v>682</v>
      </c>
      <c r="BN70" s="211">
        <f t="shared" si="41"/>
        <v>113.66666666666667</v>
      </c>
      <c r="BO70" s="755">
        <v>0</v>
      </c>
      <c r="BP70" s="345">
        <v>0</v>
      </c>
      <c r="BQ70" s="345">
        <v>0</v>
      </c>
      <c r="BR70" s="345">
        <v>0</v>
      </c>
      <c r="BS70" s="345">
        <v>0</v>
      </c>
      <c r="BT70" s="345">
        <v>361</v>
      </c>
      <c r="BU70" s="808">
        <f t="shared" si="42"/>
        <v>361</v>
      </c>
      <c r="BV70" s="211">
        <f t="shared" si="43"/>
        <v>60.166666666666664</v>
      </c>
      <c r="BW70" s="755">
        <v>0</v>
      </c>
      <c r="BX70" s="345">
        <v>0</v>
      </c>
      <c r="BY70" s="345">
        <v>0</v>
      </c>
      <c r="BZ70" s="345">
        <v>0</v>
      </c>
      <c r="CA70" s="345">
        <v>0</v>
      </c>
      <c r="CB70" s="345">
        <v>664</v>
      </c>
      <c r="CC70" s="808">
        <f t="shared" si="44"/>
        <v>664</v>
      </c>
      <c r="CD70" s="211">
        <f t="shared" si="45"/>
        <v>110.66666666666667</v>
      </c>
      <c r="CE70" s="346">
        <v>0</v>
      </c>
      <c r="CF70" s="343">
        <v>0</v>
      </c>
      <c r="CG70" s="343">
        <v>400</v>
      </c>
      <c r="CH70" s="343">
        <v>0</v>
      </c>
      <c r="CI70" s="343">
        <v>0</v>
      </c>
      <c r="CJ70" s="343">
        <v>0</v>
      </c>
      <c r="CK70" s="808">
        <f t="shared" si="46"/>
        <v>400</v>
      </c>
      <c r="CL70" s="211">
        <f t="shared" si="47"/>
        <v>66.666666666666671</v>
      </c>
      <c r="CM70" s="346">
        <v>0</v>
      </c>
      <c r="CN70" s="343">
        <v>573</v>
      </c>
      <c r="CO70" s="343">
        <v>0</v>
      </c>
      <c r="CP70" s="343">
        <v>0</v>
      </c>
      <c r="CQ70" s="343">
        <v>0</v>
      </c>
      <c r="CR70" s="343">
        <v>0</v>
      </c>
      <c r="CS70" s="808">
        <f t="shared" si="48"/>
        <v>573</v>
      </c>
      <c r="CT70" s="211">
        <f t="shared" si="49"/>
        <v>95.5</v>
      </c>
      <c r="CU70" s="346">
        <v>563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0"/>
        <v>563</v>
      </c>
      <c r="DB70" s="211">
        <f t="shared" si="51"/>
        <v>93.833333333333329</v>
      </c>
      <c r="DC70" s="346">
        <v>667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2"/>
        <v>667</v>
      </c>
      <c r="DJ70" s="211">
        <f t="shared" si="53"/>
        <v>111.16666666666667</v>
      </c>
      <c r="DK70" s="346">
        <v>0</v>
      </c>
      <c r="DL70" s="343">
        <v>0</v>
      </c>
      <c r="DM70" s="343">
        <v>0</v>
      </c>
      <c r="DN70" s="343">
        <v>0</v>
      </c>
      <c r="DO70" s="343">
        <v>0</v>
      </c>
      <c r="DP70" s="343">
        <v>0</v>
      </c>
      <c r="DQ70" s="808">
        <f t="shared" si="54"/>
        <v>0</v>
      </c>
      <c r="DR70" s="211">
        <f t="shared" si="55"/>
        <v>0</v>
      </c>
      <c r="DS70" s="346">
        <v>0</v>
      </c>
      <c r="DT70" s="343">
        <v>440</v>
      </c>
      <c r="DU70" s="343">
        <v>255</v>
      </c>
      <c r="DV70" s="343">
        <v>0</v>
      </c>
      <c r="DW70" s="343">
        <v>269</v>
      </c>
      <c r="DX70" s="343">
        <v>0</v>
      </c>
      <c r="DY70" s="808">
        <f t="shared" si="56"/>
        <v>964</v>
      </c>
      <c r="DZ70" s="211">
        <f t="shared" si="57"/>
        <v>160.66666666666666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685</v>
      </c>
      <c r="EG70" s="808">
        <f t="shared" si="58"/>
        <v>685</v>
      </c>
      <c r="EH70" s="211">
        <f t="shared" si="59"/>
        <v>114.16666666666667</v>
      </c>
      <c r="EI70" s="346">
        <v>0</v>
      </c>
      <c r="EJ70" s="343">
        <v>0</v>
      </c>
      <c r="EK70" s="343">
        <v>610</v>
      </c>
      <c r="EL70" s="343">
        <v>0</v>
      </c>
      <c r="EM70" s="343">
        <v>0</v>
      </c>
      <c r="EN70" s="343">
        <v>0</v>
      </c>
      <c r="EO70" s="808">
        <f t="shared" si="60"/>
        <v>610</v>
      </c>
      <c r="EP70" s="211">
        <f t="shared" si="61"/>
        <v>101.66666666666667</v>
      </c>
      <c r="EQ70" s="346">
        <v>319</v>
      </c>
      <c r="ER70" s="343">
        <v>0</v>
      </c>
      <c r="ES70" s="343">
        <v>0</v>
      </c>
      <c r="ET70" s="343">
        <v>0</v>
      </c>
      <c r="EU70" s="343">
        <v>338</v>
      </c>
      <c r="EV70" s="343">
        <v>0</v>
      </c>
      <c r="EW70" s="808">
        <f t="shared" si="62"/>
        <v>657</v>
      </c>
      <c r="EX70" s="211">
        <f t="shared" si="63"/>
        <v>109.5</v>
      </c>
      <c r="EY70" s="346">
        <v>0</v>
      </c>
      <c r="EZ70" s="343">
        <v>0</v>
      </c>
      <c r="FA70" s="343">
        <v>728</v>
      </c>
      <c r="FB70" s="343">
        <v>0</v>
      </c>
      <c r="FC70" s="343">
        <v>0</v>
      </c>
      <c r="FD70" s="343">
        <v>0</v>
      </c>
      <c r="FE70" s="808">
        <f t="shared" si="64"/>
        <v>728</v>
      </c>
      <c r="FF70" s="211">
        <f t="shared" si="65"/>
        <v>121.33333333333333</v>
      </c>
      <c r="FG70" s="755">
        <v>0</v>
      </c>
      <c r="FH70" s="345">
        <v>0</v>
      </c>
      <c r="FI70" s="345">
        <v>691</v>
      </c>
      <c r="FJ70" s="345">
        <v>0</v>
      </c>
      <c r="FK70" s="345">
        <v>0</v>
      </c>
      <c r="FL70" s="345">
        <v>690</v>
      </c>
      <c r="FM70" s="808">
        <f t="shared" si="66"/>
        <v>1381</v>
      </c>
      <c r="FN70" s="211">
        <f t="shared" si="67"/>
        <v>230.16666666666666</v>
      </c>
      <c r="FO70" s="346">
        <v>0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68"/>
        <v>0</v>
      </c>
      <c r="FV70" s="211">
        <f t="shared" si="69"/>
        <v>0</v>
      </c>
      <c r="FW70" s="346">
        <v>0</v>
      </c>
      <c r="FX70" s="343">
        <v>0</v>
      </c>
      <c r="FY70" s="343">
        <v>0</v>
      </c>
      <c r="FZ70" s="343">
        <v>0</v>
      </c>
      <c r="GA70" s="343">
        <v>0</v>
      </c>
      <c r="GB70" s="343">
        <v>0</v>
      </c>
      <c r="GC70" s="808">
        <f t="shared" si="70"/>
        <v>0</v>
      </c>
      <c r="GD70" s="211">
        <f t="shared" si="71"/>
        <v>0</v>
      </c>
      <c r="GE70" s="346">
        <v>0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2"/>
        <v>0</v>
      </c>
      <c r="GL70" s="211">
        <f t="shared" si="73"/>
        <v>0</v>
      </c>
      <c r="GM70" s="755">
        <v>0</v>
      </c>
      <c r="GN70" s="345">
        <v>0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4"/>
        <v>0</v>
      </c>
      <c r="GT70" s="873">
        <f t="shared" si="75"/>
        <v>0</v>
      </c>
      <c r="GU70" s="346">
        <v>0</v>
      </c>
      <c r="GV70" s="343">
        <v>1046</v>
      </c>
      <c r="GW70" s="343">
        <v>367</v>
      </c>
      <c r="GX70" s="343">
        <v>0</v>
      </c>
      <c r="GY70" s="343">
        <v>0</v>
      </c>
      <c r="GZ70" s="343">
        <v>472</v>
      </c>
      <c r="HA70" s="872">
        <f t="shared" si="76"/>
        <v>1885</v>
      </c>
      <c r="HB70" s="873">
        <f t="shared" si="77"/>
        <v>314.16666666666669</v>
      </c>
      <c r="HC70" s="346">
        <v>453</v>
      </c>
      <c r="HD70" s="343">
        <v>0</v>
      </c>
      <c r="HE70" s="343">
        <v>440</v>
      </c>
      <c r="HF70" s="343"/>
      <c r="HG70" s="343"/>
      <c r="HH70" s="343"/>
      <c r="HI70" s="872">
        <f t="shared" si="78"/>
        <v>893</v>
      </c>
      <c r="HJ70" s="873">
        <f t="shared" si="79"/>
        <v>148.83333333333334</v>
      </c>
    </row>
    <row r="71" spans="1:218" s="323" customFormat="1" ht="15" customHeight="1" x14ac:dyDescent="0.2">
      <c r="A71" s="21">
        <v>60</v>
      </c>
      <c r="B71" s="21" t="s">
        <v>111</v>
      </c>
      <c r="C71" s="275" t="s">
        <v>112</v>
      </c>
      <c r="D71" s="21">
        <v>25</v>
      </c>
      <c r="E71" s="24"/>
      <c r="F71" s="24">
        <v>3700</v>
      </c>
      <c r="G71" s="24"/>
      <c r="H71" s="24"/>
      <c r="I71" s="360"/>
      <c r="J71" s="360">
        <f>SUMIF(SUMPK!$B:$B,$B:$B,SUMPK!$O:$O)</f>
        <v>1984</v>
      </c>
      <c r="K71" s="24"/>
      <c r="L71" s="24">
        <f t="shared" si="80"/>
        <v>1716</v>
      </c>
      <c r="M71" s="15">
        <f t="shared" si="25"/>
        <v>1716</v>
      </c>
      <c r="N71" s="15">
        <v>340.83333333333331</v>
      </c>
      <c r="O71" s="276">
        <f t="shared" si="26"/>
        <v>5.034718826405868</v>
      </c>
      <c r="P71" s="15">
        <v>323.16666666666669</v>
      </c>
      <c r="Q71" s="711">
        <f t="shared" si="27"/>
        <v>1333.3333333333333</v>
      </c>
      <c r="R71" s="276">
        <f t="shared" si="28"/>
        <v>31.859721505930892</v>
      </c>
      <c r="S71" s="712">
        <f t="shared" si="29"/>
        <v>307.69230769230768</v>
      </c>
      <c r="T71" s="713">
        <v>8000</v>
      </c>
      <c r="U71" s="276">
        <f t="shared" si="86"/>
        <v>5.577</v>
      </c>
      <c r="V71" s="278"/>
      <c r="W71" s="276">
        <f t="shared" si="31"/>
        <v>5.577</v>
      </c>
      <c r="X71" s="279">
        <f t="shared" si="0"/>
        <v>1</v>
      </c>
      <c r="Y71" s="305">
        <v>16</v>
      </c>
      <c r="Z71" s="721"/>
      <c r="AA71" s="244">
        <v>800</v>
      </c>
      <c r="AB71" s="64">
        <v>0</v>
      </c>
      <c r="AC71" s="64">
        <v>597</v>
      </c>
      <c r="AD71" s="64">
        <v>0</v>
      </c>
      <c r="AE71" s="64">
        <v>0</v>
      </c>
      <c r="AF71" s="64">
        <v>1662</v>
      </c>
      <c r="AG71" s="64">
        <f t="shared" si="32"/>
        <v>3059</v>
      </c>
      <c r="AH71" s="211">
        <f t="shared" si="33"/>
        <v>509.83333333333331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4"/>
        <v>0</v>
      </c>
      <c r="AP71" s="809">
        <f t="shared" si="35"/>
        <v>0</v>
      </c>
      <c r="AQ71" s="814">
        <v>0</v>
      </c>
      <c r="AR71" s="815">
        <v>0</v>
      </c>
      <c r="AS71" s="815">
        <v>500</v>
      </c>
      <c r="AT71" s="815">
        <v>1230</v>
      </c>
      <c r="AU71" s="815">
        <v>0</v>
      </c>
      <c r="AV71" s="815">
        <v>0</v>
      </c>
      <c r="AW71" s="808">
        <f t="shared" si="36"/>
        <v>1730</v>
      </c>
      <c r="AX71" s="211">
        <f t="shared" si="37"/>
        <v>288.33333333333331</v>
      </c>
      <c r="AY71" s="346">
        <v>0</v>
      </c>
      <c r="AZ71" s="343">
        <v>1604</v>
      </c>
      <c r="BA71" s="343">
        <v>101</v>
      </c>
      <c r="BB71" s="343">
        <v>0</v>
      </c>
      <c r="BC71" s="343">
        <v>0</v>
      </c>
      <c r="BD71" s="343">
        <v>0</v>
      </c>
      <c r="BE71" s="808">
        <f t="shared" si="38"/>
        <v>1705</v>
      </c>
      <c r="BF71" s="211">
        <f t="shared" si="39"/>
        <v>284.16666666666669</v>
      </c>
      <c r="BG71" s="814">
        <v>0</v>
      </c>
      <c r="BH71" s="815">
        <v>704</v>
      </c>
      <c r="BI71" s="815">
        <v>201</v>
      </c>
      <c r="BJ71" s="815">
        <v>508</v>
      </c>
      <c r="BK71" s="815">
        <v>0</v>
      </c>
      <c r="BL71" s="815">
        <v>0</v>
      </c>
      <c r="BM71" s="808">
        <f t="shared" si="40"/>
        <v>1413</v>
      </c>
      <c r="BN71" s="211">
        <f t="shared" si="41"/>
        <v>235.5</v>
      </c>
      <c r="BO71" s="755">
        <v>0</v>
      </c>
      <c r="BP71" s="345">
        <v>100</v>
      </c>
      <c r="BQ71" s="345">
        <v>1702</v>
      </c>
      <c r="BR71" s="345">
        <v>185</v>
      </c>
      <c r="BS71" s="345">
        <v>0</v>
      </c>
      <c r="BT71" s="345">
        <v>0</v>
      </c>
      <c r="BU71" s="808">
        <f t="shared" si="42"/>
        <v>1987</v>
      </c>
      <c r="BV71" s="211">
        <f t="shared" si="43"/>
        <v>331.16666666666669</v>
      </c>
      <c r="BW71" s="755">
        <v>1430</v>
      </c>
      <c r="BX71" s="345">
        <v>592</v>
      </c>
      <c r="BY71" s="345">
        <v>0</v>
      </c>
      <c r="BZ71" s="345">
        <v>0</v>
      </c>
      <c r="CA71" s="345">
        <v>0</v>
      </c>
      <c r="CB71" s="345">
        <v>0</v>
      </c>
      <c r="CC71" s="808">
        <f t="shared" si="44"/>
        <v>2022</v>
      </c>
      <c r="CD71" s="211">
        <f t="shared" si="45"/>
        <v>337</v>
      </c>
      <c r="CE71" s="346">
        <v>0</v>
      </c>
      <c r="CF71" s="343">
        <v>0</v>
      </c>
      <c r="CG71" s="343">
        <v>1635</v>
      </c>
      <c r="CH71" s="343">
        <v>0</v>
      </c>
      <c r="CI71" s="343">
        <v>0</v>
      </c>
      <c r="CJ71" s="343">
        <v>0</v>
      </c>
      <c r="CK71" s="808">
        <f t="shared" si="46"/>
        <v>1635</v>
      </c>
      <c r="CL71" s="211">
        <f t="shared" si="47"/>
        <v>272.5</v>
      </c>
      <c r="CM71" s="346">
        <v>0</v>
      </c>
      <c r="CN71" s="343">
        <v>712</v>
      </c>
      <c r="CO71" s="343">
        <v>0</v>
      </c>
      <c r="CP71" s="343">
        <v>0</v>
      </c>
      <c r="CQ71" s="343">
        <v>0</v>
      </c>
      <c r="CR71" s="343">
        <v>1341</v>
      </c>
      <c r="CS71" s="808">
        <f t="shared" si="48"/>
        <v>2053</v>
      </c>
      <c r="CT71" s="211">
        <f t="shared" si="49"/>
        <v>342.16666666666669</v>
      </c>
      <c r="CU71" s="346">
        <v>704</v>
      </c>
      <c r="CV71" s="343">
        <v>0</v>
      </c>
      <c r="CW71" s="343">
        <v>0</v>
      </c>
      <c r="CX71" s="343">
        <v>0</v>
      </c>
      <c r="CY71" s="343">
        <v>0</v>
      </c>
      <c r="CZ71" s="343">
        <v>0</v>
      </c>
      <c r="DA71" s="808">
        <f t="shared" si="50"/>
        <v>704</v>
      </c>
      <c r="DB71" s="211">
        <f t="shared" si="51"/>
        <v>117.33333333333333</v>
      </c>
      <c r="DC71" s="346">
        <v>1530</v>
      </c>
      <c r="DD71" s="343">
        <v>0</v>
      </c>
      <c r="DE71" s="343">
        <v>0</v>
      </c>
      <c r="DF71" s="343">
        <v>0</v>
      </c>
      <c r="DG71" s="343"/>
      <c r="DH71" s="343">
        <v>0</v>
      </c>
      <c r="DI71" s="808">
        <f t="shared" si="52"/>
        <v>1530</v>
      </c>
      <c r="DJ71" s="211">
        <f t="shared" si="53"/>
        <v>255</v>
      </c>
      <c r="DK71" s="346">
        <v>0</v>
      </c>
      <c r="DL71" s="343">
        <v>800</v>
      </c>
      <c r="DM71" s="343">
        <v>464</v>
      </c>
      <c r="DN71" s="343">
        <v>0</v>
      </c>
      <c r="DO71" s="343">
        <v>0</v>
      </c>
      <c r="DP71" s="343">
        <v>0</v>
      </c>
      <c r="DQ71" s="808">
        <f t="shared" si="54"/>
        <v>1264</v>
      </c>
      <c r="DR71" s="211">
        <f t="shared" si="55"/>
        <v>210.66666666666666</v>
      </c>
      <c r="DS71" s="346">
        <v>943</v>
      </c>
      <c r="DT71" s="343">
        <v>0</v>
      </c>
      <c r="DU71" s="343">
        <v>0</v>
      </c>
      <c r="DV71" s="343">
        <v>2025</v>
      </c>
      <c r="DW71" s="343">
        <v>0</v>
      </c>
      <c r="DX71" s="343">
        <v>0</v>
      </c>
      <c r="DY71" s="808">
        <f t="shared" si="56"/>
        <v>2968</v>
      </c>
      <c r="DZ71" s="211">
        <f t="shared" si="57"/>
        <v>494.66666666666669</v>
      </c>
      <c r="EA71" s="346">
        <v>0</v>
      </c>
      <c r="EB71" s="343">
        <v>0</v>
      </c>
      <c r="EC71" s="343"/>
      <c r="ED71" s="343">
        <v>0</v>
      </c>
      <c r="EE71" s="343">
        <v>0</v>
      </c>
      <c r="EF71" s="343">
        <v>1618</v>
      </c>
      <c r="EG71" s="808">
        <f t="shared" si="58"/>
        <v>1618</v>
      </c>
      <c r="EH71" s="211">
        <f t="shared" si="59"/>
        <v>269.66666666666669</v>
      </c>
      <c r="EI71" s="346">
        <v>0</v>
      </c>
      <c r="EJ71" s="343">
        <v>0</v>
      </c>
      <c r="EK71" s="343">
        <v>728</v>
      </c>
      <c r="EL71" s="343">
        <v>0</v>
      </c>
      <c r="EM71" s="343"/>
      <c r="EN71" s="343">
        <v>0</v>
      </c>
      <c r="EO71" s="808">
        <f t="shared" si="60"/>
        <v>728</v>
      </c>
      <c r="EP71" s="211">
        <f t="shared" si="61"/>
        <v>121.33333333333333</v>
      </c>
      <c r="EQ71" s="346">
        <v>0</v>
      </c>
      <c r="ER71" s="343">
        <v>2075</v>
      </c>
      <c r="ES71" s="343">
        <v>0</v>
      </c>
      <c r="ET71" s="343">
        <v>0</v>
      </c>
      <c r="EU71" s="343">
        <v>0</v>
      </c>
      <c r="EV71" s="343">
        <v>0</v>
      </c>
      <c r="EW71" s="808">
        <f t="shared" si="62"/>
        <v>2075</v>
      </c>
      <c r="EX71" s="211">
        <f t="shared" si="63"/>
        <v>345.83333333333331</v>
      </c>
      <c r="EY71" s="346">
        <v>0</v>
      </c>
      <c r="EZ71" s="343">
        <v>0</v>
      </c>
      <c r="FA71" s="343">
        <v>730</v>
      </c>
      <c r="FB71" s="343">
        <v>1198</v>
      </c>
      <c r="FC71" s="343">
        <v>0</v>
      </c>
      <c r="FD71" s="343">
        <v>0</v>
      </c>
      <c r="FE71" s="808">
        <f t="shared" si="64"/>
        <v>1928</v>
      </c>
      <c r="FF71" s="211">
        <f t="shared" si="65"/>
        <v>321.33333333333331</v>
      </c>
      <c r="FG71" s="755">
        <v>0</v>
      </c>
      <c r="FH71" s="345">
        <v>0</v>
      </c>
      <c r="FI71" s="345">
        <v>1027</v>
      </c>
      <c r="FJ71" s="345">
        <v>0</v>
      </c>
      <c r="FK71" s="345">
        <v>0</v>
      </c>
      <c r="FL71" s="345">
        <v>880</v>
      </c>
      <c r="FM71" s="808">
        <f t="shared" si="66"/>
        <v>1907</v>
      </c>
      <c r="FN71" s="211">
        <f t="shared" si="67"/>
        <v>317.83333333333331</v>
      </c>
      <c r="FO71" s="346">
        <v>1517</v>
      </c>
      <c r="FP71" s="343">
        <v>0</v>
      </c>
      <c r="FQ71" s="343">
        <v>0</v>
      </c>
      <c r="FR71" s="343">
        <v>0</v>
      </c>
      <c r="FS71" s="343">
        <v>0</v>
      </c>
      <c r="FT71" s="343">
        <v>0</v>
      </c>
      <c r="FU71" s="808">
        <f t="shared" si="68"/>
        <v>1517</v>
      </c>
      <c r="FV71" s="211">
        <f t="shared" si="69"/>
        <v>252.83333333333334</v>
      </c>
      <c r="FW71" s="346">
        <v>0</v>
      </c>
      <c r="FX71" s="343">
        <v>0</v>
      </c>
      <c r="FY71" s="343">
        <v>0</v>
      </c>
      <c r="FZ71" s="343">
        <v>1410</v>
      </c>
      <c r="GA71" s="343">
        <v>0</v>
      </c>
      <c r="GB71" s="343">
        <v>1100</v>
      </c>
      <c r="GC71" s="808">
        <f t="shared" si="70"/>
        <v>2510</v>
      </c>
      <c r="GD71" s="211">
        <f t="shared" si="71"/>
        <v>418.33333333333331</v>
      </c>
      <c r="GE71" s="346">
        <v>1013</v>
      </c>
      <c r="GF71" s="343">
        <v>0</v>
      </c>
      <c r="GG71" s="343">
        <v>0</v>
      </c>
      <c r="GH71" s="343">
        <v>0</v>
      </c>
      <c r="GI71" s="343">
        <v>0</v>
      </c>
      <c r="GJ71" s="343">
        <v>0</v>
      </c>
      <c r="GK71" s="808">
        <f t="shared" si="72"/>
        <v>1013</v>
      </c>
      <c r="GL71" s="211">
        <f t="shared" si="73"/>
        <v>168.83333333333334</v>
      </c>
      <c r="GM71" s="755">
        <v>0</v>
      </c>
      <c r="GN71" s="345">
        <v>1362</v>
      </c>
      <c r="GO71" s="345">
        <v>0</v>
      </c>
      <c r="GP71" s="345">
        <v>0</v>
      </c>
      <c r="GQ71" s="345">
        <v>0</v>
      </c>
      <c r="GR71" s="345">
        <v>0</v>
      </c>
      <c r="GS71" s="872">
        <f t="shared" si="74"/>
        <v>1362</v>
      </c>
      <c r="GT71" s="873">
        <f t="shared" si="75"/>
        <v>227</v>
      </c>
      <c r="GU71" s="346">
        <v>0</v>
      </c>
      <c r="GV71" s="343">
        <v>2045</v>
      </c>
      <c r="GW71" s="343">
        <v>0</v>
      </c>
      <c r="GX71" s="343">
        <v>0</v>
      </c>
      <c r="GY71" s="343">
        <v>0</v>
      </c>
      <c r="GZ71" s="343"/>
      <c r="HA71" s="872">
        <f t="shared" si="76"/>
        <v>2045</v>
      </c>
      <c r="HB71" s="873">
        <f t="shared" si="77"/>
        <v>340.83333333333331</v>
      </c>
      <c r="HC71" s="349"/>
      <c r="HD71" s="350">
        <v>0</v>
      </c>
      <c r="HE71" s="350">
        <v>0</v>
      </c>
      <c r="HF71" s="350"/>
      <c r="HG71" s="350"/>
      <c r="HH71" s="350"/>
      <c r="HI71" s="878">
        <f t="shared" si="78"/>
        <v>0</v>
      </c>
      <c r="HJ71" s="879">
        <f t="shared" si="79"/>
        <v>0</v>
      </c>
    </row>
    <row r="72" spans="1:218" s="323" customFormat="1" ht="15" hidden="1" customHeight="1" x14ac:dyDescent="0.2">
      <c r="A72" s="21">
        <v>61</v>
      </c>
      <c r="B72" s="21" t="s">
        <v>286</v>
      </c>
      <c r="C72" s="275" t="s">
        <v>303</v>
      </c>
      <c r="D72" s="21">
        <v>25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ref="L72" si="95">F72+H72-J72</f>
        <v>0</v>
      </c>
      <c r="M72" s="15">
        <f t="shared" ref="M72" si="96">K72+L72</f>
        <v>0</v>
      </c>
      <c r="N72" s="15">
        <v>284.5</v>
      </c>
      <c r="O72" s="276">
        <f t="shared" si="26"/>
        <v>0</v>
      </c>
      <c r="P72" s="15"/>
      <c r="Q72" s="711"/>
      <c r="R72" s="276"/>
      <c r="S72" s="712">
        <f t="shared" si="29"/>
        <v>0</v>
      </c>
      <c r="T72" s="713"/>
      <c r="U72" s="276">
        <f t="shared" ref="U72:U73" si="97">IF(S72=0,0,M72/S72)</f>
        <v>0</v>
      </c>
      <c r="V72" s="278"/>
      <c r="W72" s="276">
        <f t="shared" si="31"/>
        <v>0</v>
      </c>
      <c r="X72" s="279" t="e">
        <f t="shared" si="0"/>
        <v>#DIV/0!</v>
      </c>
      <c r="Y72" s="305">
        <v>19</v>
      </c>
      <c r="Z72" s="721"/>
      <c r="AA72" s="244">
        <v>0</v>
      </c>
      <c r="AB72" s="64">
        <v>0</v>
      </c>
      <c r="AC72" s="64">
        <v>0</v>
      </c>
      <c r="AD72" s="64">
        <v>0</v>
      </c>
      <c r="AE72" s="64">
        <v>0</v>
      </c>
      <c r="AF72" s="64">
        <v>0</v>
      </c>
      <c r="AG72" s="64">
        <f t="shared" si="32"/>
        <v>0</v>
      </c>
      <c r="AH72" s="211">
        <f t="shared" si="33"/>
        <v>0</v>
      </c>
      <c r="AI72" s="755">
        <v>0</v>
      </c>
      <c r="AJ72" s="345">
        <v>0</v>
      </c>
      <c r="AK72" s="345">
        <v>0</v>
      </c>
      <c r="AL72" s="345">
        <v>0</v>
      </c>
      <c r="AM72" s="345">
        <v>0</v>
      </c>
      <c r="AN72" s="345">
        <v>0</v>
      </c>
      <c r="AO72" s="808">
        <f t="shared" si="34"/>
        <v>0</v>
      </c>
      <c r="AP72" s="809">
        <f t="shared" si="35"/>
        <v>0</v>
      </c>
      <c r="AQ72" s="814">
        <v>0</v>
      </c>
      <c r="AR72" s="815">
        <v>0</v>
      </c>
      <c r="AS72" s="815">
        <v>0</v>
      </c>
      <c r="AT72" s="815">
        <v>0</v>
      </c>
      <c r="AU72" s="815">
        <v>0</v>
      </c>
      <c r="AV72" s="815">
        <v>0</v>
      </c>
      <c r="AW72" s="808">
        <f t="shared" si="36"/>
        <v>0</v>
      </c>
      <c r="AX72" s="211">
        <f t="shared" si="37"/>
        <v>0</v>
      </c>
      <c r="AY72" s="346">
        <v>0</v>
      </c>
      <c r="AZ72" s="343">
        <v>0</v>
      </c>
      <c r="BA72" s="343">
        <v>0</v>
      </c>
      <c r="BB72" s="343">
        <v>0</v>
      </c>
      <c r="BC72" s="343">
        <v>0</v>
      </c>
      <c r="BD72" s="343">
        <v>0</v>
      </c>
      <c r="BE72" s="808">
        <f t="shared" si="38"/>
        <v>0</v>
      </c>
      <c r="BF72" s="211">
        <f t="shared" si="39"/>
        <v>0</v>
      </c>
      <c r="BG72" s="814">
        <v>0</v>
      </c>
      <c r="BH72" s="815">
        <v>0</v>
      </c>
      <c r="BI72" s="815">
        <v>0</v>
      </c>
      <c r="BJ72" s="815">
        <v>0</v>
      </c>
      <c r="BK72" s="815">
        <v>0</v>
      </c>
      <c r="BL72" s="815">
        <v>0</v>
      </c>
      <c r="BM72" s="808">
        <f t="shared" si="40"/>
        <v>0</v>
      </c>
      <c r="BN72" s="211">
        <f t="shared" si="41"/>
        <v>0</v>
      </c>
      <c r="BO72" s="756"/>
      <c r="BP72" s="757">
        <v>0</v>
      </c>
      <c r="BQ72" s="757">
        <v>0</v>
      </c>
      <c r="BR72" s="757">
        <v>0</v>
      </c>
      <c r="BS72" s="757"/>
      <c r="BT72" s="757"/>
      <c r="BU72" s="810">
        <f t="shared" si="42"/>
        <v>0</v>
      </c>
      <c r="BV72" s="212">
        <f t="shared" si="43"/>
        <v>0</v>
      </c>
      <c r="BW72" s="756">
        <v>0</v>
      </c>
      <c r="BX72" s="757">
        <v>0</v>
      </c>
      <c r="BY72" s="757">
        <v>0</v>
      </c>
      <c r="BZ72" s="757">
        <v>0</v>
      </c>
      <c r="CA72" s="757">
        <v>0</v>
      </c>
      <c r="CB72" s="757">
        <v>0</v>
      </c>
      <c r="CC72" s="810">
        <f t="shared" si="44"/>
        <v>0</v>
      </c>
      <c r="CD72" s="212">
        <f t="shared" si="45"/>
        <v>0</v>
      </c>
      <c r="CE72" s="349">
        <v>0</v>
      </c>
      <c r="CF72" s="350">
        <v>0</v>
      </c>
      <c r="CG72" s="350">
        <v>0</v>
      </c>
      <c r="CH72" s="350">
        <v>0</v>
      </c>
      <c r="CI72" s="350">
        <v>0</v>
      </c>
      <c r="CJ72" s="350">
        <v>0</v>
      </c>
      <c r="CK72" s="810">
        <f t="shared" si="46"/>
        <v>0</v>
      </c>
      <c r="CL72" s="212">
        <f t="shared" si="47"/>
        <v>0</v>
      </c>
      <c r="CM72" s="349">
        <v>0</v>
      </c>
      <c r="CN72" s="350">
        <v>0</v>
      </c>
      <c r="CO72" s="350">
        <v>0</v>
      </c>
      <c r="CP72" s="350">
        <v>0</v>
      </c>
      <c r="CQ72" s="350">
        <v>0</v>
      </c>
      <c r="CR72" s="350">
        <v>0</v>
      </c>
      <c r="CS72" s="810">
        <f t="shared" si="48"/>
        <v>0</v>
      </c>
      <c r="CT72" s="212">
        <f t="shared" si="49"/>
        <v>0</v>
      </c>
      <c r="CU72" s="349">
        <v>0</v>
      </c>
      <c r="CV72" s="350">
        <v>0</v>
      </c>
      <c r="CW72" s="350">
        <v>0</v>
      </c>
      <c r="CX72" s="350">
        <v>0</v>
      </c>
      <c r="CY72" s="350">
        <v>0</v>
      </c>
      <c r="CZ72" s="350">
        <v>0</v>
      </c>
      <c r="DA72" s="810">
        <f t="shared" si="50"/>
        <v>0</v>
      </c>
      <c r="DB72" s="212">
        <f t="shared" si="51"/>
        <v>0</v>
      </c>
      <c r="DC72" s="349">
        <v>0</v>
      </c>
      <c r="DD72" s="350">
        <v>0</v>
      </c>
      <c r="DE72" s="350">
        <v>0</v>
      </c>
      <c r="DF72" s="350">
        <v>0</v>
      </c>
      <c r="DG72" s="350"/>
      <c r="DH72" s="350"/>
      <c r="DI72" s="810">
        <f t="shared" si="52"/>
        <v>0</v>
      </c>
      <c r="DJ72" s="212">
        <f t="shared" si="53"/>
        <v>0</v>
      </c>
      <c r="DK72" s="349">
        <v>0</v>
      </c>
      <c r="DL72" s="350">
        <v>0</v>
      </c>
      <c r="DM72" s="350">
        <v>0</v>
      </c>
      <c r="DN72" s="350">
        <v>0</v>
      </c>
      <c r="DO72" s="350"/>
      <c r="DP72" s="350">
        <v>0</v>
      </c>
      <c r="DQ72" s="808">
        <f t="shared" si="54"/>
        <v>0</v>
      </c>
      <c r="DR72" s="211">
        <f t="shared" si="55"/>
        <v>0</v>
      </c>
      <c r="DS72" s="349">
        <v>0</v>
      </c>
      <c r="DT72" s="350">
        <v>0</v>
      </c>
      <c r="DU72" s="350">
        <v>0</v>
      </c>
      <c r="DV72" s="350"/>
      <c r="DW72" s="350">
        <v>0</v>
      </c>
      <c r="DX72" s="350">
        <v>0</v>
      </c>
      <c r="DY72" s="810">
        <f t="shared" si="56"/>
        <v>0</v>
      </c>
      <c r="DZ72" s="212">
        <f t="shared" si="57"/>
        <v>0</v>
      </c>
      <c r="EA72" s="349">
        <v>0</v>
      </c>
      <c r="EB72" s="350">
        <v>0</v>
      </c>
      <c r="EC72" s="350"/>
      <c r="ED72" s="350">
        <v>0</v>
      </c>
      <c r="EE72" s="350">
        <v>0</v>
      </c>
      <c r="EF72" s="350">
        <v>0</v>
      </c>
      <c r="EG72" s="810">
        <f t="shared" si="58"/>
        <v>0</v>
      </c>
      <c r="EH72" s="212">
        <f t="shared" si="59"/>
        <v>0</v>
      </c>
      <c r="EI72" s="349">
        <v>0</v>
      </c>
      <c r="EJ72" s="350"/>
      <c r="EK72" s="350">
        <v>0</v>
      </c>
      <c r="EL72" s="350">
        <v>0</v>
      </c>
      <c r="EM72" s="350"/>
      <c r="EN72" s="350">
        <v>0</v>
      </c>
      <c r="EO72" s="810">
        <f t="shared" si="60"/>
        <v>0</v>
      </c>
      <c r="EP72" s="212">
        <f t="shared" si="61"/>
        <v>0</v>
      </c>
      <c r="EQ72" s="349">
        <v>0</v>
      </c>
      <c r="ER72" s="350">
        <v>0</v>
      </c>
      <c r="ES72" s="350">
        <v>0</v>
      </c>
      <c r="ET72" s="350">
        <v>0</v>
      </c>
      <c r="EU72" s="350">
        <v>0</v>
      </c>
      <c r="EV72" s="350">
        <v>0</v>
      </c>
      <c r="EW72" s="810">
        <f t="shared" si="62"/>
        <v>0</v>
      </c>
      <c r="EX72" s="212">
        <f t="shared" si="63"/>
        <v>0</v>
      </c>
      <c r="EY72" s="349"/>
      <c r="EZ72" s="350">
        <v>0</v>
      </c>
      <c r="FA72" s="350">
        <v>0</v>
      </c>
      <c r="FB72" s="350">
        <v>0</v>
      </c>
      <c r="FC72" s="350">
        <v>0</v>
      </c>
      <c r="FD72" s="350">
        <v>0</v>
      </c>
      <c r="FE72" s="810">
        <f t="shared" si="64"/>
        <v>0</v>
      </c>
      <c r="FF72" s="212">
        <f t="shared" si="65"/>
        <v>0</v>
      </c>
      <c r="FG72" s="756">
        <v>200</v>
      </c>
      <c r="FH72" s="757"/>
      <c r="FI72" s="757">
        <v>0</v>
      </c>
      <c r="FJ72" s="757">
        <v>0</v>
      </c>
      <c r="FK72" s="757">
        <v>0</v>
      </c>
      <c r="FL72" s="757">
        <v>0</v>
      </c>
      <c r="FM72" s="810">
        <f t="shared" si="66"/>
        <v>200</v>
      </c>
      <c r="FN72" s="212">
        <f t="shared" si="67"/>
        <v>33.333333333333336</v>
      </c>
      <c r="FO72" s="349">
        <v>0</v>
      </c>
      <c r="FP72" s="350">
        <v>0</v>
      </c>
      <c r="FQ72" s="350">
        <v>0</v>
      </c>
      <c r="FR72" s="350">
        <v>0</v>
      </c>
      <c r="FS72" s="350">
        <v>0</v>
      </c>
      <c r="FT72" s="350">
        <v>0</v>
      </c>
      <c r="FU72" s="810">
        <f t="shared" si="68"/>
        <v>0</v>
      </c>
      <c r="FV72" s="212">
        <f t="shared" si="69"/>
        <v>0</v>
      </c>
      <c r="FW72" s="349">
        <v>0</v>
      </c>
      <c r="FX72" s="350">
        <v>0</v>
      </c>
      <c r="FY72" s="350">
        <v>0</v>
      </c>
      <c r="FZ72" s="350"/>
      <c r="GA72" s="350">
        <v>0</v>
      </c>
      <c r="GB72" s="350">
        <v>0</v>
      </c>
      <c r="GC72" s="810">
        <f t="shared" si="70"/>
        <v>0</v>
      </c>
      <c r="GD72" s="212">
        <f t="shared" si="71"/>
        <v>0</v>
      </c>
      <c r="GE72" s="349">
        <v>0</v>
      </c>
      <c r="GF72" s="350">
        <v>0</v>
      </c>
      <c r="GG72" s="350">
        <v>0</v>
      </c>
      <c r="GH72" s="350">
        <v>0</v>
      </c>
      <c r="GI72" s="350">
        <v>0</v>
      </c>
      <c r="GJ72" s="350">
        <v>0</v>
      </c>
      <c r="GK72" s="810">
        <f t="shared" si="72"/>
        <v>0</v>
      </c>
      <c r="GL72" s="212">
        <f t="shared" si="73"/>
        <v>0</v>
      </c>
      <c r="GM72" s="756">
        <v>0</v>
      </c>
      <c r="GN72" s="757">
        <v>0</v>
      </c>
      <c r="GO72" s="757">
        <v>1707</v>
      </c>
      <c r="GP72" s="757">
        <v>0</v>
      </c>
      <c r="GQ72" s="757">
        <v>0</v>
      </c>
      <c r="GR72" s="757">
        <v>0</v>
      </c>
      <c r="GS72" s="872">
        <f t="shared" si="74"/>
        <v>1707</v>
      </c>
      <c r="GT72" s="873">
        <f t="shared" si="75"/>
        <v>284.5</v>
      </c>
      <c r="GU72" s="349">
        <v>0</v>
      </c>
      <c r="GV72" s="350">
        <v>812</v>
      </c>
      <c r="GW72" s="350">
        <v>0</v>
      </c>
      <c r="GX72" s="350"/>
      <c r="GY72" s="350"/>
      <c r="GZ72" s="350"/>
      <c r="HA72" s="878">
        <f t="shared" si="76"/>
        <v>812</v>
      </c>
      <c r="HB72" s="879">
        <f t="shared" si="77"/>
        <v>135.33333333333334</v>
      </c>
      <c r="HI72" s="897">
        <f t="shared" si="78"/>
        <v>0</v>
      </c>
      <c r="HJ72" s="898">
        <f t="shared" si="79"/>
        <v>0</v>
      </c>
    </row>
    <row r="73" spans="1:218" s="323" customFormat="1" ht="15" hidden="1" customHeight="1" x14ac:dyDescent="0.2">
      <c r="A73" s="21">
        <v>59</v>
      </c>
      <c r="B73" s="21" t="s">
        <v>189</v>
      </c>
      <c r="C73" s="275" t="s">
        <v>304</v>
      </c>
      <c r="D73" s="21">
        <v>40</v>
      </c>
      <c r="E73" s="24"/>
      <c r="F73" s="24">
        <v>0</v>
      </c>
      <c r="G73" s="24"/>
      <c r="H73" s="24"/>
      <c r="I73" s="360"/>
      <c r="J73" s="360">
        <f>SUMIF(SUMPK!$B:$B,$B:$B,SUMPK!$O:$O)</f>
        <v>0</v>
      </c>
      <c r="K73" s="24"/>
      <c r="L73" s="24">
        <f t="shared" si="80"/>
        <v>0</v>
      </c>
      <c r="M73" s="15">
        <f t="shared" si="25"/>
        <v>0</v>
      </c>
      <c r="N73" s="15">
        <v>73.5</v>
      </c>
      <c r="O73" s="276">
        <f t="shared" si="26"/>
        <v>0</v>
      </c>
      <c r="P73" s="15">
        <v>0</v>
      </c>
      <c r="Q73" s="711">
        <f t="shared" si="27"/>
        <v>166.66666666666666</v>
      </c>
      <c r="R73" s="276">
        <f t="shared" si="28"/>
        <v>0</v>
      </c>
      <c r="S73" s="712">
        <f t="shared" ref="S73" si="98">T73/$T$8</f>
        <v>38.46153846153846</v>
      </c>
      <c r="T73" s="713">
        <v>1000</v>
      </c>
      <c r="U73" s="276">
        <f t="shared" si="97"/>
        <v>0</v>
      </c>
      <c r="V73" s="278"/>
      <c r="W73" s="276">
        <f t="shared" si="31"/>
        <v>0</v>
      </c>
      <c r="X73" s="279" t="e">
        <f t="shared" si="0"/>
        <v>#DIV/0!</v>
      </c>
      <c r="Y73" s="305">
        <v>20</v>
      </c>
      <c r="Z73" s="721"/>
      <c r="AA73" s="245">
        <v>0</v>
      </c>
      <c r="AB73" s="246">
        <v>0</v>
      </c>
      <c r="AC73" s="246">
        <v>0</v>
      </c>
      <c r="AD73" s="246">
        <v>0</v>
      </c>
      <c r="AE73" s="246">
        <v>0</v>
      </c>
      <c r="AF73" s="246">
        <v>0</v>
      </c>
      <c r="AG73" s="246">
        <f t="shared" si="32"/>
        <v>0</v>
      </c>
      <c r="AH73" s="212">
        <f t="shared" si="33"/>
        <v>0</v>
      </c>
      <c r="AI73" s="756">
        <v>0</v>
      </c>
      <c r="AJ73" s="757">
        <v>0</v>
      </c>
      <c r="AK73" s="757">
        <v>0</v>
      </c>
      <c r="AL73" s="757">
        <v>0</v>
      </c>
      <c r="AM73" s="757">
        <v>0</v>
      </c>
      <c r="AN73" s="757"/>
      <c r="AO73" s="810">
        <f t="shared" si="34"/>
        <v>0</v>
      </c>
      <c r="AP73" s="811">
        <f t="shared" si="35"/>
        <v>0</v>
      </c>
      <c r="AQ73" s="816">
        <v>0</v>
      </c>
      <c r="AR73" s="817">
        <v>0</v>
      </c>
      <c r="AS73" s="817">
        <v>0</v>
      </c>
      <c r="AT73" s="817">
        <v>0</v>
      </c>
      <c r="AU73" s="817">
        <v>0</v>
      </c>
      <c r="AV73" s="817">
        <v>0</v>
      </c>
      <c r="AW73" s="810">
        <f t="shared" si="36"/>
        <v>0</v>
      </c>
      <c r="AX73" s="212">
        <f t="shared" si="37"/>
        <v>0</v>
      </c>
      <c r="AY73" s="349">
        <v>0</v>
      </c>
      <c r="AZ73" s="350">
        <v>0</v>
      </c>
      <c r="BA73" s="350">
        <v>0</v>
      </c>
      <c r="BB73" s="350">
        <v>0</v>
      </c>
      <c r="BC73" s="350">
        <v>441</v>
      </c>
      <c r="BD73" s="350">
        <v>0</v>
      </c>
      <c r="BE73" s="810">
        <f t="shared" si="38"/>
        <v>441</v>
      </c>
      <c r="BF73" s="212">
        <f t="shared" si="39"/>
        <v>73.5</v>
      </c>
      <c r="BG73" s="816"/>
      <c r="BH73" s="817"/>
      <c r="BI73" s="817"/>
      <c r="BJ73" s="817"/>
      <c r="BK73" s="817"/>
      <c r="BL73" s="817"/>
      <c r="BM73" s="810">
        <f t="shared" si="40"/>
        <v>0</v>
      </c>
      <c r="BN73" s="212">
        <f t="shared" si="41"/>
        <v>0</v>
      </c>
      <c r="BO73" s="758"/>
      <c r="BP73" s="758"/>
      <c r="BQ73" s="758"/>
      <c r="BR73" s="758"/>
      <c r="BS73" s="758"/>
      <c r="BT73" s="758"/>
      <c r="BU73" s="843">
        <f t="shared" si="42"/>
        <v>0</v>
      </c>
      <c r="BV73" s="844">
        <f t="shared" si="43"/>
        <v>0</v>
      </c>
      <c r="BW73" s="758"/>
      <c r="BX73" s="758"/>
      <c r="BY73" s="758"/>
      <c r="BZ73" s="758"/>
      <c r="CA73" s="758"/>
      <c r="CB73" s="758"/>
      <c r="CC73" s="843">
        <f t="shared" si="44"/>
        <v>0</v>
      </c>
      <c r="CD73" s="844">
        <f t="shared" si="45"/>
        <v>0</v>
      </c>
      <c r="CS73" s="843">
        <f t="shared" si="48"/>
        <v>0</v>
      </c>
      <c r="CT73" s="844">
        <f t="shared" si="49"/>
        <v>0</v>
      </c>
      <c r="DQ73" s="843">
        <f t="shared" ref="DQ73" si="99">SUM(DK73:DP73)</f>
        <v>0</v>
      </c>
      <c r="DR73" s="844">
        <f t="shared" ref="DR73" si="100">DQ73/$DJ$10</f>
        <v>0</v>
      </c>
      <c r="DY73" s="843">
        <f t="shared" si="56"/>
        <v>0</v>
      </c>
      <c r="DZ73" s="844">
        <f t="shared" si="57"/>
        <v>0</v>
      </c>
      <c r="EG73" s="843">
        <f t="shared" si="58"/>
        <v>0</v>
      </c>
      <c r="EH73" s="844">
        <f t="shared" si="59"/>
        <v>0</v>
      </c>
      <c r="FE73" s="843">
        <f t="shared" si="64"/>
        <v>0</v>
      </c>
      <c r="FF73" s="844">
        <f t="shared" si="65"/>
        <v>0</v>
      </c>
      <c r="FG73" s="758"/>
      <c r="FH73" s="758"/>
      <c r="FI73" s="758"/>
      <c r="FJ73" s="758"/>
      <c r="FK73" s="758"/>
      <c r="FL73" s="758"/>
      <c r="FM73" s="843">
        <f t="shared" si="66"/>
        <v>0</v>
      </c>
      <c r="FN73" s="844">
        <f t="shared" si="67"/>
        <v>0</v>
      </c>
      <c r="FU73" s="843">
        <f t="shared" si="68"/>
        <v>0</v>
      </c>
      <c r="FV73" s="844">
        <f t="shared" si="69"/>
        <v>0</v>
      </c>
      <c r="GS73" s="808">
        <f t="shared" si="74"/>
        <v>0</v>
      </c>
      <c r="GT73" s="211">
        <f t="shared" si="75"/>
        <v>0</v>
      </c>
      <c r="HI73" s="876">
        <f t="shared" si="78"/>
        <v>0</v>
      </c>
      <c r="HJ73" s="877">
        <f t="shared" si="79"/>
        <v>0</v>
      </c>
    </row>
    <row r="74" spans="1:218" s="749" customFormat="1" ht="12" customHeight="1" x14ac:dyDescent="0.2">
      <c r="A74" s="931" t="s">
        <v>14</v>
      </c>
      <c r="B74" s="931"/>
      <c r="C74" s="931"/>
      <c r="D74" s="746">
        <v>5</v>
      </c>
      <c r="E74" s="747">
        <f>E39+E44</f>
        <v>0</v>
      </c>
      <c r="F74" s="747">
        <f t="shared" ref="F74:W74" si="101">F39+F44</f>
        <v>1860</v>
      </c>
      <c r="G74" s="747">
        <f t="shared" si="101"/>
        <v>0</v>
      </c>
      <c r="H74" s="747">
        <f t="shared" si="101"/>
        <v>0</v>
      </c>
      <c r="I74" s="747">
        <f t="shared" si="101"/>
        <v>0</v>
      </c>
      <c r="J74" s="747">
        <f t="shared" si="101"/>
        <v>0</v>
      </c>
      <c r="K74" s="747">
        <f t="shared" si="101"/>
        <v>0</v>
      </c>
      <c r="L74" s="747">
        <f t="shared" si="101"/>
        <v>1860</v>
      </c>
      <c r="M74" s="747">
        <f t="shared" si="101"/>
        <v>1860</v>
      </c>
      <c r="N74" s="747">
        <f t="shared" si="101"/>
        <v>0</v>
      </c>
      <c r="O74" s="747">
        <f t="shared" si="101"/>
        <v>0</v>
      </c>
      <c r="P74" s="747">
        <f t="shared" si="101"/>
        <v>0</v>
      </c>
      <c r="Q74" s="747">
        <f t="shared" si="101"/>
        <v>0</v>
      </c>
      <c r="R74" s="747">
        <f t="shared" si="101"/>
        <v>0</v>
      </c>
      <c r="S74" s="747">
        <f t="shared" si="101"/>
        <v>0</v>
      </c>
      <c r="T74" s="747">
        <f t="shared" si="101"/>
        <v>0</v>
      </c>
      <c r="U74" s="747">
        <f t="shared" si="101"/>
        <v>0</v>
      </c>
      <c r="V74" s="747">
        <f t="shared" si="101"/>
        <v>0</v>
      </c>
      <c r="W74" s="747">
        <f t="shared" si="101"/>
        <v>0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</row>
    <row r="75" spans="1:218" s="749" customFormat="1" ht="12" customHeight="1" x14ac:dyDescent="0.2">
      <c r="A75" s="931"/>
      <c r="B75" s="931"/>
      <c r="C75" s="931"/>
      <c r="D75" s="746">
        <v>25</v>
      </c>
      <c r="E75" s="747">
        <f>SUM(E12:E72)-E74</f>
        <v>0</v>
      </c>
      <c r="F75" s="747">
        <f t="shared" ref="F75:W75" si="102">SUM(F12:F72)-F74</f>
        <v>227634</v>
      </c>
      <c r="G75" s="747">
        <f t="shared" si="102"/>
        <v>0</v>
      </c>
      <c r="H75" s="747">
        <f t="shared" si="102"/>
        <v>0</v>
      </c>
      <c r="I75" s="747">
        <f t="shared" si="102"/>
        <v>0</v>
      </c>
      <c r="J75" s="747">
        <f t="shared" si="102"/>
        <v>16410</v>
      </c>
      <c r="K75" s="747">
        <f t="shared" si="102"/>
        <v>0</v>
      </c>
      <c r="L75" s="747">
        <f t="shared" si="102"/>
        <v>211224</v>
      </c>
      <c r="M75" s="747">
        <f t="shared" si="102"/>
        <v>211224</v>
      </c>
      <c r="N75" s="747">
        <f t="shared" si="102"/>
        <v>13410.166666666668</v>
      </c>
      <c r="O75" s="747">
        <f t="shared" si="102"/>
        <v>696.80509827536378</v>
      </c>
      <c r="P75" s="747">
        <f t="shared" si="102"/>
        <v>10568.500000000002</v>
      </c>
      <c r="Q75" s="747">
        <f t="shared" si="102"/>
        <v>56820.000000000022</v>
      </c>
      <c r="R75" s="747">
        <f t="shared" si="102"/>
        <v>4862.6359075090131</v>
      </c>
      <c r="S75" s="747">
        <f t="shared" si="102"/>
        <v>13444.615384615388</v>
      </c>
      <c r="T75" s="747">
        <f t="shared" si="102"/>
        <v>349560</v>
      </c>
      <c r="U75" s="747">
        <f t="shared" si="102"/>
        <v>887.00312430659562</v>
      </c>
      <c r="V75" s="747">
        <f t="shared" si="102"/>
        <v>0</v>
      </c>
      <c r="W75" s="747">
        <f t="shared" si="102"/>
        <v>887.00312430659562</v>
      </c>
      <c r="X75" s="747"/>
      <c r="Y75" s="747"/>
      <c r="Z75" s="748"/>
      <c r="AA75" s="323"/>
      <c r="AB75" s="323"/>
      <c r="AC75" s="323"/>
      <c r="AD75" s="323"/>
      <c r="AE75" s="323"/>
      <c r="AF75" s="323"/>
      <c r="AI75" s="758"/>
      <c r="AJ75" s="758"/>
      <c r="AK75" s="758"/>
      <c r="AL75" s="758"/>
      <c r="AM75" s="758"/>
      <c r="AN75" s="758"/>
      <c r="AQ75" s="323"/>
      <c r="AR75" s="323"/>
      <c r="AS75" s="323"/>
      <c r="AT75" s="323"/>
      <c r="AU75" s="323"/>
      <c r="AV75" s="323"/>
      <c r="AY75" s="323"/>
      <c r="AZ75" s="323"/>
      <c r="BA75" s="323"/>
      <c r="BB75" s="323"/>
      <c r="BC75" s="323"/>
      <c r="BD75" s="323"/>
      <c r="BG75" s="833"/>
      <c r="BH75" s="833"/>
      <c r="BI75" s="833"/>
      <c r="BJ75" s="833"/>
      <c r="BK75" s="833"/>
      <c r="BL75" s="833"/>
      <c r="BO75" s="758"/>
      <c r="BP75" s="758"/>
      <c r="BQ75" s="758"/>
      <c r="BR75" s="758"/>
      <c r="BS75" s="758"/>
      <c r="BT75" s="758"/>
      <c r="BW75" s="758"/>
      <c r="BX75" s="758"/>
      <c r="BY75" s="758"/>
      <c r="BZ75" s="758"/>
      <c r="CA75" s="758"/>
      <c r="CB75" s="758"/>
      <c r="CE75" s="323"/>
      <c r="CF75" s="323"/>
      <c r="CG75" s="323"/>
      <c r="CH75" s="323"/>
      <c r="CI75" s="323"/>
      <c r="CJ75" s="323"/>
      <c r="CM75" s="323"/>
      <c r="CN75" s="323"/>
      <c r="CO75" s="323"/>
      <c r="CP75" s="323"/>
      <c r="CQ75" s="323"/>
      <c r="CR75" s="323"/>
      <c r="CU75" s="323"/>
      <c r="CV75" s="323"/>
      <c r="CW75" s="323"/>
      <c r="CX75" s="323"/>
      <c r="CY75" s="323"/>
      <c r="CZ75" s="323"/>
      <c r="DC75" s="323"/>
      <c r="DD75" s="323"/>
      <c r="DE75" s="323"/>
      <c r="DF75" s="323"/>
      <c r="DG75" s="323"/>
      <c r="DH75" s="323"/>
      <c r="DK75" s="323"/>
      <c r="DL75" s="323"/>
      <c r="DM75" s="323"/>
      <c r="DN75" s="323"/>
      <c r="DO75" s="323"/>
      <c r="DP75" s="323"/>
      <c r="DS75" s="323"/>
      <c r="DT75" s="323"/>
      <c r="DU75" s="323"/>
      <c r="DV75" s="323"/>
      <c r="DW75" s="323"/>
      <c r="DX75" s="323"/>
      <c r="EA75" s="323"/>
      <c r="EB75" s="323"/>
      <c r="EC75" s="323"/>
      <c r="ED75" s="323"/>
      <c r="EE75" s="323"/>
      <c r="EF75" s="323"/>
      <c r="EI75" s="323"/>
      <c r="EJ75" s="323"/>
      <c r="EK75" s="323"/>
      <c r="EL75" s="323"/>
      <c r="EM75" s="323"/>
      <c r="EN75" s="323"/>
      <c r="EQ75" s="323"/>
      <c r="ER75" s="323"/>
      <c r="ES75" s="323"/>
      <c r="ET75" s="323"/>
      <c r="EU75" s="323"/>
      <c r="EV75" s="323"/>
      <c r="EY75" s="323"/>
      <c r="EZ75" s="323"/>
      <c r="FA75" s="323"/>
      <c r="FB75" s="323"/>
      <c r="FC75" s="323"/>
      <c r="FD75" s="323"/>
      <c r="FG75" s="758"/>
      <c r="FH75" s="758"/>
      <c r="FI75" s="758"/>
      <c r="FJ75" s="758"/>
      <c r="FK75" s="758"/>
      <c r="FL75" s="758"/>
      <c r="FO75" s="323"/>
      <c r="FP75" s="323"/>
      <c r="FQ75" s="323"/>
      <c r="FR75" s="323"/>
      <c r="FS75" s="323"/>
      <c r="FT75" s="323"/>
      <c r="FW75" s="323"/>
      <c r="FX75" s="323"/>
      <c r="FY75" s="323"/>
      <c r="FZ75" s="323"/>
      <c r="GA75" s="323"/>
      <c r="GB75" s="323"/>
      <c r="GE75" s="323"/>
      <c r="GF75" s="323"/>
      <c r="GG75" s="323"/>
      <c r="GH75" s="323"/>
      <c r="GI75" s="323"/>
      <c r="GJ75" s="323"/>
      <c r="GU75" s="323"/>
      <c r="GV75" s="323"/>
      <c r="GW75" s="323"/>
      <c r="GX75" s="323"/>
      <c r="GY75" s="323"/>
      <c r="GZ75" s="323"/>
      <c r="HC75" s="323"/>
      <c r="HD75" s="323"/>
      <c r="HE75" s="323"/>
      <c r="HF75" s="323"/>
      <c r="HG75" s="323"/>
      <c r="HH75" s="323"/>
    </row>
    <row r="76" spans="1:218" ht="12" customHeight="1" x14ac:dyDescent="0.2">
      <c r="A76" s="12" t="s">
        <v>25</v>
      </c>
      <c r="B76" s="12"/>
      <c r="Y76" s="308"/>
      <c r="Z76" s="292"/>
    </row>
    <row r="77" spans="1:218" ht="12" customHeight="1" x14ac:dyDescent="0.2">
      <c r="A77" s="12" t="s">
        <v>267</v>
      </c>
      <c r="B77" s="12"/>
      <c r="C77" s="12"/>
      <c r="Y77" s="308"/>
      <c r="Z77" s="2"/>
    </row>
    <row r="78" spans="1:218" ht="12" customHeight="1" x14ac:dyDescent="0.2">
      <c r="A78" s="12" t="s">
        <v>268</v>
      </c>
      <c r="B78" s="12"/>
      <c r="C78" s="12"/>
      <c r="V78" s="487"/>
      <c r="X78" s="487"/>
      <c r="Y78" s="308"/>
      <c r="Z78" s="10"/>
    </row>
    <row r="79" spans="1:218" ht="12" customHeight="1" x14ac:dyDescent="0.2">
      <c r="C79" s="12"/>
      <c r="Y79" s="13"/>
      <c r="Z79" s="10"/>
    </row>
    <row r="80" spans="1:218" ht="12" customHeight="1" x14ac:dyDescent="0.2">
      <c r="A80" s="930"/>
      <c r="B80" s="930"/>
      <c r="C80" s="930"/>
      <c r="D80" s="930"/>
      <c r="E80" s="930"/>
      <c r="F80" s="930"/>
      <c r="G80" s="930"/>
      <c r="H80" s="930"/>
      <c r="I80" s="930"/>
      <c r="J80" s="930"/>
      <c r="K80" s="930"/>
      <c r="L80" s="930"/>
      <c r="M80" s="930"/>
      <c r="N80" s="930"/>
      <c r="O80" s="930"/>
      <c r="P80" s="930"/>
      <c r="Q80" s="10"/>
      <c r="R80" s="1"/>
      <c r="S80" s="1"/>
      <c r="T80" s="1"/>
      <c r="U80" s="1"/>
      <c r="V80" s="58"/>
      <c r="W80" s="1"/>
      <c r="X80" s="1"/>
      <c r="Y80" s="5"/>
      <c r="Z80" s="5"/>
    </row>
    <row r="81" spans="1:168" ht="12" customHeight="1" x14ac:dyDescent="0.2">
      <c r="A81" s="936" t="s">
        <v>15</v>
      </c>
      <c r="B81" s="936"/>
      <c r="C81" s="936"/>
      <c r="D81" s="936"/>
      <c r="E81" s="936"/>
      <c r="F81" s="936"/>
      <c r="G81" s="936"/>
      <c r="H81" s="936"/>
      <c r="I81" s="936"/>
      <c r="J81" s="936"/>
      <c r="K81" s="936"/>
      <c r="L81" s="936"/>
      <c r="M81" s="936"/>
      <c r="N81" s="936"/>
      <c r="O81" s="936"/>
      <c r="P81" s="936"/>
      <c r="Q81" s="1"/>
      <c r="R81" s="292"/>
      <c r="S81" s="292"/>
      <c r="T81" s="292"/>
      <c r="U81" s="292"/>
      <c r="V81" s="10"/>
      <c r="X81" s="31"/>
      <c r="Y81" s="1"/>
      <c r="Z81" s="1"/>
    </row>
    <row r="82" spans="1:168" s="5" customFormat="1" ht="12" customHeight="1" x14ac:dyDescent="0.2">
      <c r="A82" s="929" t="s">
        <v>3</v>
      </c>
      <c r="B82" s="929" t="s">
        <v>4</v>
      </c>
      <c r="C82" s="929"/>
      <c r="D82" s="944" t="s">
        <v>6</v>
      </c>
      <c r="E82" s="946" t="s">
        <v>7</v>
      </c>
      <c r="F82" s="942" t="s">
        <v>8</v>
      </c>
      <c r="G82" s="935" t="s">
        <v>9</v>
      </c>
      <c r="H82" s="929" t="s">
        <v>13</v>
      </c>
      <c r="I82" s="932" t="s">
        <v>2</v>
      </c>
      <c r="J82" s="932" t="s">
        <v>512</v>
      </c>
      <c r="K82" s="933"/>
      <c r="L82" s="716"/>
      <c r="M82" s="2"/>
      <c r="N82" s="2"/>
      <c r="O82" s="2"/>
      <c r="P82" s="2"/>
      <c r="Q82" s="10"/>
      <c r="R82" s="31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5" customFormat="1" ht="12" customHeight="1" x14ac:dyDescent="0.2">
      <c r="A83" s="929"/>
      <c r="B83" s="929"/>
      <c r="C83" s="929"/>
      <c r="D83" s="945"/>
      <c r="E83" s="947"/>
      <c r="F83" s="943"/>
      <c r="G83" s="935"/>
      <c r="H83" s="929"/>
      <c r="I83" s="932"/>
      <c r="J83" s="932"/>
      <c r="K83" s="934"/>
      <c r="L83" s="716"/>
      <c r="M83" s="13"/>
      <c r="N83" s="13"/>
      <c r="O83" s="13"/>
      <c r="P83" s="13"/>
      <c r="Q83" s="10"/>
      <c r="R83" s="717"/>
      <c r="S83" s="1"/>
      <c r="T83" s="1"/>
      <c r="U83" s="1"/>
      <c r="V83" s="1"/>
      <c r="W83" s="1"/>
      <c r="X83" s="1"/>
      <c r="AI83" s="78"/>
      <c r="AJ83" s="78"/>
      <c r="AK83" s="78"/>
      <c r="AL83" s="78"/>
      <c r="AM83" s="78"/>
      <c r="AN83" s="78"/>
      <c r="BG83" s="833"/>
      <c r="BH83" s="833"/>
      <c r="BI83" s="833"/>
      <c r="BJ83" s="833"/>
      <c r="BK83" s="833"/>
      <c r="BL83" s="833"/>
      <c r="BO83" s="78"/>
      <c r="BP83" s="78"/>
      <c r="BQ83" s="78"/>
      <c r="BR83" s="78"/>
      <c r="BS83" s="78"/>
      <c r="BT83" s="78"/>
      <c r="BW83" s="78"/>
      <c r="BX83" s="78"/>
      <c r="BY83" s="78"/>
      <c r="BZ83" s="78"/>
      <c r="CA83" s="78"/>
      <c r="CB83" s="78"/>
      <c r="FG83" s="78"/>
      <c r="FH83" s="78"/>
      <c r="FI83" s="78"/>
      <c r="FJ83" s="78"/>
      <c r="FK83" s="78"/>
      <c r="FL83" s="78"/>
    </row>
    <row r="84" spans="1:168" s="454" customFormat="1" x14ac:dyDescent="0.2">
      <c r="A84" s="391">
        <v>1</v>
      </c>
      <c r="B84" s="941" t="s">
        <v>194</v>
      </c>
      <c r="C84" s="941"/>
      <c r="D84" s="889">
        <v>125.5</v>
      </c>
      <c r="E84" s="24"/>
      <c r="F84" s="15"/>
      <c r="G84" s="294">
        <f>D84+E84-F84</f>
        <v>125.5</v>
      </c>
      <c r="H84" s="391">
        <f>2.5*4</f>
        <v>10</v>
      </c>
      <c r="I84" s="634"/>
      <c r="J84" s="297">
        <f>(I84+G84)/H84</f>
        <v>12.55</v>
      </c>
      <c r="K84" s="890"/>
      <c r="L84" s="718"/>
      <c r="M84" s="719"/>
      <c r="N84" s="719"/>
      <c r="O84" s="719"/>
      <c r="P84" s="719"/>
      <c r="Q84" s="395"/>
      <c r="R84" s="665"/>
      <c r="S84" s="455"/>
      <c r="T84" s="455"/>
      <c r="U84" s="455"/>
      <c r="V84" s="455"/>
      <c r="W84" s="455"/>
      <c r="X84" s="455"/>
      <c r="AI84" s="759"/>
      <c r="AJ84" s="759"/>
      <c r="AK84" s="759"/>
      <c r="AL84" s="759"/>
      <c r="AM84" s="759"/>
      <c r="AN84" s="759"/>
      <c r="BG84" s="840"/>
      <c r="BH84" s="840"/>
      <c r="BI84" s="840"/>
      <c r="BJ84" s="840"/>
      <c r="BK84" s="840"/>
      <c r="BL84" s="840"/>
      <c r="BO84" s="759"/>
      <c r="BP84" s="759"/>
      <c r="BQ84" s="759"/>
      <c r="BR84" s="759"/>
      <c r="BS84" s="759"/>
      <c r="BT84" s="759"/>
      <c r="BW84" s="759"/>
      <c r="BX84" s="759"/>
      <c r="BY84" s="759"/>
      <c r="BZ84" s="759"/>
      <c r="CA84" s="759"/>
      <c r="CB84" s="759"/>
      <c r="FG84" s="759"/>
      <c r="FH84" s="759"/>
      <c r="FI84" s="759"/>
      <c r="FJ84" s="759"/>
      <c r="FK84" s="759"/>
      <c r="FL84" s="759"/>
    </row>
    <row r="85" spans="1:168" x14ac:dyDescent="0.2">
      <c r="A85" s="21">
        <v>2</v>
      </c>
      <c r="B85" s="941" t="s">
        <v>27</v>
      </c>
      <c r="C85" s="941"/>
      <c r="D85" s="891">
        <v>1460</v>
      </c>
      <c r="E85" s="15"/>
      <c r="F85" s="15">
        <f>4*15</f>
        <v>60</v>
      </c>
      <c r="G85" s="294">
        <f>D85+E85-F85</f>
        <v>1400</v>
      </c>
      <c r="H85" s="21">
        <v>50</v>
      </c>
      <c r="I85" s="296"/>
      <c r="J85" s="297">
        <f>(I85+G85)/H85</f>
        <v>28</v>
      </c>
      <c r="K85" s="854"/>
      <c r="L85" s="298"/>
      <c r="R85" s="31"/>
      <c r="S85" s="1"/>
      <c r="T85" s="1"/>
      <c r="U85" s="1"/>
      <c r="V85" s="1"/>
      <c r="W85" s="1"/>
      <c r="X85" s="1"/>
      <c r="Y85" s="1"/>
      <c r="Z85" s="1"/>
    </row>
    <row r="86" spans="1:168" ht="12" hidden="1" customHeight="1" x14ac:dyDescent="0.2">
      <c r="A86" s="21">
        <v>2</v>
      </c>
      <c r="B86" s="941" t="s">
        <v>16</v>
      </c>
      <c r="C86" s="941"/>
      <c r="D86" s="328">
        <v>0</v>
      </c>
      <c r="E86" s="329"/>
      <c r="F86" s="295"/>
      <c r="G86" s="294">
        <f>D86+E86-F86</f>
        <v>0</v>
      </c>
      <c r="H86" s="21">
        <v>24</v>
      </c>
      <c r="I86" s="299"/>
      <c r="J86" s="297">
        <f>(I86+G86)/H86</f>
        <v>0</v>
      </c>
      <c r="K86" s="300"/>
      <c r="L86" s="292"/>
      <c r="M86" s="10"/>
      <c r="N86" s="10"/>
      <c r="O86" s="10"/>
      <c r="P86" s="10"/>
      <c r="Q86" s="10"/>
      <c r="R86" s="31"/>
      <c r="S86" s="1"/>
      <c r="T86" s="1"/>
      <c r="U86" s="1"/>
      <c r="V86" s="1"/>
      <c r="W86" s="1"/>
      <c r="X86" s="1"/>
      <c r="Y86" s="1"/>
      <c r="Z86" s="1"/>
    </row>
    <row r="87" spans="1:168" ht="12" customHeight="1" x14ac:dyDescent="0.2">
      <c r="A87" s="12" t="s">
        <v>25</v>
      </c>
      <c r="B87" s="12"/>
      <c r="C87" s="12"/>
      <c r="E87" s="720"/>
      <c r="J87" s="10"/>
      <c r="K87" s="10"/>
      <c r="L87" s="10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12" t="s">
        <v>267</v>
      </c>
      <c r="B88" s="12"/>
      <c r="C88" s="12"/>
      <c r="E88" s="720"/>
      <c r="J88" s="13"/>
      <c r="K88" s="13"/>
      <c r="L88" s="13"/>
      <c r="M88" s="10"/>
      <c r="N88" s="10"/>
      <c r="O88" s="292"/>
      <c r="P88" s="10"/>
      <c r="Q88" s="10"/>
      <c r="R88" s="292"/>
      <c r="S88" s="292"/>
      <c r="T88" s="292"/>
      <c r="U88" s="292"/>
      <c r="V88" s="10"/>
      <c r="W88" s="10"/>
      <c r="X88" s="31"/>
      <c r="Y88" s="1"/>
      <c r="Z88" s="1"/>
    </row>
    <row r="89" spans="1:168" ht="12" customHeight="1" x14ac:dyDescent="0.2">
      <c r="A89" s="306" t="s">
        <v>268</v>
      </c>
      <c r="B89" s="306"/>
      <c r="J89" s="13"/>
      <c r="K89" s="10"/>
      <c r="L89" s="10"/>
      <c r="M89" s="13"/>
      <c r="N89" s="10"/>
      <c r="O89" s="292"/>
      <c r="P89" s="10"/>
      <c r="Q89" s="10"/>
      <c r="R89" s="292"/>
      <c r="S89" s="292"/>
      <c r="T89" s="292"/>
      <c r="U89" s="292"/>
      <c r="V89" s="448"/>
      <c r="W89" s="10"/>
      <c r="X89" s="31"/>
      <c r="Y89" s="1"/>
      <c r="Z89" s="1"/>
    </row>
    <row r="90" spans="1:168" ht="12" customHeight="1" x14ac:dyDescent="0.2">
      <c r="V90" s="448"/>
      <c r="Z90" s="292"/>
    </row>
    <row r="91" spans="1:168" x14ac:dyDescent="0.2">
      <c r="V91" s="448"/>
      <c r="Z91" s="292"/>
    </row>
    <row r="92" spans="1:168" s="10" customFormat="1" x14ac:dyDescent="0.2">
      <c r="C92" s="487"/>
      <c r="E92" s="2"/>
      <c r="F92" s="2"/>
      <c r="G92" s="2"/>
      <c r="H92" s="2"/>
      <c r="I92" s="447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F93" s="2"/>
      <c r="G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448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H94" s="208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C95" s="487"/>
      <c r="E95" s="2"/>
      <c r="F95" s="710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10" customFormat="1" x14ac:dyDescent="0.2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Z103" s="11"/>
      <c r="AI103" s="86"/>
      <c r="AJ103" s="86"/>
      <c r="AK103" s="86"/>
      <c r="AL103" s="86"/>
      <c r="AM103" s="86"/>
      <c r="AN103" s="86"/>
      <c r="BG103" s="837"/>
      <c r="BH103" s="837"/>
      <c r="BI103" s="837"/>
      <c r="BJ103" s="837"/>
      <c r="BK103" s="837"/>
      <c r="BL103" s="837"/>
      <c r="BO103" s="86"/>
      <c r="BP103" s="86"/>
      <c r="BQ103" s="86"/>
      <c r="BR103" s="86"/>
      <c r="BS103" s="86"/>
      <c r="BT103" s="86"/>
      <c r="BW103" s="86"/>
      <c r="BX103" s="86"/>
      <c r="BY103" s="86"/>
      <c r="BZ103" s="86"/>
      <c r="CA103" s="86"/>
      <c r="CB103" s="86"/>
      <c r="FG103" s="86"/>
      <c r="FH103" s="86"/>
      <c r="FI103" s="86"/>
      <c r="FJ103" s="86"/>
      <c r="FK103" s="86"/>
      <c r="FL103" s="86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  <row r="106" spans="1:168" s="2" customFormat="1" x14ac:dyDescent="0.2">
      <c r="A106" s="10"/>
      <c r="B106" s="10"/>
      <c r="C106" s="10"/>
      <c r="D106" s="10"/>
      <c r="Y106" s="10"/>
      <c r="Z106" s="11"/>
      <c r="AI106" s="87"/>
      <c r="AJ106" s="87"/>
      <c r="AK106" s="87"/>
      <c r="AL106" s="87"/>
      <c r="AM106" s="87"/>
      <c r="AN106" s="87"/>
      <c r="BG106" s="841"/>
      <c r="BH106" s="841"/>
      <c r="BI106" s="841"/>
      <c r="BJ106" s="841"/>
      <c r="BK106" s="841"/>
      <c r="BL106" s="841"/>
      <c r="BO106" s="87"/>
      <c r="BP106" s="87"/>
      <c r="BQ106" s="87"/>
      <c r="BR106" s="87"/>
      <c r="BS106" s="87"/>
      <c r="BT106" s="87"/>
      <c r="BW106" s="87"/>
      <c r="BX106" s="87"/>
      <c r="BY106" s="87"/>
      <c r="BZ106" s="87"/>
      <c r="CA106" s="87"/>
      <c r="CB106" s="87"/>
      <c r="FG106" s="87"/>
      <c r="FH106" s="87"/>
      <c r="FI106" s="87"/>
      <c r="FJ106" s="87"/>
      <c r="FK106" s="87"/>
      <c r="FL106" s="87"/>
    </row>
  </sheetData>
  <mergeCells count="46"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  <mergeCell ref="R10:R11"/>
    <mergeCell ref="O10:O11"/>
    <mergeCell ref="P10:P11"/>
    <mergeCell ref="B86:C86"/>
    <mergeCell ref="B85:C85"/>
    <mergeCell ref="B82:C83"/>
    <mergeCell ref="F82:F83"/>
    <mergeCell ref="D82:D83"/>
    <mergeCell ref="E82:E83"/>
    <mergeCell ref="B84:C84"/>
    <mergeCell ref="Q10:Q11"/>
    <mergeCell ref="B10:B11"/>
    <mergeCell ref="C10:C11"/>
    <mergeCell ref="D10:D11"/>
    <mergeCell ref="G10:H10"/>
    <mergeCell ref="A82:A83"/>
    <mergeCell ref="A80:P80"/>
    <mergeCell ref="A74:C75"/>
    <mergeCell ref="J82:J83"/>
    <mergeCell ref="K82:K83"/>
    <mergeCell ref="G82:G83"/>
    <mergeCell ref="I82:I83"/>
    <mergeCell ref="H82:H83"/>
    <mergeCell ref="A81:P81"/>
    <mergeCell ref="A3:C3"/>
    <mergeCell ref="A4:C4"/>
    <mergeCell ref="A5:C5"/>
    <mergeCell ref="A7:C7"/>
    <mergeCell ref="I10:J10"/>
    <mergeCell ref="A8:C8"/>
  </mergeCells>
  <phoneticPr fontId="50" type="noConversion"/>
  <conditionalFormatting sqref="R12:R73">
    <cfRule type="cellIs" dxfId="30" priority="1" operator="greaterThan">
      <formula>25</formula>
    </cfRule>
    <cfRule type="cellIs" dxfId="29" priority="2" operator="lessThan">
      <formula>15</formula>
    </cfRule>
    <cfRule type="cellIs" dxfId="28" priority="3" operator="between">
      <formula>15</formula>
      <formula>25</formula>
    </cfRule>
  </conditionalFormatting>
  <conditionalFormatting sqref="U12:U73">
    <cfRule type="cellIs" dxfId="27" priority="4" operator="between">
      <formula>25</formula>
      <formula>27</formula>
    </cfRule>
    <cfRule type="cellIs" dxfId="26" priority="5" operator="lessThan">
      <formula>25</formula>
    </cfRule>
    <cfRule type="cellIs" dxfId="25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ZP73"/>
  <sheetViews>
    <sheetView zoomScaleNormal="100" workbookViewId="0">
      <pane ySplit="2" topLeftCell="A3" activePane="bottomLeft" state="frozen"/>
      <selection pane="bottomLeft" activeCell="J57" sqref="J57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customWidth="1"/>
    <col min="4071" max="4072" width="6.7109375" style="1" customWidth="1"/>
    <col min="4073" max="16384" width="9.140625" style="1"/>
  </cols>
  <sheetData>
    <row r="1" spans="1:4072" ht="18.75" x14ac:dyDescent="0.2">
      <c r="A1" s="978" t="s">
        <v>0</v>
      </c>
      <c r="B1" s="978"/>
      <c r="C1" s="978"/>
      <c r="D1" s="978"/>
      <c r="E1" s="978"/>
      <c r="F1" s="978"/>
      <c r="G1" s="978"/>
      <c r="H1" s="978"/>
      <c r="I1" s="978"/>
      <c r="J1" s="978"/>
      <c r="K1" s="978"/>
      <c r="L1" s="978"/>
      <c r="M1" s="978"/>
      <c r="N1" s="978"/>
      <c r="O1" s="978"/>
      <c r="P1" s="978"/>
      <c r="Q1" s="978"/>
      <c r="R1" s="978"/>
      <c r="S1" s="978"/>
      <c r="T1" s="978"/>
      <c r="U1" s="978"/>
      <c r="V1" s="978"/>
      <c r="W1" s="978"/>
      <c r="X1" s="978"/>
      <c r="Y1" s="978"/>
      <c r="Z1" s="978"/>
      <c r="AA1" s="978"/>
      <c r="AB1" s="978"/>
      <c r="AC1" s="652"/>
      <c r="EWM1" s="1">
        <v>5</v>
      </c>
    </row>
    <row r="2" spans="1:4072" ht="18.75" x14ac:dyDescent="0.2">
      <c r="A2" s="978" t="s">
        <v>229</v>
      </c>
      <c r="B2" s="978"/>
      <c r="C2" s="978"/>
      <c r="D2" s="978"/>
      <c r="E2" s="978"/>
      <c r="F2" s="978"/>
      <c r="G2" s="978"/>
      <c r="H2" s="978"/>
      <c r="I2" s="978"/>
      <c r="J2" s="978"/>
      <c r="K2" s="978"/>
      <c r="L2" s="978"/>
      <c r="M2" s="978"/>
      <c r="N2" s="978"/>
      <c r="O2" s="978"/>
      <c r="P2" s="978"/>
      <c r="Q2" s="978"/>
      <c r="R2" s="978"/>
      <c r="S2" s="978"/>
      <c r="T2" s="978"/>
      <c r="U2" s="978"/>
      <c r="V2" s="978"/>
      <c r="W2" s="978"/>
      <c r="X2" s="978"/>
      <c r="Y2" s="20"/>
      <c r="Z2" s="20"/>
      <c r="AA2" s="20"/>
      <c r="AB2" s="20"/>
      <c r="AC2" s="652"/>
    </row>
    <row r="3" spans="1:4072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54" t="str">
        <f>HIGRO!X8</f>
        <v>Date(Ngày): 03/05/2026</v>
      </c>
      <c r="X3" s="954"/>
      <c r="Y3" s="20"/>
      <c r="Z3" s="20"/>
      <c r="AB3" s="3"/>
      <c r="AC3" s="653"/>
    </row>
    <row r="4" spans="1:4072" s="5" customFormat="1" ht="21" customHeight="1" x14ac:dyDescent="0.2">
      <c r="A4" s="1001" t="s">
        <v>274</v>
      </c>
      <c r="B4" s="1002"/>
      <c r="C4" s="1002"/>
      <c r="D4" s="1002"/>
      <c r="E4" s="1002"/>
      <c r="F4" s="1002"/>
      <c r="G4" s="1002"/>
      <c r="H4" s="1002"/>
      <c r="I4" s="1002"/>
      <c r="J4" s="1002"/>
      <c r="K4" s="1002"/>
      <c r="L4" s="1002"/>
      <c r="M4" s="1003"/>
      <c r="N4" s="955" t="s">
        <v>252</v>
      </c>
      <c r="O4" s="956"/>
      <c r="P4" s="972" t="s">
        <v>255</v>
      </c>
      <c r="Q4" s="973"/>
      <c r="R4" s="973"/>
      <c r="S4" s="973"/>
      <c r="T4" s="973"/>
      <c r="U4" s="992" t="s">
        <v>260</v>
      </c>
      <c r="V4" s="995" t="s">
        <v>259</v>
      </c>
      <c r="W4" s="998" t="s">
        <v>265</v>
      </c>
      <c r="X4" s="982" t="s">
        <v>262</v>
      </c>
      <c r="Y4" s="979" t="s">
        <v>1</v>
      </c>
      <c r="Z4" s="980"/>
      <c r="AA4" s="980"/>
      <c r="AB4" s="981"/>
      <c r="AC4" s="1007" t="s">
        <v>329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</row>
    <row r="5" spans="1:4072" s="6" customFormat="1" ht="23.25" customHeight="1" thickBot="1" x14ac:dyDescent="0.25">
      <c r="A5" s="982" t="s">
        <v>248</v>
      </c>
      <c r="B5" s="995" t="s">
        <v>249</v>
      </c>
      <c r="C5" s="984" t="s">
        <v>250</v>
      </c>
      <c r="D5" s="982" t="s">
        <v>251</v>
      </c>
      <c r="E5" s="913" t="s">
        <v>232</v>
      </c>
      <c r="F5" s="914"/>
      <c r="G5" s="913" t="s">
        <v>233</v>
      </c>
      <c r="H5" s="914"/>
      <c r="I5" s="913" t="s">
        <v>234</v>
      </c>
      <c r="J5" s="914"/>
      <c r="K5" s="986" t="s">
        <v>235</v>
      </c>
      <c r="L5" s="987"/>
      <c r="M5" s="988"/>
      <c r="N5" s="939" t="s">
        <v>254</v>
      </c>
      <c r="O5" s="939" t="s">
        <v>253</v>
      </c>
      <c r="P5" s="937" t="s">
        <v>256</v>
      </c>
      <c r="Q5" s="937" t="s">
        <v>253</v>
      </c>
      <c r="R5" s="974" t="s">
        <v>257</v>
      </c>
      <c r="S5" s="316"/>
      <c r="T5" s="976" t="s">
        <v>258</v>
      </c>
      <c r="U5" s="993"/>
      <c r="V5" s="996"/>
      <c r="W5" s="999"/>
      <c r="X5" s="983"/>
      <c r="Y5" s="989" t="s">
        <v>10</v>
      </c>
      <c r="Z5" s="989" t="s">
        <v>11</v>
      </c>
      <c r="AA5" s="989" t="s">
        <v>12</v>
      </c>
      <c r="AB5" s="989" t="s">
        <v>18</v>
      </c>
      <c r="AC5" s="1007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</row>
    <row r="6" spans="1:4072" s="6" customFormat="1" ht="38.25" customHeight="1" thickBot="1" x14ac:dyDescent="0.25">
      <c r="A6" s="983"/>
      <c r="B6" s="1004"/>
      <c r="C6" s="985"/>
      <c r="D6" s="983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40"/>
      <c r="O6" s="940"/>
      <c r="P6" s="938"/>
      <c r="Q6" s="938"/>
      <c r="R6" s="975"/>
      <c r="S6" s="316"/>
      <c r="T6" s="976"/>
      <c r="U6" s="994"/>
      <c r="V6" s="997"/>
      <c r="W6" s="1000"/>
      <c r="X6" s="983"/>
      <c r="Y6" s="990"/>
      <c r="Z6" s="991"/>
      <c r="AA6" s="991"/>
      <c r="AB6" s="991"/>
      <c r="AC6" s="1007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</row>
    <row r="7" spans="1:4072" s="8" customFormat="1" ht="15" customHeight="1" x14ac:dyDescent="0.2">
      <c r="A7" s="301">
        <v>1</v>
      </c>
      <c r="B7" s="21" t="s">
        <v>56</v>
      </c>
      <c r="C7" s="275" t="s">
        <v>292</v>
      </c>
      <c r="D7" s="21">
        <v>25</v>
      </c>
      <c r="E7" s="24"/>
      <c r="F7" s="24">
        <v>2001</v>
      </c>
      <c r="G7" s="24"/>
      <c r="H7" s="24"/>
      <c r="I7" s="360"/>
      <c r="J7" s="360">
        <f>SUMIF(SUMPK!$B:$B,$B:$B,SUMPK!$O:$O)</f>
        <v>0</v>
      </c>
      <c r="K7" s="24">
        <f>E7+G7-I7</f>
        <v>0</v>
      </c>
      <c r="L7" s="24">
        <f>F7+H7-J7</f>
        <v>2001</v>
      </c>
      <c r="M7" s="24">
        <f>K7+L7</f>
        <v>2001</v>
      </c>
      <c r="N7" s="15">
        <v>73</v>
      </c>
      <c r="O7" s="276">
        <f>IF(N7=0,0,M7/N7)</f>
        <v>27.410958904109588</v>
      </c>
      <c r="P7" s="712">
        <v>714.33333333333337</v>
      </c>
      <c r="Q7" s="276">
        <f>IF(P7=0,0,M7/P7*6)</f>
        <v>16.807279514699019</v>
      </c>
      <c r="R7" s="277">
        <f>S7/$S$3</f>
        <v>76.92307692307692</v>
      </c>
      <c r="S7" s="222">
        <v>2000</v>
      </c>
      <c r="T7" s="276">
        <f>IF(R7=0,0,M7/R7)</f>
        <v>26.013000000000002</v>
      </c>
      <c r="U7" s="303"/>
      <c r="V7" s="302">
        <f>IF(R7=0,0,(M7+U7)/R7)</f>
        <v>26.013000000000002</v>
      </c>
      <c r="W7" s="304">
        <f t="shared" ref="W7:W19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1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1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CJF7/$CJG$28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0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808</v>
      </c>
      <c r="DJC7" s="68">
        <f>DJB7/$DJC$5</f>
        <v>134.66666666666666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0</v>
      </c>
      <c r="DLL7" s="49"/>
      <c r="DLM7" s="49">
        <v>0</v>
      </c>
      <c r="DLN7" s="64">
        <f>SUM(DLH7:DLM7)</f>
        <v>685</v>
      </c>
      <c r="DLO7" s="68">
        <f>DLN7/$DLO$5</f>
        <v>114.16666666666667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DWX7/$DWY$28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0</v>
      </c>
      <c r="DZI7" s="437"/>
      <c r="DZJ7" s="64">
        <f t="shared" ref="DZJ7" si="99">SUM(DZD7:DZI7)</f>
        <v>0</v>
      </c>
      <c r="DZK7" s="68">
        <f>DZJ7/$DZK$5</f>
        <v>0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EAP7/$EAQ$28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0</v>
      </c>
      <c r="EDP7" s="49"/>
      <c r="EDQ7" s="49">
        <v>0</v>
      </c>
      <c r="EDR7" s="64">
        <f t="shared" ref="EDR7" si="113">SUM(EDL7:EDQ7)</f>
        <v>700</v>
      </c>
      <c r="EDS7" s="184">
        <f>EDR7/$EDS$5</f>
        <v>116.66666666666667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EGT7/$EGU$28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0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200</v>
      </c>
      <c r="EON7" s="271">
        <f>EOM7/$EON$5</f>
        <v>33.333333333333336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0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0</v>
      </c>
      <c r="EPL7" s="271">
        <f>EPK7/$EPL$5</f>
        <v>0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0</v>
      </c>
      <c r="EUO7" s="684">
        <v>0</v>
      </c>
      <c r="EUP7" s="684">
        <v>0</v>
      </c>
      <c r="EUQ7" s="820">
        <f t="shared" ref="EUQ7" si="168">SUM(EUK7:EUP7)</f>
        <v>350</v>
      </c>
      <c r="EUR7" s="271">
        <f>EUQ7/$EUR$5</f>
        <v>58.333333333333336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 t="shared" ref="EWN7:EWN21" si="175">EWM7/$EWN$28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6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7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8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9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80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1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2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3">SUM(EYS7:EYX7)</f>
        <v>0</v>
      </c>
      <c r="EYZ7" s="877">
        <f>EYY7/$EYZ$28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4">SUM(EZA7:EZF7)</f>
        <v>438</v>
      </c>
      <c r="EZH7" s="877">
        <f>EZG7/$EZH$5</f>
        <v>73</v>
      </c>
      <c r="EZI7" s="195"/>
      <c r="EZJ7" s="49">
        <v>0</v>
      </c>
      <c r="EZK7" s="49">
        <v>299</v>
      </c>
      <c r="EZL7" s="49"/>
      <c r="EZM7" s="49"/>
      <c r="EZN7" s="49"/>
      <c r="EZO7" s="872">
        <f t="shared" ref="EZO7" si="185">SUM(EZI7:EZN7)</f>
        <v>299</v>
      </c>
      <c r="EZP7" s="873">
        <f>EZO7/$EZP$5</f>
        <v>49.833333333333336</v>
      </c>
    </row>
    <row r="8" spans="1:4072" s="8" customFormat="1" ht="15" customHeight="1" x14ac:dyDescent="0.2">
      <c r="A8" s="301">
        <v>2</v>
      </c>
      <c r="B8" s="21" t="s">
        <v>75</v>
      </c>
      <c r="C8" s="275" t="s">
        <v>293</v>
      </c>
      <c r="D8" s="21">
        <v>25</v>
      </c>
      <c r="E8" s="24"/>
      <c r="F8" s="24">
        <v>1364</v>
      </c>
      <c r="G8" s="24"/>
      <c r="H8" s="24"/>
      <c r="I8" s="360"/>
      <c r="J8" s="360">
        <f>SUMIF(SUMPK!$B:$B,$B:$B,SUMPK!$O:$O)</f>
        <v>0</v>
      </c>
      <c r="K8" s="24">
        <f t="shared" ref="K8:K13" si="186">E8+G8-I8</f>
        <v>0</v>
      </c>
      <c r="L8" s="24">
        <f t="shared" ref="L8:L21" si="187">F8+H8-J8</f>
        <v>1364</v>
      </c>
      <c r="M8" s="24">
        <f t="shared" ref="M8:M21" si="188">K8+L8</f>
        <v>1364</v>
      </c>
      <c r="N8" s="724">
        <v>36</v>
      </c>
      <c r="O8" s="276">
        <f t="shared" ref="O8:O17" si="189">IF(N8=0,0,M8/N8)</f>
        <v>37.888888888888886</v>
      </c>
      <c r="P8" s="712">
        <v>0</v>
      </c>
      <c r="Q8" s="276">
        <f t="shared" ref="Q8:Q21" si="190">IF(P8=0,0,M8/P8*6)</f>
        <v>0</v>
      </c>
      <c r="R8" s="277">
        <f t="shared" ref="R8:R21" si="191">S8/$S$3</f>
        <v>36.92307692307692</v>
      </c>
      <c r="S8" s="222">
        <v>960</v>
      </c>
      <c r="T8" s="276">
        <f t="shared" ref="T8:T17" si="192">IF(R8=0,0,M8/R8)</f>
        <v>36.94166666666667</v>
      </c>
      <c r="U8" s="303"/>
      <c r="V8" s="302">
        <f t="shared" ref="V8:V15" si="193">IF(R8=0,0,(M8+U8)/R8)</f>
        <v>36.94166666666667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1" si="194">SUM(JZ8:KE8)</f>
        <v>0</v>
      </c>
      <c r="KG8" s="43">
        <f t="shared" ref="KG8:KG21" si="195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1" si="196">SUM(KH8:KM8)</f>
        <v>959</v>
      </c>
      <c r="KO8" s="68">
        <f t="shared" ref="KO8:KO21" si="197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1" si="198">SUM(KP8:KU8)</f>
        <v>1593</v>
      </c>
      <c r="KW8" s="68">
        <f t="shared" ref="KW8:KW21" si="199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1" si="200">SUM(KX8:LC8)</f>
        <v>993</v>
      </c>
      <c r="LE8" s="68">
        <f t="shared" ref="LE8:LE21" si="201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1" si="202">SUM(LF8:LK8)</f>
        <v>1823</v>
      </c>
      <c r="LM8" s="68">
        <f t="shared" ref="LM8:LM21" si="203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1" si="204">SUM(LN8:LS8)</f>
        <v>2751</v>
      </c>
      <c r="LU8" s="68">
        <f t="shared" ref="LU8:LU21" si="205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1" si="206">SUM(LV8:MA8)</f>
        <v>1653</v>
      </c>
      <c r="MC8" s="68">
        <f t="shared" ref="MC8:MC21" si="207">MB8/$KN$5</f>
        <v>275.5</v>
      </c>
      <c r="MD8" s="48"/>
      <c r="ME8" s="49"/>
      <c r="MF8" s="49"/>
      <c r="MG8" s="49"/>
      <c r="MH8" s="49"/>
      <c r="MI8" s="49"/>
      <c r="MJ8" s="67">
        <f t="shared" ref="MJ8:MJ21" si="208">SUM(MD8:MI8)</f>
        <v>0</v>
      </c>
      <c r="MK8" s="68">
        <f t="shared" ref="MK8:MK21" si="209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1" si="210">SUM(ML8:MQ8)</f>
        <v>2359</v>
      </c>
      <c r="MS8" s="68">
        <f t="shared" ref="MS8:MS21" si="211">MR8/$KN$5</f>
        <v>393.16666666666669</v>
      </c>
      <c r="MT8" s="48"/>
      <c r="MU8" s="49"/>
      <c r="MV8" s="49"/>
      <c r="MW8" s="49"/>
      <c r="MX8" s="49"/>
      <c r="MY8" s="49"/>
      <c r="MZ8" s="67">
        <f t="shared" ref="MZ8:MZ21" si="212">SUM(MT8:MY8)</f>
        <v>0</v>
      </c>
      <c r="NA8" s="68">
        <f t="shared" ref="NA8:NA21" si="213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1" si="214">SUM(NB8:NG8)</f>
        <v>3689</v>
      </c>
      <c r="NI8" s="68">
        <f t="shared" ref="NI8:NI21" si="215">NH8/$KN$5</f>
        <v>614.83333333333337</v>
      </c>
      <c r="NJ8" s="48"/>
      <c r="NK8" s="49"/>
      <c r="NL8" s="49"/>
      <c r="NM8" s="49"/>
      <c r="NN8" s="49"/>
      <c r="NO8" s="49"/>
      <c r="NP8" s="67">
        <f t="shared" ref="NP8:NP21" si="216">SUM(NJ8:NO8)</f>
        <v>0</v>
      </c>
      <c r="NQ8" s="68">
        <f t="shared" ref="NQ8:NQ21" si="217">NP8/$KN$5</f>
        <v>0</v>
      </c>
      <c r="NR8" s="48"/>
      <c r="NS8" s="49"/>
      <c r="NT8" s="49"/>
      <c r="NU8" s="49"/>
      <c r="NV8" s="49"/>
      <c r="NW8" s="49"/>
      <c r="NX8" s="67">
        <f t="shared" ref="NX8:NX21" si="218">SUM(NR8:NW8)</f>
        <v>0</v>
      </c>
      <c r="NY8" s="68">
        <f t="shared" ref="NY8:NY21" si="219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1" si="220">SUM(NZ8:OE8)</f>
        <v>1657</v>
      </c>
      <c r="OG8" s="68">
        <f t="shared" ref="OG8:OG21" si="221">OF8/$KN$5</f>
        <v>276.16666666666669</v>
      </c>
      <c r="OH8" s="48"/>
      <c r="OI8" s="49"/>
      <c r="OJ8" s="49"/>
      <c r="OK8" s="49"/>
      <c r="OL8" s="49"/>
      <c r="OM8" s="49"/>
      <c r="ON8" s="67">
        <f t="shared" ref="ON8:ON21" si="222">SUM(OH8:OM8)</f>
        <v>0</v>
      </c>
      <c r="OO8" s="68">
        <f t="shared" ref="OO8:OO21" si="223">ON8/$KN$5</f>
        <v>0</v>
      </c>
      <c r="OP8" s="48"/>
      <c r="OQ8" s="49"/>
      <c r="OR8" s="49"/>
      <c r="OS8" s="49"/>
      <c r="OT8" s="49"/>
      <c r="OU8" s="49"/>
      <c r="OV8" s="67">
        <f t="shared" ref="OV8:OV21" si="224">SUM(OP8:OU8)</f>
        <v>0</v>
      </c>
      <c r="OW8" s="68">
        <f t="shared" ref="OW8:OW21" si="225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1" si="226">SUM(OX8:PC8)</f>
        <v>1419</v>
      </c>
      <c r="PE8" s="68">
        <f t="shared" ref="PE8:PE21" si="227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1" si="228">SUM(PF8:PK8)</f>
        <v>1987</v>
      </c>
      <c r="PM8" s="68">
        <f t="shared" ref="PM8:PM21" si="229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1" si="230">SUM(PN8:PS8)</f>
        <v>1919</v>
      </c>
      <c r="PU8" s="105">
        <f t="shared" ref="PU8:PU21" si="231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1" si="232">SUM(PV8:QA8)</f>
        <v>1008</v>
      </c>
      <c r="QC8" s="105">
        <f t="shared" ref="QC8:QC21" si="233">QB8/$PU$5</f>
        <v>168</v>
      </c>
      <c r="QD8" s="106"/>
      <c r="QE8" s="107"/>
      <c r="QF8" s="107"/>
      <c r="QG8" s="107"/>
      <c r="QH8" s="107"/>
      <c r="QI8" s="107"/>
      <c r="QJ8" s="104">
        <f t="shared" ref="QJ8:QJ21" si="234">SUM(QD8:QI8)</f>
        <v>0</v>
      </c>
      <c r="QK8" s="105">
        <f t="shared" ref="QK8:QK21" si="235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1" si="236">SUM(QL8:QQ8)</f>
        <v>1975</v>
      </c>
      <c r="QS8" s="105">
        <f t="shared" ref="QS8:QS21" si="237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1" si="238">SUM(QT8:QY8)</f>
        <v>0</v>
      </c>
      <c r="RA8" s="105">
        <f t="shared" ref="RA8:RA21" si="239">QZ8/$PU$5</f>
        <v>0</v>
      </c>
      <c r="RB8" s="106"/>
      <c r="RC8" s="107"/>
      <c r="RD8" s="107"/>
      <c r="RE8" s="107"/>
      <c r="RF8" s="107"/>
      <c r="RG8" s="107"/>
      <c r="RH8" s="104">
        <f t="shared" ref="RH8:RH21" si="240">SUM(RB8:RG8)</f>
        <v>0</v>
      </c>
      <c r="RI8" s="105">
        <f t="shared" ref="RI8:RI21" si="241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1" si="242">SUM(RJ8:RO8)</f>
        <v>1667</v>
      </c>
      <c r="RQ8" s="105">
        <f t="shared" ref="RQ8:RQ21" si="243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1" si="244">SUM(RR8:RW8)</f>
        <v>0</v>
      </c>
      <c r="RY8" s="105">
        <f t="shared" ref="RY8:RY21" si="245">RX8/$PU$5</f>
        <v>0</v>
      </c>
      <c r="RZ8" s="106"/>
      <c r="SA8" s="107"/>
      <c r="SB8" s="107"/>
      <c r="SC8" s="107"/>
      <c r="SD8" s="107"/>
      <c r="SE8" s="107"/>
      <c r="SF8" s="104">
        <f t="shared" ref="SF8:SF21" si="246">SUM(RZ8:SE8)</f>
        <v>0</v>
      </c>
      <c r="SG8" s="105">
        <f t="shared" ref="SG8:SG21" si="247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1" si="248">SUM(SH8:SM8)</f>
        <v>1998</v>
      </c>
      <c r="SO8" s="105">
        <f t="shared" ref="SO8:SO21" si="249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1" si="250">SUM(SP8:SU8)</f>
        <v>1987</v>
      </c>
      <c r="SW8" s="105">
        <f t="shared" ref="SW8:SW21" si="251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1" si="252">SUM(SX8:TC8)</f>
        <v>0</v>
      </c>
      <c r="TE8" s="105">
        <f t="shared" ref="TE8:TE21" si="253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1" si="254">SUM(TF8:TK8)</f>
        <v>2006</v>
      </c>
      <c r="TM8" s="105">
        <f t="shared" ref="TM8:TM21" si="255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1" si="256">SUM(TN8:TS8)</f>
        <v>0</v>
      </c>
      <c r="TU8" s="105">
        <f t="shared" ref="TU8:TU21" si="257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1" si="258">SUM(TV8:UA8)</f>
        <v>2703</v>
      </c>
      <c r="UC8" s="105">
        <f t="shared" ref="UC8:UC21" si="259">UB8/$PU$5</f>
        <v>450.5</v>
      </c>
      <c r="UD8" s="106"/>
      <c r="UE8" s="107"/>
      <c r="UF8" s="107"/>
      <c r="UG8" s="107"/>
      <c r="UH8" s="107"/>
      <c r="UI8" s="107"/>
      <c r="UJ8" s="104">
        <f t="shared" ref="UJ8:UJ21" si="260">SUM(UD8:UI8)</f>
        <v>0</v>
      </c>
      <c r="UK8" s="105">
        <f t="shared" ref="UK8:UK21" si="261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1" si="262">SUM(UL8:UR8)</f>
        <v>1659</v>
      </c>
      <c r="UT8" s="105">
        <f t="shared" ref="UT8:UT21" si="263">US8/$PU$5</f>
        <v>276.5</v>
      </c>
      <c r="UU8" s="106"/>
      <c r="UV8" s="107"/>
      <c r="UW8" s="107"/>
      <c r="UX8" s="107"/>
      <c r="UY8" s="107"/>
      <c r="UZ8" s="107"/>
      <c r="VA8" s="104">
        <f t="shared" ref="VA8:VA21" si="264">SUM(UU8:UZ8)</f>
        <v>0</v>
      </c>
      <c r="VB8" s="105">
        <f t="shared" ref="VB8:VB21" si="265">VA8/$VB$5</f>
        <v>0</v>
      </c>
      <c r="VC8" s="106"/>
      <c r="VD8" s="107"/>
      <c r="VE8" s="107"/>
      <c r="VF8" s="107"/>
      <c r="VG8" s="107"/>
      <c r="VH8" s="107"/>
      <c r="VI8" s="104">
        <f t="shared" ref="VI8:VI21" si="266">SUM(VC8:VH8)</f>
        <v>0</v>
      </c>
      <c r="VJ8" s="105">
        <f t="shared" ref="VJ8:VJ21" si="267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1" si="268">SUM(VK8:VP8)</f>
        <v>1666</v>
      </c>
      <c r="VR8" s="105">
        <f t="shared" ref="VR8:VR21" si="269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1" si="270">SUM(VS8:VX8)</f>
        <v>0</v>
      </c>
      <c r="VZ8" s="105">
        <f t="shared" ref="VZ8:VZ21" si="271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1" si="272">SUM(WA8:WF8)</f>
        <v>329</v>
      </c>
      <c r="WH8" s="68">
        <f t="shared" ref="WH8:WH21" si="273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1" si="274">SUM(WI8:WN8)</f>
        <v>1691</v>
      </c>
      <c r="WP8" s="68">
        <f t="shared" ref="WP8:WP21" si="275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1" si="276">SUM(WR8:WW8)</f>
        <v>0</v>
      </c>
      <c r="WY8" s="68">
        <f t="shared" ref="WY8:WY21" si="277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1" si="278">SUM(XA8:XF8)</f>
        <v>1329</v>
      </c>
      <c r="XH8" s="68">
        <f t="shared" ref="XH8:XH21" si="279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1" si="280">SUM(XJ8:XO8)</f>
        <v>1677</v>
      </c>
      <c r="XQ8" s="105">
        <f t="shared" ref="XQ8:XQ21" si="281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1" si="282">SUM(XS8:XX8)</f>
        <v>0</v>
      </c>
      <c r="XZ8" s="68">
        <f t="shared" ref="XZ8:XZ21" si="283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1" si="284">SUM(YB8:YG8)</f>
        <v>0</v>
      </c>
      <c r="YI8" s="68">
        <f t="shared" ref="YI8:YI21" si="285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1" si="286">SUM(YK8:YP8)</f>
        <v>1341</v>
      </c>
      <c r="YR8" s="68">
        <f t="shared" ref="YR8:YR21" si="287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1" si="288">SUM(YS8:YX8)</f>
        <v>1364</v>
      </c>
      <c r="YZ8" s="68">
        <f t="shared" ref="YZ8:YZ21" si="289">YY8/$VJ$5</f>
        <v>227.33333333333334</v>
      </c>
      <c r="ZA8" s="48"/>
      <c r="ZB8" s="49"/>
      <c r="ZC8" s="49"/>
      <c r="ZD8" s="49"/>
      <c r="ZE8" s="49"/>
      <c r="ZF8" s="49"/>
      <c r="ZG8" s="67">
        <f t="shared" ref="ZG8:ZG21" si="290">SUM(ZA8:ZF8)</f>
        <v>0</v>
      </c>
      <c r="ZH8" s="68">
        <f t="shared" ref="ZH8:ZH21" si="291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1" si="292">SUM(ZI8:ZN8)</f>
        <v>1337</v>
      </c>
      <c r="ZP8" s="68">
        <f t="shared" ref="ZP8:ZP21" si="293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1" si="294">SUM(ZQ8:ZW8)</f>
        <v>1330</v>
      </c>
      <c r="ZY8" s="68">
        <f t="shared" ref="ZY8:ZY21" si="295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1" si="296">SUM(ZZ8:AAF8)</f>
        <v>1330</v>
      </c>
      <c r="AAH8" s="68">
        <f t="shared" ref="AAH8:AAH21" si="297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1" si="298">SUM(AAI8:AAN8)</f>
        <v>0</v>
      </c>
      <c r="AAP8" s="68">
        <f t="shared" ref="AAP8:AAP21" si="299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1" si="300">SUM(AAQ8:AAV8)</f>
        <v>1334</v>
      </c>
      <c r="AAX8" s="68">
        <f t="shared" ref="AAX8:AAX21" si="301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1" si="302">SUM(AAY8:ABD8)</f>
        <v>1359</v>
      </c>
      <c r="ABF8" s="68">
        <f t="shared" ref="ABF8:ABF21" si="303">ABE8/$VJ$5</f>
        <v>226.5</v>
      </c>
      <c r="ABG8" s="48"/>
      <c r="ABH8" s="49"/>
      <c r="ABI8" s="49"/>
      <c r="ABJ8" s="49"/>
      <c r="ABK8" s="49"/>
      <c r="ABL8" s="49"/>
      <c r="ABM8" s="67">
        <f t="shared" ref="ABM8:ABM21" si="304">SUM(ABG8:ABL8)</f>
        <v>0</v>
      </c>
      <c r="ABN8" s="68">
        <f t="shared" ref="ABN8:ABN21" si="305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1" si="306">SUM(ABO8:ABT8)</f>
        <v>1687</v>
      </c>
      <c r="ABV8" s="68">
        <f t="shared" ref="ABV8:ABV21" si="307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1" si="308">SUM(ABW8:ACB8)</f>
        <v>1643</v>
      </c>
      <c r="ACD8" s="68">
        <f t="shared" ref="ACD8:ACD21" si="309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1" si="310">SUM(ACE8:ACJ8)</f>
        <v>0</v>
      </c>
      <c r="ACL8" s="68">
        <f t="shared" ref="ACL8:ACL21" si="311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1" si="312">SUM(ACM8:ACR8)</f>
        <v>1662</v>
      </c>
      <c r="ACT8" s="68">
        <f t="shared" ref="ACT8:ACT21" si="313">ACS8/$VJ$5</f>
        <v>277</v>
      </c>
      <c r="ACU8" s="48"/>
      <c r="ACV8" s="49"/>
      <c r="ACW8" s="49"/>
      <c r="ACX8" s="49"/>
      <c r="ACY8" s="49"/>
      <c r="ACZ8" s="49"/>
      <c r="ADA8" s="67">
        <f t="shared" ref="ADA8:ADA21" si="314">SUM(ACU8:ACZ8)</f>
        <v>0</v>
      </c>
      <c r="ADB8" s="68">
        <f t="shared" ref="ADB8:ADB21" si="315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1" si="316">SUM(ADC8:ADH8)</f>
        <v>1687</v>
      </c>
      <c r="ADJ8" s="68">
        <f t="shared" ref="ADJ8:ADJ21" si="317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1" si="318">SUM(ADK8:ADP8)</f>
        <v>1636</v>
      </c>
      <c r="ADR8" s="68">
        <f t="shared" ref="ADR8:ADR21" si="319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1" si="320">SUM(ADS8:ADX8)</f>
        <v>0</v>
      </c>
      <c r="ADZ8" s="68">
        <f t="shared" ref="ADZ8:ADZ21" si="321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1" si="322">SUM(AEA8:AEF8)</f>
        <v>1347</v>
      </c>
      <c r="AEH8" s="68">
        <f t="shared" ref="AEH8:AEH21" si="323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1" si="324">SUM(AEI8:AEN8)</f>
        <v>1665</v>
      </c>
      <c r="AEP8" s="68">
        <f t="shared" ref="AEP8:AEP21" si="325">AEO8/$VJ$5</f>
        <v>277.5</v>
      </c>
      <c r="AEQ8" s="48"/>
      <c r="AER8" s="49"/>
      <c r="AES8" s="49"/>
      <c r="AET8" s="49"/>
      <c r="AEU8" s="49"/>
      <c r="AEV8" s="49"/>
      <c r="AEW8" s="67">
        <f t="shared" ref="AEW8:AEW21" si="326">SUM(AEQ8:AEV8)</f>
        <v>0</v>
      </c>
      <c r="AEX8" s="68">
        <f t="shared" ref="AEX8:AEX21" si="327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1" si="328">SUM(AEY8:AFD8)</f>
        <v>1698</v>
      </c>
      <c r="AFF8" s="68">
        <f t="shared" ref="AFF8:AFF21" si="329">AFE8/$VJ$5</f>
        <v>283</v>
      </c>
      <c r="AFG8" s="48"/>
      <c r="AFH8" s="49"/>
      <c r="AFI8" s="49"/>
      <c r="AFJ8" s="49"/>
      <c r="AFK8" s="49"/>
      <c r="AFL8" s="49"/>
      <c r="AFM8" s="67">
        <f t="shared" ref="AFM8:AFM21" si="330">SUM(AFG8:AFL8)</f>
        <v>0</v>
      </c>
      <c r="AFN8" s="68">
        <f t="shared" ref="AFN8:AFN21" si="331">AFM8/$VJ$5</f>
        <v>0</v>
      </c>
      <c r="AFO8" s="48"/>
      <c r="AFP8" s="49"/>
      <c r="AFQ8" s="49"/>
      <c r="AFR8" s="49"/>
      <c r="AFS8" s="49"/>
      <c r="AFT8" s="49"/>
      <c r="AFU8" s="67">
        <f t="shared" ref="AFU8:AFU21" si="332">SUM(AFO8:AFT8)</f>
        <v>0</v>
      </c>
      <c r="AFV8" s="68">
        <f t="shared" ref="AFV8:AFV21" si="333">AFU8/$VJ$5</f>
        <v>0</v>
      </c>
      <c r="AFW8" s="48"/>
      <c r="AFX8" s="49"/>
      <c r="AFY8" s="49"/>
      <c r="AFZ8" s="49"/>
      <c r="AGA8" s="49"/>
      <c r="AGB8" s="49"/>
      <c r="AGC8" s="67">
        <f t="shared" ref="AGC8:AGC21" si="334">SUM(AFW8:AGB8)</f>
        <v>0</v>
      </c>
      <c r="AGD8" s="68">
        <f t="shared" ref="AGD8:AGD21" si="335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1" si="336">SUM(AGE8:AGJ8)</f>
        <v>1683</v>
      </c>
      <c r="AGL8" s="68">
        <f t="shared" ref="AGL8:AGL21" si="337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1" si="338">SUM(AGN8:AGS8)</f>
        <v>0</v>
      </c>
      <c r="AGU8" s="68">
        <f t="shared" ref="AGU8:AGU21" si="339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1" si="340">SUM(AGV8:AHA8)</f>
        <v>1357</v>
      </c>
      <c r="AHC8" s="68">
        <f t="shared" ref="AHC8:AHC21" si="341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1" si="342">SUM(AHD8:AHI8)</f>
        <v>0</v>
      </c>
      <c r="AHK8" s="68">
        <f t="shared" ref="AHK8:AHK21" si="343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1" si="344">SUM(AHL8:AHQ8)</f>
        <v>1300</v>
      </c>
      <c r="AHS8" s="68">
        <f t="shared" ref="AHS8:AHS21" si="345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1" si="346">SUM(AHT8:AHY8)</f>
        <v>1356</v>
      </c>
      <c r="AIA8" s="68">
        <f t="shared" ref="AIA8:AIA21" si="347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1" si="348">SUM(AIB8:AIG8)</f>
        <v>0</v>
      </c>
      <c r="AII8" s="68">
        <f t="shared" ref="AII8:AII21" si="349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1" si="350">SUM(AIJ8:AIO8)</f>
        <v>1351</v>
      </c>
      <c r="AIQ8" s="68">
        <f t="shared" ref="AIQ8:AIQ21" si="351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1" si="352">SUM(AIR8:AIW8)</f>
        <v>1327</v>
      </c>
      <c r="AIY8" s="68">
        <f t="shared" ref="AIY8:AIY21" si="353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1" si="354">SUM(AIZ8:AJE8)</f>
        <v>1343</v>
      </c>
      <c r="AJG8" s="68">
        <f t="shared" ref="AJG8:AJG21" si="355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1" si="356">SUM(AJH8:AJM8)</f>
        <v>1341</v>
      </c>
      <c r="AJO8" s="43">
        <f t="shared" ref="AJO8:AJO21" si="357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1" si="358">SUM(AJP8:AJU8)</f>
        <v>0</v>
      </c>
      <c r="AJW8" s="43">
        <f t="shared" ref="AJW8:AJW21" si="359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1" si="360">SUM(AJX8:AKC8)</f>
        <v>1647</v>
      </c>
      <c r="AKE8" s="68">
        <f t="shared" ref="AKE8:AKE21" si="361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1" si="362">SUM(AKF8:AKK8)</f>
        <v>0</v>
      </c>
      <c r="AKM8" s="184">
        <f t="shared" ref="AKM8:AKM21" si="363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1" si="364">SUM(AKN8:AKS8)</f>
        <v>1341</v>
      </c>
      <c r="AKU8" s="184">
        <f t="shared" ref="AKU8:AKU21" si="365">AKT8/$AKM$5</f>
        <v>223.5</v>
      </c>
      <c r="AKV8" s="48"/>
      <c r="AKW8" s="49"/>
      <c r="AKX8" s="49"/>
      <c r="AKY8" s="49"/>
      <c r="AKZ8" s="49"/>
      <c r="ALA8" s="49"/>
      <c r="ALB8" s="67">
        <f t="shared" ref="ALB8:ALB21" si="366">SUM(AKV8:ALA8)</f>
        <v>0</v>
      </c>
      <c r="ALC8" s="68">
        <f t="shared" ref="ALC8:ALC21" si="367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1" si="368">SUM(ALD8:ALI8)</f>
        <v>1328</v>
      </c>
      <c r="ALK8" s="68">
        <f t="shared" ref="ALK8:ALK21" si="369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1" si="370">SUM(ALL8:ALQ8)</f>
        <v>0</v>
      </c>
      <c r="ALS8" s="68">
        <f t="shared" ref="ALS8:ALS21" si="371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1" si="372">SUM(ALT8:ALY8)</f>
        <v>2601</v>
      </c>
      <c r="AMA8" s="68">
        <f t="shared" ref="AMA8:AMA21" si="373">ALZ8/$AKM$5</f>
        <v>433.5</v>
      </c>
      <c r="AMB8" s="48"/>
      <c r="AMC8" s="49"/>
      <c r="AMD8" s="49"/>
      <c r="AME8" s="49"/>
      <c r="AMF8" s="49"/>
      <c r="AMG8" s="49"/>
      <c r="AMH8" s="67">
        <f t="shared" ref="AMH8:AMH21" si="374">SUM(AMB8:AMG8)</f>
        <v>0</v>
      </c>
      <c r="AMI8" s="68">
        <f t="shared" ref="AMI8:AMI21" si="375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1" si="376">SUM(AMJ8:AMO8)</f>
        <v>1023</v>
      </c>
      <c r="AMQ8" s="68">
        <f t="shared" ref="AMQ8:AMQ21" si="377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1" si="378">SUM(AMR8:AMW8)</f>
        <v>1046</v>
      </c>
      <c r="AMY8" s="68">
        <f t="shared" ref="AMY8:AMY21" si="379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1" si="380">SUM(AMZ8:ANE8)</f>
        <v>271</v>
      </c>
      <c r="ANG8" s="68">
        <f t="shared" ref="ANG8:ANG21" si="381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1" si="382">SUM(ANH8:ANM8)</f>
        <v>0</v>
      </c>
      <c r="ANO8" s="68">
        <f t="shared" ref="ANO8:ANO21" si="383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1" si="384">SUM(ANP8:ANU8)</f>
        <v>1347</v>
      </c>
      <c r="ANW8" s="68">
        <f t="shared" ref="ANW8:ANW21" si="385">ANV8/$AKM$5</f>
        <v>224.5</v>
      </c>
      <c r="ANX8" s="82"/>
      <c r="ANY8" s="83"/>
      <c r="ANZ8" s="83"/>
      <c r="AOA8" s="83"/>
      <c r="AOB8" s="83"/>
      <c r="AOC8" s="83"/>
      <c r="AOD8" s="67">
        <f t="shared" ref="AOD8:AOD21" si="386">SUM(ANX8:AOC8)</f>
        <v>0</v>
      </c>
      <c r="AOE8" s="68">
        <f t="shared" ref="AOE8:AOE21" si="387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1" si="388">SUM(AOF8:AOK8)</f>
        <v>1694</v>
      </c>
      <c r="AOM8" s="68">
        <f t="shared" ref="AOM8:AOM21" si="389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1" si="390">SUM(AON8:AOS8)</f>
        <v>0</v>
      </c>
      <c r="AOU8" s="68">
        <f t="shared" ref="AOU8:AOU21" si="391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1" si="392">SUM(AOV8:APA8)</f>
        <v>1257</v>
      </c>
      <c r="APC8" s="68">
        <f t="shared" ref="APC8:APC21" si="393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1" si="394">SUM(APD8:API8)</f>
        <v>1185</v>
      </c>
      <c r="APK8" s="68">
        <f t="shared" ref="APK8:APK21" si="395">APJ8/$AKM$5</f>
        <v>197.5</v>
      </c>
      <c r="APL8" s="48"/>
      <c r="APM8" s="49"/>
      <c r="APN8" s="49"/>
      <c r="APO8" s="49"/>
      <c r="APP8" s="49"/>
      <c r="APQ8" s="49"/>
      <c r="APR8" s="67">
        <f t="shared" ref="APR8:APR21" si="396">SUM(APL8:APQ8)</f>
        <v>0</v>
      </c>
      <c r="APS8" s="68">
        <f t="shared" ref="APS8:APS21" si="397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1" si="398">SUM(APT8:APY8)</f>
        <v>1479</v>
      </c>
      <c r="AQA8" s="68">
        <f t="shared" ref="AQA8:AQA21" si="399">APZ8/$AKM$5</f>
        <v>246.5</v>
      </c>
      <c r="AQB8" s="48"/>
      <c r="AQC8" s="49"/>
      <c r="AQD8" s="49"/>
      <c r="AQE8" s="49"/>
      <c r="AQF8" s="49"/>
      <c r="AQG8" s="49"/>
      <c r="AQH8" s="67">
        <f t="shared" ref="AQH8:AQH21" si="400">SUM(AQB8:AQG8)</f>
        <v>0</v>
      </c>
      <c r="AQI8" s="68">
        <f t="shared" ref="AQI8:AQI21" si="401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1" si="402">SUM(AQJ8:AQO8)</f>
        <v>1047</v>
      </c>
      <c r="AQQ8" s="68">
        <f t="shared" ref="AQQ8:AQQ21" si="403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1" si="404">SUM(AQR8:AQW8)</f>
        <v>594</v>
      </c>
      <c r="AQY8" s="68">
        <f t="shared" ref="AQY8:AQY21" si="405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1" si="406">SUM(AQZ8:ARE8)</f>
        <v>677</v>
      </c>
      <c r="ARG8" s="68">
        <f t="shared" ref="ARG8:ARG21" si="407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1" si="408">SUM(ARH8:ARM8)</f>
        <v>0</v>
      </c>
      <c r="ARO8" s="68">
        <f t="shared" ref="ARO8:ARO21" si="409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1" si="410">SUM(ARP8:ARU8)</f>
        <v>571</v>
      </c>
      <c r="ARW8" s="68">
        <f t="shared" ref="ARW8:ARW21" si="411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1" si="412">SUM(ARX8:ASC8)</f>
        <v>636</v>
      </c>
      <c r="ASE8" s="68">
        <f t="shared" ref="ASE8:ASE21" si="413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1" si="414">SUM(ASF8:ASK8)</f>
        <v>1481</v>
      </c>
      <c r="ASM8" s="68">
        <f t="shared" ref="ASM8:ASM21" si="415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1" si="416">SUM(ASN8:ASS8)</f>
        <v>0</v>
      </c>
      <c r="ASU8" s="68">
        <f t="shared" ref="ASU8:ASU21" si="417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1" si="418">SUM(ASV8:ATA8)</f>
        <v>1325</v>
      </c>
      <c r="ATC8" s="68">
        <f t="shared" ref="ATC8:ATC21" si="419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1" si="420">SUM(ATD8:ATI8)</f>
        <v>1478</v>
      </c>
      <c r="ATK8" s="68">
        <f t="shared" ref="ATK8:ATK21" si="421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1" si="422">SUM(ATL8:ATQ8)</f>
        <v>1182</v>
      </c>
      <c r="ATS8" s="68">
        <f t="shared" ref="ATS8:ATS21" si="423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1" si="424">SUM(ATT8:ATY8)</f>
        <v>1026</v>
      </c>
      <c r="AUA8" s="68">
        <f t="shared" ref="AUA8:AUA21" si="425">ATZ8/$ARO$5</f>
        <v>171</v>
      </c>
      <c r="AUB8" s="48"/>
      <c r="AUC8" s="49"/>
      <c r="AUD8" s="49"/>
      <c r="AUE8" s="49"/>
      <c r="AUF8" s="49"/>
      <c r="AUG8" s="49"/>
      <c r="AUH8" s="67">
        <f t="shared" ref="AUH8:AUH21" si="426">SUM(AUB8:AUG8)</f>
        <v>0</v>
      </c>
      <c r="AUI8" s="68">
        <f t="shared" ref="AUI8:AUI21" si="427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1" si="428">SUM(AUJ8:AUO8)</f>
        <v>1681</v>
      </c>
      <c r="AUQ8" s="68">
        <f t="shared" ref="AUQ8:AUQ21" si="429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1" si="430">SUM(AUR8:AUW8)</f>
        <v>0</v>
      </c>
      <c r="AUY8" s="68">
        <f t="shared" ref="AUY8:AUY21" si="431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1" si="432">SUM(AUZ8:AVE8)</f>
        <v>1484</v>
      </c>
      <c r="AVG8" s="68">
        <f t="shared" ref="AVG8:AVG21" si="433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1" si="434">SUM(AVH8:AVM8)</f>
        <v>0</v>
      </c>
      <c r="AVO8" s="68">
        <f t="shared" ref="AVO8:AVO21" si="435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1" si="436">SUM(AVP8:AVU8)</f>
        <v>1841</v>
      </c>
      <c r="AVW8" s="68">
        <f t="shared" ref="AVW8:AVW21" si="437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1" si="438">SUM(AVX8:AWC8)</f>
        <v>879</v>
      </c>
      <c r="AWE8" s="68">
        <f t="shared" ref="AWE8:AWE21" si="439">AWD8/$ARO$5</f>
        <v>146.5</v>
      </c>
      <c r="AWF8" s="48"/>
      <c r="AWG8" s="49"/>
      <c r="AWH8" s="49"/>
      <c r="AWI8" s="49"/>
      <c r="AWJ8" s="49"/>
      <c r="AWK8" s="49"/>
      <c r="AWL8" s="67">
        <f t="shared" ref="AWL8:AWL21" si="440">SUM(AWF8:AWK8)</f>
        <v>0</v>
      </c>
      <c r="AWM8" s="68">
        <f t="shared" ref="AWM8:AWM21" si="441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1" si="442">SUM(AWN8:AWS8)</f>
        <v>920</v>
      </c>
      <c r="AWU8" s="43">
        <f t="shared" ref="AWU8:AWU21" si="443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1" si="444">SUM(AWV8:AXA8)</f>
        <v>749</v>
      </c>
      <c r="AXC8" s="43">
        <f t="shared" ref="AXC8:AXC21" si="445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1" si="446">SUM(AXD8:AXI8)</f>
        <v>0</v>
      </c>
      <c r="AXK8" s="43">
        <f t="shared" ref="AXK8:AXK21" si="447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1" si="448">SUM(AXL8:AXQ8)</f>
        <v>2482</v>
      </c>
      <c r="AXS8" s="43">
        <f t="shared" ref="AXS8:AXS21" si="449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1" si="450">SUM(AXT8:AXY8)</f>
        <v>0</v>
      </c>
      <c r="AYA8" s="43">
        <f t="shared" ref="AYA8:AYA21" si="451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1" si="452">SUM(AYB8:AYG8)</f>
        <v>1903</v>
      </c>
      <c r="AYI8" s="43">
        <f t="shared" ref="AYI8:AYI21" si="453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1" si="454">SUM(AYJ8:AYO8)</f>
        <v>0</v>
      </c>
      <c r="AYQ8" s="43">
        <f t="shared" ref="AYQ8:AYQ21" si="455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1" si="456">SUM(AYR8:AYW8)</f>
        <v>1212</v>
      </c>
      <c r="AYY8" s="43">
        <f t="shared" ref="AYY8:AYY21" si="457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1" si="458">SUM(AYZ8:AZE8)</f>
        <v>1693</v>
      </c>
      <c r="AZG8" s="43">
        <f t="shared" ref="AZG8:AZG21" si="459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1" si="460">SUM(AZH8:AZM8)</f>
        <v>1896</v>
      </c>
      <c r="AZO8" s="43">
        <f t="shared" ref="AZO8:AZO21" si="461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1" si="462">SUM(AZP8:AZU8)</f>
        <v>1235</v>
      </c>
      <c r="AZW8" s="43">
        <f t="shared" ref="AZW8:AZW21" si="463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1" si="464">SUM(AZX8:BAC8)</f>
        <v>0</v>
      </c>
      <c r="BAE8" s="43">
        <f t="shared" ref="BAE8:BAE21" si="465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1" si="466">SUM(BAF8:BAK8)</f>
        <v>1691</v>
      </c>
      <c r="BAM8" s="43">
        <f t="shared" ref="BAM8:BAM21" si="467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1" si="468">SUM(BAN8:BAS8)</f>
        <v>0</v>
      </c>
      <c r="BAU8" s="43">
        <f t="shared" ref="BAU8:BAU21" si="469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1" si="470">SUM(BAV8:BBA8)</f>
        <v>1878</v>
      </c>
      <c r="BBC8" s="43">
        <f t="shared" ref="BBC8:BBC21" si="471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1" si="472">SUM(BBD8:BBI8)</f>
        <v>1508</v>
      </c>
      <c r="BBK8" s="43">
        <f t="shared" ref="BBK8:BBK21" si="473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1" si="474">SUM(BBL8:BBQ8)</f>
        <v>821</v>
      </c>
      <c r="BBS8" s="43">
        <f t="shared" ref="BBS8:BBS21" si="475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1" si="476">SUM(BBT8:BBY8)</f>
        <v>1605</v>
      </c>
      <c r="BCA8" s="43">
        <f t="shared" ref="BCA8:BCA21" si="477">BBZ8/$BBC$5</f>
        <v>267.5</v>
      </c>
      <c r="BCB8" s="48"/>
      <c r="BCC8" s="49"/>
      <c r="BCD8" s="49"/>
      <c r="BCE8" s="49"/>
      <c r="BCF8" s="49"/>
      <c r="BCG8" s="49"/>
      <c r="BCH8" s="42">
        <f t="shared" ref="BCH8:BCH20" si="478">SUM(BCB8:BCG8)</f>
        <v>0</v>
      </c>
      <c r="BCI8" s="43">
        <f t="shared" ref="BCI8:BCI20" si="479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1" si="480">SUM(BCJ8:BCO8)</f>
        <v>1258</v>
      </c>
      <c r="BCQ8" s="43">
        <f t="shared" ref="BCQ8:BCQ21" si="481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1" si="482">SUM(BCR8:BCW8)</f>
        <v>1852</v>
      </c>
      <c r="BCY8" s="43">
        <f t="shared" ref="BCY8:BCY21" si="483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1" si="484">SUM(BCZ8:BDE8)</f>
        <v>400</v>
      </c>
      <c r="BDG8" s="43">
        <f t="shared" ref="BDG8:BDG21" si="485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1" si="486">SUM(BDH8:BDM8)</f>
        <v>868</v>
      </c>
      <c r="BDO8" s="43">
        <f t="shared" ref="BDO8:BDO21" si="487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1" si="488">SUM(BDP8:BDU8)</f>
        <v>919</v>
      </c>
      <c r="BDW8" s="43">
        <f t="shared" ref="BDW8:BDW21" si="489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1" si="490">SUM(BDX8:BEC8)</f>
        <v>1935</v>
      </c>
      <c r="BEE8" s="43">
        <f t="shared" ref="BEE8:BEE21" si="491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1" si="492">SUM(BEF8:BEK8)</f>
        <v>1663</v>
      </c>
      <c r="BEM8" s="43">
        <f t="shared" ref="BEM8:BEM21" si="493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1" si="494">SUM(BEN8:BES8)</f>
        <v>0</v>
      </c>
      <c r="BEU8" s="43">
        <f t="shared" ref="BEU8:BEU21" si="495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1" si="496">SUM(BEV8:BFA8)</f>
        <v>1658</v>
      </c>
      <c r="BFC8" s="43">
        <f t="shared" ref="BFC8:BFC21" si="497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1" si="498">SUM(BFD8:BFI8)</f>
        <v>0</v>
      </c>
      <c r="BFK8" s="43">
        <f t="shared" ref="BFK8:BFK21" si="499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1" si="500">SUM(BFL8:BFQ8)</f>
        <v>1863</v>
      </c>
      <c r="BFS8" s="43">
        <f t="shared" ref="BFS8:BFS21" si="501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1" si="502">SUM(BFT8:BFY8)</f>
        <v>1904</v>
      </c>
      <c r="BGA8" s="43">
        <f t="shared" ref="BGA8:BGA21" si="503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1" si="504">SUM(BGB8:BGG8)</f>
        <v>291</v>
      </c>
      <c r="BGI8" s="43">
        <f t="shared" ref="BGI8:BGI21" si="505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1" si="506">SUM(BGJ8:BGO8)</f>
        <v>1697</v>
      </c>
      <c r="BGQ8" s="43">
        <f t="shared" ref="BGQ8:BGQ21" si="507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1" si="508">SUM(BGR8:BGW8)</f>
        <v>0</v>
      </c>
      <c r="BGY8" s="43">
        <f t="shared" ref="BGY8:BGY21" si="509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1" si="510">SUM(BGZ8:BHE8)</f>
        <v>1803</v>
      </c>
      <c r="BHG8" s="43">
        <f t="shared" ref="BHG8:BHG21" si="511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1" si="512">SUM(BHH8:BHM8)</f>
        <v>872</v>
      </c>
      <c r="BHO8" s="43">
        <f t="shared" ref="BHO8:BHO21" si="513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1" si="514">SUM(BHP8:BHU8)</f>
        <v>678</v>
      </c>
      <c r="BHW8" s="43">
        <f t="shared" ref="BHW8:BHW21" si="515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1" si="516">SUM(BHX8:BIC8)</f>
        <v>1339</v>
      </c>
      <c r="BIE8" s="43">
        <f t="shared" ref="BIE8:BIE21" si="517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1" si="518">SUM(BIF8:BIK8)</f>
        <v>1259</v>
      </c>
      <c r="BIM8" s="43">
        <f t="shared" ref="BIM8:BIM21" si="519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1" si="520">SUM(BIN8:BIS8)</f>
        <v>1346</v>
      </c>
      <c r="BIU8" s="43">
        <f t="shared" ref="BIU8:BIU21" si="521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1" si="522">SUM(BIV8:BJA8)</f>
        <v>816</v>
      </c>
      <c r="BJC8" s="43">
        <f t="shared" ref="BJC8:BJC21" si="523">BJB8/$BBC$5</f>
        <v>136</v>
      </c>
      <c r="BJD8" s="48"/>
      <c r="BJE8" s="49"/>
      <c r="BJF8" s="49"/>
      <c r="BJG8" s="49"/>
      <c r="BJH8" s="49"/>
      <c r="BJI8" s="49"/>
      <c r="BJJ8" s="42">
        <f t="shared" ref="BJJ8:BJJ21" si="524">SUM(BJD8:BJI8)</f>
        <v>0</v>
      </c>
      <c r="BJK8" s="43">
        <f t="shared" ref="BJK8:BJK21" si="525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1" si="526">SUM(BJL8:BJQ8)</f>
        <v>1344</v>
      </c>
      <c r="BJS8" s="43">
        <f t="shared" ref="BJS8:BJS21" si="527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1" si="528">SUM(BJT8:BJY8)</f>
        <v>1537</v>
      </c>
      <c r="BKA8" s="43">
        <f t="shared" ref="BKA8:BKA21" si="529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1" si="530">SUM(BKB8:BKG8)</f>
        <v>578</v>
      </c>
      <c r="BKI8" s="68">
        <f t="shared" ref="BKI8:BKI21" si="531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1" si="532">SUM(BKJ8:BKO8)</f>
        <v>1257</v>
      </c>
      <c r="BKQ8" s="43">
        <f t="shared" ref="BKQ8:BKQ21" si="533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1" si="534">SUM(BKR8:BKW8)</f>
        <v>908</v>
      </c>
      <c r="BKY8" s="43">
        <f t="shared" ref="BKY8:BKY21" si="535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1" si="536">SUM(BKZ8:BLE8)</f>
        <v>244</v>
      </c>
      <c r="BLG8" s="43">
        <f t="shared" ref="BLG8:BLG21" si="537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1" si="538">SUM(BLH8:BLM8)</f>
        <v>0</v>
      </c>
      <c r="BLO8" s="43">
        <f t="shared" ref="BLO8:BLO21" si="539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1" si="540">SUM(BLP8:BLU8)</f>
        <v>2420</v>
      </c>
      <c r="BLW8" s="43">
        <f t="shared" ref="BLW8:BLW21" si="541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1" si="542">SUM(BLX8:BMC8)</f>
        <v>0</v>
      </c>
      <c r="BME8" s="43">
        <f t="shared" ref="BME8:BME21" si="543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1" si="544">SUM(BMF8:BMK8)</f>
        <v>1511</v>
      </c>
      <c r="BMM8" s="43">
        <f t="shared" ref="BMM8:BMM21" si="545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1" si="546">SUM(BMN8:BMS8)</f>
        <v>0</v>
      </c>
      <c r="BMU8" s="43">
        <f t="shared" ref="BMU8:BMU21" si="547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1" si="548">SUM(BMV8:BNA8)</f>
        <v>1451</v>
      </c>
      <c r="BNC8" s="43">
        <f t="shared" ref="BNC8:BNC21" si="549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1" si="550">SUM(BND8:BNI8)</f>
        <v>0</v>
      </c>
      <c r="BNK8" s="43">
        <f t="shared" ref="BNK8:BNK21" si="551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1" si="552">SUM(BNL8:BNQ8)</f>
        <v>1637</v>
      </c>
      <c r="BNS8" s="43">
        <f t="shared" ref="BNS8:BNS21" si="553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1" si="554">SUM(BNT8:BNY8)</f>
        <v>1540</v>
      </c>
      <c r="BOA8" s="43">
        <f t="shared" ref="BOA8:BOA21" si="555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1" si="556">SUM(BOB8:BOG8)</f>
        <v>0</v>
      </c>
      <c r="BOI8" s="43">
        <f t="shared" ref="BOI8:BOI21" si="557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1" si="558">SUM(BOJ8:BOO8)</f>
        <v>1675</v>
      </c>
      <c r="BOQ8" s="43">
        <f t="shared" ref="BOQ8:BOQ21" si="559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1" si="560">SUM(BOR8:BOW8)</f>
        <v>0</v>
      </c>
      <c r="BOY8" s="43">
        <f t="shared" ref="BOY8:BOY21" si="561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1" si="562">SUM(BOZ8:BPE8)</f>
        <v>1648</v>
      </c>
      <c r="BPG8" s="43">
        <f t="shared" ref="BPG8:BPG21" si="563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1" si="564">SUM(BPH8:BPM8)</f>
        <v>1335</v>
      </c>
      <c r="BPO8" s="43">
        <f t="shared" ref="BPO8:BPO21" si="565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1" si="566">SUM(BPP8:BPU8)</f>
        <v>1192</v>
      </c>
      <c r="BPW8" s="43">
        <f t="shared" ref="BPW8:BPW21" si="567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1" si="568">SUM(BPX8:BQC8)</f>
        <v>110</v>
      </c>
      <c r="BQE8" s="43">
        <f t="shared" ref="BQE8:BQE21" si="569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1" si="570">SUM(BQF8:BQK8)</f>
        <v>1200</v>
      </c>
      <c r="BQM8" s="43">
        <f t="shared" ref="BQM8:BQM21" si="571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1" si="572">SUM(BQN8:BQS8)</f>
        <v>1689</v>
      </c>
      <c r="BQU8" s="43">
        <f t="shared" ref="BQU8:BQU21" si="573">BQT8/$BQU$5</f>
        <v>281.5</v>
      </c>
      <c r="BQV8" s="48"/>
      <c r="BQW8" s="49"/>
      <c r="BQX8" s="49"/>
      <c r="BQY8" s="49"/>
      <c r="BQZ8" s="49"/>
      <c r="BRA8" s="49"/>
      <c r="BRB8" s="67">
        <f t="shared" ref="BRB8:BRB21" si="574">SUM(BQV8:BRA8)</f>
        <v>0</v>
      </c>
      <c r="BRC8" s="43">
        <f t="shared" ref="BRC8:BRC21" si="575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1" si="576">SUM(BRD8:BRI8)</f>
        <v>1015</v>
      </c>
      <c r="BRK8" s="43">
        <f t="shared" ref="BRK8:BRK21" si="577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1" si="578">SUM(BRL8:BRQ8)</f>
        <v>2036</v>
      </c>
      <c r="BRS8" s="68">
        <f t="shared" ref="BRS8:BRS21" si="579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1" si="580">SUM(BRT8:BRY8)</f>
        <v>0</v>
      </c>
      <c r="BSA8" s="43">
        <f t="shared" ref="BSA8:BSA21" si="581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1" si="582">SUM(BSB8:BSG8)</f>
        <v>2288</v>
      </c>
      <c r="BSI8" s="43">
        <f t="shared" ref="BSI8:BSI21" si="583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1" si="584">SUM(BSJ8:BSO8)</f>
        <v>0</v>
      </c>
      <c r="BSQ8" s="43">
        <f t="shared" ref="BSQ8:BSQ21" si="585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1" si="586">SUM(BSR8:BSW8)</f>
        <v>1319</v>
      </c>
      <c r="BSY8" s="43">
        <f t="shared" ref="BSY8:BSY21" si="587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1" si="588">SUM(BSZ8:BTE8)</f>
        <v>1333</v>
      </c>
      <c r="BTG8" s="43">
        <f t="shared" ref="BTG8:BTG21" si="589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1" si="590">SUM(BTH8:BTM8)</f>
        <v>1584</v>
      </c>
      <c r="BTO8" s="68">
        <f t="shared" ref="BTO8:BTO21" si="591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1" si="592">SUM(BTP8:BTU8)</f>
        <v>100</v>
      </c>
      <c r="BTW8" s="43">
        <f t="shared" ref="BTW8:BTW21" si="593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1" si="594">SUM(BTX8:BUC8)</f>
        <v>0</v>
      </c>
      <c r="BUE8" s="68">
        <f t="shared" ref="BUE8:BUE21" si="595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1" si="596">SUM(BUF8:BUK8)</f>
        <v>1612</v>
      </c>
      <c r="BUM8" s="68">
        <f t="shared" ref="BUM8:BUM21" si="597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1" si="598">SUM(BUN8:BUS8)</f>
        <v>1301</v>
      </c>
      <c r="BUU8" s="68">
        <f t="shared" ref="BUU8:BUU21" si="599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1" si="600">SUM(BUV8:BVA8)</f>
        <v>592</v>
      </c>
      <c r="BVC8" s="68">
        <f t="shared" ref="BVC8:BVC21" si="601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1" si="602">SUM(BVD8:BVI8)</f>
        <v>796</v>
      </c>
      <c r="BVK8" s="68">
        <f t="shared" ref="BVK8:BVK21" si="603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1" si="604">SUM(BVL8:BVQ8)</f>
        <v>997</v>
      </c>
      <c r="BVS8" s="68">
        <f t="shared" ref="BVS8:BVS21" si="605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1" si="606">SUM(BVT8:BVY8)</f>
        <v>1400</v>
      </c>
      <c r="BWA8" s="68">
        <f t="shared" ref="BWA8:BWA21" si="607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1" si="608">SUM(BWB8:BWG8)</f>
        <v>1164</v>
      </c>
      <c r="BWI8" s="68">
        <f t="shared" ref="BWI8:BWI21" si="609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1" si="610">SUM(BWJ8:BWO8)</f>
        <v>1431</v>
      </c>
      <c r="BWQ8" s="68">
        <f t="shared" ref="BWQ8:BWQ21" si="611">BWP8/$BWI$5</f>
        <v>238.5</v>
      </c>
      <c r="BWR8" s="48"/>
      <c r="BWS8" s="49"/>
      <c r="BWT8" s="49"/>
      <c r="BWU8" s="49"/>
      <c r="BWV8" s="49"/>
      <c r="BWW8" s="49"/>
      <c r="BWX8" s="67">
        <f t="shared" ref="BWX8:BWX21" si="612">SUM(BWR8:BWW8)</f>
        <v>0</v>
      </c>
      <c r="BWY8" s="68">
        <f t="shared" ref="BWY8:BWY21" si="613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1" si="614">SUM(BWZ8:BXE8)</f>
        <v>1232</v>
      </c>
      <c r="BXG8" s="68">
        <f t="shared" ref="BXG8:BXG21" si="615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1" si="616">SUM(BXH8:BXM8)</f>
        <v>0</v>
      </c>
      <c r="BXO8" s="68">
        <f t="shared" ref="BXO8:BXO21" si="617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1" si="618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1" si="619">SUM(BXX8:BYC8)</f>
        <v>0</v>
      </c>
      <c r="BYE8" s="68">
        <f t="shared" ref="BYE8:BYE21" si="620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1" si="621">SUM(BYF8:BYK8)</f>
        <v>1293</v>
      </c>
      <c r="BYM8" s="68">
        <f t="shared" ref="BYM8:BYM21" si="622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1" si="623">SUM(BYN8:BYS8)</f>
        <v>1687</v>
      </c>
      <c r="BYU8" s="68">
        <f t="shared" ref="BYU8:BYU21" si="624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1" si="625">SUM(BYV8:BZA8)</f>
        <v>0</v>
      </c>
      <c r="BZC8" s="68">
        <f t="shared" ref="BZC8:BZC21" si="626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1" si="627">SUM(BZD8:BZI8)</f>
        <v>1207</v>
      </c>
      <c r="BZK8" s="68">
        <f t="shared" ref="BZK8:BZK21" si="628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1" si="629">SUM(BZL8:BZQ8)</f>
        <v>1349</v>
      </c>
      <c r="BZS8" s="68">
        <f t="shared" ref="BZS8:BZS21" si="630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1" si="631">SUM(BZT8:BZY8)</f>
        <v>1228</v>
      </c>
      <c r="CAA8" s="68">
        <f t="shared" ref="CAA8:CAA21" si="632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1" si="633">SUM(CAB8:CAG8)</f>
        <v>0</v>
      </c>
      <c r="CAI8" s="68">
        <f t="shared" ref="CAI8:CAI21" si="634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1" si="635">SUM(CAJ8:CAO8)</f>
        <v>1603</v>
      </c>
      <c r="CAQ8" s="68">
        <f t="shared" ref="CAQ8:CAQ21" si="636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1" si="637">SUM(CAR8:CAW8)</f>
        <v>0</v>
      </c>
      <c r="CAY8" s="68">
        <f t="shared" ref="CAY8:CAY21" si="638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1" si="639">SUM(CAZ8:CBE8)</f>
        <v>623</v>
      </c>
      <c r="CBG8" s="68">
        <f t="shared" ref="CBG8:CBG21" si="640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1" si="641">SUM(CBH8:CBM8)</f>
        <v>0</v>
      </c>
      <c r="CBO8" s="68">
        <f t="shared" ref="CBO8:CBO21" si="642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1" si="643">SUM(CBP8:CBU8)</f>
        <v>1315</v>
      </c>
      <c r="CBW8" s="68">
        <f t="shared" ref="CBW8:CBW21" si="644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1" si="645">SUM(CBX8:CCC8)</f>
        <v>615</v>
      </c>
      <c r="CCE8" s="68">
        <f t="shared" ref="CCE8:CCE21" si="646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1" si="647">SUM(CCF8:CCK8)</f>
        <v>1255</v>
      </c>
      <c r="CCM8" s="68">
        <f t="shared" ref="CCM8:CCM21" si="648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1" si="649">SUM(CCN8:CCS8)</f>
        <v>0</v>
      </c>
      <c r="CCU8" s="68">
        <f t="shared" ref="CCU8:CCU21" si="650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1" si="651">SUM(CCV8:CDA8)</f>
        <v>1194</v>
      </c>
      <c r="CDC8" s="68">
        <f t="shared" ref="CDC8:CDC21" si="652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1" si="653">SUM(CDD8:CDI8)</f>
        <v>1633</v>
      </c>
      <c r="CDK8" s="68">
        <f t="shared" ref="CDK8:CDK21" si="654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1" si="655">SUM(CDL8:CDQ8)</f>
        <v>0</v>
      </c>
      <c r="CDS8" s="68">
        <f t="shared" ref="CDS8:CDS21" si="656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1" si="657">SUM(CDT8:CDY8)</f>
        <v>1320</v>
      </c>
      <c r="CEA8" s="68">
        <f t="shared" ref="CEA8:CEA21" si="658">CDZ8/$CEA$5</f>
        <v>220</v>
      </c>
      <c r="CEB8" s="48"/>
      <c r="CEC8" s="49"/>
      <c r="CED8" s="49"/>
      <c r="CEE8" s="49"/>
      <c r="CEF8" s="49"/>
      <c r="CEG8" s="49"/>
      <c r="CEH8" s="67">
        <f t="shared" ref="CEH8:CEH21" si="659">SUM(CEB8:CEG8)</f>
        <v>0</v>
      </c>
      <c r="CEI8" s="68">
        <f t="shared" ref="CEI8:CEI21" si="660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1" si="661">SUM(CEJ8:CEO8)</f>
        <v>1282</v>
      </c>
      <c r="CEQ8" s="68">
        <f t="shared" ref="CEQ8:CEQ21" si="662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1" si="663">SUM(CER8:CEW8)</f>
        <v>1301</v>
      </c>
      <c r="CEY8" s="68">
        <f t="shared" ref="CEY8:CEY21" si="664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1" si="665">SUM(CEZ8:CFE8)</f>
        <v>0</v>
      </c>
      <c r="CFG8" s="68">
        <f t="shared" ref="CFG8:CFG21" si="666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1" si="667">SUM(CFH8:CFM8)</f>
        <v>582</v>
      </c>
      <c r="CFO8" s="68">
        <f t="shared" ref="CFO8:CFO21" si="668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1" si="669">SUM(CFP8:CFU8)</f>
        <v>1986</v>
      </c>
      <c r="CFW8" s="68">
        <f t="shared" ref="CFW8:CFW21" si="670">CFV8/$CFW$5</f>
        <v>331</v>
      </c>
      <c r="CFX8" s="48"/>
      <c r="CFY8" s="49"/>
      <c r="CFZ8" s="49"/>
      <c r="CGA8" s="49"/>
      <c r="CGB8" s="49"/>
      <c r="CGC8" s="49"/>
      <c r="CGD8" s="67">
        <f t="shared" ref="CGD8:CGD21" si="671">SUM(CFX8:CGC8)</f>
        <v>0</v>
      </c>
      <c r="CGE8" s="68">
        <f t="shared" ref="CGE8:CGE21" si="672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1" si="673">SUM(CGF8:CGK8)</f>
        <v>979</v>
      </c>
      <c r="CGM8" s="68">
        <f t="shared" ref="CGM8:CGM21" si="674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1" si="675">SUM(CGN8:CGS8)</f>
        <v>913</v>
      </c>
      <c r="CGU8" s="68">
        <f t="shared" ref="CGU8:CGU21" si="676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1" si="677">SUM(CGV8:CHA8)</f>
        <v>1255</v>
      </c>
      <c r="CHC8" s="68">
        <f t="shared" ref="CHC8:CHC21" si="678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1" si="679">SUM(CHD8:CHI8)</f>
        <v>0</v>
      </c>
      <c r="CHK8" s="68">
        <f t="shared" ref="CHK8:CHK21" si="680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1" si="681">SUM(CHL8:CHQ8)</f>
        <v>1313</v>
      </c>
      <c r="CHS8" s="68">
        <f t="shared" ref="CHS8:CHS21" si="682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1" si="683">SUM(CHT8:CHY8)</f>
        <v>0</v>
      </c>
      <c r="CIA8" s="68">
        <f t="shared" ref="CIA8:CIA21" si="684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1" si="685">SUM(CIB8:CIG8)</f>
        <v>2331</v>
      </c>
      <c r="CII8" s="68">
        <f t="shared" ref="CII8:CII21" si="686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1" si="687">SUM(CIJ8:CIO8)</f>
        <v>1349</v>
      </c>
      <c r="CIQ8" s="68">
        <f t="shared" ref="CIQ8:CIQ21" si="688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1" si="689">SUM(CIR8:CIW8)</f>
        <v>233</v>
      </c>
      <c r="CIY8" s="68">
        <f t="shared" ref="CIY8:CIY21" si="690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1" si="691">SUM(CIZ8:CJE8)</f>
        <v>1347</v>
      </c>
      <c r="CJG8" s="68">
        <f>CJF8/$CJG$28</f>
        <v>224.5</v>
      </c>
      <c r="CJH8" s="48"/>
      <c r="CJI8" s="49"/>
      <c r="CJJ8" s="49"/>
      <c r="CJK8" s="49"/>
      <c r="CJL8" s="49"/>
      <c r="CJM8" s="49"/>
      <c r="CJN8" s="67">
        <f t="shared" ref="CJN8:CJN21" si="692">SUM(CJH8:CJM8)</f>
        <v>0</v>
      </c>
      <c r="CJO8" s="68">
        <f t="shared" ref="CJO8:CJO21" si="693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1" si="694">SUM(CJP8:CJU8)</f>
        <v>964</v>
      </c>
      <c r="CJW8" s="68">
        <f t="shared" ref="CJW8:CJW21" si="695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1" si="696">SUM(CJX8:CKC8)</f>
        <v>126</v>
      </c>
      <c r="CKE8" s="68">
        <f t="shared" ref="CKE8:CKE21" si="697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1" si="698">SUM(CKF8:CKK8)</f>
        <v>2180</v>
      </c>
      <c r="CKM8" s="68">
        <f t="shared" ref="CKM8:CKM21" si="699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1" si="700">SUM(CKN8:CKS8)</f>
        <v>0</v>
      </c>
      <c r="CKU8" s="68">
        <f t="shared" ref="CKU8:CKU21" si="701">CKT8/$CKU$5</f>
        <v>0</v>
      </c>
      <c r="CKV8" s="48"/>
      <c r="CKW8" s="49"/>
      <c r="CKX8" s="49"/>
      <c r="CKY8" s="49"/>
      <c r="CKZ8" s="49"/>
      <c r="CLA8" s="49"/>
      <c r="CLB8" s="67">
        <f t="shared" ref="CLB8:CLB21" si="702">SUM(CKV8:CLA8)</f>
        <v>0</v>
      </c>
      <c r="CLC8" s="68">
        <f t="shared" ref="CLC8:CLC21" si="703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1" si="704">SUM(CLD8:CLI8)</f>
        <v>1299</v>
      </c>
      <c r="CLK8" s="68">
        <f t="shared" ref="CLK8:CLK21" si="705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1" si="706">SUM(CLL8:CLQ8)</f>
        <v>961</v>
      </c>
      <c r="CLS8" s="68">
        <f t="shared" ref="CLS8:CLS21" si="707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1" si="708">SUM(CLT8:CLY8)</f>
        <v>1012</v>
      </c>
      <c r="CMA8" s="68">
        <f t="shared" ref="CMA8:CMA21" si="709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1" si="710">SUM(CMB8:CMG8)</f>
        <v>0</v>
      </c>
      <c r="CMI8" s="68">
        <f t="shared" ref="CMI8:CMI21" si="711">CMH8/$CMI$5</f>
        <v>0</v>
      </c>
      <c r="CMJ8" s="48"/>
      <c r="CMK8" s="49"/>
      <c r="CML8" s="49"/>
      <c r="CMM8" s="49"/>
      <c r="CMN8" s="49"/>
      <c r="CMO8" s="49"/>
      <c r="CMP8" s="67">
        <f t="shared" ref="CMP8:CMP21" si="712">SUM(CMJ8:CMO8)</f>
        <v>0</v>
      </c>
      <c r="CMQ8" s="68">
        <f t="shared" ref="CMQ8:CMQ21" si="713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1" si="714">SUM(CMR8:CMW8)</f>
        <v>931</v>
      </c>
      <c r="CMY8" s="68">
        <f t="shared" ref="CMY8:CMY21" si="715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1" si="716">SUM(CMZ8:CNE8)</f>
        <v>968</v>
      </c>
      <c r="CNG8" s="68">
        <f t="shared" ref="CNG8:CNG21" si="717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1" si="718">SUM(CNH8:CNM8)</f>
        <v>1009</v>
      </c>
      <c r="CNO8" s="68">
        <f t="shared" ref="CNO8:CNO21" si="719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1" si="720">SUM(CNP8:CNU8)</f>
        <v>1005</v>
      </c>
      <c r="CNW8" s="68">
        <f t="shared" ref="CNW8:CNW21" si="721">CNV8/$CNW$5</f>
        <v>167.5</v>
      </c>
      <c r="CNX8" s="48"/>
      <c r="CNY8" s="49"/>
      <c r="CNZ8" s="49"/>
      <c r="COA8" s="49"/>
      <c r="COB8" s="49"/>
      <c r="COC8" s="49"/>
      <c r="COD8" s="67">
        <f t="shared" ref="COD8:COD21" si="722">SUM(CNX8:COC8)</f>
        <v>0</v>
      </c>
      <c r="COE8" s="68">
        <f t="shared" ref="COE8:COE21" si="723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1" si="724">SUM(COF8:COK8)</f>
        <v>462</v>
      </c>
      <c r="COM8" s="68">
        <f t="shared" ref="COM8:COM21" si="725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1" si="726">SUM(CON8:COS8)</f>
        <v>562</v>
      </c>
      <c r="COU8" s="68">
        <f t="shared" ref="COU8:COU21" si="727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1" si="728">SUM(COV8:CPA8)</f>
        <v>0</v>
      </c>
      <c r="CPC8" s="68">
        <f t="shared" ref="CPC8:CPC21" si="729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1" si="730">SUM(CPD8:CPI8)</f>
        <v>672</v>
      </c>
      <c r="CPK8" s="68">
        <f t="shared" ref="CPK8:CPK21" si="731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1" si="732">SUM(CPL8:CPQ8)</f>
        <v>998</v>
      </c>
      <c r="CPS8" s="68">
        <f t="shared" ref="CPS8:CPS21" si="733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1" si="734">SUM(CPT8:CPY8)</f>
        <v>0</v>
      </c>
      <c r="CQA8" s="68">
        <f t="shared" ref="CQA8:CQA21" si="735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1" si="736">SUM(CQB8:CQG8)</f>
        <v>1012</v>
      </c>
      <c r="CQI8" s="68">
        <f t="shared" ref="CQI8:CQI21" si="737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1" si="738">SUM(CQJ8:CQO8)</f>
        <v>0</v>
      </c>
      <c r="CQQ8" s="68">
        <f t="shared" ref="CQQ8:CQQ21" si="739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1" si="740">SUM(CQR8:CQW8)</f>
        <v>660</v>
      </c>
      <c r="CQY8" s="68">
        <f t="shared" ref="CQY8:CQY21" si="741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0" si="742">SUM(CQZ8:CRE8)</f>
        <v>683</v>
      </c>
      <c r="CRG8" s="68">
        <f t="shared" ref="CRG8:CRG21" si="743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1" si="744">SUM(CRH8:CRM8)</f>
        <v>0</v>
      </c>
      <c r="CRO8" s="68">
        <f t="shared" ref="CRO8:CRO21" si="745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1" si="746">SUM(CRP8:CRU8)</f>
        <v>0</v>
      </c>
      <c r="CRW8" s="68">
        <f t="shared" ref="CRW8:CRW21" si="747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1" si="748">SUM(CRX8:CSC8)</f>
        <v>712</v>
      </c>
      <c r="CSE8" s="68">
        <f t="shared" ref="CSE8:CSE21" si="749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1" si="750">SUM(CSF8:CSK8)</f>
        <v>0</v>
      </c>
      <c r="CSM8" s="68">
        <f t="shared" ref="CSM8:CSM21" si="751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1" si="752">SUM(CSN8:CSS8)</f>
        <v>997</v>
      </c>
      <c r="CSU8" s="68">
        <f t="shared" ref="CSU8:CSU21" si="753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1" si="754">SUM(CSV8:CTA8)</f>
        <v>0</v>
      </c>
      <c r="CTC8" s="68">
        <f t="shared" ref="CTC8:CTC21" si="755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1" si="756">SUM(CTD8:CTI8)</f>
        <v>668</v>
      </c>
      <c r="CTK8" s="68">
        <f t="shared" ref="CTK8:CTK21" si="757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1" si="758">SUM(CTL8:CTQ8)</f>
        <v>322</v>
      </c>
      <c r="CTS8" s="68">
        <f t="shared" ref="CTS8:CTS21" si="759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1" si="760">SUM(CTT8:CTY8)</f>
        <v>688</v>
      </c>
      <c r="CUA8" s="68">
        <f t="shared" ref="CUA8:CUA21" si="761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1" si="762">SUM(CUB8:CUG8)</f>
        <v>0</v>
      </c>
      <c r="CUI8" s="68">
        <f t="shared" ref="CUI8:CUI21" si="763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1" si="764">SUM(CUJ8:CUO8)</f>
        <v>685</v>
      </c>
      <c r="CUQ8" s="68">
        <f t="shared" ref="CUQ8:CUQ21" si="765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1" si="766">SUM(CUR8:CUW8)</f>
        <v>0</v>
      </c>
      <c r="CUY8" s="68">
        <f t="shared" ref="CUY8:CUY21" si="767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1" si="768">SUM(CUZ8:CVE8)</f>
        <v>672</v>
      </c>
      <c r="CVG8" s="68">
        <f t="shared" ref="CVG8:CVG21" si="769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1" si="770">SUM(CVH8:CVM8)</f>
        <v>678</v>
      </c>
      <c r="CVO8" s="68">
        <f t="shared" ref="CVO8:CVO21" si="771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1" si="772">SUM(CVP8:CVU8)</f>
        <v>0</v>
      </c>
      <c r="CVW8" s="68">
        <f t="shared" ref="CVW8:CVW21" si="773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1" si="774">SUM(CVX8:CWC8)</f>
        <v>672</v>
      </c>
      <c r="CWE8" s="68">
        <f t="shared" ref="CWE8:CWE21" si="775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1" si="776">SUM(CWF8:CWK8)</f>
        <v>671</v>
      </c>
      <c r="CWM8" s="68">
        <f t="shared" ref="CWM8:CWM21" si="777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1" si="778">SUM(CWN8:CWS8)</f>
        <v>690</v>
      </c>
      <c r="CWU8" s="68">
        <f t="shared" ref="CWU8:CWU21" si="779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1" si="780">SUM(CWV8:CXA8)</f>
        <v>821</v>
      </c>
      <c r="CXC8" s="43">
        <f t="shared" ref="CXC8:CXC21" si="781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1" si="782">SUM(CXD8:CXI8)</f>
        <v>0</v>
      </c>
      <c r="CXK8" s="43">
        <f t="shared" ref="CXK8:CXK21" si="783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1" si="784">SUM(CXL8:CXQ8)</f>
        <v>682</v>
      </c>
      <c r="CXS8" s="43">
        <f t="shared" ref="CXS8:CXS21" si="785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1" si="786">SUM(CXT8:CXY8)</f>
        <v>1348</v>
      </c>
      <c r="CYA8" s="43">
        <f t="shared" ref="CYA8:CYA21" si="787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1" si="788">SUM(CYB8:CYG8)</f>
        <v>657</v>
      </c>
      <c r="CYI8" s="43">
        <f t="shared" ref="CYI8:CYI21" si="789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1" si="790">SUM(CYJ8:CYO8)</f>
        <v>0</v>
      </c>
      <c r="CYQ8" s="43">
        <f t="shared" ref="CYQ8:CYQ21" si="791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1" si="792">SUM(CYR8:CYW8)</f>
        <v>679</v>
      </c>
      <c r="CYY8" s="43">
        <f t="shared" ref="CYY8:CYY21" si="793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1" si="794">SUM(CYZ8:CZE8)</f>
        <v>689</v>
      </c>
      <c r="CZG8" s="43">
        <f t="shared" ref="CZG8:CZG21" si="795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1" si="796">SUM(CZH8:CZM8)</f>
        <v>0</v>
      </c>
      <c r="CZO8" s="43">
        <f t="shared" ref="CZO8:CZO21" si="797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1" si="798">SUM(CZP8:CZU8)</f>
        <v>1033</v>
      </c>
      <c r="CZW8" s="43">
        <f t="shared" ref="CZW8:CZW21" si="799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1" si="800">SUM(CZX8:DAC8)</f>
        <v>0</v>
      </c>
      <c r="DAE8" s="68">
        <f t="shared" ref="DAE8:DAE21" si="801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1" si="802">SUM(DAF8:DAK8)</f>
        <v>688</v>
      </c>
      <c r="DAM8" s="68">
        <f t="shared" ref="DAM8:DAM21" si="803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1" si="804">SUM(DAN8:DAS8)</f>
        <v>0</v>
      </c>
      <c r="DAU8" s="68">
        <f t="shared" ref="DAU8:DAU21" si="805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1" si="806">SUM(DAV8:DBA8)</f>
        <v>693</v>
      </c>
      <c r="DBC8" s="68">
        <f t="shared" ref="DBC8:DBC21" si="807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1" si="808">SUM(DBD8:DBI8)</f>
        <v>686</v>
      </c>
      <c r="DBK8" s="68">
        <f t="shared" ref="DBK8:DBK21" si="809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1" si="810">SUM(DBL8:DBQ8)</f>
        <v>0</v>
      </c>
      <c r="DBS8" s="68">
        <f t="shared" ref="DBS8:DBS21" si="811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1" si="812">SUM(DBT8:DBY8)</f>
        <v>680</v>
      </c>
      <c r="DCA8" s="68">
        <f t="shared" ref="DCA8:DCA21" si="813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1" si="814">SUM(DCB8:DCG8)</f>
        <v>0</v>
      </c>
      <c r="DCI8" s="68">
        <f t="shared" ref="DCI8:DCI21" si="815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1" si="816">SUM(DCJ8:DCO8)</f>
        <v>1372</v>
      </c>
      <c r="DCQ8" s="68">
        <f t="shared" ref="DCQ8:DCQ21" si="817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1" si="818">SUM(DCR8:DCW8)</f>
        <v>0</v>
      </c>
      <c r="DCY8" s="68">
        <f t="shared" ref="DCY8:DCY21" si="819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1" si="820">SUM(DCZ8:DDE8)</f>
        <v>788</v>
      </c>
      <c r="DDG8" s="68">
        <f t="shared" ref="DDG8:DDG21" si="821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1" si="822">SUM(DDH8:DDM8)</f>
        <v>677</v>
      </c>
      <c r="DDO8" s="43">
        <f t="shared" ref="DDO8:DDO21" si="823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1" si="824">SUM(DDP8:DDU8)</f>
        <v>0</v>
      </c>
      <c r="DDW8" s="43">
        <f t="shared" ref="DDW8:DDW21" si="825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1" si="826">SUM(DDX8:DEC8)</f>
        <v>682</v>
      </c>
      <c r="DEE8" s="43">
        <f t="shared" ref="DEE8:DEE21" si="827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1" si="828">SUM(DEF8:DEK8)</f>
        <v>0</v>
      </c>
      <c r="DEM8" s="43">
        <f t="shared" ref="DEM8:DEM21" si="829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1" si="830">SUM(DEN8:DES8)</f>
        <v>675</v>
      </c>
      <c r="DEU8" s="43">
        <f t="shared" ref="DEU8:DEU21" si="831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1" si="832">SUM(DEV8:DFA8)</f>
        <v>0</v>
      </c>
      <c r="DFC8" s="43">
        <f t="shared" ref="DFC8:DFC21" si="833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1" si="834">SUM(DFD8:DFI8)</f>
        <v>0</v>
      </c>
      <c r="DFK8" s="43">
        <f t="shared" ref="DFK8:DFK21" si="835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1" si="836">SUM(DFL8:DFQ8)</f>
        <v>679</v>
      </c>
      <c r="DFS8" s="68">
        <f t="shared" ref="DFS8:DFS21" si="837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1" si="838">SUM(DFT8:DFY8)</f>
        <v>689</v>
      </c>
      <c r="DGA8" s="43">
        <f t="shared" ref="DGA8:DGA21" si="839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1" si="840">SUM(DGB8:DGG8)</f>
        <v>0</v>
      </c>
      <c r="DGI8" s="43">
        <f t="shared" ref="DGI8:DGI21" si="841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1" si="842">SUM(DGJ8:DGO8)</f>
        <v>0</v>
      </c>
      <c r="DGQ8" s="68">
        <f t="shared" ref="DGQ8:DGQ21" si="843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1" si="844">SUM(DGR8:DGW8)</f>
        <v>0</v>
      </c>
      <c r="DGY8" s="68">
        <f t="shared" ref="DGY8:DGY21" si="845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1" si="846">SUM(DGZ8:DHE8)</f>
        <v>680</v>
      </c>
      <c r="DHG8" s="68">
        <f t="shared" ref="DHG8:DHG21" si="847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1" si="848">SUM(DHH8:DHM8)</f>
        <v>0</v>
      </c>
      <c r="DHO8" s="68">
        <f t="shared" ref="DHO8:DHO21" si="849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1" si="850">SUM(DHP8:DHU8)</f>
        <v>352</v>
      </c>
      <c r="DHW8" s="68">
        <f t="shared" ref="DHW8:DHW21" si="851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1" si="852">SUM(DHX8:DIC8)</f>
        <v>371</v>
      </c>
      <c r="DIE8" s="68">
        <f t="shared" ref="DIE8:DIE21" si="853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1" si="854">SUM(DIF8:DIK8)</f>
        <v>0</v>
      </c>
      <c r="DIM8" s="68">
        <f t="shared" ref="DIM8:DIM21" si="855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1" si="856">SUM(DIN8:DIS8)</f>
        <v>666</v>
      </c>
      <c r="DIU8" s="68">
        <f t="shared" ref="DIU8:DIU21" si="857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1" si="858">SUM(DIV8:DJA8)</f>
        <v>0</v>
      </c>
      <c r="DJC8" s="68">
        <f t="shared" ref="DJC8:DJC21" si="859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1" si="860">SUM(DJD8:DJI8)</f>
        <v>0</v>
      </c>
      <c r="DJK8" s="68">
        <f t="shared" ref="DJK8:DJK21" si="861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1" si="862">SUM(DJL8:DJQ8)</f>
        <v>706</v>
      </c>
      <c r="DJS8" s="68">
        <f t="shared" ref="DJS8:DJS21" si="863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1" si="864">SUM(DJT8:DJY8)</f>
        <v>0</v>
      </c>
      <c r="DKA8" s="68">
        <f t="shared" ref="DKA8:DKA21" si="865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1" si="866">SUM(DKB8:DKG8)</f>
        <v>0</v>
      </c>
      <c r="DKI8" s="68">
        <f t="shared" ref="DKI8:DKI21" si="867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1" si="868">SUM(DKJ8:DKO8)</f>
        <v>318</v>
      </c>
      <c r="DKQ8" s="68">
        <f t="shared" ref="DKQ8:DKQ21" si="869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1" si="870">SUM(DKR8:DKW8)</f>
        <v>338</v>
      </c>
      <c r="DKY8" s="68">
        <f t="shared" ref="DKY8:DKY21" si="871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1" si="872">SUM(DKZ8:DLE8)</f>
        <v>322</v>
      </c>
      <c r="DLG8" s="68">
        <f t="shared" ref="DLG8:DLG21" si="873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1" si="874">SUM(DLH8:DLM8)</f>
        <v>316</v>
      </c>
      <c r="DLO8" s="68">
        <f t="shared" ref="DLO8:DLO21" si="875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1" si="876">SUM(DLP8:DLU8)</f>
        <v>0</v>
      </c>
      <c r="DLW8" s="68">
        <f t="shared" ref="DLW8:DLW21" si="877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1" si="878">SUM(DLX8:DMC8)</f>
        <v>397</v>
      </c>
      <c r="DME8" s="68">
        <f t="shared" ref="DME8:DME21" si="879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1" si="880">SUM(DMF8:DMK8)</f>
        <v>0</v>
      </c>
      <c r="DMM8" s="68">
        <f t="shared" ref="DMM8:DMM21" si="881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1" si="882">SUM(DMN8:DMS8)</f>
        <v>314</v>
      </c>
      <c r="DMU8" s="68">
        <f t="shared" ref="DMU8:DMU21" si="883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1" si="884">SUM(DMV8:DNA8)</f>
        <v>339</v>
      </c>
      <c r="DNC8" s="68">
        <f t="shared" ref="DNC8:DNC21" si="885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1" si="886">SUM(DND8:DNI8)</f>
        <v>0</v>
      </c>
      <c r="DNK8" s="68">
        <f t="shared" ref="DNK8:DNK21" si="887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1" si="888">SUM(DNL8:DNQ8)</f>
        <v>0</v>
      </c>
      <c r="DNS8" s="68">
        <f t="shared" ref="DNS8:DNS21" si="889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1" si="890">SUM(DNT8:DNY8)</f>
        <v>201</v>
      </c>
      <c r="DOA8" s="68">
        <f t="shared" ref="DOA8:DOA21" si="891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1" si="892">SUM(DOB8:DOG8)</f>
        <v>0</v>
      </c>
      <c r="DOI8" s="68">
        <f t="shared" ref="DOI8:DOI21" si="893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1" si="894">SUM(DOJ8:DOO8)</f>
        <v>323</v>
      </c>
      <c r="DOQ8" s="68">
        <f t="shared" ref="DOQ8:DOQ21" si="895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1" si="896">SUM(DOR8:DOW8)</f>
        <v>0</v>
      </c>
      <c r="DOY8" s="68">
        <f t="shared" ref="DOY8:DOY21" si="897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1" si="898">SUM(DOZ8:DPE8)</f>
        <v>378</v>
      </c>
      <c r="DPG8" s="68">
        <f t="shared" ref="DPG8:DPG21" si="899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1" si="900">SUM(DPH8:DPM8)</f>
        <v>325</v>
      </c>
      <c r="DPO8" s="68">
        <f t="shared" ref="DPO8:DPO21" si="901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1" si="902">SUM(DPP8:DPU8)</f>
        <v>0</v>
      </c>
      <c r="DPW8" s="492">
        <f t="shared" ref="DPW8:DPW21" si="903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1" si="904">SUM(DPX8:DQC8)</f>
        <v>339</v>
      </c>
      <c r="DQE8" s="492">
        <f t="shared" ref="DQE8:DQE21" si="905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1" si="906">SUM(DQF8:DQK8)</f>
        <v>282</v>
      </c>
      <c r="DQM8" s="492">
        <f t="shared" ref="DQM8:DQM21" si="907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1" si="908">SUM(DQN8:DQS8)</f>
        <v>0</v>
      </c>
      <c r="DQU8" s="68">
        <f t="shared" ref="DQU8:DQU21" si="909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1" si="910">SUM(DQV8:DRA8)</f>
        <v>322</v>
      </c>
      <c r="DRC8" s="492">
        <f t="shared" ref="DRC8:DRC21" si="911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1" si="912">SUM(DRD8:DRI8)</f>
        <v>199</v>
      </c>
      <c r="DRK8" s="492">
        <f t="shared" ref="DRK8:DRK21" si="913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1" si="914">SUM(DRL8:DRQ8)</f>
        <v>522</v>
      </c>
      <c r="DRS8" s="68">
        <f t="shared" ref="DRS8:DRS21" si="915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1" si="916">SUM(DRT8:DRY8)</f>
        <v>0</v>
      </c>
      <c r="DSA8" s="68">
        <f t="shared" ref="DSA8:DSA21" si="917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1" si="918">SUM(DSB8:DSG8)</f>
        <v>0</v>
      </c>
      <c r="DSI8" s="68">
        <f t="shared" ref="DSI8:DSI21" si="919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0" si="920">SUM(DSJ8:DSO8)</f>
        <v>330</v>
      </c>
      <c r="DSQ8" s="68">
        <f t="shared" ref="DSQ8:DSQ21" si="921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1" si="922">SUM(DSR8:DSW8)</f>
        <v>331</v>
      </c>
      <c r="DSY8" s="68">
        <f t="shared" ref="DSY8:DSY21" si="923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1" si="924">SUM(DSZ8:DTE8)</f>
        <v>334</v>
      </c>
      <c r="DTG8" s="68">
        <f t="shared" ref="DTG8:DTG21" si="925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1" si="926">SUM(DTH8:DTM8)</f>
        <v>0</v>
      </c>
      <c r="DTO8" s="68">
        <f t="shared" ref="DTO8:DTO21" si="927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1" si="928">SUM(DTP8:DTU8)</f>
        <v>331</v>
      </c>
      <c r="DTW8" s="68">
        <f t="shared" ref="DTW8:DTW21" si="929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1" si="930">SUM(DTX8:DUC8)</f>
        <v>358</v>
      </c>
      <c r="DUE8" s="68">
        <f t="shared" ref="DUE8:DUE21" si="931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0" si="932">SUM(DUF8:DUK8)</f>
        <v>0</v>
      </c>
      <c r="DUM8" s="68">
        <f t="shared" ref="DUM8:DUM20" si="933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0" si="934">SUM(DUN8:DUS8)</f>
        <v>373</v>
      </c>
      <c r="DUU8" s="184">
        <f t="shared" ref="DUU8:DUU20" si="935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0" si="936">SUM(DUV8:DVA8)</f>
        <v>0</v>
      </c>
      <c r="DVC8" s="68">
        <f t="shared" ref="DVC8:DVC20" si="937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1" si="938">SUM(DVD8:DVI8)</f>
        <v>333</v>
      </c>
      <c r="DVK8" s="68">
        <f t="shared" ref="DVK8:DVK21" si="939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1" si="940">SUM(DVL8:DVQ8)</f>
        <v>200</v>
      </c>
      <c r="DVS8" s="68">
        <f t="shared" ref="DVS8:DVS21" si="941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1" si="942">SUM(DVT8:DVY8)</f>
        <v>485</v>
      </c>
      <c r="DWA8" s="68">
        <f t="shared" ref="DWA8:DWA21" si="943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1" si="944">SUM(DWB8:DWG8)</f>
        <v>0</v>
      </c>
      <c r="DWI8" s="68">
        <f t="shared" ref="DWI8:DWI21" si="945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1" si="946">SUM(DWJ8:DWO8)</f>
        <v>390</v>
      </c>
      <c r="DWQ8" s="68">
        <f t="shared" ref="DWQ8:DWQ21" si="947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1" si="948">SUM(DWR8:DWW8)</f>
        <v>301</v>
      </c>
      <c r="DWY8" s="68">
        <f>DWX8/$DWY$28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1" si="949">SUM(DWZ8:DXE8)</f>
        <v>0</v>
      </c>
      <c r="DXG8" s="68">
        <f t="shared" ref="DXG8:DXG21" si="950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1" si="951">SUM(DXH8:DXM8)</f>
        <v>400</v>
      </c>
      <c r="DXO8" s="68">
        <f t="shared" ref="DXO8:DXO21" si="952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1" si="953">SUM(DXP8:DXU8)</f>
        <v>0</v>
      </c>
      <c r="DXW8" s="68">
        <f t="shared" ref="DXW8:DXW21" si="954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1" si="955">SUM(DXX8:DYC8)</f>
        <v>41</v>
      </c>
      <c r="DYE8" s="68">
        <f t="shared" ref="DYE8:DYE21" si="956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1" si="957">SUM(DYF8:DYK8)</f>
        <v>0</v>
      </c>
      <c r="DYM8" s="68">
        <f t="shared" ref="DYM8:DYM21" si="958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1" si="959">SUM(DYN8:DYS8)</f>
        <v>367</v>
      </c>
      <c r="DYU8" s="68">
        <f t="shared" ref="DYU8:DYU21" si="960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1" si="961">SUM(DYV8:DZA8)</f>
        <v>348</v>
      </c>
      <c r="DZC8" s="68">
        <f t="shared" ref="DZC8:DZC21" si="962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1" si="963">SUM(DZD8:DZI8)</f>
        <v>2</v>
      </c>
      <c r="DZK8" s="68">
        <f t="shared" ref="DZK8:DZK21" si="964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1" si="965">SUM(DZL8:DZQ8)</f>
        <v>237</v>
      </c>
      <c r="DZS8" s="68">
        <f t="shared" ref="DZS8:DZS21" si="966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1" si="967">SUM(DZT8:DZY8)</f>
        <v>173</v>
      </c>
      <c r="EAA8" s="68">
        <f t="shared" ref="EAA8:EAA21" si="968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1" si="969">SUM(EAB8:EAG8)</f>
        <v>443</v>
      </c>
      <c r="EAI8" s="68">
        <f t="shared" ref="EAI8:EAI21" si="970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1" si="971">SUM(EAJ8:EAO8)</f>
        <v>0</v>
      </c>
      <c r="EAQ8" s="68">
        <f>EAP8/$EAQ$28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1" si="972">SUM(EAR8:EAW8)</f>
        <v>254</v>
      </c>
      <c r="EAY8" s="68">
        <f t="shared" ref="EAY8:EAY21" si="973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1" si="974">SUM(EAZ8:EBE8)</f>
        <v>0</v>
      </c>
      <c r="EBG8" s="68">
        <f t="shared" ref="EBG8:EBG21" si="975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1" si="976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1" si="977">SUM(EBP8:EBU8)</f>
        <v>0</v>
      </c>
      <c r="EBW8" s="68">
        <f t="shared" ref="EBW8:EBW21" si="978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1" si="979">SUM(EBX8:ECC8)</f>
        <v>55</v>
      </c>
      <c r="ECE8" s="68">
        <f t="shared" ref="ECE8:ECE21" si="980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1" si="981">SUM(ECF8:ECK8)</f>
        <v>325</v>
      </c>
      <c r="ECM8" s="68">
        <f t="shared" ref="ECM8:ECM21" si="982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1" si="983">SUM(ECN8:ECS8)</f>
        <v>0</v>
      </c>
      <c r="ECU8" s="68">
        <f t="shared" ref="ECU8:ECU21" si="984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1" si="985">SUM(ECV8:EDA8)</f>
        <v>266</v>
      </c>
      <c r="EDC8" s="68">
        <f t="shared" ref="EDC8:EDC21" si="986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1" si="987">SUM(EDD8:EDI8)</f>
        <v>322</v>
      </c>
      <c r="EDK8" s="68">
        <f t="shared" ref="EDK8:EDK21" si="988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1" si="989">SUM(EDL8:EDQ8)</f>
        <v>0</v>
      </c>
      <c r="EDS8" s="184">
        <f t="shared" ref="EDS8:EDS21" si="990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1" si="991">SUM(EDT8:EDY8)</f>
        <v>0</v>
      </c>
      <c r="EEA8" s="184">
        <f t="shared" ref="EEA8:EEA21" si="992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1" si="993">SUM(EEB8:EEG8)</f>
        <v>343</v>
      </c>
      <c r="EEI8" s="68">
        <f t="shared" ref="EEI8:EEI21" si="994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1" si="995">SUM(EEJ8:EEO8)</f>
        <v>0</v>
      </c>
      <c r="EEQ8" s="68">
        <f t="shared" ref="EEQ8:EEQ21" si="996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1" si="997">SUM(EER8:EEW8)</f>
        <v>345</v>
      </c>
      <c r="EEY8" s="68">
        <f t="shared" ref="EEY8:EEY21" si="998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1" si="999">SUM(EEZ8:EFE8)</f>
        <v>0</v>
      </c>
      <c r="EFG8" s="68">
        <f t="shared" ref="EFG8:EFG21" si="1000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1" si="1001">SUM(EFH8:EFM8)</f>
        <v>539</v>
      </c>
      <c r="EFO8" s="68">
        <f t="shared" ref="EFO8:EFO21" si="1002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1" si="1003">SUM(EFP8:EFU8)</f>
        <v>0</v>
      </c>
      <c r="EFW8" s="68">
        <f t="shared" ref="EFW8:EFW21" si="1004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1" si="1005">SUM(EFX8:EGC8)</f>
        <v>0</v>
      </c>
      <c r="EGE8" s="68">
        <f t="shared" ref="EGE8:EGE21" si="1006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1" si="1007">SUM(EGF8:EGK8)</f>
        <v>0</v>
      </c>
      <c r="EGM8" s="68">
        <f t="shared" ref="EGM8:EGM21" si="1008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1" si="1009">SUM(EGN8:EGS8)</f>
        <v>330</v>
      </c>
      <c r="EGU8" s="68">
        <f>EGT8/$EGU$28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1" si="1010">SUM(EGV8:EHA8)</f>
        <v>0</v>
      </c>
      <c r="EHC8" s="68">
        <f t="shared" ref="EHC8:EHC21" si="1011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1" si="1012">SUM(EHD8:EHI8)</f>
        <v>124</v>
      </c>
      <c r="EHK8" s="68">
        <f t="shared" ref="EHK8:EHK21" si="1013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1" si="1014">SUM(EHL8:EHQ8)</f>
        <v>41</v>
      </c>
      <c r="EHS8" s="68">
        <f t="shared" ref="EHS8:EHS21" si="1015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1" si="1016">SUM(EHT8:EHY8)</f>
        <v>348</v>
      </c>
      <c r="EIA8" s="68">
        <f t="shared" ref="EIA8:EIA21" si="1017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1" si="1018">SUM(EIB8:EIG8)</f>
        <v>61</v>
      </c>
      <c r="EII8" s="68">
        <f t="shared" ref="EII8:EII21" si="1019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1" si="1020">SUM(EIJ8:EIO8)</f>
        <v>0</v>
      </c>
      <c r="EIQ8" s="68">
        <f t="shared" ref="EIQ8:EIQ21" si="1021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1" si="1022">SUM(EIR8:EIW8)</f>
        <v>340</v>
      </c>
      <c r="EIY8" s="68">
        <f t="shared" ref="EIY8:EIY21" si="1023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1" si="1024">SUM(EIZ8:EJE8)</f>
        <v>0</v>
      </c>
      <c r="EJG8" s="68">
        <f t="shared" ref="EJG8:EJG21" si="1025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1" si="1026">SUM(EJH8:EJM8)</f>
        <v>100</v>
      </c>
      <c r="EJO8" s="68">
        <f t="shared" ref="EJO8:EJO21" si="1027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1" si="1028">SUM(EJP8:EJU8)</f>
        <v>385</v>
      </c>
      <c r="EJW8" s="68">
        <f t="shared" ref="EJW8:EJW21" si="1029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1" si="1030">SUM(EJX8:EKC8)</f>
        <v>0</v>
      </c>
      <c r="EKE8" s="68">
        <f t="shared" ref="EKE8:EKE21" si="1031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1" si="1032">SUM(EKF8:EKK8)</f>
        <v>70</v>
      </c>
      <c r="EKM8" s="68">
        <f t="shared" ref="EKM8:EKM21" si="1033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1" si="1034">SUM(EKN8:EKS8)</f>
        <v>0</v>
      </c>
      <c r="EKU8" s="184">
        <f t="shared" ref="EKU8:EKU21" si="1035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1" si="1036">SUM(EKW8:ELB8)</f>
        <v>111</v>
      </c>
      <c r="ELD8" s="211">
        <f t="shared" ref="ELD8:ELD21" si="1037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1" si="1038">SUM(ELE8:ELJ8)</f>
        <v>350</v>
      </c>
      <c r="ELL8" s="211">
        <f t="shared" ref="ELL8:ELL21" si="1039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1" si="1040">SUM(ELM8:ELR8)</f>
        <v>0</v>
      </c>
      <c r="ELT8" s="211">
        <f t="shared" ref="ELT8:ELT21" si="1041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1" si="1042">SUM(ELU8:ELZ8)</f>
        <v>0</v>
      </c>
      <c r="EMB8" s="211">
        <f t="shared" ref="EMB8:EMB21" si="1043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1" si="1044">SUM(EMC8:EMH8)</f>
        <v>321</v>
      </c>
      <c r="EMJ8" s="211">
        <f t="shared" ref="EMJ8:EMJ21" si="1045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1" si="1046">SUM(EMK8:EMP8)</f>
        <v>0</v>
      </c>
      <c r="EMR8" s="211">
        <f t="shared" ref="EMR8:EMR21" si="1047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1" si="1048">SUM(EMS8:EMX8)</f>
        <v>345</v>
      </c>
      <c r="EMZ8" s="211">
        <f t="shared" ref="EMZ8:EMZ21" si="1049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1" si="1050">SUM(ENA8:ENF8)</f>
        <v>0</v>
      </c>
      <c r="ENH8" s="211">
        <f t="shared" ref="ENH8:ENH21" si="1051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1" si="1052">SUM(ENI8:ENN8)</f>
        <v>355</v>
      </c>
      <c r="ENP8" s="211">
        <f t="shared" ref="ENP8:ENP21" si="1053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1" si="1054">SUM(ENQ8:ENV8)</f>
        <v>0</v>
      </c>
      <c r="ENX8" s="211">
        <f t="shared" ref="ENX8:ENX21" si="1055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1" si="1056">SUM(ENY8:EOD8)</f>
        <v>0</v>
      </c>
      <c r="EOF8" s="211">
        <f t="shared" ref="EOF8:EOF21" si="1057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1" si="1058">SUM(EOG8:EOL8)</f>
        <v>0</v>
      </c>
      <c r="EON8" s="211">
        <f t="shared" ref="EON8:EON21" si="1059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1" si="1060">SUM(EOO8:EOT8)</f>
        <v>0</v>
      </c>
      <c r="EOV8" s="211">
        <f t="shared" ref="EOV8:EOV21" si="1061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1" si="1062">SUM(EOW8:EPB8)</f>
        <v>506</v>
      </c>
      <c r="EPD8" s="211">
        <f t="shared" ref="EPD8:EPD21" si="1063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1" si="1064">SUM(EPE8:EPJ8)</f>
        <v>0</v>
      </c>
      <c r="EPL8" s="211">
        <f t="shared" ref="EPL8:EPL21" si="1065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1" si="1066">SUM(EPM8:EPR8)</f>
        <v>0</v>
      </c>
      <c r="EPT8" s="211">
        <f t="shared" ref="EPT8:EPT21" si="1067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1" si="1068">SUM(EPU8:EPZ8)</f>
        <v>0</v>
      </c>
      <c r="EQB8" s="211">
        <f t="shared" ref="EQB8:EQB21" si="1069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1" si="1070">SUM(EQC8:EQH8)</f>
        <v>83</v>
      </c>
      <c r="EQJ8" s="211">
        <f t="shared" ref="EQJ8:EQJ21" si="1071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1" si="1072">SUM(EQK8:EQP8)</f>
        <v>344</v>
      </c>
      <c r="EQR8" s="211">
        <f t="shared" ref="EQR8:EQR21" si="1073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1" si="1074">SUM(EQS8:EQX8)</f>
        <v>0</v>
      </c>
      <c r="EQZ8" s="211">
        <f t="shared" ref="EQZ8:EQZ21" si="1075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1" si="1076">SUM(ERA8:ERF8)</f>
        <v>0</v>
      </c>
      <c r="ERH8" s="211">
        <f t="shared" ref="ERH8:ERH21" si="1077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1" si="1078">SUM(ERI8:ERN8)</f>
        <v>0</v>
      </c>
      <c r="ERP8" s="211">
        <f t="shared" ref="ERP8:ERP21" si="1079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1" si="1080">SUM(ERQ8:ERV8)</f>
        <v>96</v>
      </c>
      <c r="ERX8" s="211">
        <f t="shared" ref="ERX8:ERX21" si="1081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1" si="1082">SUM(ERY8:ESD8)</f>
        <v>354</v>
      </c>
      <c r="ESF8" s="211">
        <f t="shared" ref="ESF8:ESF21" si="1083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1" si="1084">SUM(ESG8:ESL8)</f>
        <v>0</v>
      </c>
      <c r="ESN8" s="211">
        <f t="shared" ref="ESN8:ESN21" si="1085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1" si="1086">SUM(ESO8:EST8)</f>
        <v>0</v>
      </c>
      <c r="ESV8" s="211">
        <f t="shared" ref="ESV8:ESV21" si="1087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1" si="1088">SUM(ESW8:ETB8)</f>
        <v>0</v>
      </c>
      <c r="ETD8" s="211">
        <f t="shared" ref="ETD8:ETD21" si="1089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1" si="1090">SUM(ETE8:ETJ8)</f>
        <v>340</v>
      </c>
      <c r="ETL8" s="211">
        <f t="shared" ref="ETL8:ETL21" si="1091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1" si="1092">SUM(ETM8:ETR8)</f>
        <v>122</v>
      </c>
      <c r="ETT8" s="211">
        <f t="shared" ref="ETT8:ETT21" si="1093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1" si="1094">SUM(ETU8:ETZ8)</f>
        <v>0</v>
      </c>
      <c r="EUB8" s="211">
        <f t="shared" ref="EUB8:EUB21" si="1095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1" si="1096">SUM(EUC8:EUH8)</f>
        <v>367</v>
      </c>
      <c r="EUJ8" s="211">
        <f t="shared" ref="EUJ8:EUJ21" si="1097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1" si="1098">SUM(EUK8:EUP8)</f>
        <v>0</v>
      </c>
      <c r="EUR8" s="211">
        <f t="shared" ref="EUR8:EUR21" si="1099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1" si="1100">SUM(EUS8:EUX8)</f>
        <v>358</v>
      </c>
      <c r="EUZ8" s="211">
        <f t="shared" ref="EUZ8:EUZ21" si="1101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1" si="1102">SUM(EVA8:EVF8)</f>
        <v>0</v>
      </c>
      <c r="EVH8" s="211">
        <f t="shared" ref="EVH8:EVH21" si="1103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1" si="1104">SUM(EVI8:EVN8)</f>
        <v>0</v>
      </c>
      <c r="EVP8" s="211">
        <f t="shared" ref="EVP8:EVP21" si="1105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1" si="1106">SUM(EVQ8:EVV8)</f>
        <v>345</v>
      </c>
      <c r="EVX8" s="211">
        <f t="shared" ref="EVX8:EVX21" si="1107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1" si="1108">SUM(EVY8:EWD8)</f>
        <v>0</v>
      </c>
      <c r="EWF8" s="211">
        <f t="shared" ref="EWF8:EWF21" si="1109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1" si="1110">SUM(EWG8:EWL8)</f>
        <v>0</v>
      </c>
      <c r="EWN8" s="211">
        <f t="shared" si="175"/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1" si="1111">SUM(EWO8:EWT8)</f>
        <v>0</v>
      </c>
      <c r="EWV8" s="211">
        <f t="shared" ref="EWV8:EWV21" si="1112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1" si="1113">SUM(EWW8:EXB8)</f>
        <v>196</v>
      </c>
      <c r="EXD8" s="211">
        <f t="shared" ref="EXD8:EXD21" si="1114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1" si="1115">SUM(EXE8:EXJ8)</f>
        <v>0</v>
      </c>
      <c r="EXL8" s="211">
        <f t="shared" ref="EXL8:EXL21" si="1116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1" si="1117">SUM(EXM8:EXR8)</f>
        <v>351</v>
      </c>
      <c r="EXT8" s="211">
        <f t="shared" ref="EXT8:EXT21" si="1118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1" si="1119">SUM(EXU8:EXZ8)</f>
        <v>0</v>
      </c>
      <c r="EYB8" s="211">
        <f t="shared" ref="EYB8:EYB21" si="1120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1" si="1121">SUM(EYC8:EYH8)</f>
        <v>0</v>
      </c>
      <c r="EYJ8" s="211">
        <f t="shared" ref="EYJ8:EYJ21" si="1122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1" si="1123">SUM(EYK8:EYP8)</f>
        <v>80</v>
      </c>
      <c r="EYR8" s="211">
        <f t="shared" ref="EYR8:EYR21" si="1124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1" si="1125">SUM(EYS8:EYX8)</f>
        <v>0</v>
      </c>
      <c r="EYZ8" s="873">
        <f t="shared" ref="EYZ8:EYZ21" si="1126">EYY8/$EYZ$28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1" si="1127">SUM(EZA8:EZF8)</f>
        <v>216</v>
      </c>
      <c r="EZH8" s="873">
        <f t="shared" ref="EZH8:EZH21" si="1128">EZG8/$EZH$5</f>
        <v>36</v>
      </c>
      <c r="EZI8" s="195"/>
      <c r="EZJ8" s="49">
        <v>0</v>
      </c>
      <c r="EZK8" s="49">
        <v>0</v>
      </c>
      <c r="EZL8" s="49"/>
      <c r="EZM8" s="49"/>
      <c r="EZN8" s="49"/>
      <c r="EZO8" s="872">
        <f t="shared" ref="EZO8:EZO21" si="1129">SUM(EZI8:EZN8)</f>
        <v>0</v>
      </c>
      <c r="EZP8" s="873">
        <f t="shared" ref="EZP8:EZP21" si="1130">EZO8/$EZP$5</f>
        <v>0</v>
      </c>
    </row>
    <row r="9" spans="1:4072" s="8" customFormat="1" ht="15" customHeight="1" x14ac:dyDescent="0.2">
      <c r="A9" s="301">
        <v>3</v>
      </c>
      <c r="B9" s="21" t="s">
        <v>113</v>
      </c>
      <c r="C9" s="275" t="s">
        <v>114</v>
      </c>
      <c r="D9" s="21">
        <v>25</v>
      </c>
      <c r="E9" s="24"/>
      <c r="F9" s="24">
        <v>1900</v>
      </c>
      <c r="G9" s="24"/>
      <c r="H9" s="24"/>
      <c r="I9" s="360"/>
      <c r="J9" s="360">
        <f>SUMIF(SUMPK!$B:$B,$B:$B,SUMPK!$O:$O)</f>
        <v>0</v>
      </c>
      <c r="K9" s="24">
        <f t="shared" si="186"/>
        <v>0</v>
      </c>
      <c r="L9" s="24">
        <f t="shared" si="187"/>
        <v>1900</v>
      </c>
      <c r="M9" s="24">
        <f t="shared" si="188"/>
        <v>1900</v>
      </c>
      <c r="N9" s="15">
        <v>269.83333333333331</v>
      </c>
      <c r="O9" s="276">
        <f t="shared" si="189"/>
        <v>7.0413835701050038</v>
      </c>
      <c r="P9" s="712">
        <v>215.16666666666666</v>
      </c>
      <c r="Q9" s="276">
        <f t="shared" si="190"/>
        <v>52.982184353214564</v>
      </c>
      <c r="R9" s="277">
        <f t="shared" si="191"/>
        <v>123.07692307692308</v>
      </c>
      <c r="S9" s="222">
        <v>3200</v>
      </c>
      <c r="T9" s="276">
        <f t="shared" si="192"/>
        <v>15.4375</v>
      </c>
      <c r="U9" s="303"/>
      <c r="V9" s="302">
        <f t="shared" si="193"/>
        <v>15.4375</v>
      </c>
      <c r="W9" s="304">
        <f t="shared" si="0"/>
        <v>1</v>
      </c>
      <c r="X9" s="305"/>
      <c r="Y9" s="280"/>
      <c r="Z9" s="280"/>
      <c r="AA9" s="280"/>
      <c r="AB9" s="280"/>
      <c r="AC9" s="662">
        <v>16</v>
      </c>
      <c r="AD9" s="649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>
        <f t="shared" si="651"/>
        <v>0</v>
      </c>
      <c r="CDC9" s="68">
        <f t="shared" si="652"/>
        <v>0</v>
      </c>
      <c r="CDD9" s="48"/>
      <c r="CDE9" s="49"/>
      <c r="CDF9" s="49"/>
      <c r="CDG9" s="49"/>
      <c r="CDH9" s="49"/>
      <c r="CDI9" s="49">
        <v>500</v>
      </c>
      <c r="CDJ9" s="67">
        <f t="shared" si="653"/>
        <v>500</v>
      </c>
      <c r="CDK9" s="68">
        <f t="shared" si="654"/>
        <v>83.333333333333329</v>
      </c>
      <c r="CDL9" s="48"/>
      <c r="CDM9" s="49"/>
      <c r="CDN9" s="49"/>
      <c r="CDO9" s="49">
        <v>594</v>
      </c>
      <c r="CDP9" s="49"/>
      <c r="CDQ9" s="49"/>
      <c r="CDR9" s="67">
        <f t="shared" si="655"/>
        <v>594</v>
      </c>
      <c r="CDS9" s="68">
        <f t="shared" si="656"/>
        <v>99</v>
      </c>
      <c r="CDT9" s="48"/>
      <c r="CDU9" s="49"/>
      <c r="CDV9" s="49"/>
      <c r="CDW9" s="49"/>
      <c r="CDX9" s="49"/>
      <c r="CDY9" s="49"/>
      <c r="CDZ9" s="67">
        <f t="shared" si="657"/>
        <v>0</v>
      </c>
      <c r="CEA9" s="68">
        <f t="shared" si="658"/>
        <v>0</v>
      </c>
      <c r="CEB9" s="48">
        <v>990</v>
      </c>
      <c r="CEC9" s="49"/>
      <c r="CED9" s="49"/>
      <c r="CEE9" s="49"/>
      <c r="CEF9" s="49"/>
      <c r="CEG9" s="49"/>
      <c r="CEH9" s="67">
        <f t="shared" si="659"/>
        <v>990</v>
      </c>
      <c r="CEI9" s="68">
        <f t="shared" si="660"/>
        <v>165</v>
      </c>
      <c r="CEJ9" s="48"/>
      <c r="CEK9" s="49"/>
      <c r="CEL9" s="49"/>
      <c r="CEM9" s="49">
        <v>441</v>
      </c>
      <c r="CEN9" s="49"/>
      <c r="CEO9" s="49"/>
      <c r="CEP9" s="67">
        <f t="shared" si="661"/>
        <v>441</v>
      </c>
      <c r="CEQ9" s="68">
        <f t="shared" si="662"/>
        <v>73.5</v>
      </c>
      <c r="CER9" s="48">
        <v>666</v>
      </c>
      <c r="CES9" s="49">
        <v>399</v>
      </c>
      <c r="CET9" s="49"/>
      <c r="CEU9" s="49">
        <v>821</v>
      </c>
      <c r="CEV9" s="49"/>
      <c r="CEW9" s="49"/>
      <c r="CEX9" s="67">
        <f t="shared" si="663"/>
        <v>1886</v>
      </c>
      <c r="CEY9" s="68">
        <f t="shared" si="664"/>
        <v>314.33333333333331</v>
      </c>
      <c r="CEZ9" s="48"/>
      <c r="CFA9" s="49">
        <v>1291</v>
      </c>
      <c r="CFB9" s="49"/>
      <c r="CFC9" s="49"/>
      <c r="CFD9" s="49"/>
      <c r="CFE9" s="49"/>
      <c r="CFF9" s="67">
        <f t="shared" si="665"/>
        <v>1291</v>
      </c>
      <c r="CFG9" s="68">
        <f t="shared" si="666"/>
        <v>215.16666666666666</v>
      </c>
      <c r="CFH9" s="48">
        <v>1648</v>
      </c>
      <c r="CFI9" s="49"/>
      <c r="CFJ9" s="49"/>
      <c r="CFK9" s="49"/>
      <c r="CFL9" s="49"/>
      <c r="CFM9" s="49"/>
      <c r="CFN9" s="67">
        <f t="shared" si="667"/>
        <v>1648</v>
      </c>
      <c r="CFO9" s="68">
        <f t="shared" si="668"/>
        <v>274.66666666666669</v>
      </c>
      <c r="CFP9" s="48">
        <v>746</v>
      </c>
      <c r="CFQ9" s="49"/>
      <c r="CFR9" s="49"/>
      <c r="CFS9" s="49">
        <v>1448</v>
      </c>
      <c r="CFT9" s="49"/>
      <c r="CFU9" s="49"/>
      <c r="CFV9" s="67">
        <f t="shared" si="669"/>
        <v>2194</v>
      </c>
      <c r="CFW9" s="68">
        <f t="shared" si="670"/>
        <v>365.66666666666669</v>
      </c>
      <c r="CFX9" s="48"/>
      <c r="CFY9" s="49"/>
      <c r="CFZ9" s="49"/>
      <c r="CGA9" s="49"/>
      <c r="CGB9" s="49">
        <v>597</v>
      </c>
      <c r="CGC9" s="49"/>
      <c r="CGD9" s="67">
        <f t="shared" si="671"/>
        <v>597</v>
      </c>
      <c r="CGE9" s="68">
        <f t="shared" si="672"/>
        <v>99.5</v>
      </c>
      <c r="CGF9" s="48">
        <v>894</v>
      </c>
      <c r="CGG9" s="49"/>
      <c r="CGH9" s="49"/>
      <c r="CGI9" s="49"/>
      <c r="CGJ9" s="49"/>
      <c r="CGK9" s="49">
        <v>1329</v>
      </c>
      <c r="CGL9" s="67">
        <f t="shared" si="673"/>
        <v>2223</v>
      </c>
      <c r="CGM9" s="68">
        <f t="shared" si="674"/>
        <v>370.5</v>
      </c>
      <c r="CGN9" s="63"/>
      <c r="CGO9" s="64"/>
      <c r="CGP9" s="64"/>
      <c r="CGQ9" s="64"/>
      <c r="CGR9" s="64">
        <v>220</v>
      </c>
      <c r="CGS9" s="64"/>
      <c r="CGT9" s="67">
        <f t="shared" si="675"/>
        <v>220</v>
      </c>
      <c r="CGU9" s="68">
        <f t="shared" si="676"/>
        <v>36.666666666666664</v>
      </c>
      <c r="CGV9" s="48"/>
      <c r="CGW9" s="49"/>
      <c r="CGX9" s="49"/>
      <c r="CGY9" s="49">
        <f>409+471</f>
        <v>880</v>
      </c>
      <c r="CGZ9" s="49"/>
      <c r="CHA9" s="49"/>
      <c r="CHB9" s="67">
        <f t="shared" si="677"/>
        <v>880</v>
      </c>
      <c r="CHC9" s="68">
        <f t="shared" si="678"/>
        <v>146.66666666666666</v>
      </c>
      <c r="CHD9" s="48"/>
      <c r="CHE9" s="49"/>
      <c r="CHF9" s="49"/>
      <c r="CHG9" s="49"/>
      <c r="CHH9" s="49"/>
      <c r="CHI9" s="49">
        <v>995</v>
      </c>
      <c r="CHJ9" s="67">
        <f t="shared" si="679"/>
        <v>995</v>
      </c>
      <c r="CHK9" s="68">
        <f t="shared" si="680"/>
        <v>165.83333333333334</v>
      </c>
      <c r="CHL9" s="63"/>
      <c r="CHM9" s="64"/>
      <c r="CHN9" s="64"/>
      <c r="CHO9" s="64"/>
      <c r="CHP9" s="64"/>
      <c r="CHQ9" s="64"/>
      <c r="CHR9" s="67">
        <f t="shared" si="681"/>
        <v>0</v>
      </c>
      <c r="CHS9" s="68">
        <f t="shared" si="682"/>
        <v>0</v>
      </c>
      <c r="CHT9" s="48"/>
      <c r="CHU9" s="49"/>
      <c r="CHV9" s="49"/>
      <c r="CHW9" s="49"/>
      <c r="CHX9" s="49"/>
      <c r="CHY9" s="49"/>
      <c r="CHZ9" s="67">
        <f t="shared" si="683"/>
        <v>0</v>
      </c>
      <c r="CIA9" s="68">
        <f t="shared" si="684"/>
        <v>0</v>
      </c>
      <c r="CIB9" s="63">
        <v>960</v>
      </c>
      <c r="CIC9" s="64"/>
      <c r="CID9" s="64"/>
      <c r="CIE9" s="64"/>
      <c r="CIF9" s="64"/>
      <c r="CIG9" s="64"/>
      <c r="CIH9" s="67">
        <f t="shared" si="685"/>
        <v>960</v>
      </c>
      <c r="CII9" s="68">
        <f t="shared" si="686"/>
        <v>160</v>
      </c>
      <c r="CIJ9" s="63"/>
      <c r="CIK9" s="64"/>
      <c r="CIL9" s="64"/>
      <c r="CIM9" s="64"/>
      <c r="CIN9" s="64"/>
      <c r="CIO9" s="64">
        <v>800</v>
      </c>
      <c r="CIP9" s="67">
        <f t="shared" si="687"/>
        <v>800</v>
      </c>
      <c r="CIQ9" s="68">
        <f t="shared" si="688"/>
        <v>133.33333333333334</v>
      </c>
      <c r="CIR9" s="48"/>
      <c r="CIS9" s="49">
        <v>220</v>
      </c>
      <c r="CIT9" s="49"/>
      <c r="CIU9" s="49"/>
      <c r="CIV9" s="49">
        <v>220</v>
      </c>
      <c r="CIW9" s="49"/>
      <c r="CIX9" s="67">
        <f t="shared" si="689"/>
        <v>440</v>
      </c>
      <c r="CIY9" s="68">
        <f t="shared" si="690"/>
        <v>73.333333333333329</v>
      </c>
      <c r="CIZ9" s="48"/>
      <c r="CJA9" s="49"/>
      <c r="CJB9" s="49">
        <v>336</v>
      </c>
      <c r="CJC9" s="49"/>
      <c r="CJD9" s="49"/>
      <c r="CJE9" s="49"/>
      <c r="CJF9" s="67">
        <f t="shared" si="691"/>
        <v>336</v>
      </c>
      <c r="CJG9" s="68">
        <f>CJF9/$CJG$28</f>
        <v>56</v>
      </c>
      <c r="CJH9" s="48">
        <v>796</v>
      </c>
      <c r="CJI9" s="49"/>
      <c r="CJJ9" s="49"/>
      <c r="CJK9" s="49"/>
      <c r="CJL9" s="49"/>
      <c r="CJM9" s="49"/>
      <c r="CJN9" s="67">
        <f t="shared" si="692"/>
        <v>796</v>
      </c>
      <c r="CJO9" s="68">
        <f t="shared" si="693"/>
        <v>132.66666666666666</v>
      </c>
      <c r="CJP9" s="48"/>
      <c r="CJQ9" s="49">
        <v>417</v>
      </c>
      <c r="CJR9" s="49"/>
      <c r="CJS9" s="49"/>
      <c r="CJT9" s="49"/>
      <c r="CJU9" s="49"/>
      <c r="CJV9" s="67">
        <f t="shared" si="694"/>
        <v>417</v>
      </c>
      <c r="CJW9" s="68">
        <f t="shared" si="695"/>
        <v>69.5</v>
      </c>
      <c r="CJX9" s="48"/>
      <c r="CJY9" s="49"/>
      <c r="CJZ9" s="49"/>
      <c r="CKA9" s="49"/>
      <c r="CKB9" s="49">
        <v>546</v>
      </c>
      <c r="CKC9" s="49"/>
      <c r="CKD9" s="67">
        <f t="shared" si="696"/>
        <v>546</v>
      </c>
      <c r="CKE9" s="68">
        <f t="shared" si="697"/>
        <v>91</v>
      </c>
      <c r="CKF9" s="63">
        <v>550</v>
      </c>
      <c r="CKG9" s="64"/>
      <c r="CKH9" s="64"/>
      <c r="CKI9" s="64"/>
      <c r="CKJ9" s="64"/>
      <c r="CKK9" s="64">
        <v>882</v>
      </c>
      <c r="CKL9" s="67">
        <f t="shared" si="698"/>
        <v>1432</v>
      </c>
      <c r="CKM9" s="68">
        <f t="shared" si="699"/>
        <v>238.66666666666666</v>
      </c>
      <c r="CKN9" s="48"/>
      <c r="CKO9" s="49"/>
      <c r="CKP9" s="49">
        <v>441</v>
      </c>
      <c r="CKQ9" s="49"/>
      <c r="CKR9" s="49"/>
      <c r="CKS9" s="47"/>
      <c r="CKT9" s="67">
        <f t="shared" si="700"/>
        <v>441</v>
      </c>
      <c r="CKU9" s="68">
        <f t="shared" si="701"/>
        <v>73.5</v>
      </c>
      <c r="CKV9" s="48"/>
      <c r="CKW9" s="49"/>
      <c r="CKX9" s="49"/>
      <c r="CKY9" s="49"/>
      <c r="CKZ9" s="49">
        <v>906</v>
      </c>
      <c r="CLA9" s="49"/>
      <c r="CLB9" s="67">
        <f t="shared" si="702"/>
        <v>906</v>
      </c>
      <c r="CLC9" s="68">
        <f t="shared" si="703"/>
        <v>151</v>
      </c>
      <c r="CLD9" s="48"/>
      <c r="CLE9" s="49"/>
      <c r="CLF9" s="49"/>
      <c r="CLG9" s="49"/>
      <c r="CLH9" s="49"/>
      <c r="CLI9" s="49"/>
      <c r="CLJ9" s="67">
        <f t="shared" si="704"/>
        <v>0</v>
      </c>
      <c r="CLK9" s="68">
        <f t="shared" si="705"/>
        <v>0</v>
      </c>
      <c r="CLL9" s="48"/>
      <c r="CLM9" s="49">
        <v>439</v>
      </c>
      <c r="CLN9" s="49"/>
      <c r="CLO9" s="49"/>
      <c r="CLP9" s="49"/>
      <c r="CLQ9" s="49"/>
      <c r="CLR9" s="67">
        <f t="shared" si="706"/>
        <v>439</v>
      </c>
      <c r="CLS9" s="68">
        <f t="shared" si="707"/>
        <v>73.166666666666671</v>
      </c>
      <c r="CLT9" s="63">
        <v>1100</v>
      </c>
      <c r="CLU9" s="64"/>
      <c r="CLV9" s="64"/>
      <c r="CLW9" s="64"/>
      <c r="CLX9" s="64"/>
      <c r="CLY9" s="64"/>
      <c r="CLZ9" s="67">
        <f t="shared" si="708"/>
        <v>1100</v>
      </c>
      <c r="CMA9" s="68">
        <f t="shared" si="709"/>
        <v>183.33333333333334</v>
      </c>
      <c r="CMB9" s="48"/>
      <c r="CMC9" s="49"/>
      <c r="CMD9" s="49"/>
      <c r="CME9" s="49">
        <v>853</v>
      </c>
      <c r="CMF9" s="49"/>
      <c r="CMG9" s="49"/>
      <c r="CMH9" s="67">
        <f t="shared" si="710"/>
        <v>853</v>
      </c>
      <c r="CMI9" s="68">
        <f t="shared" si="711"/>
        <v>142.16666666666666</v>
      </c>
      <c r="CMJ9" s="48"/>
      <c r="CMK9" s="49"/>
      <c r="CML9" s="49"/>
      <c r="CMM9" s="49"/>
      <c r="CMN9" s="49">
        <v>151</v>
      </c>
      <c r="CMO9" s="49"/>
      <c r="CMP9" s="67">
        <f t="shared" si="712"/>
        <v>151</v>
      </c>
      <c r="CMQ9" s="68">
        <f t="shared" si="713"/>
        <v>25.166666666666668</v>
      </c>
      <c r="CMR9" s="48">
        <v>550</v>
      </c>
      <c r="CMS9" s="49"/>
      <c r="CMT9" s="49"/>
      <c r="CMU9" s="49">
        <v>668</v>
      </c>
      <c r="CMV9" s="49"/>
      <c r="CMW9" s="49"/>
      <c r="CMX9" s="67">
        <f t="shared" si="714"/>
        <v>1218</v>
      </c>
      <c r="CMY9" s="68">
        <f t="shared" si="715"/>
        <v>203</v>
      </c>
      <c r="CMZ9" s="63"/>
      <c r="CNA9" s="64"/>
      <c r="CNB9" s="64"/>
      <c r="CNC9" s="64"/>
      <c r="CND9" s="64">
        <f>553+163</f>
        <v>716</v>
      </c>
      <c r="CNE9" s="64"/>
      <c r="CNF9" s="67">
        <f t="shared" si="716"/>
        <v>716</v>
      </c>
      <c r="CNG9" s="68">
        <f t="shared" si="717"/>
        <v>119.33333333333333</v>
      </c>
      <c r="CNH9" s="48"/>
      <c r="CNI9" s="49"/>
      <c r="CNJ9" s="49">
        <v>220</v>
      </c>
      <c r="CNK9" s="49"/>
      <c r="CNL9" s="49"/>
      <c r="CNM9" s="49"/>
      <c r="CNN9" s="67">
        <f t="shared" si="718"/>
        <v>220</v>
      </c>
      <c r="CNO9" s="68">
        <f t="shared" si="719"/>
        <v>36.666666666666664</v>
      </c>
      <c r="CNP9" s="63">
        <v>108</v>
      </c>
      <c r="CNQ9" s="64"/>
      <c r="CNR9" s="64"/>
      <c r="CNS9" s="64"/>
      <c r="CNT9" s="64">
        <v>669</v>
      </c>
      <c r="CNU9" s="64"/>
      <c r="CNV9" s="67">
        <f t="shared" si="720"/>
        <v>777</v>
      </c>
      <c r="CNW9" s="68">
        <f t="shared" si="721"/>
        <v>129.5</v>
      </c>
      <c r="CNX9" s="48"/>
      <c r="CNY9" s="49"/>
      <c r="CNZ9" s="49"/>
      <c r="COA9" s="49"/>
      <c r="COB9" s="49"/>
      <c r="COC9" s="49"/>
      <c r="COD9" s="67">
        <f t="shared" si="722"/>
        <v>0</v>
      </c>
      <c r="COE9" s="68">
        <f t="shared" si="723"/>
        <v>0</v>
      </c>
      <c r="COF9" s="48"/>
      <c r="COG9" s="49"/>
      <c r="COH9" s="49"/>
      <c r="COI9" s="49"/>
      <c r="COJ9" s="49"/>
      <c r="COK9" s="49">
        <v>774</v>
      </c>
      <c r="COL9" s="67">
        <f t="shared" si="724"/>
        <v>774</v>
      </c>
      <c r="COM9" s="68">
        <f t="shared" si="725"/>
        <v>129</v>
      </c>
      <c r="CON9" s="48"/>
      <c r="COO9" s="49"/>
      <c r="COP9" s="49"/>
      <c r="COQ9" s="49"/>
      <c r="COR9" s="49"/>
      <c r="COS9" s="49">
        <v>648</v>
      </c>
      <c r="COT9" s="67">
        <f t="shared" si="726"/>
        <v>648</v>
      </c>
      <c r="COU9" s="68">
        <f t="shared" si="727"/>
        <v>108</v>
      </c>
      <c r="COV9" s="48"/>
      <c r="COW9" s="49"/>
      <c r="COX9" s="49">
        <v>880</v>
      </c>
      <c r="COY9" s="49"/>
      <c r="COZ9" s="49"/>
      <c r="CPA9" s="49">
        <v>0</v>
      </c>
      <c r="CPB9" s="67">
        <f t="shared" si="728"/>
        <v>880</v>
      </c>
      <c r="CPC9" s="68">
        <f t="shared" si="729"/>
        <v>146.66666666666666</v>
      </c>
      <c r="CPD9" s="48">
        <v>0</v>
      </c>
      <c r="CPE9" s="49">
        <v>0</v>
      </c>
      <c r="CPF9" s="49">
        <v>699</v>
      </c>
      <c r="CPG9" s="49">
        <v>0</v>
      </c>
      <c r="CPH9" s="49">
        <v>999</v>
      </c>
      <c r="CPI9" s="49">
        <v>0</v>
      </c>
      <c r="CPJ9" s="67">
        <f t="shared" si="730"/>
        <v>1698</v>
      </c>
      <c r="CPK9" s="68">
        <f t="shared" si="731"/>
        <v>283</v>
      </c>
      <c r="CPL9" s="48"/>
      <c r="CPM9" s="49">
        <v>199</v>
      </c>
      <c r="CPN9" s="49">
        <v>0</v>
      </c>
      <c r="CPO9" s="49">
        <v>0</v>
      </c>
      <c r="CPP9" s="49">
        <v>0</v>
      </c>
      <c r="CPQ9" s="49">
        <v>338</v>
      </c>
      <c r="CPR9" s="67">
        <f t="shared" si="732"/>
        <v>537</v>
      </c>
      <c r="CPS9" s="68">
        <f t="shared" si="733"/>
        <v>89.5</v>
      </c>
      <c r="CPT9" s="63">
        <v>0</v>
      </c>
      <c r="CPU9" s="64">
        <v>664</v>
      </c>
      <c r="CPV9" s="64">
        <v>0</v>
      </c>
      <c r="CPW9" s="64">
        <v>0</v>
      </c>
      <c r="CPX9" s="64">
        <v>210</v>
      </c>
      <c r="CPY9" s="64">
        <v>0</v>
      </c>
      <c r="CPZ9" s="67">
        <f t="shared" si="734"/>
        <v>874</v>
      </c>
      <c r="CQA9" s="68">
        <f t="shared" si="735"/>
        <v>145.66666666666666</v>
      </c>
      <c r="CQB9" s="48">
        <v>0</v>
      </c>
      <c r="CQC9" s="49">
        <v>0</v>
      </c>
      <c r="CQD9" s="49">
        <v>0</v>
      </c>
      <c r="CQE9" s="49">
        <v>0</v>
      </c>
      <c r="CQF9" s="49">
        <v>0</v>
      </c>
      <c r="CQG9" s="49">
        <v>0</v>
      </c>
      <c r="CQH9" s="67">
        <f t="shared" si="736"/>
        <v>0</v>
      </c>
      <c r="CQI9" s="68">
        <f t="shared" si="737"/>
        <v>0</v>
      </c>
      <c r="CQJ9" s="82">
        <v>0</v>
      </c>
      <c r="CQK9" s="83">
        <v>0</v>
      </c>
      <c r="CQL9" s="83">
        <v>220</v>
      </c>
      <c r="CQM9" s="83">
        <v>0</v>
      </c>
      <c r="CQN9" s="83">
        <v>0</v>
      </c>
      <c r="CQO9" s="83"/>
      <c r="CQP9" s="67">
        <f t="shared" si="738"/>
        <v>220</v>
      </c>
      <c r="CQQ9" s="68">
        <f t="shared" si="739"/>
        <v>36.666666666666664</v>
      </c>
      <c r="CQR9" s="48"/>
      <c r="CQS9" s="49">
        <v>0</v>
      </c>
      <c r="CQT9" s="49">
        <v>0</v>
      </c>
      <c r="CQU9" s="49">
        <v>0</v>
      </c>
      <c r="CQV9" s="49">
        <v>381</v>
      </c>
      <c r="CQW9" s="49">
        <v>0</v>
      </c>
      <c r="CQX9" s="67">
        <f t="shared" si="740"/>
        <v>381</v>
      </c>
      <c r="CQY9" s="68">
        <f t="shared" si="741"/>
        <v>63.5</v>
      </c>
      <c r="CQZ9" s="48">
        <v>0</v>
      </c>
      <c r="CRA9" s="49"/>
      <c r="CRB9" s="49">
        <v>655</v>
      </c>
      <c r="CRC9" s="49"/>
      <c r="CRD9" s="49">
        <v>0</v>
      </c>
      <c r="CRE9" s="49">
        <v>0</v>
      </c>
      <c r="CRF9" s="67">
        <f t="shared" si="742"/>
        <v>655</v>
      </c>
      <c r="CRG9" s="68">
        <f t="shared" si="743"/>
        <v>109.16666666666667</v>
      </c>
      <c r="CRH9" s="48">
        <v>0</v>
      </c>
      <c r="CRI9" s="49">
        <v>0</v>
      </c>
      <c r="CRJ9" s="49">
        <v>636</v>
      </c>
      <c r="CRK9" s="49">
        <v>0</v>
      </c>
      <c r="CRL9" s="49">
        <v>0</v>
      </c>
      <c r="CRM9" s="49">
        <v>0</v>
      </c>
      <c r="CRN9" s="67">
        <f t="shared" si="744"/>
        <v>636</v>
      </c>
      <c r="CRO9" s="68">
        <f t="shared" si="745"/>
        <v>106</v>
      </c>
      <c r="CRP9" s="48">
        <v>0</v>
      </c>
      <c r="CRQ9" s="49">
        <v>581</v>
      </c>
      <c r="CRR9" s="49">
        <v>0</v>
      </c>
      <c r="CRS9" s="49">
        <v>0</v>
      </c>
      <c r="CRT9" s="49">
        <v>0</v>
      </c>
      <c r="CRU9" s="49">
        <v>0</v>
      </c>
      <c r="CRV9" s="47">
        <f t="shared" si="746"/>
        <v>581</v>
      </c>
      <c r="CRW9" s="68">
        <f t="shared" si="747"/>
        <v>96.833333333333329</v>
      </c>
      <c r="CRX9" s="63">
        <v>0</v>
      </c>
      <c r="CRY9" s="64">
        <v>0</v>
      </c>
      <c r="CRZ9" s="64">
        <v>426</v>
      </c>
      <c r="CSA9" s="64">
        <v>0</v>
      </c>
      <c r="CSB9" s="64">
        <v>0</v>
      </c>
      <c r="CSC9" s="64">
        <v>882</v>
      </c>
      <c r="CSD9" s="67">
        <f t="shared" si="748"/>
        <v>1308</v>
      </c>
      <c r="CSE9" s="68">
        <f t="shared" si="749"/>
        <v>218</v>
      </c>
      <c r="CSF9" s="48">
        <v>0</v>
      </c>
      <c r="CSG9" s="49">
        <v>0</v>
      </c>
      <c r="CSH9" s="49">
        <v>0</v>
      </c>
      <c r="CSI9" s="49">
        <v>0</v>
      </c>
      <c r="CSJ9" s="49">
        <v>0</v>
      </c>
      <c r="CSK9" s="49">
        <v>0</v>
      </c>
      <c r="CSL9" s="64">
        <f t="shared" si="750"/>
        <v>0</v>
      </c>
      <c r="CSM9" s="68">
        <f t="shared" si="751"/>
        <v>0</v>
      </c>
      <c r="CSN9" s="48">
        <v>0</v>
      </c>
      <c r="CSO9" s="49">
        <v>938</v>
      </c>
      <c r="CSP9" s="49">
        <v>0</v>
      </c>
      <c r="CSQ9" s="49">
        <v>0</v>
      </c>
      <c r="CSR9" s="49">
        <v>467</v>
      </c>
      <c r="CSS9" s="49">
        <v>0</v>
      </c>
      <c r="CST9" s="64">
        <f t="shared" si="752"/>
        <v>1405</v>
      </c>
      <c r="CSU9" s="68">
        <f t="shared" si="753"/>
        <v>234.16666666666666</v>
      </c>
      <c r="CSV9" s="48">
        <v>0</v>
      </c>
      <c r="CSW9" s="49">
        <v>0</v>
      </c>
      <c r="CSX9" s="49">
        <v>290</v>
      </c>
      <c r="CSY9" s="49">
        <v>0</v>
      </c>
      <c r="CSZ9" s="49"/>
      <c r="CTA9" s="49">
        <v>960</v>
      </c>
      <c r="CTB9" s="64">
        <f t="shared" si="754"/>
        <v>1250</v>
      </c>
      <c r="CTC9" s="68">
        <f t="shared" si="755"/>
        <v>208.33333333333334</v>
      </c>
      <c r="CTD9" s="48">
        <v>0</v>
      </c>
      <c r="CTE9" s="49">
        <v>0</v>
      </c>
      <c r="CTF9" s="49">
        <v>0</v>
      </c>
      <c r="CTG9" s="49">
        <v>1009</v>
      </c>
      <c r="CTH9" s="49">
        <v>0</v>
      </c>
      <c r="CTI9" s="49"/>
      <c r="CTJ9" s="64">
        <f t="shared" si="756"/>
        <v>1009</v>
      </c>
      <c r="CTK9" s="68">
        <f t="shared" si="757"/>
        <v>168.16666666666666</v>
      </c>
      <c r="CTL9" s="48">
        <v>0</v>
      </c>
      <c r="CTM9" s="49">
        <v>0</v>
      </c>
      <c r="CTN9" s="49">
        <f>133+313</f>
        <v>446</v>
      </c>
      <c r="CTO9" s="49">
        <v>0</v>
      </c>
      <c r="CTP9" s="49">
        <v>399</v>
      </c>
      <c r="CTQ9" s="49"/>
      <c r="CTR9" s="64">
        <f t="shared" si="758"/>
        <v>845</v>
      </c>
      <c r="CTS9" s="68">
        <f t="shared" si="759"/>
        <v>140.83333333333334</v>
      </c>
      <c r="CTT9" s="48">
        <v>0</v>
      </c>
      <c r="CTU9" s="49">
        <v>403</v>
      </c>
      <c r="CTV9" s="49">
        <v>896</v>
      </c>
      <c r="CTW9" s="49"/>
      <c r="CTX9" s="49"/>
      <c r="CTY9" s="49"/>
      <c r="CTZ9" s="64">
        <f t="shared" si="760"/>
        <v>1299</v>
      </c>
      <c r="CUA9" s="68">
        <f t="shared" si="761"/>
        <v>216.5</v>
      </c>
      <c r="CUB9" s="48">
        <v>551</v>
      </c>
      <c r="CUC9" s="49"/>
      <c r="CUD9" s="49"/>
      <c r="CUE9" s="49"/>
      <c r="CUF9" s="49">
        <v>207</v>
      </c>
      <c r="CUG9" s="49">
        <v>440</v>
      </c>
      <c r="CUH9" s="64">
        <f t="shared" si="762"/>
        <v>1198</v>
      </c>
      <c r="CUI9" s="68">
        <f t="shared" si="763"/>
        <v>199.66666666666666</v>
      </c>
      <c r="CUJ9" s="48">
        <v>659</v>
      </c>
      <c r="CUK9" s="49">
        <v>0</v>
      </c>
      <c r="CUL9" s="49">
        <v>0</v>
      </c>
      <c r="CUM9" s="49">
        <v>252</v>
      </c>
      <c r="CUN9" s="49">
        <v>0</v>
      </c>
      <c r="CUO9" s="49">
        <v>788</v>
      </c>
      <c r="CUP9" s="64">
        <f t="shared" si="764"/>
        <v>1699</v>
      </c>
      <c r="CUQ9" s="68">
        <f t="shared" si="765"/>
        <v>283.16666666666669</v>
      </c>
      <c r="CUR9" s="48">
        <v>0</v>
      </c>
      <c r="CUS9" s="49">
        <v>0</v>
      </c>
      <c r="CUT9" s="49"/>
      <c r="CUU9" s="49">
        <v>0</v>
      </c>
      <c r="CUV9" s="49">
        <v>799</v>
      </c>
      <c r="CUW9" s="49">
        <v>0</v>
      </c>
      <c r="CUX9" s="64">
        <f t="shared" si="766"/>
        <v>799</v>
      </c>
      <c r="CUY9" s="68">
        <f t="shared" si="767"/>
        <v>133.16666666666666</v>
      </c>
      <c r="CUZ9" s="48">
        <v>897</v>
      </c>
      <c r="CVA9" s="49">
        <v>0</v>
      </c>
      <c r="CVB9" s="49">
        <v>0</v>
      </c>
      <c r="CVC9" s="49">
        <v>0</v>
      </c>
      <c r="CVD9" s="49">
        <v>0</v>
      </c>
      <c r="CVE9" s="49">
        <v>0</v>
      </c>
      <c r="CVF9" s="64">
        <f t="shared" si="768"/>
        <v>897</v>
      </c>
      <c r="CVG9" s="68">
        <f t="shared" si="769"/>
        <v>149.5</v>
      </c>
      <c r="CVH9" s="48">
        <v>0</v>
      </c>
      <c r="CVI9" s="49">
        <v>0</v>
      </c>
      <c r="CVJ9" s="49">
        <v>0</v>
      </c>
      <c r="CVK9" s="49">
        <v>1000</v>
      </c>
      <c r="CVL9" s="49">
        <v>0</v>
      </c>
      <c r="CVM9" s="49">
        <v>0</v>
      </c>
      <c r="CVN9" s="64">
        <f t="shared" si="770"/>
        <v>1000</v>
      </c>
      <c r="CVO9" s="68">
        <f t="shared" si="771"/>
        <v>166.66666666666666</v>
      </c>
      <c r="CVP9" s="48"/>
      <c r="CVQ9" s="49">
        <v>0</v>
      </c>
      <c r="CVR9" s="49">
        <v>396</v>
      </c>
      <c r="CVS9" s="49">
        <v>246</v>
      </c>
      <c r="CVT9" s="49">
        <v>826</v>
      </c>
      <c r="CVU9" s="49">
        <v>0</v>
      </c>
      <c r="CVV9" s="64">
        <f t="shared" si="772"/>
        <v>1468</v>
      </c>
      <c r="CVW9" s="68">
        <f t="shared" si="773"/>
        <v>244.66666666666666</v>
      </c>
      <c r="CVX9" s="48">
        <v>0</v>
      </c>
      <c r="CVY9" s="49">
        <v>0</v>
      </c>
      <c r="CVZ9" s="49">
        <v>0</v>
      </c>
      <c r="CWA9" s="49">
        <v>0</v>
      </c>
      <c r="CWB9" s="49">
        <v>800</v>
      </c>
      <c r="CWC9" s="49">
        <v>0</v>
      </c>
      <c r="CWD9" s="64">
        <f t="shared" si="774"/>
        <v>800</v>
      </c>
      <c r="CWE9" s="68">
        <f t="shared" si="775"/>
        <v>133.33333333333334</v>
      </c>
      <c r="CWF9" s="48">
        <v>0</v>
      </c>
      <c r="CWG9" s="49">
        <v>438</v>
      </c>
      <c r="CWH9" s="49">
        <v>0</v>
      </c>
      <c r="CWI9" s="49">
        <v>0</v>
      </c>
      <c r="CWJ9" s="49">
        <v>0</v>
      </c>
      <c r="CWK9" s="49">
        <v>0</v>
      </c>
      <c r="CWL9" s="64">
        <f t="shared" si="776"/>
        <v>438</v>
      </c>
      <c r="CWM9" s="68">
        <f t="shared" si="777"/>
        <v>73</v>
      </c>
      <c r="CWN9" s="48">
        <v>0</v>
      </c>
      <c r="CWO9" s="49">
        <v>0</v>
      </c>
      <c r="CWP9" s="49">
        <v>439</v>
      </c>
      <c r="CWQ9" s="49">
        <v>0</v>
      </c>
      <c r="CWR9" s="49">
        <v>221</v>
      </c>
      <c r="CWS9" s="49">
        <v>0</v>
      </c>
      <c r="CWT9" s="64">
        <f t="shared" si="778"/>
        <v>660</v>
      </c>
      <c r="CWU9" s="68">
        <f t="shared" si="779"/>
        <v>110</v>
      </c>
      <c r="CWV9" s="48">
        <v>0</v>
      </c>
      <c r="CWW9" s="49">
        <v>0</v>
      </c>
      <c r="CWX9" s="49">
        <v>0</v>
      </c>
      <c r="CWY9" s="49">
        <v>0</v>
      </c>
      <c r="CWZ9" s="49">
        <v>397</v>
      </c>
      <c r="CXA9" s="49">
        <v>0</v>
      </c>
      <c r="CXB9" s="127">
        <f t="shared" si="780"/>
        <v>397</v>
      </c>
      <c r="CXC9" s="43">
        <f t="shared" si="781"/>
        <v>66.166666666666671</v>
      </c>
      <c r="CXD9" s="48">
        <v>0</v>
      </c>
      <c r="CXE9" s="49">
        <v>491</v>
      </c>
      <c r="CXF9" s="49">
        <v>0</v>
      </c>
      <c r="CXG9" s="49">
        <v>0</v>
      </c>
      <c r="CXH9" s="49">
        <v>764</v>
      </c>
      <c r="CXI9" s="49">
        <v>0</v>
      </c>
      <c r="CXJ9" s="127">
        <f t="shared" si="782"/>
        <v>1255</v>
      </c>
      <c r="CXK9" s="43">
        <f t="shared" si="783"/>
        <v>209.16666666666666</v>
      </c>
      <c r="CXL9" s="48">
        <v>697</v>
      </c>
      <c r="CXM9" s="49">
        <v>0</v>
      </c>
      <c r="CXN9" s="49">
        <v>0</v>
      </c>
      <c r="CXO9" s="49">
        <v>0</v>
      </c>
      <c r="CXP9" s="49">
        <v>0</v>
      </c>
      <c r="CXQ9" s="49">
        <v>474</v>
      </c>
      <c r="CXR9" s="127">
        <f t="shared" si="784"/>
        <v>1171</v>
      </c>
      <c r="CXS9" s="43">
        <f t="shared" si="785"/>
        <v>195.16666666666666</v>
      </c>
      <c r="CXT9" s="48">
        <v>0</v>
      </c>
      <c r="CXU9" s="49">
        <v>0</v>
      </c>
      <c r="CXV9" s="49">
        <v>0</v>
      </c>
      <c r="CXW9" s="49">
        <v>0</v>
      </c>
      <c r="CXX9" s="49">
        <v>0</v>
      </c>
      <c r="CXY9" s="49">
        <v>0</v>
      </c>
      <c r="CXZ9" s="127">
        <f t="shared" si="786"/>
        <v>0</v>
      </c>
      <c r="CYA9" s="43">
        <f t="shared" si="787"/>
        <v>0</v>
      </c>
      <c r="CYB9" s="48">
        <v>589</v>
      </c>
      <c r="CYC9" s="49">
        <v>0</v>
      </c>
      <c r="CYD9" s="49">
        <v>0</v>
      </c>
      <c r="CYE9" s="49">
        <v>579</v>
      </c>
      <c r="CYF9" s="49">
        <v>0</v>
      </c>
      <c r="CYG9" s="49">
        <v>0</v>
      </c>
      <c r="CYH9" s="127">
        <f t="shared" si="788"/>
        <v>1168</v>
      </c>
      <c r="CYI9" s="43">
        <f t="shared" si="789"/>
        <v>194.66666666666666</v>
      </c>
      <c r="CYJ9" s="48"/>
      <c r="CYK9" s="49">
        <v>0</v>
      </c>
      <c r="CYL9" s="49">
        <v>783</v>
      </c>
      <c r="CYM9" s="49">
        <v>0</v>
      </c>
      <c r="CYN9" s="49">
        <v>0</v>
      </c>
      <c r="CYO9" s="49">
        <v>0</v>
      </c>
      <c r="CYP9" s="127">
        <f t="shared" si="790"/>
        <v>783</v>
      </c>
      <c r="CYQ9" s="43">
        <f t="shared" si="791"/>
        <v>130.5</v>
      </c>
      <c r="CYR9" s="48">
        <v>0</v>
      </c>
      <c r="CYS9" s="49">
        <v>963</v>
      </c>
      <c r="CYT9" s="49">
        <v>0</v>
      </c>
      <c r="CYU9" s="49">
        <v>0</v>
      </c>
      <c r="CYV9" s="49">
        <v>0</v>
      </c>
      <c r="CYW9" s="49">
        <v>0</v>
      </c>
      <c r="CYX9" s="127">
        <f t="shared" si="792"/>
        <v>963</v>
      </c>
      <c r="CYY9" s="43">
        <f t="shared" si="793"/>
        <v>160.5</v>
      </c>
      <c r="CYZ9" s="48">
        <v>0</v>
      </c>
      <c r="CZA9" s="49">
        <v>476</v>
      </c>
      <c r="CZB9" s="49">
        <v>0</v>
      </c>
      <c r="CZC9" s="49">
        <v>0</v>
      </c>
      <c r="CZD9" s="49"/>
      <c r="CZE9" s="49">
        <v>0</v>
      </c>
      <c r="CZF9" s="127">
        <f t="shared" si="794"/>
        <v>476</v>
      </c>
      <c r="CZG9" s="43">
        <f t="shared" si="795"/>
        <v>95.2</v>
      </c>
      <c r="CZH9" s="48">
        <v>782</v>
      </c>
      <c r="CZI9" s="49">
        <v>0</v>
      </c>
      <c r="CZJ9" s="49">
        <v>0</v>
      </c>
      <c r="CZK9" s="49">
        <v>764</v>
      </c>
      <c r="CZL9" s="49">
        <v>0</v>
      </c>
      <c r="CZM9" s="49">
        <v>0</v>
      </c>
      <c r="CZN9" s="127">
        <f t="shared" si="796"/>
        <v>1546</v>
      </c>
      <c r="CZO9" s="43">
        <f t="shared" si="797"/>
        <v>257.66666666666669</v>
      </c>
      <c r="CZP9" s="48">
        <v>600</v>
      </c>
      <c r="CZQ9" s="49"/>
      <c r="CZR9" s="49"/>
      <c r="CZS9" s="49">
        <v>450</v>
      </c>
      <c r="CZT9" s="49">
        <v>0</v>
      </c>
      <c r="CZU9" s="49">
        <v>349</v>
      </c>
      <c r="CZV9" s="127">
        <f t="shared" si="798"/>
        <v>1399</v>
      </c>
      <c r="CZW9" s="43">
        <f t="shared" si="799"/>
        <v>233.16666666666666</v>
      </c>
      <c r="CZX9" s="48">
        <v>0</v>
      </c>
      <c r="CZY9" s="49">
        <v>1200</v>
      </c>
      <c r="CZZ9" s="49">
        <v>0</v>
      </c>
      <c r="DAA9" s="49">
        <v>0</v>
      </c>
      <c r="DAB9" s="49">
        <v>0</v>
      </c>
      <c r="DAC9" s="49">
        <v>501</v>
      </c>
      <c r="DAD9" s="64">
        <f t="shared" si="800"/>
        <v>1701</v>
      </c>
      <c r="DAE9" s="68">
        <f t="shared" si="801"/>
        <v>283.5</v>
      </c>
      <c r="DAF9" s="48">
        <v>0</v>
      </c>
      <c r="DAG9" s="49">
        <v>660</v>
      </c>
      <c r="DAH9" s="49">
        <v>0</v>
      </c>
      <c r="DAI9" s="49">
        <v>0</v>
      </c>
      <c r="DAJ9" s="49">
        <v>0</v>
      </c>
      <c r="DAK9" s="49">
        <v>1012</v>
      </c>
      <c r="DAL9" s="64">
        <f t="shared" si="802"/>
        <v>1672</v>
      </c>
      <c r="DAM9" s="68">
        <f t="shared" si="803"/>
        <v>278.66666666666669</v>
      </c>
      <c r="DAN9" s="48">
        <v>0</v>
      </c>
      <c r="DAO9" s="49">
        <v>0</v>
      </c>
      <c r="DAP9" s="49">
        <v>0</v>
      </c>
      <c r="DAQ9" s="49">
        <v>439</v>
      </c>
      <c r="DAR9" s="49">
        <v>0</v>
      </c>
      <c r="DAS9" s="49"/>
      <c r="DAT9" s="64">
        <f t="shared" si="804"/>
        <v>439</v>
      </c>
      <c r="DAU9" s="68">
        <f t="shared" si="805"/>
        <v>73.166666666666671</v>
      </c>
      <c r="DAV9" s="48">
        <v>0</v>
      </c>
      <c r="DAW9" s="49">
        <v>0</v>
      </c>
      <c r="DAX9" s="49">
        <v>0</v>
      </c>
      <c r="DAY9" s="49">
        <v>986</v>
      </c>
      <c r="DAZ9" s="49">
        <v>0</v>
      </c>
      <c r="DBA9" s="49">
        <v>0</v>
      </c>
      <c r="DBB9" s="64">
        <f t="shared" si="806"/>
        <v>986</v>
      </c>
      <c r="DBC9" s="68">
        <f t="shared" si="807"/>
        <v>164.33333333333334</v>
      </c>
      <c r="DBD9" s="48">
        <v>0</v>
      </c>
      <c r="DBE9" s="49">
        <v>0</v>
      </c>
      <c r="DBF9" s="49">
        <v>870</v>
      </c>
      <c r="DBG9" s="49">
        <v>0</v>
      </c>
      <c r="DBH9" s="49">
        <v>0</v>
      </c>
      <c r="DBI9" s="49">
        <v>1213</v>
      </c>
      <c r="DBJ9" s="64">
        <f t="shared" si="808"/>
        <v>2083</v>
      </c>
      <c r="DBK9" s="68">
        <f t="shared" si="809"/>
        <v>347.16666666666669</v>
      </c>
      <c r="DBL9" s="48">
        <v>0</v>
      </c>
      <c r="DBM9" s="49"/>
      <c r="DBN9" s="49">
        <v>0</v>
      </c>
      <c r="DBO9" s="49">
        <v>0</v>
      </c>
      <c r="DBP9" s="49">
        <v>0</v>
      </c>
      <c r="DBQ9" s="49">
        <v>0</v>
      </c>
      <c r="DBR9" s="64">
        <f t="shared" si="810"/>
        <v>0</v>
      </c>
      <c r="DBS9" s="68">
        <f t="shared" si="811"/>
        <v>0</v>
      </c>
      <c r="DBT9" s="48">
        <v>111</v>
      </c>
      <c r="DBU9" s="49"/>
      <c r="DBV9" s="49">
        <v>0</v>
      </c>
      <c r="DBW9" s="49">
        <v>0</v>
      </c>
      <c r="DBX9" s="49">
        <v>0</v>
      </c>
      <c r="DBY9" s="49">
        <v>963</v>
      </c>
      <c r="DBZ9" s="64">
        <f t="shared" si="812"/>
        <v>1074</v>
      </c>
      <c r="DCA9" s="68">
        <f t="shared" si="813"/>
        <v>214.8</v>
      </c>
      <c r="DCB9" s="48">
        <v>800</v>
      </c>
      <c r="DCC9" s="49"/>
      <c r="DCD9" s="49">
        <v>0</v>
      </c>
      <c r="DCE9" s="49">
        <v>0</v>
      </c>
      <c r="DCF9" s="49">
        <v>0</v>
      </c>
      <c r="DCG9" s="49">
        <v>770</v>
      </c>
      <c r="DCH9" s="64">
        <f t="shared" si="814"/>
        <v>1570</v>
      </c>
      <c r="DCI9" s="68">
        <f t="shared" si="815"/>
        <v>261.66666666666669</v>
      </c>
      <c r="DCJ9" s="48">
        <v>0</v>
      </c>
      <c r="DCK9" s="49">
        <v>0</v>
      </c>
      <c r="DCL9" s="49">
        <v>1222</v>
      </c>
      <c r="DCM9" s="49">
        <v>0</v>
      </c>
      <c r="DCN9" s="49">
        <v>329</v>
      </c>
      <c r="DCO9" s="49">
        <v>0</v>
      </c>
      <c r="DCP9" s="64">
        <f t="shared" si="816"/>
        <v>1551</v>
      </c>
      <c r="DCQ9" s="68">
        <f t="shared" si="817"/>
        <v>258.5</v>
      </c>
      <c r="DCR9" s="48">
        <v>0</v>
      </c>
      <c r="DCS9" s="49">
        <v>723</v>
      </c>
      <c r="DCT9" s="49">
        <v>662</v>
      </c>
      <c r="DCU9" s="49">
        <v>0</v>
      </c>
      <c r="DCV9" s="49">
        <v>0</v>
      </c>
      <c r="DCW9" s="49">
        <v>0</v>
      </c>
      <c r="DCX9" s="64">
        <f t="shared" si="818"/>
        <v>1385</v>
      </c>
      <c r="DCY9" s="68">
        <f t="shared" si="819"/>
        <v>230.83333333333334</v>
      </c>
      <c r="DCZ9" s="48">
        <v>0</v>
      </c>
      <c r="DDA9" s="49">
        <v>0</v>
      </c>
      <c r="DDB9" s="49">
        <v>0</v>
      </c>
      <c r="DDC9" s="49">
        <v>0</v>
      </c>
      <c r="DDD9" s="49"/>
      <c r="DDE9" s="49">
        <v>0</v>
      </c>
      <c r="DDF9" s="64">
        <f t="shared" si="820"/>
        <v>0</v>
      </c>
      <c r="DDG9" s="68">
        <f t="shared" si="821"/>
        <v>0</v>
      </c>
      <c r="DDH9" s="48">
        <v>0</v>
      </c>
      <c r="DDI9" s="49">
        <v>0</v>
      </c>
      <c r="DDJ9" s="49">
        <v>0</v>
      </c>
      <c r="DDK9" s="49">
        <v>222</v>
      </c>
      <c r="DDL9" s="49">
        <v>0</v>
      </c>
      <c r="DDM9" s="49">
        <v>642</v>
      </c>
      <c r="DDN9" s="127">
        <f t="shared" si="822"/>
        <v>864</v>
      </c>
      <c r="DDO9" s="43">
        <f t="shared" si="823"/>
        <v>144</v>
      </c>
      <c r="DDP9" s="48">
        <v>0</v>
      </c>
      <c r="DDQ9" s="49">
        <v>650</v>
      </c>
      <c r="DDR9" s="49">
        <v>654</v>
      </c>
      <c r="DDS9" s="49"/>
      <c r="DDT9" s="49">
        <v>0</v>
      </c>
      <c r="DDU9" s="49">
        <v>0</v>
      </c>
      <c r="DDV9" s="127">
        <f t="shared" si="824"/>
        <v>1304</v>
      </c>
      <c r="DDW9" s="43">
        <f t="shared" si="825"/>
        <v>217.33333333333334</v>
      </c>
      <c r="DDX9" s="48">
        <v>0</v>
      </c>
      <c r="DDY9" s="49">
        <v>0</v>
      </c>
      <c r="DDZ9" s="49">
        <v>330</v>
      </c>
      <c r="DEA9" s="49">
        <v>713</v>
      </c>
      <c r="DEB9" s="49">
        <v>679</v>
      </c>
      <c r="DEC9" s="49">
        <v>0</v>
      </c>
      <c r="DED9" s="127">
        <f t="shared" si="826"/>
        <v>1722</v>
      </c>
      <c r="DEE9" s="43">
        <f t="shared" si="827"/>
        <v>287</v>
      </c>
      <c r="DEF9" s="48">
        <v>0</v>
      </c>
      <c r="DEG9" s="49">
        <v>0</v>
      </c>
      <c r="DEH9" s="49"/>
      <c r="DEI9" s="49">
        <v>0</v>
      </c>
      <c r="DEJ9" s="49">
        <v>0</v>
      </c>
      <c r="DEK9" s="49">
        <v>0</v>
      </c>
      <c r="DEL9" s="127">
        <f t="shared" si="828"/>
        <v>0</v>
      </c>
      <c r="DEM9" s="43">
        <f t="shared" si="829"/>
        <v>0</v>
      </c>
      <c r="DEN9" s="48">
        <v>300</v>
      </c>
      <c r="DEO9" s="49">
        <v>200</v>
      </c>
      <c r="DEP9" s="49">
        <v>420</v>
      </c>
      <c r="DEQ9" s="49">
        <v>220</v>
      </c>
      <c r="DER9" s="49"/>
      <c r="DES9" s="49">
        <v>0</v>
      </c>
      <c r="DET9" s="127">
        <f t="shared" si="830"/>
        <v>1140</v>
      </c>
      <c r="DEU9" s="43">
        <f t="shared" si="831"/>
        <v>190</v>
      </c>
      <c r="DEV9" s="48">
        <v>0</v>
      </c>
      <c r="DEW9" s="49"/>
      <c r="DEX9" s="49">
        <v>0</v>
      </c>
      <c r="DEY9" s="49">
        <v>200</v>
      </c>
      <c r="DEZ9" s="49">
        <v>0</v>
      </c>
      <c r="DFA9" s="49">
        <v>0</v>
      </c>
      <c r="DFB9" s="127">
        <f t="shared" si="832"/>
        <v>200</v>
      </c>
      <c r="DFC9" s="43">
        <f t="shared" si="833"/>
        <v>33.333333333333336</v>
      </c>
      <c r="DFD9" s="48">
        <v>0</v>
      </c>
      <c r="DFE9" s="49">
        <v>0</v>
      </c>
      <c r="DFF9" s="49">
        <v>800</v>
      </c>
      <c r="DFG9" s="49">
        <v>200</v>
      </c>
      <c r="DFH9" s="49">
        <v>318</v>
      </c>
      <c r="DFI9" s="49"/>
      <c r="DFJ9" s="127">
        <f t="shared" si="834"/>
        <v>1318</v>
      </c>
      <c r="DFK9" s="43">
        <f t="shared" si="835"/>
        <v>219.66666666666666</v>
      </c>
      <c r="DFL9" s="63"/>
      <c r="DFM9" s="64">
        <v>0</v>
      </c>
      <c r="DFN9" s="64">
        <v>0</v>
      </c>
      <c r="DFO9" s="64">
        <v>0</v>
      </c>
      <c r="DFP9" s="64">
        <v>0</v>
      </c>
      <c r="DFQ9" s="64">
        <v>0</v>
      </c>
      <c r="DFR9" s="64">
        <f t="shared" si="836"/>
        <v>0</v>
      </c>
      <c r="DFS9" s="68">
        <f t="shared" si="837"/>
        <v>0</v>
      </c>
      <c r="DFT9" s="48">
        <v>0</v>
      </c>
      <c r="DFU9" s="49">
        <v>0</v>
      </c>
      <c r="DFV9" s="49">
        <v>294</v>
      </c>
      <c r="DFW9" s="49">
        <v>0</v>
      </c>
      <c r="DFX9" s="49"/>
      <c r="DFY9" s="49">
        <v>0</v>
      </c>
      <c r="DFZ9" s="127">
        <f t="shared" si="838"/>
        <v>294</v>
      </c>
      <c r="DGA9" s="43">
        <f t="shared" si="839"/>
        <v>49</v>
      </c>
      <c r="DGB9" s="48">
        <v>0</v>
      </c>
      <c r="DGC9" s="49">
        <v>0</v>
      </c>
      <c r="DGD9" s="49">
        <v>0</v>
      </c>
      <c r="DGE9" s="49"/>
      <c r="DGF9" s="49">
        <v>0</v>
      </c>
      <c r="DGG9" s="49">
        <v>660</v>
      </c>
      <c r="DGH9" s="127">
        <f t="shared" si="840"/>
        <v>660</v>
      </c>
      <c r="DGI9" s="43">
        <f t="shared" si="841"/>
        <v>110</v>
      </c>
      <c r="DGJ9" s="48">
        <v>0</v>
      </c>
      <c r="DGK9" s="49">
        <v>0</v>
      </c>
      <c r="DGL9" s="49">
        <v>0</v>
      </c>
      <c r="DGM9" s="49">
        <v>0</v>
      </c>
      <c r="DGN9" s="49">
        <v>0</v>
      </c>
      <c r="DGO9" s="49"/>
      <c r="DGP9" s="64">
        <f t="shared" si="842"/>
        <v>0</v>
      </c>
      <c r="DGQ9" s="68">
        <f t="shared" si="843"/>
        <v>0</v>
      </c>
      <c r="DGR9" s="48">
        <v>0</v>
      </c>
      <c r="DGS9" s="49">
        <v>503</v>
      </c>
      <c r="DGT9" s="49">
        <v>326</v>
      </c>
      <c r="DGU9" s="49">
        <v>0</v>
      </c>
      <c r="DGV9" s="49">
        <v>0</v>
      </c>
      <c r="DGW9" s="49"/>
      <c r="DGX9" s="64">
        <f t="shared" si="844"/>
        <v>829</v>
      </c>
      <c r="DGY9" s="68">
        <f t="shared" si="845"/>
        <v>138.16666666666666</v>
      </c>
      <c r="DGZ9" s="48">
        <v>0</v>
      </c>
      <c r="DHA9" s="49">
        <v>0</v>
      </c>
      <c r="DHB9" s="49">
        <v>0</v>
      </c>
      <c r="DHC9" s="49">
        <v>100</v>
      </c>
      <c r="DHD9" s="49">
        <v>230</v>
      </c>
      <c r="DHE9" s="49">
        <v>0</v>
      </c>
      <c r="DHF9" s="64">
        <f t="shared" si="846"/>
        <v>330</v>
      </c>
      <c r="DHG9" s="68">
        <f t="shared" si="847"/>
        <v>55</v>
      </c>
      <c r="DHH9" s="63"/>
      <c r="DHI9" s="64">
        <v>0</v>
      </c>
      <c r="DHJ9" s="64">
        <v>330</v>
      </c>
      <c r="DHK9" s="64">
        <v>0</v>
      </c>
      <c r="DHL9" s="64">
        <v>0</v>
      </c>
      <c r="DHM9" s="64">
        <v>0</v>
      </c>
      <c r="DHN9" s="64">
        <f t="shared" si="848"/>
        <v>330</v>
      </c>
      <c r="DHO9" s="68">
        <f t="shared" si="849"/>
        <v>55</v>
      </c>
      <c r="DHP9" s="48">
        <v>200</v>
      </c>
      <c r="DHQ9" s="49">
        <v>0</v>
      </c>
      <c r="DHR9" s="49">
        <v>0</v>
      </c>
      <c r="DHS9" s="49">
        <v>0</v>
      </c>
      <c r="DHT9" s="49">
        <v>0</v>
      </c>
      <c r="DHU9" s="49">
        <v>0</v>
      </c>
      <c r="DHV9" s="64">
        <f t="shared" si="850"/>
        <v>200</v>
      </c>
      <c r="DHW9" s="68">
        <f t="shared" si="851"/>
        <v>33.333333333333336</v>
      </c>
      <c r="DHX9" s="48">
        <v>0</v>
      </c>
      <c r="DHY9" s="49"/>
      <c r="DHZ9" s="49">
        <v>0</v>
      </c>
      <c r="DIA9" s="49">
        <v>200</v>
      </c>
      <c r="DIB9" s="49">
        <v>0</v>
      </c>
      <c r="DIC9" s="49">
        <v>0</v>
      </c>
      <c r="DID9" s="64">
        <f t="shared" si="852"/>
        <v>200</v>
      </c>
      <c r="DIE9" s="68">
        <f t="shared" si="853"/>
        <v>33.333333333333336</v>
      </c>
      <c r="DIF9" s="48"/>
      <c r="DIG9" s="49">
        <v>210</v>
      </c>
      <c r="DIH9" s="49">
        <v>251</v>
      </c>
      <c r="DII9" s="49">
        <v>0</v>
      </c>
      <c r="DIJ9" s="49">
        <v>320</v>
      </c>
      <c r="DIK9" s="49"/>
      <c r="DIL9" s="64">
        <f t="shared" si="854"/>
        <v>781</v>
      </c>
      <c r="DIM9" s="68">
        <f t="shared" si="855"/>
        <v>130.16666666666666</v>
      </c>
      <c r="DIN9" s="48">
        <v>0</v>
      </c>
      <c r="DIO9" s="49"/>
      <c r="DIP9" s="49">
        <v>640</v>
      </c>
      <c r="DIQ9" s="49">
        <v>0</v>
      </c>
      <c r="DIR9" s="49">
        <v>0</v>
      </c>
      <c r="DIS9" s="49">
        <v>0</v>
      </c>
      <c r="DIT9" s="64">
        <f t="shared" si="856"/>
        <v>640</v>
      </c>
      <c r="DIU9" s="68">
        <f t="shared" si="857"/>
        <v>106.66666666666667</v>
      </c>
      <c r="DIV9" s="48">
        <f>SUMIF(SUMPK!$B:$B,$B:$B,SUMPK!$O:$O)</f>
        <v>0</v>
      </c>
      <c r="DIW9" s="49">
        <v>0</v>
      </c>
      <c r="DIX9" s="49">
        <v>0</v>
      </c>
      <c r="DIY9" s="49">
        <v>801</v>
      </c>
      <c r="DIZ9" s="49">
        <v>0</v>
      </c>
      <c r="DJA9" s="49">
        <v>0</v>
      </c>
      <c r="DJB9" s="64">
        <f t="shared" si="858"/>
        <v>801</v>
      </c>
      <c r="DJC9" s="68">
        <f t="shared" si="859"/>
        <v>133.5</v>
      </c>
      <c r="DJD9" s="48">
        <v>0</v>
      </c>
      <c r="DJE9" s="49">
        <v>110</v>
      </c>
      <c r="DJF9" s="49">
        <v>0</v>
      </c>
      <c r="DJG9" s="49">
        <v>0</v>
      </c>
      <c r="DJH9" s="49">
        <v>0</v>
      </c>
      <c r="DJI9" s="49"/>
      <c r="DJJ9" s="64">
        <f t="shared" si="860"/>
        <v>110</v>
      </c>
      <c r="DJK9" s="68">
        <f t="shared" si="861"/>
        <v>18.333333333333332</v>
      </c>
      <c r="DJL9" s="48">
        <v>0</v>
      </c>
      <c r="DJM9" s="49">
        <v>0</v>
      </c>
      <c r="DJN9" s="49">
        <v>0</v>
      </c>
      <c r="DJO9" s="49">
        <v>480</v>
      </c>
      <c r="DJP9" s="49">
        <v>0</v>
      </c>
      <c r="DJQ9" s="49">
        <v>0</v>
      </c>
      <c r="DJR9" s="64">
        <f t="shared" si="862"/>
        <v>480</v>
      </c>
      <c r="DJS9" s="68">
        <f t="shared" si="863"/>
        <v>80</v>
      </c>
      <c r="DJT9" s="48"/>
      <c r="DJU9" s="49">
        <v>330</v>
      </c>
      <c r="DJV9" s="49">
        <v>0</v>
      </c>
      <c r="DJW9" s="49">
        <v>0</v>
      </c>
      <c r="DJX9" s="49">
        <v>0</v>
      </c>
      <c r="DJY9" s="49">
        <v>0</v>
      </c>
      <c r="DJZ9" s="64">
        <f t="shared" si="864"/>
        <v>330</v>
      </c>
      <c r="DKA9" s="68">
        <f t="shared" si="865"/>
        <v>55</v>
      </c>
      <c r="DKB9" s="48">
        <v>0</v>
      </c>
      <c r="DKC9" s="49">
        <v>0</v>
      </c>
      <c r="DKD9" s="49">
        <v>0</v>
      </c>
      <c r="DKE9" s="49">
        <v>0</v>
      </c>
      <c r="DKF9" s="49">
        <v>220</v>
      </c>
      <c r="DKG9" s="49">
        <v>0</v>
      </c>
      <c r="DKH9" s="64">
        <f t="shared" si="866"/>
        <v>220</v>
      </c>
      <c r="DKI9" s="68">
        <f t="shared" si="867"/>
        <v>36.666666666666664</v>
      </c>
      <c r="DKJ9" s="48"/>
      <c r="DKK9" s="49">
        <v>0</v>
      </c>
      <c r="DKL9" s="49">
        <v>0</v>
      </c>
      <c r="DKM9" s="49">
        <v>0</v>
      </c>
      <c r="DKN9" s="49">
        <v>0</v>
      </c>
      <c r="DKO9" s="49">
        <v>0</v>
      </c>
      <c r="DKP9" s="64">
        <f t="shared" si="868"/>
        <v>0</v>
      </c>
      <c r="DKQ9" s="68">
        <f t="shared" si="869"/>
        <v>0</v>
      </c>
      <c r="DKR9" s="48">
        <v>0</v>
      </c>
      <c r="DKS9" s="49">
        <v>0</v>
      </c>
      <c r="DKT9" s="49">
        <v>0</v>
      </c>
      <c r="DKU9" s="49">
        <v>0</v>
      </c>
      <c r="DKV9" s="49">
        <v>550</v>
      </c>
      <c r="DKW9" s="49">
        <v>429</v>
      </c>
      <c r="DKX9" s="64">
        <f t="shared" si="870"/>
        <v>979</v>
      </c>
      <c r="DKY9" s="68">
        <f t="shared" si="871"/>
        <v>163.16666666666666</v>
      </c>
      <c r="DKZ9" s="48">
        <v>0</v>
      </c>
      <c r="DLA9" s="49">
        <v>0</v>
      </c>
      <c r="DLB9" s="49">
        <v>0</v>
      </c>
      <c r="DLC9" s="49">
        <v>0</v>
      </c>
      <c r="DLD9" s="49">
        <v>0</v>
      </c>
      <c r="DLE9" s="49">
        <v>0</v>
      </c>
      <c r="DLF9" s="64">
        <f t="shared" si="872"/>
        <v>0</v>
      </c>
      <c r="DLG9" s="68">
        <f t="shared" si="873"/>
        <v>0</v>
      </c>
      <c r="DLH9" s="48"/>
      <c r="DLI9" s="49">
        <v>660</v>
      </c>
      <c r="DLJ9" s="49">
        <v>0</v>
      </c>
      <c r="DLK9" s="49">
        <f>SUMIF(SUMPK!$B:$B,$B:$B,SUMPK!$O:$O)</f>
        <v>0</v>
      </c>
      <c r="DLL9" s="49"/>
      <c r="DLM9" s="49">
        <v>0</v>
      </c>
      <c r="DLN9" s="64">
        <f t="shared" si="874"/>
        <v>660</v>
      </c>
      <c r="DLO9" s="68">
        <f t="shared" si="875"/>
        <v>110</v>
      </c>
      <c r="DLP9" s="48">
        <v>802</v>
      </c>
      <c r="DLR9" s="49">
        <v>0</v>
      </c>
      <c r="DLS9" s="49">
        <v>0</v>
      </c>
      <c r="DLT9" s="49">
        <v>0</v>
      </c>
      <c r="DLU9" s="49">
        <v>0</v>
      </c>
      <c r="DLV9" s="64">
        <f t="shared" si="876"/>
        <v>802</v>
      </c>
      <c r="DLW9" s="68">
        <f t="shared" si="877"/>
        <v>133.66666666666666</v>
      </c>
      <c r="DLX9" s="48">
        <v>0</v>
      </c>
      <c r="DLY9" s="49">
        <v>307</v>
      </c>
      <c r="DLZ9" s="49">
        <v>641</v>
      </c>
      <c r="DMA9" s="49">
        <v>0</v>
      </c>
      <c r="DMB9" s="49">
        <v>200</v>
      </c>
      <c r="DMC9" s="49"/>
      <c r="DMD9" s="64">
        <f t="shared" si="878"/>
        <v>1148</v>
      </c>
      <c r="DME9" s="68">
        <f t="shared" si="879"/>
        <v>191.33333333333334</v>
      </c>
      <c r="DMF9" s="48"/>
      <c r="DMG9" s="49">
        <v>0</v>
      </c>
      <c r="DMH9" s="49"/>
      <c r="DMI9" s="49">
        <v>0</v>
      </c>
      <c r="DMJ9" s="49">
        <v>0</v>
      </c>
      <c r="DMK9" s="49">
        <v>320</v>
      </c>
      <c r="DML9" s="64">
        <f t="shared" si="880"/>
        <v>320</v>
      </c>
      <c r="DMM9" s="68">
        <f t="shared" si="881"/>
        <v>53.333333333333336</v>
      </c>
      <c r="DMN9" s="48">
        <v>316</v>
      </c>
      <c r="DMO9" s="49">
        <v>0</v>
      </c>
      <c r="DMP9" s="49">
        <v>0</v>
      </c>
      <c r="DMQ9" s="49">
        <v>0</v>
      </c>
      <c r="DMR9" s="49">
        <v>0</v>
      </c>
      <c r="DMS9" s="49">
        <v>0</v>
      </c>
      <c r="DMT9" s="64">
        <f t="shared" si="882"/>
        <v>316</v>
      </c>
      <c r="DMU9" s="68">
        <f t="shared" si="883"/>
        <v>52.666666666666664</v>
      </c>
      <c r="DMV9" s="48">
        <v>0</v>
      </c>
      <c r="DMW9" s="49">
        <v>0</v>
      </c>
      <c r="DMX9" s="49">
        <v>310</v>
      </c>
      <c r="DMY9" s="49">
        <v>0</v>
      </c>
      <c r="DMZ9" s="49">
        <v>0</v>
      </c>
      <c r="DNA9" s="49">
        <v>442</v>
      </c>
      <c r="DNB9" s="64">
        <f t="shared" si="884"/>
        <v>752</v>
      </c>
      <c r="DNC9" s="68">
        <f t="shared" si="885"/>
        <v>125.33333333333333</v>
      </c>
      <c r="DND9" s="48"/>
      <c r="DNE9" s="49">
        <v>0</v>
      </c>
      <c r="DNF9" s="49"/>
      <c r="DNG9" s="49"/>
      <c r="DNH9" s="49">
        <v>0</v>
      </c>
      <c r="DNI9" s="49">
        <v>424</v>
      </c>
      <c r="DNJ9" s="64">
        <f t="shared" si="886"/>
        <v>424</v>
      </c>
      <c r="DNK9" s="68">
        <f t="shared" si="887"/>
        <v>70.666666666666671</v>
      </c>
      <c r="DNL9" s="48"/>
      <c r="DNM9" s="49"/>
      <c r="DNN9" s="49">
        <v>0</v>
      </c>
      <c r="DNO9" s="49">
        <v>0</v>
      </c>
      <c r="DNP9" s="49">
        <v>0</v>
      </c>
      <c r="DNQ9" s="49">
        <v>0</v>
      </c>
      <c r="DNR9" s="64">
        <f t="shared" si="888"/>
        <v>0</v>
      </c>
      <c r="DNS9" s="68">
        <f t="shared" si="889"/>
        <v>0</v>
      </c>
      <c r="DNT9" s="48"/>
      <c r="DNU9" s="49">
        <v>0</v>
      </c>
      <c r="DNV9" s="49">
        <v>0</v>
      </c>
      <c r="DNW9" s="49"/>
      <c r="DNX9" s="49">
        <v>0</v>
      </c>
      <c r="DNY9" s="49">
        <v>0</v>
      </c>
      <c r="DNZ9" s="64">
        <f t="shared" si="890"/>
        <v>0</v>
      </c>
      <c r="DOA9" s="68">
        <f t="shared" si="891"/>
        <v>0</v>
      </c>
      <c r="DOB9" s="48">
        <v>0</v>
      </c>
      <c r="DOC9" s="49"/>
      <c r="DOD9" s="49"/>
      <c r="DOE9" s="49">
        <v>0</v>
      </c>
      <c r="DOF9" s="49">
        <v>0</v>
      </c>
      <c r="DOG9" s="49">
        <v>0</v>
      </c>
      <c r="DOH9" s="64">
        <f t="shared" si="892"/>
        <v>0</v>
      </c>
      <c r="DOI9" s="68">
        <f t="shared" si="893"/>
        <v>0</v>
      </c>
      <c r="DOJ9" s="48">
        <v>0</v>
      </c>
      <c r="DOK9" s="49">
        <v>0</v>
      </c>
      <c r="DOL9" s="49"/>
      <c r="DOM9" s="49">
        <v>100</v>
      </c>
      <c r="DON9" s="49">
        <v>220</v>
      </c>
      <c r="DOO9" s="49">
        <v>0</v>
      </c>
      <c r="DOP9" s="64">
        <f t="shared" si="894"/>
        <v>320</v>
      </c>
      <c r="DOQ9" s="68">
        <f t="shared" si="895"/>
        <v>53.333333333333336</v>
      </c>
      <c r="DOR9" s="48">
        <v>0</v>
      </c>
      <c r="DOS9" s="49">
        <v>0</v>
      </c>
      <c r="DOT9" s="49"/>
      <c r="DOU9" s="49">
        <v>0</v>
      </c>
      <c r="DOV9" s="49"/>
      <c r="DOW9" s="49">
        <v>0</v>
      </c>
      <c r="DOX9" s="64">
        <f t="shared" si="896"/>
        <v>0</v>
      </c>
      <c r="DOY9" s="68">
        <f t="shared" si="897"/>
        <v>0</v>
      </c>
      <c r="DOZ9" s="48"/>
      <c r="DPA9" s="49">
        <v>220</v>
      </c>
      <c r="DPB9" s="49">
        <v>0</v>
      </c>
      <c r="DPC9" s="49">
        <v>0</v>
      </c>
      <c r="DPD9" s="49">
        <v>0</v>
      </c>
      <c r="DPE9" s="49">
        <v>0</v>
      </c>
      <c r="DPF9" s="64">
        <f t="shared" si="898"/>
        <v>220</v>
      </c>
      <c r="DPG9" s="68">
        <f t="shared" si="899"/>
        <v>36.666666666666664</v>
      </c>
      <c r="DPH9" s="48">
        <v>0</v>
      </c>
      <c r="DPI9" s="49">
        <v>0</v>
      </c>
      <c r="DPJ9" s="49">
        <v>0</v>
      </c>
      <c r="DPK9" s="49">
        <v>0</v>
      </c>
      <c r="DPL9" s="49">
        <v>0</v>
      </c>
      <c r="DPM9" s="49">
        <v>240</v>
      </c>
      <c r="DPN9" s="64">
        <f t="shared" si="900"/>
        <v>240</v>
      </c>
      <c r="DPO9" s="68">
        <f t="shared" si="901"/>
        <v>40</v>
      </c>
      <c r="DPP9" s="48">
        <v>0</v>
      </c>
      <c r="DPQ9" s="49">
        <v>0</v>
      </c>
      <c r="DPR9" s="49">
        <v>0</v>
      </c>
      <c r="DPS9" s="49">
        <v>0</v>
      </c>
      <c r="DPT9" s="49">
        <v>0</v>
      </c>
      <c r="DPU9" s="49">
        <v>220</v>
      </c>
      <c r="DPV9" s="491">
        <f t="shared" si="902"/>
        <v>220</v>
      </c>
      <c r="DPW9" s="492">
        <f t="shared" si="903"/>
        <v>36.666666666666664</v>
      </c>
      <c r="DPX9" s="48">
        <v>0</v>
      </c>
      <c r="DPY9" s="49">
        <v>0</v>
      </c>
      <c r="DPZ9" s="49">
        <v>0</v>
      </c>
      <c r="DQA9" s="49">
        <v>0</v>
      </c>
      <c r="DQB9" s="49">
        <v>0</v>
      </c>
      <c r="DQC9" s="49"/>
      <c r="DQD9" s="491">
        <f t="shared" si="904"/>
        <v>0</v>
      </c>
      <c r="DQE9" s="492">
        <f t="shared" si="905"/>
        <v>0</v>
      </c>
      <c r="DQF9" s="48">
        <v>220</v>
      </c>
      <c r="DQG9" s="49">
        <v>0</v>
      </c>
      <c r="DQH9" s="49">
        <v>0</v>
      </c>
      <c r="DQI9" s="49"/>
      <c r="DQJ9" s="49">
        <v>0</v>
      </c>
      <c r="DQK9" s="49">
        <v>0</v>
      </c>
      <c r="DQL9" s="489">
        <f t="shared" si="906"/>
        <v>220</v>
      </c>
      <c r="DQM9" s="492">
        <f t="shared" si="907"/>
        <v>36.666666666666664</v>
      </c>
      <c r="DQN9" s="48">
        <v>0</v>
      </c>
      <c r="DQO9" s="49">
        <v>0</v>
      </c>
      <c r="DQP9" s="49">
        <v>100</v>
      </c>
      <c r="DQQ9" s="49">
        <v>231</v>
      </c>
      <c r="DQR9" s="49">
        <v>0</v>
      </c>
      <c r="DQS9" s="49">
        <v>0</v>
      </c>
      <c r="DQT9" s="64">
        <f t="shared" si="908"/>
        <v>331</v>
      </c>
      <c r="DQU9" s="68">
        <f t="shared" si="909"/>
        <v>55.166666666666664</v>
      </c>
      <c r="DQV9" s="48">
        <v>0</v>
      </c>
      <c r="DQW9" s="49">
        <v>0</v>
      </c>
      <c r="DQX9" s="49">
        <v>0</v>
      </c>
      <c r="DQY9" s="49">
        <v>200</v>
      </c>
      <c r="DQZ9" s="49">
        <v>100</v>
      </c>
      <c r="DRA9" s="49">
        <v>0</v>
      </c>
      <c r="DRB9" s="491">
        <f t="shared" si="910"/>
        <v>300</v>
      </c>
      <c r="DRC9" s="492">
        <f t="shared" si="911"/>
        <v>50</v>
      </c>
      <c r="DRD9" s="48">
        <v>0</v>
      </c>
      <c r="DRE9" s="49">
        <v>115</v>
      </c>
      <c r="DRF9" s="49">
        <v>172</v>
      </c>
      <c r="DRG9" s="49">
        <v>0</v>
      </c>
      <c r="DRH9" s="49">
        <v>0</v>
      </c>
      <c r="DRI9" s="49"/>
      <c r="DRJ9" s="491">
        <f t="shared" si="912"/>
        <v>287</v>
      </c>
      <c r="DRK9" s="492">
        <f t="shared" si="913"/>
        <v>47.833333333333336</v>
      </c>
      <c r="DRL9" s="48"/>
      <c r="DRM9" s="49">
        <v>0</v>
      </c>
      <c r="DRN9" s="49"/>
      <c r="DRO9" s="49">
        <v>0</v>
      </c>
      <c r="DRP9" s="49">
        <v>0</v>
      </c>
      <c r="DRQ9" s="49">
        <v>0</v>
      </c>
      <c r="DRR9" s="64">
        <f t="shared" si="914"/>
        <v>0</v>
      </c>
      <c r="DRS9" s="68">
        <f t="shared" si="915"/>
        <v>0</v>
      </c>
      <c r="DRT9" s="48">
        <v>0</v>
      </c>
      <c r="DRU9" s="49">
        <v>0</v>
      </c>
      <c r="DRV9" s="49">
        <v>0</v>
      </c>
      <c r="DRW9" s="49">
        <v>0</v>
      </c>
      <c r="DRX9" s="49">
        <v>0</v>
      </c>
      <c r="DRY9" s="49"/>
      <c r="DRZ9" s="491">
        <f t="shared" si="916"/>
        <v>0</v>
      </c>
      <c r="DSA9" s="68">
        <f t="shared" si="917"/>
        <v>0</v>
      </c>
      <c r="DSB9" s="82">
        <v>0</v>
      </c>
      <c r="DSC9" s="83">
        <v>218</v>
      </c>
      <c r="DSD9" s="83">
        <v>0</v>
      </c>
      <c r="DSE9" s="83"/>
      <c r="DSF9" s="83"/>
      <c r="DSG9" s="83">
        <v>0</v>
      </c>
      <c r="DSH9" s="64">
        <f t="shared" si="918"/>
        <v>218</v>
      </c>
      <c r="DSI9" s="68">
        <f t="shared" si="919"/>
        <v>36.333333333333336</v>
      </c>
      <c r="DSJ9" s="48">
        <v>0</v>
      </c>
      <c r="DSK9" s="49">
        <v>0</v>
      </c>
      <c r="DSL9" s="49">
        <v>0</v>
      </c>
      <c r="DSM9" s="49">
        <v>0</v>
      </c>
      <c r="DSN9" s="49">
        <v>0</v>
      </c>
      <c r="DSO9" s="49">
        <v>0</v>
      </c>
      <c r="DSP9" s="64">
        <f t="shared" si="920"/>
        <v>0</v>
      </c>
      <c r="DSQ9" s="68">
        <f t="shared" si="921"/>
        <v>0</v>
      </c>
      <c r="DSR9" s="48">
        <v>0</v>
      </c>
      <c r="DSS9" s="49">
        <v>0</v>
      </c>
      <c r="DST9" s="49">
        <v>0</v>
      </c>
      <c r="DSU9" s="49">
        <v>0</v>
      </c>
      <c r="DSV9" s="49">
        <v>0</v>
      </c>
      <c r="DSW9" s="49">
        <v>0</v>
      </c>
      <c r="DSX9" s="64">
        <f t="shared" si="922"/>
        <v>0</v>
      </c>
      <c r="DSY9" s="68">
        <f t="shared" si="923"/>
        <v>0</v>
      </c>
      <c r="DSZ9" s="48">
        <v>0</v>
      </c>
      <c r="DTA9" s="49"/>
      <c r="DTB9" s="49">
        <v>0</v>
      </c>
      <c r="DTC9" s="49">
        <v>0</v>
      </c>
      <c r="DTD9" s="49">
        <v>0</v>
      </c>
      <c r="DTE9" s="49">
        <v>0</v>
      </c>
      <c r="DTF9" s="64">
        <f t="shared" si="924"/>
        <v>0</v>
      </c>
      <c r="DTG9" s="68">
        <f t="shared" si="925"/>
        <v>0</v>
      </c>
      <c r="DTH9" s="48"/>
      <c r="DTI9" s="49">
        <v>0</v>
      </c>
      <c r="DTJ9" s="49">
        <v>0</v>
      </c>
      <c r="DTK9" s="49">
        <v>0</v>
      </c>
      <c r="DTL9" s="49">
        <v>0</v>
      </c>
      <c r="DTM9" s="49">
        <v>0</v>
      </c>
      <c r="DTN9" s="64">
        <f t="shared" si="926"/>
        <v>0</v>
      </c>
      <c r="DTO9" s="68">
        <f t="shared" si="927"/>
        <v>0</v>
      </c>
      <c r="DTP9" s="48">
        <v>0</v>
      </c>
      <c r="DTQ9" s="49">
        <v>320</v>
      </c>
      <c r="DTR9" s="49"/>
      <c r="DTS9" s="49">
        <v>0</v>
      </c>
      <c r="DTT9" s="49">
        <v>0</v>
      </c>
      <c r="DTU9" s="49">
        <v>0</v>
      </c>
      <c r="DTV9" s="64">
        <f t="shared" si="928"/>
        <v>320</v>
      </c>
      <c r="DTW9" s="68">
        <f t="shared" si="929"/>
        <v>53.333333333333336</v>
      </c>
      <c r="DTX9" s="48">
        <v>0</v>
      </c>
      <c r="DTY9" s="49">
        <v>0</v>
      </c>
      <c r="DTZ9" s="49"/>
      <c r="DUA9" s="49">
        <v>0</v>
      </c>
      <c r="DUB9" s="49">
        <v>0</v>
      </c>
      <c r="DUC9" s="49">
        <v>0</v>
      </c>
      <c r="DUD9" s="64">
        <f t="shared" si="930"/>
        <v>0</v>
      </c>
      <c r="DUE9" s="68">
        <f t="shared" si="931"/>
        <v>0</v>
      </c>
      <c r="DUF9" s="48">
        <v>400</v>
      </c>
      <c r="DUG9" s="49">
        <v>0</v>
      </c>
      <c r="DUH9" s="49"/>
      <c r="DUI9" s="49">
        <v>0</v>
      </c>
      <c r="DUJ9" s="49">
        <v>0</v>
      </c>
      <c r="DUK9" s="49">
        <v>100</v>
      </c>
      <c r="DUL9" s="64">
        <f t="shared" si="932"/>
        <v>500</v>
      </c>
      <c r="DUM9" s="68">
        <f t="shared" si="933"/>
        <v>83.333333333333329</v>
      </c>
      <c r="DUN9" s="48"/>
      <c r="DUO9" s="49">
        <v>300</v>
      </c>
      <c r="DUP9" s="49">
        <v>0</v>
      </c>
      <c r="DUQ9" s="49">
        <v>0</v>
      </c>
      <c r="DUR9" s="49"/>
      <c r="DUS9" s="49">
        <v>18</v>
      </c>
      <c r="DUT9" s="64">
        <f t="shared" si="934"/>
        <v>318</v>
      </c>
      <c r="DUU9" s="184">
        <f t="shared" si="935"/>
        <v>53</v>
      </c>
      <c r="DUV9" s="48"/>
      <c r="DUW9" s="49">
        <v>0</v>
      </c>
      <c r="DUX9" s="49">
        <v>0</v>
      </c>
      <c r="DUY9" s="49">
        <v>0</v>
      </c>
      <c r="DUZ9" s="49">
        <v>0</v>
      </c>
      <c r="DVA9" s="49"/>
      <c r="DVB9" s="64">
        <f t="shared" si="936"/>
        <v>0</v>
      </c>
      <c r="DVC9" s="68">
        <f t="shared" si="937"/>
        <v>0</v>
      </c>
      <c r="DVD9" s="48"/>
      <c r="DVE9" s="49">
        <v>0</v>
      </c>
      <c r="DVF9" s="49">
        <v>0</v>
      </c>
      <c r="DVG9" s="49">
        <v>0</v>
      </c>
      <c r="DVH9" s="49">
        <v>0</v>
      </c>
      <c r="DVI9" s="49"/>
      <c r="DVJ9" s="64">
        <f t="shared" si="938"/>
        <v>0</v>
      </c>
      <c r="DVK9" s="68">
        <f t="shared" si="939"/>
        <v>0</v>
      </c>
      <c r="DVL9" s="48">
        <v>0</v>
      </c>
      <c r="DVM9" s="49">
        <v>0</v>
      </c>
      <c r="DVN9" s="49">
        <v>0</v>
      </c>
      <c r="DVO9" s="49">
        <v>0</v>
      </c>
      <c r="DVP9" s="49">
        <v>0</v>
      </c>
      <c r="DVQ9" s="49"/>
      <c r="DVR9" s="64">
        <f t="shared" si="940"/>
        <v>0</v>
      </c>
      <c r="DVS9" s="68">
        <f t="shared" si="941"/>
        <v>0</v>
      </c>
      <c r="DVT9" s="48"/>
      <c r="DVU9" s="49">
        <v>0</v>
      </c>
      <c r="DVV9" s="49">
        <v>0</v>
      </c>
      <c r="DVW9" s="49">
        <v>0</v>
      </c>
      <c r="DVX9" s="49"/>
      <c r="DVY9" s="49">
        <v>0</v>
      </c>
      <c r="DVZ9" s="64">
        <f t="shared" si="942"/>
        <v>0</v>
      </c>
      <c r="DWA9" s="68">
        <f t="shared" si="943"/>
        <v>0</v>
      </c>
      <c r="DWB9" s="48"/>
      <c r="DWC9" s="49">
        <v>0</v>
      </c>
      <c r="DWD9" s="49">
        <v>0</v>
      </c>
      <c r="DWE9" s="49">
        <v>0</v>
      </c>
      <c r="DWF9" s="49">
        <v>0</v>
      </c>
      <c r="DWG9" s="49">
        <v>0</v>
      </c>
      <c r="DWH9" s="64">
        <f t="shared" si="944"/>
        <v>0</v>
      </c>
      <c r="DWI9" s="68">
        <f t="shared" si="945"/>
        <v>0</v>
      </c>
      <c r="DWJ9" s="48">
        <v>0</v>
      </c>
      <c r="DWK9" s="49"/>
      <c r="DWL9" s="49">
        <v>0</v>
      </c>
      <c r="DWM9" s="49">
        <v>0</v>
      </c>
      <c r="DWN9" s="49">
        <v>0</v>
      </c>
      <c r="DWO9" s="49">
        <v>0</v>
      </c>
      <c r="DWP9" s="64">
        <f t="shared" si="946"/>
        <v>0</v>
      </c>
      <c r="DWQ9" s="68">
        <f t="shared" si="947"/>
        <v>0</v>
      </c>
      <c r="DWR9" s="48"/>
      <c r="DWS9" s="49"/>
      <c r="DWT9" s="49">
        <v>0</v>
      </c>
      <c r="DWU9" s="49">
        <v>0</v>
      </c>
      <c r="DWV9" s="49">
        <v>0</v>
      </c>
      <c r="DWW9" s="49">
        <v>0</v>
      </c>
      <c r="DWX9" s="64">
        <f t="shared" si="948"/>
        <v>0</v>
      </c>
      <c r="DWY9" s="68">
        <f>DWX9/$DWY$28</f>
        <v>0</v>
      </c>
      <c r="DWZ9" s="48">
        <v>0</v>
      </c>
      <c r="DXA9" s="49"/>
      <c r="DXB9" s="49">
        <v>0</v>
      </c>
      <c r="DXC9" s="49">
        <v>0</v>
      </c>
      <c r="DXD9" s="49">
        <v>0</v>
      </c>
      <c r="DXE9" s="49"/>
      <c r="DXF9" s="64">
        <f t="shared" si="949"/>
        <v>0</v>
      </c>
      <c r="DXG9" s="68">
        <f t="shared" si="950"/>
        <v>0</v>
      </c>
      <c r="DXH9" s="48">
        <v>300</v>
      </c>
      <c r="DXI9" s="49">
        <v>0</v>
      </c>
      <c r="DXJ9" s="49">
        <v>200</v>
      </c>
      <c r="DXK9" s="49">
        <v>0</v>
      </c>
      <c r="DXL9" s="49"/>
      <c r="DXM9" s="49">
        <v>320</v>
      </c>
      <c r="DXN9" s="64">
        <f t="shared" si="951"/>
        <v>820</v>
      </c>
      <c r="DXO9" s="68">
        <f t="shared" si="952"/>
        <v>136.66666666666666</v>
      </c>
      <c r="DXP9" s="48">
        <v>0</v>
      </c>
      <c r="DXQ9" s="49">
        <v>0</v>
      </c>
      <c r="DXR9" s="49">
        <v>200</v>
      </c>
      <c r="DXS9" s="49">
        <v>0</v>
      </c>
      <c r="DXT9" s="49"/>
      <c r="DXU9" s="49"/>
      <c r="DXV9" s="64">
        <f t="shared" si="953"/>
        <v>200</v>
      </c>
      <c r="DXW9" s="68">
        <f t="shared" si="954"/>
        <v>33.333333333333336</v>
      </c>
      <c r="DXX9" s="48">
        <v>0</v>
      </c>
      <c r="DXY9" s="49">
        <v>0</v>
      </c>
      <c r="DXZ9" s="49">
        <v>0</v>
      </c>
      <c r="DYA9" s="49">
        <v>0</v>
      </c>
      <c r="DYB9" s="49">
        <v>0</v>
      </c>
      <c r="DYC9" s="49">
        <v>0</v>
      </c>
      <c r="DYD9" s="64">
        <f t="shared" si="955"/>
        <v>0</v>
      </c>
      <c r="DYE9" s="68">
        <f t="shared" si="956"/>
        <v>0</v>
      </c>
      <c r="DYF9" s="48"/>
      <c r="DYG9" s="49">
        <v>0</v>
      </c>
      <c r="DYH9" s="49">
        <v>0</v>
      </c>
      <c r="DYI9" s="49">
        <v>0</v>
      </c>
      <c r="DYJ9" s="49">
        <v>0</v>
      </c>
      <c r="DYK9" s="49"/>
      <c r="DYL9" s="64">
        <f t="shared" si="957"/>
        <v>0</v>
      </c>
      <c r="DYM9" s="68">
        <f t="shared" si="958"/>
        <v>0</v>
      </c>
      <c r="DYN9" s="48">
        <v>0</v>
      </c>
      <c r="DYO9" s="49">
        <v>0</v>
      </c>
      <c r="DYP9" s="49">
        <v>0</v>
      </c>
      <c r="DYQ9" s="49">
        <v>0</v>
      </c>
      <c r="DYR9" s="49">
        <v>0</v>
      </c>
      <c r="DYS9" s="49">
        <v>0</v>
      </c>
      <c r="DYT9" s="64">
        <f t="shared" si="959"/>
        <v>0</v>
      </c>
      <c r="DYU9" s="68">
        <f t="shared" si="960"/>
        <v>0</v>
      </c>
      <c r="DYV9" s="48">
        <v>0</v>
      </c>
      <c r="DYW9" s="49">
        <v>0</v>
      </c>
      <c r="DYX9" s="49">
        <v>0</v>
      </c>
      <c r="DYY9" s="49">
        <v>0</v>
      </c>
      <c r="DYZ9" s="49">
        <v>0</v>
      </c>
      <c r="DZA9" s="49">
        <v>0</v>
      </c>
      <c r="DZB9" s="64">
        <f t="shared" si="961"/>
        <v>0</v>
      </c>
      <c r="DZC9" s="68">
        <f t="shared" si="962"/>
        <v>0</v>
      </c>
      <c r="DZD9" s="48">
        <v>0</v>
      </c>
      <c r="DZE9" s="49">
        <v>0</v>
      </c>
      <c r="DZF9" s="49">
        <v>0</v>
      </c>
      <c r="DZG9" s="49"/>
      <c r="DZH9" s="49">
        <f>SUMIF(SUMPK!$B:$B,$B:$B,SUMPK!$O:$O)</f>
        <v>0</v>
      </c>
      <c r="DZI9" s="49"/>
      <c r="DZJ9" s="64">
        <f t="shared" si="963"/>
        <v>0</v>
      </c>
      <c r="DZK9" s="68">
        <f t="shared" si="964"/>
        <v>0</v>
      </c>
      <c r="DZL9" s="48">
        <v>0</v>
      </c>
      <c r="DZM9" s="49">
        <v>0</v>
      </c>
      <c r="DZN9" s="49"/>
      <c r="DZO9" s="49">
        <v>0</v>
      </c>
      <c r="DZP9" s="49"/>
      <c r="DZQ9" s="49"/>
      <c r="DZR9" s="64">
        <f t="shared" si="965"/>
        <v>0</v>
      </c>
      <c r="DZS9" s="68">
        <f t="shared" si="966"/>
        <v>0</v>
      </c>
      <c r="DZT9" s="48">
        <v>0</v>
      </c>
      <c r="DZU9" s="49">
        <v>0</v>
      </c>
      <c r="DZV9" s="49">
        <v>0</v>
      </c>
      <c r="DZW9" s="49">
        <v>0</v>
      </c>
      <c r="DZX9" s="49">
        <v>0</v>
      </c>
      <c r="DZY9" s="49"/>
      <c r="DZZ9" s="64">
        <f t="shared" si="967"/>
        <v>0</v>
      </c>
      <c r="EAA9" s="68">
        <f t="shared" si="968"/>
        <v>0</v>
      </c>
      <c r="EAB9" s="48"/>
      <c r="EAC9" s="49">
        <v>0</v>
      </c>
      <c r="EAD9" s="49"/>
      <c r="EAE9" s="49"/>
      <c r="EAF9" s="49">
        <v>0</v>
      </c>
      <c r="EAG9" s="49">
        <v>0</v>
      </c>
      <c r="EAH9" s="64">
        <f t="shared" si="969"/>
        <v>0</v>
      </c>
      <c r="EAI9" s="68">
        <f t="shared" si="970"/>
        <v>0</v>
      </c>
      <c r="EAJ9" s="48"/>
      <c r="EAK9" s="49">
        <v>0</v>
      </c>
      <c r="EAL9" s="49">
        <v>0</v>
      </c>
      <c r="EAM9" s="49">
        <v>0</v>
      </c>
      <c r="EAN9" s="49">
        <v>0</v>
      </c>
      <c r="EAO9" s="49">
        <v>0</v>
      </c>
      <c r="EAP9" s="64">
        <f t="shared" si="971"/>
        <v>0</v>
      </c>
      <c r="EAQ9" s="68">
        <f>EAP9/$EAQ$28</f>
        <v>0</v>
      </c>
      <c r="EAR9" s="48">
        <v>0</v>
      </c>
      <c r="EAS9" s="49">
        <v>0</v>
      </c>
      <c r="EAT9" s="49">
        <v>0</v>
      </c>
      <c r="EAU9" s="49">
        <v>0</v>
      </c>
      <c r="EAV9" s="49">
        <v>0</v>
      </c>
      <c r="EAW9" s="49"/>
      <c r="EAX9" s="64">
        <f t="shared" si="972"/>
        <v>0</v>
      </c>
      <c r="EAY9" s="68">
        <f t="shared" si="973"/>
        <v>0</v>
      </c>
      <c r="EAZ9" s="48"/>
      <c r="EBA9" s="49">
        <v>0</v>
      </c>
      <c r="EBB9" s="49">
        <v>0</v>
      </c>
      <c r="EBC9" s="49"/>
      <c r="EBD9" s="49">
        <v>0</v>
      </c>
      <c r="EBE9" s="49">
        <v>0</v>
      </c>
      <c r="EBF9" s="64">
        <f t="shared" si="974"/>
        <v>0</v>
      </c>
      <c r="EBG9" s="68">
        <f t="shared" si="975"/>
        <v>0</v>
      </c>
      <c r="EBH9" s="48"/>
      <c r="EBI9" s="49">
        <v>0</v>
      </c>
      <c r="EBJ9" s="49">
        <v>0</v>
      </c>
      <c r="EBK9" s="49"/>
      <c r="EBL9" s="49">
        <v>0</v>
      </c>
      <c r="EBM9" s="49">
        <v>0</v>
      </c>
      <c r="EBN9" s="64">
        <f t="shared" si="976"/>
        <v>0</v>
      </c>
      <c r="EBO9" s="68">
        <f t="shared" ref="EBO9:EBO21" si="1131">EBN9/6</f>
        <v>0</v>
      </c>
      <c r="EBP9" s="48">
        <v>0</v>
      </c>
      <c r="EBQ9" s="49">
        <v>0</v>
      </c>
      <c r="EBR9" s="49"/>
      <c r="EBS9" s="49">
        <v>0</v>
      </c>
      <c r="EBT9" s="49">
        <v>0</v>
      </c>
      <c r="EBU9" s="49">
        <v>858</v>
      </c>
      <c r="EBV9" s="64">
        <f t="shared" si="977"/>
        <v>858</v>
      </c>
      <c r="EBW9" s="68">
        <f t="shared" si="978"/>
        <v>143</v>
      </c>
      <c r="EBX9" s="48">
        <v>342</v>
      </c>
      <c r="EBY9" s="49">
        <v>0</v>
      </c>
      <c r="EBZ9" s="49">
        <v>0</v>
      </c>
      <c r="ECA9" s="49">
        <v>0</v>
      </c>
      <c r="ECB9" s="49">
        <v>0</v>
      </c>
      <c r="ECC9" s="49">
        <v>0</v>
      </c>
      <c r="ECD9" s="64">
        <f t="shared" si="979"/>
        <v>342</v>
      </c>
      <c r="ECE9" s="68">
        <f t="shared" si="980"/>
        <v>57</v>
      </c>
      <c r="ECF9" s="48">
        <v>0</v>
      </c>
      <c r="ECG9" s="49">
        <v>0</v>
      </c>
      <c r="ECH9" s="49">
        <v>0</v>
      </c>
      <c r="ECI9" s="49"/>
      <c r="ECJ9" s="49">
        <v>0</v>
      </c>
      <c r="ECK9" s="49">
        <v>0</v>
      </c>
      <c r="ECL9" s="64">
        <f t="shared" si="981"/>
        <v>0</v>
      </c>
      <c r="ECM9" s="68">
        <f t="shared" si="982"/>
        <v>0</v>
      </c>
      <c r="ECN9" s="48">
        <v>799</v>
      </c>
      <c r="ECO9" s="49">
        <v>0</v>
      </c>
      <c r="ECP9" s="49">
        <v>0</v>
      </c>
      <c r="ECQ9" s="49"/>
      <c r="ECR9" s="49"/>
      <c r="ECS9" s="49">
        <v>100</v>
      </c>
      <c r="ECT9" s="64">
        <f t="shared" si="983"/>
        <v>899</v>
      </c>
      <c r="ECU9" s="68">
        <f t="shared" si="984"/>
        <v>149.83333333333334</v>
      </c>
      <c r="ECV9" s="48">
        <v>551</v>
      </c>
      <c r="ECW9" s="49">
        <v>0</v>
      </c>
      <c r="ECX9" s="49">
        <v>640</v>
      </c>
      <c r="ECY9" s="49">
        <v>220</v>
      </c>
      <c r="ECZ9" s="49"/>
      <c r="EDA9" s="49">
        <v>0</v>
      </c>
      <c r="EDB9" s="64">
        <f t="shared" si="985"/>
        <v>1411</v>
      </c>
      <c r="EDC9" s="68">
        <f t="shared" si="986"/>
        <v>235.16666666666666</v>
      </c>
      <c r="EDD9" s="48">
        <v>0</v>
      </c>
      <c r="EDE9" s="49">
        <v>720</v>
      </c>
      <c r="EDF9" s="49">
        <v>0</v>
      </c>
      <c r="EDG9" s="49">
        <v>0</v>
      </c>
      <c r="EDH9" s="49"/>
      <c r="EDI9" s="49">
        <v>0</v>
      </c>
      <c r="EDJ9" s="64">
        <f t="shared" si="987"/>
        <v>720</v>
      </c>
      <c r="EDK9" s="68">
        <f t="shared" si="988"/>
        <v>120</v>
      </c>
      <c r="EDL9" s="48">
        <v>0</v>
      </c>
      <c r="EDM9" s="49">
        <v>666</v>
      </c>
      <c r="EDN9" s="49">
        <v>0</v>
      </c>
      <c r="EDO9" s="49">
        <f>SUMIF(SUMPK!$B:$B,$B:$B,SUMPK!$O:$O)</f>
        <v>0</v>
      </c>
      <c r="EDP9" s="49"/>
      <c r="EDQ9" s="49">
        <v>658</v>
      </c>
      <c r="EDR9" s="64">
        <f t="shared" si="989"/>
        <v>1324</v>
      </c>
      <c r="EDS9" s="184">
        <f t="shared" si="990"/>
        <v>220.66666666666666</v>
      </c>
      <c r="EDT9" s="195">
        <v>0</v>
      </c>
      <c r="EDU9" s="49">
        <v>219</v>
      </c>
      <c r="EDV9" s="49">
        <v>0</v>
      </c>
      <c r="EDW9" s="49">
        <v>0</v>
      </c>
      <c r="EDX9" s="49"/>
      <c r="EDY9" s="49"/>
      <c r="EDZ9" s="64">
        <f t="shared" si="991"/>
        <v>219</v>
      </c>
      <c r="EEA9" s="184">
        <f t="shared" si="992"/>
        <v>36.5</v>
      </c>
      <c r="EEB9" s="48">
        <v>200</v>
      </c>
      <c r="EEC9" s="49">
        <v>600</v>
      </c>
      <c r="EED9" s="49">
        <v>0</v>
      </c>
      <c r="EEE9" s="49">
        <v>502</v>
      </c>
      <c r="EEF9" s="49">
        <v>0</v>
      </c>
      <c r="EEG9" s="49"/>
      <c r="EEH9" s="64">
        <f t="shared" si="993"/>
        <v>1302</v>
      </c>
      <c r="EEI9" s="68">
        <f t="shared" si="994"/>
        <v>217</v>
      </c>
      <c r="EEJ9" s="48">
        <v>0</v>
      </c>
      <c r="EEK9" s="49">
        <v>0</v>
      </c>
      <c r="EEL9" s="49">
        <v>0</v>
      </c>
      <c r="EEM9" s="49">
        <v>800</v>
      </c>
      <c r="EEN9" s="49"/>
      <c r="EEO9" s="49">
        <v>0</v>
      </c>
      <c r="EEP9" s="64">
        <f t="shared" si="995"/>
        <v>800</v>
      </c>
      <c r="EEQ9" s="68">
        <f t="shared" si="996"/>
        <v>133.33333333333334</v>
      </c>
      <c r="EER9" s="48">
        <v>0</v>
      </c>
      <c r="EES9" s="49">
        <v>0</v>
      </c>
      <c r="EET9" s="49"/>
      <c r="EEU9" s="49">
        <v>0</v>
      </c>
      <c r="EEV9" s="49">
        <v>1000</v>
      </c>
      <c r="EEW9" s="49"/>
      <c r="EEX9" s="64">
        <f t="shared" si="997"/>
        <v>1000</v>
      </c>
      <c r="EEY9" s="68">
        <f t="shared" si="998"/>
        <v>166.66666666666666</v>
      </c>
      <c r="EEZ9" s="48">
        <v>0</v>
      </c>
      <c r="EFA9" s="49">
        <v>0</v>
      </c>
      <c r="EFB9" s="49">
        <v>332</v>
      </c>
      <c r="EFC9" s="49">
        <v>0</v>
      </c>
      <c r="EFD9" s="49">
        <v>0</v>
      </c>
      <c r="EFE9" s="49">
        <v>0</v>
      </c>
      <c r="EFF9" s="64">
        <f t="shared" si="999"/>
        <v>332</v>
      </c>
      <c r="EFG9" s="68">
        <f t="shared" si="1000"/>
        <v>55.333333333333336</v>
      </c>
      <c r="EFH9" s="48"/>
      <c r="EFI9" s="49">
        <v>400</v>
      </c>
      <c r="EFJ9" s="49">
        <v>0</v>
      </c>
      <c r="EFK9" s="49">
        <v>400</v>
      </c>
      <c r="EFL9" s="49">
        <v>301</v>
      </c>
      <c r="EFM9" s="49">
        <v>553</v>
      </c>
      <c r="EFN9" s="64">
        <f t="shared" si="1001"/>
        <v>1654</v>
      </c>
      <c r="EFO9" s="68">
        <f t="shared" si="1002"/>
        <v>275.66666666666669</v>
      </c>
      <c r="EFP9" s="48">
        <v>0</v>
      </c>
      <c r="EFQ9" s="49"/>
      <c r="EFR9" s="49"/>
      <c r="EFS9" s="49">
        <v>0</v>
      </c>
      <c r="EFT9" s="49">
        <v>200</v>
      </c>
      <c r="EFU9" s="49"/>
      <c r="EFV9" s="64">
        <f t="shared" si="1003"/>
        <v>200</v>
      </c>
      <c r="EFW9" s="68">
        <f t="shared" si="1004"/>
        <v>33.333333333333336</v>
      </c>
      <c r="EFX9" s="48"/>
      <c r="EFY9" s="49">
        <v>332</v>
      </c>
      <c r="EFZ9" s="49">
        <v>0</v>
      </c>
      <c r="EGA9" s="49">
        <v>450</v>
      </c>
      <c r="EGB9" s="49">
        <v>0</v>
      </c>
      <c r="EGC9" s="49">
        <v>202</v>
      </c>
      <c r="EGD9" s="64">
        <f t="shared" si="1005"/>
        <v>984</v>
      </c>
      <c r="EGE9" s="68">
        <f t="shared" si="1006"/>
        <v>164</v>
      </c>
      <c r="EGF9" s="48">
        <v>0</v>
      </c>
      <c r="EGG9" s="49">
        <v>0</v>
      </c>
      <c r="EGH9" s="49"/>
      <c r="EGI9" s="49">
        <v>0</v>
      </c>
      <c r="EGJ9" s="49">
        <v>0</v>
      </c>
      <c r="EGK9" s="49">
        <v>0</v>
      </c>
      <c r="EGL9" s="64">
        <f t="shared" si="1007"/>
        <v>0</v>
      </c>
      <c r="EGM9" s="68">
        <f t="shared" si="1008"/>
        <v>0</v>
      </c>
      <c r="EGN9" s="48">
        <v>0</v>
      </c>
      <c r="EGO9" s="49">
        <v>0</v>
      </c>
      <c r="EGP9" s="49"/>
      <c r="EGQ9" s="49">
        <v>0</v>
      </c>
      <c r="EGR9" s="49"/>
      <c r="EGS9" s="49">
        <v>0</v>
      </c>
      <c r="EGT9" s="64">
        <f t="shared" si="1009"/>
        <v>0</v>
      </c>
      <c r="EGU9" s="68">
        <f>EGT9/$EGU$28</f>
        <v>0</v>
      </c>
      <c r="EGV9" s="48">
        <v>0</v>
      </c>
      <c r="EGW9" s="49">
        <v>220</v>
      </c>
      <c r="EGX9" s="49"/>
      <c r="EGY9" s="49">
        <v>0</v>
      </c>
      <c r="EGZ9" s="49">
        <v>600</v>
      </c>
      <c r="EHA9" s="49"/>
      <c r="EHB9" s="64">
        <f t="shared" si="1010"/>
        <v>820</v>
      </c>
      <c r="EHC9" s="68">
        <f t="shared" si="1011"/>
        <v>136.66666666666666</v>
      </c>
      <c r="EHD9" s="48">
        <v>0</v>
      </c>
      <c r="EHE9" s="49">
        <v>144</v>
      </c>
      <c r="EHF9" s="49"/>
      <c r="EHG9" s="49">
        <v>440</v>
      </c>
      <c r="EHH9" s="49">
        <v>0</v>
      </c>
      <c r="EHI9" s="49">
        <v>0</v>
      </c>
      <c r="EHJ9" s="64">
        <f t="shared" si="1012"/>
        <v>584</v>
      </c>
      <c r="EHK9" s="68">
        <f t="shared" si="1013"/>
        <v>97.333333333333329</v>
      </c>
      <c r="EHL9" s="48">
        <v>220</v>
      </c>
      <c r="EHM9" s="49">
        <v>749</v>
      </c>
      <c r="EHN9" s="49">
        <v>0</v>
      </c>
      <c r="EHO9" s="49"/>
      <c r="EHP9" s="49">
        <v>100</v>
      </c>
      <c r="EHQ9" s="49">
        <v>500</v>
      </c>
      <c r="EHR9" s="64">
        <f t="shared" si="1014"/>
        <v>1569</v>
      </c>
      <c r="EHS9" s="68">
        <f t="shared" si="1015"/>
        <v>261.5</v>
      </c>
      <c r="EHT9" s="48">
        <v>291</v>
      </c>
      <c r="EHU9" s="49"/>
      <c r="EHV9" s="49">
        <v>300</v>
      </c>
      <c r="EHW9" s="49">
        <v>100</v>
      </c>
      <c r="EHX9" s="49"/>
      <c r="EHY9" s="49">
        <v>400</v>
      </c>
      <c r="EHZ9" s="64">
        <f t="shared" si="1016"/>
        <v>1091</v>
      </c>
      <c r="EIA9" s="68">
        <f t="shared" si="1017"/>
        <v>181.83333333333334</v>
      </c>
      <c r="EIB9" s="48"/>
      <c r="EIC9" s="49"/>
      <c r="EID9" s="49">
        <v>0</v>
      </c>
      <c r="EIE9" s="49">
        <v>1000</v>
      </c>
      <c r="EIF9" s="49">
        <v>324</v>
      </c>
      <c r="EIG9" s="49">
        <v>0</v>
      </c>
      <c r="EIH9" s="64">
        <f t="shared" si="1018"/>
        <v>1324</v>
      </c>
      <c r="EII9" s="68">
        <f t="shared" si="1019"/>
        <v>220.66666666666666</v>
      </c>
      <c r="EIJ9" s="48">
        <v>0</v>
      </c>
      <c r="EIK9" s="49">
        <v>0</v>
      </c>
      <c r="EIL9" s="49">
        <v>881</v>
      </c>
      <c r="EIM9" s="49">
        <v>0</v>
      </c>
      <c r="EIN9" s="49">
        <v>0</v>
      </c>
      <c r="EIO9" s="49">
        <v>448</v>
      </c>
      <c r="EIP9" s="64">
        <f t="shared" si="1020"/>
        <v>1329</v>
      </c>
      <c r="EIQ9" s="68">
        <f t="shared" si="1021"/>
        <v>221.5</v>
      </c>
      <c r="EIR9" s="48">
        <v>403</v>
      </c>
      <c r="EIS9" s="49">
        <v>0</v>
      </c>
      <c r="EIT9" s="49">
        <v>0</v>
      </c>
      <c r="EIU9" s="49">
        <v>202</v>
      </c>
      <c r="EIV9" s="49">
        <v>648</v>
      </c>
      <c r="EIW9" s="49"/>
      <c r="EIX9" s="64">
        <f t="shared" si="1022"/>
        <v>1253</v>
      </c>
      <c r="EIY9" s="68">
        <f t="shared" si="1023"/>
        <v>208.83333333333334</v>
      </c>
      <c r="EIZ9" s="48">
        <v>0</v>
      </c>
      <c r="EJA9" s="49">
        <v>0</v>
      </c>
      <c r="EJB9" s="49">
        <v>852</v>
      </c>
      <c r="EJC9" s="49">
        <v>0</v>
      </c>
      <c r="EJD9" s="49">
        <v>0</v>
      </c>
      <c r="EJE9" s="49">
        <v>0</v>
      </c>
      <c r="EJF9" s="64">
        <f t="shared" si="1024"/>
        <v>852</v>
      </c>
      <c r="EJG9" s="68">
        <f t="shared" si="1025"/>
        <v>142</v>
      </c>
      <c r="EJH9" s="48">
        <v>400</v>
      </c>
      <c r="EJI9" s="49">
        <v>359</v>
      </c>
      <c r="EJJ9" s="49">
        <v>0</v>
      </c>
      <c r="EJK9" s="49">
        <v>0</v>
      </c>
      <c r="EJL9" s="49"/>
      <c r="EJM9" s="49"/>
      <c r="EJN9" s="64">
        <f t="shared" si="1026"/>
        <v>759</v>
      </c>
      <c r="EJO9" s="68">
        <f t="shared" si="1027"/>
        <v>126.5</v>
      </c>
      <c r="EJP9" s="48">
        <v>578</v>
      </c>
      <c r="EJQ9" s="49">
        <v>0</v>
      </c>
      <c r="EJR9" s="49">
        <v>0</v>
      </c>
      <c r="EJS9" s="49">
        <v>801</v>
      </c>
      <c r="EJT9" s="49">
        <v>0</v>
      </c>
      <c r="EJU9" s="49">
        <v>0</v>
      </c>
      <c r="EJV9" s="64">
        <f t="shared" si="1028"/>
        <v>1379</v>
      </c>
      <c r="EJW9" s="68">
        <f t="shared" si="1029"/>
        <v>229.83333333333334</v>
      </c>
      <c r="EJX9" s="48">
        <v>438</v>
      </c>
      <c r="EJY9" s="49">
        <v>0</v>
      </c>
      <c r="EJZ9" s="49">
        <v>544</v>
      </c>
      <c r="EKA9" s="49">
        <v>0</v>
      </c>
      <c r="EKB9" s="49"/>
      <c r="EKC9" s="49"/>
      <c r="EKD9" s="64">
        <f t="shared" si="1030"/>
        <v>982</v>
      </c>
      <c r="EKE9" s="68">
        <f t="shared" si="1031"/>
        <v>163.66666666666666</v>
      </c>
      <c r="EKF9" s="48">
        <v>0</v>
      </c>
      <c r="EKG9" s="49">
        <v>1454</v>
      </c>
      <c r="EKH9" s="49"/>
      <c r="EKI9" s="49"/>
      <c r="EKJ9" s="49">
        <v>0</v>
      </c>
      <c r="EKK9" s="49">
        <v>0</v>
      </c>
      <c r="EKL9" s="64">
        <f t="shared" si="1032"/>
        <v>1454</v>
      </c>
      <c r="EKM9" s="68">
        <f t="shared" si="1033"/>
        <v>242.33333333333334</v>
      </c>
      <c r="EKN9" s="48">
        <v>942</v>
      </c>
      <c r="EKO9" s="49">
        <v>0</v>
      </c>
      <c r="EKP9" s="49">
        <v>0</v>
      </c>
      <c r="EKQ9" s="49">
        <v>0</v>
      </c>
      <c r="EKR9" s="49">
        <v>815</v>
      </c>
      <c r="EKS9" s="49">
        <v>0</v>
      </c>
      <c r="EKT9" s="64">
        <f t="shared" si="1034"/>
        <v>1757</v>
      </c>
      <c r="EKU9" s="184">
        <f t="shared" si="1035"/>
        <v>292.83333333333331</v>
      </c>
      <c r="EKV9" s="665"/>
      <c r="EKW9" s="195">
        <v>499</v>
      </c>
      <c r="EKX9" s="49">
        <v>100</v>
      </c>
      <c r="EKY9" s="49">
        <v>0</v>
      </c>
      <c r="EKZ9" s="49">
        <v>400</v>
      </c>
      <c r="ELA9" s="49">
        <v>905</v>
      </c>
      <c r="ELB9" s="49">
        <v>0</v>
      </c>
      <c r="ELC9" s="64">
        <f t="shared" si="1036"/>
        <v>1904</v>
      </c>
      <c r="ELD9" s="211">
        <f t="shared" si="1037"/>
        <v>317.33333333333331</v>
      </c>
      <c r="ELE9" s="195">
        <v>325</v>
      </c>
      <c r="ELF9" s="49">
        <v>0</v>
      </c>
      <c r="ELG9" s="49">
        <v>0</v>
      </c>
      <c r="ELH9" s="49">
        <v>0</v>
      </c>
      <c r="ELI9" s="49">
        <v>0</v>
      </c>
      <c r="ELJ9" s="49">
        <v>411</v>
      </c>
      <c r="ELK9" s="64">
        <f t="shared" si="1038"/>
        <v>736</v>
      </c>
      <c r="ELL9" s="211">
        <f t="shared" si="1039"/>
        <v>122.66666666666667</v>
      </c>
      <c r="ELM9" s="195">
        <v>0</v>
      </c>
      <c r="ELN9" s="49">
        <v>0</v>
      </c>
      <c r="ELO9" s="49">
        <v>0</v>
      </c>
      <c r="ELP9" s="49">
        <v>410</v>
      </c>
      <c r="ELQ9" s="49">
        <v>300</v>
      </c>
      <c r="ELR9" s="49">
        <v>0</v>
      </c>
      <c r="ELS9" s="64">
        <f t="shared" si="1040"/>
        <v>710</v>
      </c>
      <c r="ELT9" s="211">
        <f t="shared" si="1041"/>
        <v>118.33333333333333</v>
      </c>
      <c r="ELU9" s="195">
        <v>203</v>
      </c>
      <c r="ELV9" s="49">
        <v>0</v>
      </c>
      <c r="ELW9" s="49">
        <v>0</v>
      </c>
      <c r="ELX9" s="49">
        <v>100</v>
      </c>
      <c r="ELY9" s="49"/>
      <c r="ELZ9" s="49">
        <v>0</v>
      </c>
      <c r="EMA9" s="64">
        <f t="shared" si="1042"/>
        <v>303</v>
      </c>
      <c r="EMB9" s="211">
        <f t="shared" si="1043"/>
        <v>50.5</v>
      </c>
      <c r="EMC9" s="195">
        <v>352</v>
      </c>
      <c r="EMD9" s="49">
        <v>98</v>
      </c>
      <c r="EME9" s="49">
        <v>0</v>
      </c>
      <c r="EMF9" s="49">
        <v>0</v>
      </c>
      <c r="EMG9" s="49">
        <v>0</v>
      </c>
      <c r="EMH9" s="49">
        <v>0</v>
      </c>
      <c r="EMI9" s="64">
        <f t="shared" si="1044"/>
        <v>450</v>
      </c>
      <c r="EMJ9" s="211">
        <f t="shared" si="1045"/>
        <v>75</v>
      </c>
      <c r="EMK9" s="195">
        <v>0</v>
      </c>
      <c r="EML9" s="49"/>
      <c r="EMM9" s="49">
        <v>0</v>
      </c>
      <c r="EMN9" s="49">
        <v>0</v>
      </c>
      <c r="EMO9" s="49">
        <v>0</v>
      </c>
      <c r="EMP9" s="49">
        <v>0</v>
      </c>
      <c r="EMQ9" s="64">
        <f t="shared" si="1046"/>
        <v>0</v>
      </c>
      <c r="EMR9" s="211">
        <f t="shared" si="1047"/>
        <v>0</v>
      </c>
      <c r="EMS9" s="195">
        <v>0</v>
      </c>
      <c r="EMT9" s="49">
        <v>0</v>
      </c>
      <c r="EMU9" s="49">
        <v>0</v>
      </c>
      <c r="EMV9" s="49">
        <v>0</v>
      </c>
      <c r="EMW9" s="49">
        <v>441</v>
      </c>
      <c r="EMX9" s="49">
        <v>0</v>
      </c>
      <c r="EMY9" s="64">
        <f t="shared" si="1048"/>
        <v>441</v>
      </c>
      <c r="EMZ9" s="211">
        <f t="shared" si="1049"/>
        <v>73.5</v>
      </c>
      <c r="ENA9" s="195">
        <v>0</v>
      </c>
      <c r="ENB9" s="49">
        <v>503</v>
      </c>
      <c r="ENC9" s="49">
        <v>0</v>
      </c>
      <c r="END9" s="49">
        <v>0</v>
      </c>
      <c r="ENE9" s="49"/>
      <c r="ENF9" s="49">
        <v>0</v>
      </c>
      <c r="ENG9" s="64">
        <f t="shared" si="1050"/>
        <v>503</v>
      </c>
      <c r="ENH9" s="211">
        <f t="shared" si="1051"/>
        <v>83.833333333333329</v>
      </c>
      <c r="ENI9" s="195">
        <v>0</v>
      </c>
      <c r="ENJ9" s="49"/>
      <c r="ENK9" s="49">
        <v>0</v>
      </c>
      <c r="ENL9" s="49">
        <v>0</v>
      </c>
      <c r="ENM9" s="49">
        <v>402</v>
      </c>
      <c r="ENN9" s="49">
        <v>0</v>
      </c>
      <c r="ENO9" s="64">
        <f t="shared" si="1052"/>
        <v>402</v>
      </c>
      <c r="ENP9" s="211">
        <f t="shared" si="1053"/>
        <v>67</v>
      </c>
      <c r="ENQ9" s="195">
        <v>404</v>
      </c>
      <c r="ENR9" s="49">
        <v>0</v>
      </c>
      <c r="ENS9" s="49">
        <v>100</v>
      </c>
      <c r="ENT9" s="49">
        <v>120</v>
      </c>
      <c r="ENU9" s="49">
        <v>0</v>
      </c>
      <c r="ENV9" s="49">
        <v>440</v>
      </c>
      <c r="ENW9" s="64">
        <f t="shared" si="1054"/>
        <v>1064</v>
      </c>
      <c r="ENX9" s="211">
        <f t="shared" si="1055"/>
        <v>177.33333333333334</v>
      </c>
      <c r="ENY9" s="195"/>
      <c r="ENZ9" s="49">
        <v>0</v>
      </c>
      <c r="EOA9" s="49">
        <v>599</v>
      </c>
      <c r="EOB9" s="49">
        <v>0</v>
      </c>
      <c r="EOC9" s="49">
        <v>0</v>
      </c>
      <c r="EOD9" s="49">
        <v>607</v>
      </c>
      <c r="EOE9" s="64">
        <f t="shared" si="1056"/>
        <v>1206</v>
      </c>
      <c r="EOF9" s="211">
        <f t="shared" si="1057"/>
        <v>201</v>
      </c>
      <c r="EOG9" s="195"/>
      <c r="EOH9" s="360">
        <f>SUMIF(SUMPK!$B:$B,$B:$B,SUMPK!$O:$O)</f>
        <v>0</v>
      </c>
      <c r="EOI9" s="49">
        <v>0</v>
      </c>
      <c r="EOJ9" s="49">
        <v>904</v>
      </c>
      <c r="EOK9" s="49">
        <v>287</v>
      </c>
      <c r="EOL9" s="49">
        <v>0</v>
      </c>
      <c r="EOM9" s="64">
        <f t="shared" si="1058"/>
        <v>1191</v>
      </c>
      <c r="EON9" s="211">
        <f t="shared" si="1059"/>
        <v>198.5</v>
      </c>
      <c r="EOO9" s="195">
        <v>795</v>
      </c>
      <c r="EOP9" s="49">
        <v>0</v>
      </c>
      <c r="EOQ9" s="49">
        <v>0</v>
      </c>
      <c r="EOR9" s="49">
        <v>0</v>
      </c>
      <c r="EOS9" s="49">
        <v>439</v>
      </c>
      <c r="EOT9" s="49">
        <v>0</v>
      </c>
      <c r="EOU9" s="64">
        <f t="shared" si="1060"/>
        <v>1234</v>
      </c>
      <c r="EOV9" s="211">
        <f t="shared" si="1061"/>
        <v>205.66666666666666</v>
      </c>
      <c r="EOW9" s="195">
        <v>0</v>
      </c>
      <c r="EOX9" s="49">
        <v>0</v>
      </c>
      <c r="EOY9" s="49">
        <v>592</v>
      </c>
      <c r="EOZ9" s="49">
        <v>401</v>
      </c>
      <c r="EPA9" s="49">
        <v>0</v>
      </c>
      <c r="EPB9" s="49">
        <v>0</v>
      </c>
      <c r="EPC9" s="64">
        <f t="shared" si="1062"/>
        <v>993</v>
      </c>
      <c r="EPD9" s="211">
        <f t="shared" si="1063"/>
        <v>165.5</v>
      </c>
      <c r="EPE9" s="195">
        <v>0</v>
      </c>
      <c r="EPF9" s="49">
        <f>SUMIF(SUMPK!$B:$B,$B:$B,SUMPK!$O:$O)</f>
        <v>0</v>
      </c>
      <c r="EPG9" s="49">
        <v>0</v>
      </c>
      <c r="EPH9" s="49">
        <v>0</v>
      </c>
      <c r="EPI9" s="49">
        <v>271</v>
      </c>
      <c r="EPJ9" s="49">
        <v>0</v>
      </c>
      <c r="EPK9" s="64">
        <f t="shared" si="1064"/>
        <v>271</v>
      </c>
      <c r="EPL9" s="211">
        <f t="shared" si="1065"/>
        <v>45.166666666666664</v>
      </c>
      <c r="EPM9" s="195">
        <v>148</v>
      </c>
      <c r="EPN9" s="49">
        <v>370</v>
      </c>
      <c r="EPO9" s="49">
        <v>94</v>
      </c>
      <c r="EPP9" s="49">
        <v>0</v>
      </c>
      <c r="EPQ9" s="49">
        <v>0</v>
      </c>
      <c r="EPR9" s="49">
        <v>271</v>
      </c>
      <c r="EPS9" s="64">
        <f t="shared" si="1066"/>
        <v>883</v>
      </c>
      <c r="EPT9" s="211">
        <f t="shared" si="1067"/>
        <v>147.16666666666666</v>
      </c>
      <c r="EPU9" s="195">
        <v>0</v>
      </c>
      <c r="EPV9" s="49">
        <v>0</v>
      </c>
      <c r="EPW9" s="49"/>
      <c r="EPX9" s="49">
        <v>0</v>
      </c>
      <c r="EPY9" s="49">
        <v>0</v>
      </c>
      <c r="EPZ9" s="49">
        <v>0</v>
      </c>
      <c r="EQA9" s="64">
        <f t="shared" si="1068"/>
        <v>0</v>
      </c>
      <c r="EQB9" s="211">
        <f t="shared" si="1069"/>
        <v>0</v>
      </c>
      <c r="EQC9" s="195">
        <v>926</v>
      </c>
      <c r="EQD9" s="49">
        <v>0</v>
      </c>
      <c r="EQE9" s="49">
        <v>0</v>
      </c>
      <c r="EQF9" s="49">
        <v>0</v>
      </c>
      <c r="EQG9" s="49">
        <v>0</v>
      </c>
      <c r="EQH9" s="49">
        <v>0</v>
      </c>
      <c r="EQI9" s="64">
        <f t="shared" si="1070"/>
        <v>926</v>
      </c>
      <c r="EQJ9" s="211">
        <f t="shared" si="1071"/>
        <v>154.33333333333334</v>
      </c>
      <c r="EQK9" s="195"/>
      <c r="EQL9" s="49">
        <v>0</v>
      </c>
      <c r="EQM9" s="49">
        <v>686</v>
      </c>
      <c r="EQN9" s="49"/>
      <c r="EQO9" s="49">
        <v>0</v>
      </c>
      <c r="EQP9" s="49">
        <v>418</v>
      </c>
      <c r="EQQ9" s="64">
        <f t="shared" si="1072"/>
        <v>1104</v>
      </c>
      <c r="EQR9" s="211">
        <f t="shared" si="1073"/>
        <v>184</v>
      </c>
      <c r="EQS9" s="195">
        <v>0</v>
      </c>
      <c r="EQT9" s="49">
        <v>0</v>
      </c>
      <c r="EQU9" s="49">
        <v>392</v>
      </c>
      <c r="EQV9" s="49"/>
      <c r="EQW9" s="49">
        <v>0</v>
      </c>
      <c r="EQX9" s="49">
        <v>800</v>
      </c>
      <c r="EQY9" s="64">
        <f t="shared" si="1074"/>
        <v>1192</v>
      </c>
      <c r="EQZ9" s="211">
        <f t="shared" si="1075"/>
        <v>198.66666666666666</v>
      </c>
      <c r="ERA9" s="195">
        <v>0</v>
      </c>
      <c r="ERB9" s="49">
        <v>0</v>
      </c>
      <c r="ERC9" s="49">
        <v>0</v>
      </c>
      <c r="ERD9" s="49">
        <v>0</v>
      </c>
      <c r="ERE9" s="49">
        <v>440</v>
      </c>
      <c r="ERF9" s="49"/>
      <c r="ERG9" s="64">
        <f t="shared" si="1076"/>
        <v>440</v>
      </c>
      <c r="ERH9" s="211">
        <f t="shared" si="1077"/>
        <v>73.333333333333329</v>
      </c>
      <c r="ERI9" s="195">
        <v>0</v>
      </c>
      <c r="ERJ9" s="49">
        <v>559</v>
      </c>
      <c r="ERK9" s="49"/>
      <c r="ERL9" s="49">
        <v>0</v>
      </c>
      <c r="ERM9" s="49">
        <v>800</v>
      </c>
      <c r="ERN9" s="49"/>
      <c r="ERO9" s="64">
        <f t="shared" si="1078"/>
        <v>1359</v>
      </c>
      <c r="ERP9" s="211">
        <f t="shared" si="1079"/>
        <v>226.5</v>
      </c>
      <c r="ERQ9" s="195"/>
      <c r="ERR9" s="49">
        <v>330</v>
      </c>
      <c r="ERS9" s="49">
        <v>0</v>
      </c>
      <c r="ERT9" s="49">
        <v>0</v>
      </c>
      <c r="ERU9" s="49">
        <v>330</v>
      </c>
      <c r="ERV9" s="49">
        <v>0</v>
      </c>
      <c r="ERW9" s="64">
        <f t="shared" si="1080"/>
        <v>660</v>
      </c>
      <c r="ERX9" s="211">
        <f t="shared" si="1081"/>
        <v>110</v>
      </c>
      <c r="ERY9" s="195">
        <v>0</v>
      </c>
      <c r="ERZ9" s="49">
        <v>0</v>
      </c>
      <c r="ESA9" s="49">
        <v>0</v>
      </c>
      <c r="ESB9" s="49"/>
      <c r="ESC9" s="49">
        <v>417</v>
      </c>
      <c r="ESD9" s="49">
        <v>0</v>
      </c>
      <c r="ESE9" s="64">
        <f t="shared" si="1082"/>
        <v>417</v>
      </c>
      <c r="ESF9" s="211">
        <f t="shared" si="1083"/>
        <v>69.5</v>
      </c>
      <c r="ESG9" s="195">
        <v>0</v>
      </c>
      <c r="ESH9" s="49">
        <v>0</v>
      </c>
      <c r="ESI9" s="49">
        <v>0</v>
      </c>
      <c r="ESJ9" s="49">
        <v>0</v>
      </c>
      <c r="ESK9" s="49"/>
      <c r="ESL9" s="49">
        <v>0</v>
      </c>
      <c r="ESM9" s="64">
        <f t="shared" si="1084"/>
        <v>0</v>
      </c>
      <c r="ESN9" s="211">
        <f t="shared" si="1085"/>
        <v>0</v>
      </c>
      <c r="ESO9" s="458">
        <v>0</v>
      </c>
      <c r="ESP9" s="83">
        <v>607</v>
      </c>
      <c r="ESQ9" s="83">
        <v>220</v>
      </c>
      <c r="ESR9" s="83">
        <v>0</v>
      </c>
      <c r="ESS9" s="83"/>
      <c r="EST9" s="83">
        <v>0</v>
      </c>
      <c r="ESU9" s="64">
        <f t="shared" si="1086"/>
        <v>827</v>
      </c>
      <c r="ESV9" s="211">
        <f t="shared" si="1087"/>
        <v>137.83333333333334</v>
      </c>
      <c r="ESW9" s="195"/>
      <c r="ESX9" s="49"/>
      <c r="ESY9" s="49"/>
      <c r="ESZ9" s="49">
        <v>0</v>
      </c>
      <c r="ETA9" s="49">
        <v>937</v>
      </c>
      <c r="ETB9" s="49">
        <v>0</v>
      </c>
      <c r="ETC9" s="808">
        <f t="shared" si="1088"/>
        <v>937</v>
      </c>
      <c r="ETD9" s="211">
        <f t="shared" si="1089"/>
        <v>156.16666666666666</v>
      </c>
      <c r="ETE9" s="195">
        <v>0</v>
      </c>
      <c r="ETF9" s="49">
        <v>0</v>
      </c>
      <c r="ETG9" s="49">
        <v>219</v>
      </c>
      <c r="ETH9" s="49">
        <v>0</v>
      </c>
      <c r="ETI9" s="49"/>
      <c r="ETJ9" s="49">
        <v>431</v>
      </c>
      <c r="ETK9" s="808">
        <f t="shared" si="1090"/>
        <v>650</v>
      </c>
      <c r="ETL9" s="211">
        <f t="shared" si="1091"/>
        <v>108.33333333333333</v>
      </c>
      <c r="ETM9" s="814"/>
      <c r="ETN9" s="815">
        <v>0</v>
      </c>
      <c r="ETO9" s="815">
        <v>0</v>
      </c>
      <c r="ETP9" s="815">
        <v>300</v>
      </c>
      <c r="ETQ9" s="815">
        <v>0</v>
      </c>
      <c r="ETR9" s="815">
        <v>0</v>
      </c>
      <c r="ETS9" s="808">
        <f t="shared" si="1092"/>
        <v>300</v>
      </c>
      <c r="ETT9" s="211">
        <f t="shared" si="1093"/>
        <v>50</v>
      </c>
      <c r="ETU9" s="458">
        <v>793</v>
      </c>
      <c r="ETV9" s="83">
        <v>0</v>
      </c>
      <c r="ETW9" s="83"/>
      <c r="ETX9" s="83">
        <v>440</v>
      </c>
      <c r="ETY9" s="83">
        <v>331</v>
      </c>
      <c r="ETZ9" s="83">
        <v>0</v>
      </c>
      <c r="EUA9" s="808">
        <f t="shared" si="1094"/>
        <v>1564</v>
      </c>
      <c r="EUB9" s="211">
        <f t="shared" si="1095"/>
        <v>260.66666666666669</v>
      </c>
      <c r="EUC9" s="458">
        <v>0</v>
      </c>
      <c r="EUD9" s="83">
        <v>884</v>
      </c>
      <c r="EUE9" s="83"/>
      <c r="EUF9" s="83">
        <v>0</v>
      </c>
      <c r="EUG9" s="83">
        <v>0</v>
      </c>
      <c r="EUH9" s="83">
        <v>0</v>
      </c>
      <c r="EUI9" s="808">
        <f t="shared" si="1096"/>
        <v>884</v>
      </c>
      <c r="EUJ9" s="211">
        <f t="shared" si="1097"/>
        <v>147.33333333333334</v>
      </c>
      <c r="EUK9" s="195">
        <v>761</v>
      </c>
      <c r="EUL9" s="49">
        <v>0</v>
      </c>
      <c r="EUM9" s="49">
        <v>199</v>
      </c>
      <c r="EUN9" s="49">
        <f>SUMIF(SUMPK!$B:$B,$B:$B,SUMPK!$O:$O)</f>
        <v>0</v>
      </c>
      <c r="EUO9" s="49">
        <v>0</v>
      </c>
      <c r="EUP9" s="49">
        <v>0</v>
      </c>
      <c r="EUQ9" s="808">
        <f t="shared" si="1098"/>
        <v>960</v>
      </c>
      <c r="EUR9" s="211">
        <f t="shared" si="1099"/>
        <v>160</v>
      </c>
      <c r="EUS9" s="195">
        <v>330</v>
      </c>
      <c r="EUT9" s="49">
        <v>0</v>
      </c>
      <c r="EUU9" s="49">
        <v>0</v>
      </c>
      <c r="EUV9" s="49">
        <v>0</v>
      </c>
      <c r="EUW9" s="49"/>
      <c r="EUX9" s="49">
        <v>0</v>
      </c>
      <c r="EUY9" s="808">
        <f t="shared" si="1100"/>
        <v>330</v>
      </c>
      <c r="EUZ9" s="211">
        <f t="shared" si="1101"/>
        <v>55</v>
      </c>
      <c r="EVA9" s="195">
        <v>0</v>
      </c>
      <c r="EVB9" s="49"/>
      <c r="EVC9" s="49"/>
      <c r="EVD9" s="49"/>
      <c r="EVE9" s="49">
        <v>0</v>
      </c>
      <c r="EVF9" s="49">
        <v>0</v>
      </c>
      <c r="EVG9" s="808">
        <f t="shared" si="1102"/>
        <v>0</v>
      </c>
      <c r="EVH9" s="211">
        <f t="shared" si="1103"/>
        <v>0</v>
      </c>
      <c r="EVI9" s="195">
        <v>0</v>
      </c>
      <c r="EVJ9" s="49">
        <v>0</v>
      </c>
      <c r="EVK9" s="49">
        <v>0</v>
      </c>
      <c r="EVL9" s="49"/>
      <c r="EVM9" s="49"/>
      <c r="EVN9" s="49">
        <v>0</v>
      </c>
      <c r="EVO9" s="808">
        <f t="shared" si="1104"/>
        <v>0</v>
      </c>
      <c r="EVP9" s="211">
        <f t="shared" si="1105"/>
        <v>0</v>
      </c>
      <c r="EVQ9" s="195">
        <v>0</v>
      </c>
      <c r="EVR9" s="49">
        <v>0</v>
      </c>
      <c r="EVS9" s="49">
        <v>851</v>
      </c>
      <c r="EVT9" s="49"/>
      <c r="EVU9" s="49">
        <v>0</v>
      </c>
      <c r="EVV9" s="49">
        <v>0</v>
      </c>
      <c r="EVW9" s="808">
        <f t="shared" si="1106"/>
        <v>851</v>
      </c>
      <c r="EVX9" s="211">
        <f t="shared" si="1107"/>
        <v>141.83333333333334</v>
      </c>
      <c r="EVY9" s="195">
        <v>0</v>
      </c>
      <c r="EVZ9" s="49">
        <v>1392</v>
      </c>
      <c r="EWA9" s="49"/>
      <c r="EWB9" s="49">
        <v>0</v>
      </c>
      <c r="EWC9" s="49">
        <v>0</v>
      </c>
      <c r="EWD9" s="49">
        <v>0</v>
      </c>
      <c r="EWE9" s="808">
        <f t="shared" si="1108"/>
        <v>1392</v>
      </c>
      <c r="EWF9" s="211">
        <f t="shared" si="1109"/>
        <v>232</v>
      </c>
      <c r="EWG9" s="195"/>
      <c r="EWH9" s="49">
        <v>0</v>
      </c>
      <c r="EWI9" s="49">
        <v>975</v>
      </c>
      <c r="EWJ9" s="49">
        <v>975</v>
      </c>
      <c r="EWK9" s="49">
        <v>0</v>
      </c>
      <c r="EWL9" s="49">
        <v>0</v>
      </c>
      <c r="EWM9" s="808">
        <f t="shared" si="1110"/>
        <v>1950</v>
      </c>
      <c r="EWN9" s="211">
        <f t="shared" si="175"/>
        <v>325</v>
      </c>
      <c r="EWO9" s="195">
        <v>0</v>
      </c>
      <c r="EWP9" s="49">
        <v>1031</v>
      </c>
      <c r="EWQ9" s="49">
        <v>0</v>
      </c>
      <c r="EWR9" s="49">
        <v>0</v>
      </c>
      <c r="EWS9" s="49">
        <v>0</v>
      </c>
      <c r="EWT9" s="49">
        <v>0</v>
      </c>
      <c r="EWU9" s="808">
        <f t="shared" si="1111"/>
        <v>1031</v>
      </c>
      <c r="EWV9" s="211">
        <f t="shared" si="1112"/>
        <v>171.83333333333334</v>
      </c>
      <c r="EWW9" s="195"/>
      <c r="EWX9" s="49"/>
      <c r="EWY9" s="49">
        <v>789</v>
      </c>
      <c r="EWZ9" s="49">
        <v>0</v>
      </c>
      <c r="EXA9" s="49">
        <v>0</v>
      </c>
      <c r="EXB9" s="49"/>
      <c r="EXC9" s="808">
        <f t="shared" si="1113"/>
        <v>789</v>
      </c>
      <c r="EXD9" s="211">
        <f t="shared" si="1114"/>
        <v>131.5</v>
      </c>
      <c r="EXE9" s="195">
        <v>0</v>
      </c>
      <c r="EXF9" s="49">
        <v>0</v>
      </c>
      <c r="EXG9" s="49">
        <v>305</v>
      </c>
      <c r="EXH9" s="49">
        <v>0</v>
      </c>
      <c r="EXI9" s="49">
        <v>0</v>
      </c>
      <c r="EXJ9" s="49">
        <v>794</v>
      </c>
      <c r="EXK9" s="808">
        <f t="shared" si="1115"/>
        <v>1099</v>
      </c>
      <c r="EXL9" s="211">
        <f t="shared" si="1116"/>
        <v>183.16666666666666</v>
      </c>
      <c r="EXM9" s="458">
        <v>0</v>
      </c>
      <c r="EXN9" s="83">
        <v>0</v>
      </c>
      <c r="EXO9" s="83"/>
      <c r="EXP9" s="83">
        <v>0</v>
      </c>
      <c r="EXQ9" s="83"/>
      <c r="EXR9" s="83">
        <v>0</v>
      </c>
      <c r="EXS9" s="808">
        <f t="shared" si="1117"/>
        <v>0</v>
      </c>
      <c r="EXT9" s="211">
        <f t="shared" si="1118"/>
        <v>0</v>
      </c>
      <c r="EXU9" s="195">
        <v>0</v>
      </c>
      <c r="EXV9" s="49"/>
      <c r="EXW9" s="49"/>
      <c r="EXX9" s="49">
        <v>0</v>
      </c>
      <c r="EXY9" s="49"/>
      <c r="EXZ9" s="49">
        <v>0</v>
      </c>
      <c r="EYA9" s="808">
        <f t="shared" si="1119"/>
        <v>0</v>
      </c>
      <c r="EYB9" s="211">
        <f t="shared" si="1120"/>
        <v>0</v>
      </c>
      <c r="EYC9" s="195">
        <v>0</v>
      </c>
      <c r="EYD9" s="49"/>
      <c r="EYE9" s="49">
        <v>0</v>
      </c>
      <c r="EYF9" s="49">
        <v>0</v>
      </c>
      <c r="EYG9" s="49">
        <v>0</v>
      </c>
      <c r="EYH9" s="49">
        <v>0</v>
      </c>
      <c r="EYI9" s="808">
        <f t="shared" si="1121"/>
        <v>0</v>
      </c>
      <c r="EYJ9" s="211">
        <f t="shared" si="1122"/>
        <v>0</v>
      </c>
      <c r="EYK9" s="195">
        <v>0</v>
      </c>
      <c r="EYL9" s="49">
        <v>0</v>
      </c>
      <c r="EYM9" s="49">
        <v>290</v>
      </c>
      <c r="EYN9" s="49">
        <v>0</v>
      </c>
      <c r="EYO9" s="49">
        <v>400</v>
      </c>
      <c r="EYP9" s="49">
        <v>0</v>
      </c>
      <c r="EYQ9" s="808">
        <f t="shared" si="1123"/>
        <v>690</v>
      </c>
      <c r="EYR9" s="211">
        <f t="shared" si="1124"/>
        <v>115</v>
      </c>
      <c r="EYS9" s="195">
        <v>0</v>
      </c>
      <c r="EYT9" s="49">
        <v>0</v>
      </c>
      <c r="EYU9" s="49">
        <v>325</v>
      </c>
      <c r="EYV9" s="49"/>
      <c r="EYW9" s="49"/>
      <c r="EYX9" s="49"/>
      <c r="EYY9" s="872">
        <f t="shared" si="1125"/>
        <v>325</v>
      </c>
      <c r="EYZ9" s="873">
        <f t="shared" si="1126"/>
        <v>54.166666666666664</v>
      </c>
      <c r="EZA9" s="195">
        <v>0</v>
      </c>
      <c r="EZB9" s="49">
        <v>808</v>
      </c>
      <c r="EZC9" s="49">
        <v>0</v>
      </c>
      <c r="EZD9" s="49">
        <v>0</v>
      </c>
      <c r="EZE9" s="49">
        <v>811</v>
      </c>
      <c r="EZF9" s="49">
        <v>0</v>
      </c>
      <c r="EZG9" s="872">
        <f t="shared" si="1127"/>
        <v>1619</v>
      </c>
      <c r="EZH9" s="873">
        <f t="shared" si="1128"/>
        <v>269.83333333333331</v>
      </c>
      <c r="EZI9" s="195"/>
      <c r="EZJ9" s="49">
        <v>101</v>
      </c>
      <c r="EZK9" s="49">
        <v>53</v>
      </c>
      <c r="EZL9" s="49"/>
      <c r="EZM9" s="49"/>
      <c r="EZN9" s="49"/>
      <c r="EZO9" s="872">
        <f t="shared" si="1129"/>
        <v>154</v>
      </c>
      <c r="EZP9" s="873">
        <f t="shared" si="1130"/>
        <v>25.666666666666668</v>
      </c>
    </row>
    <row r="10" spans="1:4072" s="8" customFormat="1" ht="15" customHeight="1" x14ac:dyDescent="0.2">
      <c r="A10" s="301">
        <v>4</v>
      </c>
      <c r="B10" s="21" t="s">
        <v>353</v>
      </c>
      <c r="C10" s="275" t="s">
        <v>354</v>
      </c>
      <c r="D10" s="21">
        <v>25</v>
      </c>
      <c r="E10" s="24"/>
      <c r="F10" s="24">
        <v>961</v>
      </c>
      <c r="G10" s="24"/>
      <c r="H10" s="24"/>
      <c r="I10" s="360"/>
      <c r="J10" s="360">
        <f>SUMIF(SUMPK!$B:$B,$B:$B,SUMPK!$O:$O)</f>
        <v>0</v>
      </c>
      <c r="K10" s="24">
        <f t="shared" ref="K10:K11" si="1132">E10+G10-I10</f>
        <v>0</v>
      </c>
      <c r="L10" s="24">
        <f t="shared" ref="L10:L11" si="1133">F10+H10-J10</f>
        <v>961</v>
      </c>
      <c r="M10" s="24">
        <f t="shared" ref="M10:M11" si="1134">K10+L10</f>
        <v>961</v>
      </c>
      <c r="N10" s="15">
        <v>0</v>
      </c>
      <c r="O10" s="276">
        <f t="shared" si="189"/>
        <v>0</v>
      </c>
      <c r="P10" s="712"/>
      <c r="Q10" s="276"/>
      <c r="R10" s="277"/>
      <c r="S10" s="222"/>
      <c r="T10" s="276"/>
      <c r="U10" s="303"/>
      <c r="V10" s="302">
        <f t="shared" ref="V10:V11" si="1135">IF(R10=0,0,(M10+U10)/R10)</f>
        <v>0</v>
      </c>
      <c r="W10" s="304">
        <f t="shared" ref="W10:W11" si="1136">F10/(E10+F10)</f>
        <v>1</v>
      </c>
      <c r="X10" s="305"/>
      <c r="Y10" s="280"/>
      <c r="Z10" s="280"/>
      <c r="AA10" s="280"/>
      <c r="AB10" s="280"/>
      <c r="AC10" s="662">
        <v>20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/>
      <c r="CDC10" s="68"/>
      <c r="CDD10" s="48"/>
      <c r="CDE10" s="49"/>
      <c r="CDF10" s="49"/>
      <c r="CDG10" s="49"/>
      <c r="CDH10" s="49"/>
      <c r="CDI10" s="49"/>
      <c r="CDJ10" s="67"/>
      <c r="CDK10" s="68"/>
      <c r="CDL10" s="48"/>
      <c r="CDM10" s="49"/>
      <c r="CDN10" s="49"/>
      <c r="CDO10" s="49"/>
      <c r="CDP10" s="49"/>
      <c r="CDQ10" s="49"/>
      <c r="CDR10" s="67"/>
      <c r="CDS10" s="68"/>
      <c r="CDT10" s="48"/>
      <c r="CDU10" s="49"/>
      <c r="CDV10" s="49"/>
      <c r="CDW10" s="49"/>
      <c r="CDX10" s="49"/>
      <c r="CDY10" s="49"/>
      <c r="CDZ10" s="67"/>
      <c r="CEA10" s="68"/>
      <c r="CEB10" s="48"/>
      <c r="CEC10" s="49"/>
      <c r="CED10" s="49"/>
      <c r="CEE10" s="49"/>
      <c r="CEF10" s="49"/>
      <c r="CEG10" s="49"/>
      <c r="CEH10" s="67"/>
      <c r="CEI10" s="68"/>
      <c r="CEJ10" s="48"/>
      <c r="CEK10" s="49"/>
      <c r="CEL10" s="49"/>
      <c r="CEM10" s="49"/>
      <c r="CEN10" s="49"/>
      <c r="CEO10" s="49"/>
      <c r="CEP10" s="67"/>
      <c r="CEQ10" s="68"/>
      <c r="CER10" s="48"/>
      <c r="CES10" s="49"/>
      <c r="CET10" s="49"/>
      <c r="CEU10" s="49"/>
      <c r="CEV10" s="49"/>
      <c r="CEW10" s="49"/>
      <c r="CEX10" s="67"/>
      <c r="CEY10" s="68"/>
      <c r="CEZ10" s="48"/>
      <c r="CFA10" s="49"/>
      <c r="CFB10" s="49"/>
      <c r="CFC10" s="49"/>
      <c r="CFD10" s="49"/>
      <c r="CFE10" s="49"/>
      <c r="CFF10" s="67"/>
      <c r="CFG10" s="68"/>
      <c r="CFH10" s="48"/>
      <c r="CFI10" s="49"/>
      <c r="CFJ10" s="49"/>
      <c r="CFK10" s="49"/>
      <c r="CFL10" s="49"/>
      <c r="CFM10" s="49"/>
      <c r="CFN10" s="67"/>
      <c r="CFO10" s="68"/>
      <c r="CFP10" s="48"/>
      <c r="CFQ10" s="49"/>
      <c r="CFR10" s="49"/>
      <c r="CFS10" s="49"/>
      <c r="CFT10" s="49"/>
      <c r="CFU10" s="49"/>
      <c r="CFV10" s="67"/>
      <c r="CFW10" s="68"/>
      <c r="CFX10" s="48"/>
      <c r="CFY10" s="49"/>
      <c r="CFZ10" s="49"/>
      <c r="CGA10" s="49"/>
      <c r="CGB10" s="49"/>
      <c r="CGC10" s="49"/>
      <c r="CGD10" s="67"/>
      <c r="CGE10" s="68"/>
      <c r="CGF10" s="48"/>
      <c r="CGG10" s="49"/>
      <c r="CGH10" s="49"/>
      <c r="CGI10" s="49"/>
      <c r="CGJ10" s="49"/>
      <c r="CGK10" s="49"/>
      <c r="CGL10" s="67"/>
      <c r="CGM10" s="68"/>
      <c r="CGN10" s="63"/>
      <c r="CGO10" s="64"/>
      <c r="CGP10" s="64"/>
      <c r="CGQ10" s="64"/>
      <c r="CGR10" s="64"/>
      <c r="CGS10" s="64"/>
      <c r="CGT10" s="67"/>
      <c r="CGU10" s="68"/>
      <c r="CGV10" s="48"/>
      <c r="CGW10" s="49"/>
      <c r="CGX10" s="49"/>
      <c r="CGY10" s="49"/>
      <c r="CGZ10" s="49"/>
      <c r="CHA10" s="49"/>
      <c r="CHB10" s="67"/>
      <c r="CHC10" s="68"/>
      <c r="CHD10" s="48"/>
      <c r="CHE10" s="49"/>
      <c r="CHF10" s="49"/>
      <c r="CHG10" s="49"/>
      <c r="CHH10" s="49"/>
      <c r="CHI10" s="49"/>
      <c r="CHJ10" s="67"/>
      <c r="CHK10" s="68"/>
      <c r="CHL10" s="63"/>
      <c r="CHM10" s="64"/>
      <c r="CHN10" s="64"/>
      <c r="CHO10" s="64"/>
      <c r="CHP10" s="64"/>
      <c r="CHQ10" s="64"/>
      <c r="CHR10" s="67"/>
      <c r="CHS10" s="68"/>
      <c r="CHT10" s="48"/>
      <c r="CHU10" s="49"/>
      <c r="CHV10" s="49"/>
      <c r="CHW10" s="49"/>
      <c r="CHX10" s="49"/>
      <c r="CHY10" s="49"/>
      <c r="CHZ10" s="67"/>
      <c r="CIA10" s="68"/>
      <c r="CIB10" s="63"/>
      <c r="CIC10" s="64"/>
      <c r="CID10" s="64"/>
      <c r="CIE10" s="64"/>
      <c r="CIF10" s="64"/>
      <c r="CIG10" s="64"/>
      <c r="CIH10" s="67"/>
      <c r="CII10" s="68"/>
      <c r="CIJ10" s="63"/>
      <c r="CIK10" s="64"/>
      <c r="CIL10" s="64"/>
      <c r="CIM10" s="64"/>
      <c r="CIN10" s="64"/>
      <c r="CIO10" s="64"/>
      <c r="CIP10" s="67"/>
      <c r="CIQ10" s="68"/>
      <c r="CIR10" s="48"/>
      <c r="CIS10" s="49"/>
      <c r="CIT10" s="49"/>
      <c r="CIU10" s="49"/>
      <c r="CIV10" s="49"/>
      <c r="CIW10" s="49"/>
      <c r="CIX10" s="67"/>
      <c r="CIY10" s="68"/>
      <c r="CIZ10" s="48"/>
      <c r="CJA10" s="49"/>
      <c r="CJB10" s="49"/>
      <c r="CJC10" s="49"/>
      <c r="CJD10" s="49"/>
      <c r="CJE10" s="49"/>
      <c r="CJF10" s="67"/>
      <c r="CJG10" s="68"/>
      <c r="CJH10" s="48"/>
      <c r="CJI10" s="49"/>
      <c r="CJJ10" s="49"/>
      <c r="CJK10" s="49"/>
      <c r="CJL10" s="49"/>
      <c r="CJM10" s="49"/>
      <c r="CJN10" s="67"/>
      <c r="CJO10" s="68"/>
      <c r="CJP10" s="48"/>
      <c r="CJQ10" s="49"/>
      <c r="CJR10" s="49"/>
      <c r="CJS10" s="49"/>
      <c r="CJT10" s="49"/>
      <c r="CJU10" s="49"/>
      <c r="CJV10" s="67"/>
      <c r="CJW10" s="68"/>
      <c r="CJX10" s="48"/>
      <c r="CJY10" s="49"/>
      <c r="CJZ10" s="49"/>
      <c r="CKA10" s="49"/>
      <c r="CKB10" s="49"/>
      <c r="CKC10" s="49"/>
      <c r="CKD10" s="67"/>
      <c r="CKE10" s="68"/>
      <c r="CKF10" s="63"/>
      <c r="CKG10" s="64"/>
      <c r="CKH10" s="64"/>
      <c r="CKI10" s="64"/>
      <c r="CKJ10" s="64"/>
      <c r="CKK10" s="64"/>
      <c r="CKL10" s="67"/>
      <c r="CKM10" s="68"/>
      <c r="CKN10" s="48"/>
      <c r="CKO10" s="49"/>
      <c r="CKP10" s="49"/>
      <c r="CKQ10" s="49"/>
      <c r="CKR10" s="49"/>
      <c r="CKS10" s="47"/>
      <c r="CKT10" s="67"/>
      <c r="CKU10" s="68"/>
      <c r="CKV10" s="48"/>
      <c r="CKW10" s="49"/>
      <c r="CKX10" s="49"/>
      <c r="CKY10" s="49"/>
      <c r="CKZ10" s="49"/>
      <c r="CLA10" s="49"/>
      <c r="CLB10" s="67"/>
      <c r="CLC10" s="68"/>
      <c r="CLD10" s="48"/>
      <c r="CLE10" s="49"/>
      <c r="CLF10" s="49"/>
      <c r="CLG10" s="49"/>
      <c r="CLH10" s="49"/>
      <c r="CLI10" s="49"/>
      <c r="CLJ10" s="67"/>
      <c r="CLK10" s="68"/>
      <c r="CLL10" s="48"/>
      <c r="CLM10" s="49"/>
      <c r="CLN10" s="49"/>
      <c r="CLO10" s="49"/>
      <c r="CLP10" s="49"/>
      <c r="CLQ10" s="49"/>
      <c r="CLR10" s="67"/>
      <c r="CLS10" s="68"/>
      <c r="CLT10" s="63"/>
      <c r="CLU10" s="64"/>
      <c r="CLV10" s="64"/>
      <c r="CLW10" s="64"/>
      <c r="CLX10" s="64"/>
      <c r="CLY10" s="64"/>
      <c r="CLZ10" s="67"/>
      <c r="CMA10" s="68"/>
      <c r="CMB10" s="48"/>
      <c r="CMC10" s="49"/>
      <c r="CMD10" s="49"/>
      <c r="CME10" s="49"/>
      <c r="CMF10" s="49"/>
      <c r="CMG10" s="49"/>
      <c r="CMH10" s="67"/>
      <c r="CMI10" s="68"/>
      <c r="CMJ10" s="48"/>
      <c r="CMK10" s="49"/>
      <c r="CML10" s="49"/>
      <c r="CMM10" s="49"/>
      <c r="CMN10" s="49"/>
      <c r="CMO10" s="49"/>
      <c r="CMP10" s="67"/>
      <c r="CMQ10" s="68"/>
      <c r="CMR10" s="48"/>
      <c r="CMS10" s="49"/>
      <c r="CMT10" s="49"/>
      <c r="CMU10" s="49"/>
      <c r="CMV10" s="49"/>
      <c r="CMW10" s="49"/>
      <c r="CMX10" s="67"/>
      <c r="CMY10" s="68"/>
      <c r="CMZ10" s="63"/>
      <c r="CNA10" s="64"/>
      <c r="CNB10" s="64"/>
      <c r="CNC10" s="64"/>
      <c r="CND10" s="64"/>
      <c r="CNE10" s="64"/>
      <c r="CNF10" s="67"/>
      <c r="CNG10" s="68"/>
      <c r="CNH10" s="48"/>
      <c r="CNI10" s="49"/>
      <c r="CNJ10" s="49"/>
      <c r="CNK10" s="49"/>
      <c r="CNL10" s="49"/>
      <c r="CNM10" s="49"/>
      <c r="CNN10" s="67"/>
      <c r="CNO10" s="68"/>
      <c r="CNP10" s="63"/>
      <c r="CNQ10" s="64"/>
      <c r="CNR10" s="64"/>
      <c r="CNS10" s="64"/>
      <c r="CNT10" s="64"/>
      <c r="CNU10" s="64"/>
      <c r="CNV10" s="67"/>
      <c r="CNW10" s="68"/>
      <c r="CNX10" s="48"/>
      <c r="CNY10" s="49"/>
      <c r="CNZ10" s="49"/>
      <c r="COA10" s="49"/>
      <c r="COB10" s="49"/>
      <c r="COC10" s="49"/>
      <c r="COD10" s="67"/>
      <c r="COE10" s="68"/>
      <c r="COF10" s="48"/>
      <c r="COG10" s="49"/>
      <c r="COH10" s="49"/>
      <c r="COI10" s="49"/>
      <c r="COJ10" s="49"/>
      <c r="COK10" s="49"/>
      <c r="COL10" s="67"/>
      <c r="COM10" s="68"/>
      <c r="CON10" s="48"/>
      <c r="COO10" s="49"/>
      <c r="COP10" s="49"/>
      <c r="COQ10" s="49"/>
      <c r="COR10" s="49"/>
      <c r="COS10" s="49"/>
      <c r="COT10" s="67"/>
      <c r="COU10" s="68"/>
      <c r="COV10" s="48"/>
      <c r="COW10" s="49"/>
      <c r="COX10" s="49"/>
      <c r="COY10" s="49"/>
      <c r="COZ10" s="49"/>
      <c r="CPA10" s="49"/>
      <c r="CPB10" s="67"/>
      <c r="CPC10" s="68"/>
      <c r="CPD10" s="48"/>
      <c r="CPE10" s="49"/>
      <c r="CPF10" s="49"/>
      <c r="CPG10" s="49"/>
      <c r="CPH10" s="49"/>
      <c r="CPI10" s="49"/>
      <c r="CPJ10" s="67"/>
      <c r="CPK10" s="68"/>
      <c r="CPL10" s="48"/>
      <c r="CPM10" s="49"/>
      <c r="CPN10" s="49"/>
      <c r="CPO10" s="49"/>
      <c r="CPP10" s="49"/>
      <c r="CPQ10" s="49"/>
      <c r="CPR10" s="67"/>
      <c r="CPS10" s="68"/>
      <c r="CPT10" s="63"/>
      <c r="CPU10" s="64"/>
      <c r="CPV10" s="64"/>
      <c r="CPW10" s="64"/>
      <c r="CPX10" s="64"/>
      <c r="CPY10" s="64"/>
      <c r="CPZ10" s="67"/>
      <c r="CQA10" s="68"/>
      <c r="CQB10" s="48"/>
      <c r="CQC10" s="49"/>
      <c r="CQD10" s="49"/>
      <c r="CQE10" s="49"/>
      <c r="CQF10" s="49"/>
      <c r="CQG10" s="49"/>
      <c r="CQH10" s="67"/>
      <c r="CQI10" s="68"/>
      <c r="CQJ10" s="82"/>
      <c r="CQK10" s="83"/>
      <c r="CQL10" s="83"/>
      <c r="CQM10" s="83"/>
      <c r="CQN10" s="83"/>
      <c r="CQO10" s="83"/>
      <c r="CQP10" s="67"/>
      <c r="CQQ10" s="68"/>
      <c r="CQR10" s="48"/>
      <c r="CQS10" s="49"/>
      <c r="CQT10" s="49"/>
      <c r="CQU10" s="49"/>
      <c r="CQV10" s="49"/>
      <c r="CQW10" s="49"/>
      <c r="CQX10" s="67"/>
      <c r="CQY10" s="68"/>
      <c r="CQZ10" s="48"/>
      <c r="CRA10" s="49"/>
      <c r="CRB10" s="49"/>
      <c r="CRC10" s="49"/>
      <c r="CRD10" s="49"/>
      <c r="CRE10" s="49"/>
      <c r="CRF10" s="67"/>
      <c r="CRG10" s="68"/>
      <c r="CRH10" s="48"/>
      <c r="CRI10" s="49"/>
      <c r="CRJ10" s="49"/>
      <c r="CRK10" s="49"/>
      <c r="CRL10" s="49"/>
      <c r="CRM10" s="49"/>
      <c r="CRN10" s="67"/>
      <c r="CRO10" s="68"/>
      <c r="CRP10" s="48"/>
      <c r="CRQ10" s="49"/>
      <c r="CRR10" s="49"/>
      <c r="CRS10" s="49"/>
      <c r="CRT10" s="49"/>
      <c r="CRU10" s="49"/>
      <c r="CRV10" s="47"/>
      <c r="CRW10" s="68"/>
      <c r="CRX10" s="63"/>
      <c r="CRY10" s="64"/>
      <c r="CRZ10" s="64"/>
      <c r="CSA10" s="64"/>
      <c r="CSB10" s="64"/>
      <c r="CSC10" s="64"/>
      <c r="CSD10" s="67"/>
      <c r="CSE10" s="68"/>
      <c r="CSF10" s="48"/>
      <c r="CSG10" s="49"/>
      <c r="CSH10" s="49"/>
      <c r="CSI10" s="49"/>
      <c r="CSJ10" s="49"/>
      <c r="CSK10" s="49"/>
      <c r="CSL10" s="64"/>
      <c r="CSM10" s="68"/>
      <c r="CSN10" s="48"/>
      <c r="CSO10" s="49"/>
      <c r="CSP10" s="49"/>
      <c r="CSQ10" s="49"/>
      <c r="CSR10" s="49"/>
      <c r="CSS10" s="49"/>
      <c r="CST10" s="64"/>
      <c r="CSU10" s="68"/>
      <c r="CSV10" s="48"/>
      <c r="CSW10" s="49"/>
      <c r="CSX10" s="49"/>
      <c r="CSY10" s="49"/>
      <c r="CSZ10" s="49"/>
      <c r="CTA10" s="49"/>
      <c r="CTB10" s="64"/>
      <c r="CTC10" s="68"/>
      <c r="CTD10" s="48"/>
      <c r="CTE10" s="49"/>
      <c r="CTF10" s="49"/>
      <c r="CTG10" s="49"/>
      <c r="CTH10" s="49"/>
      <c r="CTI10" s="49"/>
      <c r="CTJ10" s="64"/>
      <c r="CTK10" s="68"/>
      <c r="CTL10" s="48"/>
      <c r="CTM10" s="49"/>
      <c r="CTN10" s="49"/>
      <c r="CTO10" s="49"/>
      <c r="CTP10" s="49"/>
      <c r="CTQ10" s="49"/>
      <c r="CTR10" s="64"/>
      <c r="CTS10" s="68"/>
      <c r="CTT10" s="48"/>
      <c r="CTU10" s="49"/>
      <c r="CTV10" s="49"/>
      <c r="CTW10" s="49"/>
      <c r="CTX10" s="49"/>
      <c r="CTY10" s="49"/>
      <c r="CTZ10" s="64"/>
      <c r="CUA10" s="68"/>
      <c r="CUB10" s="48"/>
      <c r="CUC10" s="49"/>
      <c r="CUD10" s="49"/>
      <c r="CUE10" s="49"/>
      <c r="CUF10" s="49"/>
      <c r="CUG10" s="49"/>
      <c r="CUH10" s="64"/>
      <c r="CUI10" s="68"/>
      <c r="CUJ10" s="48"/>
      <c r="CUK10" s="49"/>
      <c r="CUL10" s="49"/>
      <c r="CUM10" s="49"/>
      <c r="CUN10" s="49"/>
      <c r="CUO10" s="49"/>
      <c r="CUP10" s="64"/>
      <c r="CUQ10" s="68"/>
      <c r="CUR10" s="48"/>
      <c r="CUS10" s="49"/>
      <c r="CUT10" s="49"/>
      <c r="CUU10" s="49"/>
      <c r="CUV10" s="49"/>
      <c r="CUW10" s="49"/>
      <c r="CUX10" s="64"/>
      <c r="CUY10" s="68"/>
      <c r="CUZ10" s="48"/>
      <c r="CVA10" s="49"/>
      <c r="CVB10" s="49"/>
      <c r="CVC10" s="49"/>
      <c r="CVD10" s="49"/>
      <c r="CVE10" s="49"/>
      <c r="CVF10" s="64"/>
      <c r="CVG10" s="68"/>
      <c r="CVH10" s="48"/>
      <c r="CVI10" s="49"/>
      <c r="CVJ10" s="49"/>
      <c r="CVK10" s="49"/>
      <c r="CVL10" s="49"/>
      <c r="CVM10" s="49"/>
      <c r="CVN10" s="64"/>
      <c r="CVO10" s="68"/>
      <c r="CVP10" s="48"/>
      <c r="CVQ10" s="49"/>
      <c r="CVR10" s="49"/>
      <c r="CVS10" s="49"/>
      <c r="CVT10" s="49"/>
      <c r="CVU10" s="49"/>
      <c r="CVV10" s="64"/>
      <c r="CVW10" s="68"/>
      <c r="CVX10" s="48"/>
      <c r="CVY10" s="49"/>
      <c r="CVZ10" s="49"/>
      <c r="CWA10" s="49"/>
      <c r="CWB10" s="49"/>
      <c r="CWC10" s="49"/>
      <c r="CWD10" s="64"/>
      <c r="CWE10" s="68"/>
      <c r="CWF10" s="48"/>
      <c r="CWG10" s="49"/>
      <c r="CWH10" s="49"/>
      <c r="CWI10" s="49"/>
      <c r="CWJ10" s="49"/>
      <c r="CWK10" s="49"/>
      <c r="CWL10" s="64"/>
      <c r="CWM10" s="68"/>
      <c r="CWN10" s="48"/>
      <c r="CWO10" s="49"/>
      <c r="CWP10" s="49"/>
      <c r="CWQ10" s="49"/>
      <c r="CWR10" s="49"/>
      <c r="CWS10" s="49"/>
      <c r="CWT10" s="64"/>
      <c r="CWU10" s="68"/>
      <c r="CWV10" s="48"/>
      <c r="CWW10" s="49"/>
      <c r="CWX10" s="49"/>
      <c r="CWY10" s="49"/>
      <c r="CWZ10" s="49"/>
      <c r="CXA10" s="49"/>
      <c r="CXB10" s="127"/>
      <c r="CXC10" s="43"/>
      <c r="CXD10" s="48"/>
      <c r="CXE10" s="49"/>
      <c r="CXF10" s="49"/>
      <c r="CXG10" s="49"/>
      <c r="CXH10" s="49"/>
      <c r="CXI10" s="49"/>
      <c r="CXJ10" s="127"/>
      <c r="CXK10" s="43"/>
      <c r="CXL10" s="48"/>
      <c r="CXM10" s="49"/>
      <c r="CXN10" s="49"/>
      <c r="CXO10" s="49"/>
      <c r="CXP10" s="49"/>
      <c r="CXQ10" s="49"/>
      <c r="CXR10" s="127"/>
      <c r="CXS10" s="43"/>
      <c r="CXT10" s="48"/>
      <c r="CXU10" s="49"/>
      <c r="CXV10" s="49"/>
      <c r="CXW10" s="49"/>
      <c r="CXX10" s="49"/>
      <c r="CXY10" s="49"/>
      <c r="CXZ10" s="127"/>
      <c r="CYA10" s="43"/>
      <c r="CYB10" s="48"/>
      <c r="CYC10" s="49"/>
      <c r="CYD10" s="49"/>
      <c r="CYE10" s="49"/>
      <c r="CYF10" s="49"/>
      <c r="CYG10" s="49"/>
      <c r="CYH10" s="127"/>
      <c r="CYI10" s="43"/>
      <c r="CYJ10" s="48"/>
      <c r="CYK10" s="49"/>
      <c r="CYL10" s="49"/>
      <c r="CYM10" s="49"/>
      <c r="CYN10" s="49"/>
      <c r="CYO10" s="49"/>
      <c r="CYP10" s="127"/>
      <c r="CYQ10" s="43"/>
      <c r="CYR10" s="48"/>
      <c r="CYS10" s="49"/>
      <c r="CYT10" s="49"/>
      <c r="CYU10" s="49"/>
      <c r="CYV10" s="49"/>
      <c r="CYW10" s="49"/>
      <c r="CYX10" s="127"/>
      <c r="CYY10" s="43"/>
      <c r="CYZ10" s="48"/>
      <c r="CZA10" s="49"/>
      <c r="CZB10" s="49"/>
      <c r="CZC10" s="49"/>
      <c r="CZD10" s="49"/>
      <c r="CZE10" s="49"/>
      <c r="CZF10" s="127"/>
      <c r="CZG10" s="43"/>
      <c r="CZH10" s="48"/>
      <c r="CZI10" s="49"/>
      <c r="CZJ10" s="49"/>
      <c r="CZK10" s="49"/>
      <c r="CZL10" s="49"/>
      <c r="CZM10" s="49"/>
      <c r="CZN10" s="127"/>
      <c r="CZO10" s="43"/>
      <c r="CZP10" s="48"/>
      <c r="CZQ10" s="49"/>
      <c r="CZR10" s="49"/>
      <c r="CZS10" s="49"/>
      <c r="CZT10" s="49"/>
      <c r="CZU10" s="49"/>
      <c r="CZV10" s="127"/>
      <c r="CZW10" s="43"/>
      <c r="CZX10" s="48"/>
      <c r="CZY10" s="49"/>
      <c r="CZZ10" s="49"/>
      <c r="DAA10" s="49"/>
      <c r="DAB10" s="49"/>
      <c r="DAC10" s="49"/>
      <c r="DAD10" s="64"/>
      <c r="DAE10" s="68"/>
      <c r="DAF10" s="48"/>
      <c r="DAG10" s="49"/>
      <c r="DAH10" s="49"/>
      <c r="DAI10" s="49"/>
      <c r="DAJ10" s="49"/>
      <c r="DAK10" s="49"/>
      <c r="DAL10" s="64"/>
      <c r="DAM10" s="68"/>
      <c r="DAN10" s="48"/>
      <c r="DAO10" s="49"/>
      <c r="DAP10" s="49"/>
      <c r="DAQ10" s="49"/>
      <c r="DAR10" s="49"/>
      <c r="DAS10" s="49"/>
      <c r="DAT10" s="64"/>
      <c r="DAU10" s="68"/>
      <c r="DAV10" s="48"/>
      <c r="DAW10" s="49"/>
      <c r="DAX10" s="49"/>
      <c r="DAY10" s="49"/>
      <c r="DAZ10" s="49"/>
      <c r="DBA10" s="49"/>
      <c r="DBB10" s="64"/>
      <c r="DBC10" s="68"/>
      <c r="DBD10" s="48"/>
      <c r="DBE10" s="49"/>
      <c r="DBF10" s="49"/>
      <c r="DBG10" s="49"/>
      <c r="DBH10" s="49"/>
      <c r="DBI10" s="49"/>
      <c r="DBJ10" s="64"/>
      <c r="DBK10" s="68"/>
      <c r="DBL10" s="48"/>
      <c r="DBM10" s="49"/>
      <c r="DBN10" s="49"/>
      <c r="DBO10" s="49"/>
      <c r="DBP10" s="49"/>
      <c r="DBQ10" s="49"/>
      <c r="DBR10" s="64"/>
      <c r="DBS10" s="68"/>
      <c r="DBT10" s="48"/>
      <c r="DBU10" s="49"/>
      <c r="DBV10" s="49"/>
      <c r="DBW10" s="49"/>
      <c r="DBX10" s="49"/>
      <c r="DBY10" s="49"/>
      <c r="DBZ10" s="64"/>
      <c r="DCA10" s="68"/>
      <c r="DCB10" s="48"/>
      <c r="DCC10" s="49"/>
      <c r="DCD10" s="49"/>
      <c r="DCE10" s="49"/>
      <c r="DCF10" s="49"/>
      <c r="DCG10" s="49"/>
      <c r="DCH10" s="64"/>
      <c r="DCI10" s="68"/>
      <c r="DCJ10" s="48"/>
      <c r="DCK10" s="49"/>
      <c r="DCL10" s="49"/>
      <c r="DCM10" s="49"/>
      <c r="DCN10" s="49"/>
      <c r="DCO10" s="49"/>
      <c r="DCP10" s="64"/>
      <c r="DCQ10" s="68"/>
      <c r="DCR10" s="48"/>
      <c r="DCS10" s="49"/>
      <c r="DCT10" s="49"/>
      <c r="DCU10" s="49"/>
      <c r="DCV10" s="49"/>
      <c r="DCW10" s="49"/>
      <c r="DCX10" s="64"/>
      <c r="DCY10" s="68"/>
      <c r="DCZ10" s="48"/>
      <c r="DDA10" s="49"/>
      <c r="DDB10" s="49"/>
      <c r="DDC10" s="49"/>
      <c r="DDD10" s="49"/>
      <c r="DDE10" s="49"/>
      <c r="DDF10" s="64"/>
      <c r="DDG10" s="68"/>
      <c r="DDH10" s="48"/>
      <c r="DDI10" s="49"/>
      <c r="DDJ10" s="49"/>
      <c r="DDK10" s="49"/>
      <c r="DDL10" s="49"/>
      <c r="DDM10" s="49"/>
      <c r="DDN10" s="127"/>
      <c r="DDO10" s="43"/>
      <c r="DDP10" s="48"/>
      <c r="DDQ10" s="49"/>
      <c r="DDR10" s="49"/>
      <c r="DDS10" s="49"/>
      <c r="DDT10" s="49"/>
      <c r="DDU10" s="49"/>
      <c r="DDV10" s="127"/>
      <c r="DDW10" s="43"/>
      <c r="DDX10" s="48"/>
      <c r="DDY10" s="49"/>
      <c r="DDZ10" s="49"/>
      <c r="DEA10" s="49"/>
      <c r="DEB10" s="49"/>
      <c r="DEC10" s="49"/>
      <c r="DED10" s="127"/>
      <c r="DEE10" s="43"/>
      <c r="DEF10" s="48"/>
      <c r="DEG10" s="49"/>
      <c r="DEH10" s="49"/>
      <c r="DEI10" s="49"/>
      <c r="DEJ10" s="49"/>
      <c r="DEK10" s="49"/>
      <c r="DEL10" s="127"/>
      <c r="DEM10" s="43"/>
      <c r="DEN10" s="48"/>
      <c r="DEO10" s="49"/>
      <c r="DEP10" s="49"/>
      <c r="DEQ10" s="49"/>
      <c r="DER10" s="49"/>
      <c r="DES10" s="49"/>
      <c r="DET10" s="127"/>
      <c r="DEU10" s="43"/>
      <c r="DEV10" s="48"/>
      <c r="DEW10" s="49"/>
      <c r="DEX10" s="49"/>
      <c r="DEY10" s="49"/>
      <c r="DEZ10" s="49"/>
      <c r="DFA10" s="49"/>
      <c r="DFB10" s="127"/>
      <c r="DFC10" s="43"/>
      <c r="DFD10" s="48"/>
      <c r="DFE10" s="49"/>
      <c r="DFF10" s="49"/>
      <c r="DFG10" s="49"/>
      <c r="DFH10" s="49"/>
      <c r="DFI10" s="49"/>
      <c r="DFJ10" s="127"/>
      <c r="DFK10" s="43"/>
      <c r="DFL10" s="63"/>
      <c r="DFM10" s="64"/>
      <c r="DFN10" s="64"/>
      <c r="DFO10" s="64"/>
      <c r="DFP10" s="64"/>
      <c r="DFQ10" s="64"/>
      <c r="DFR10" s="64"/>
      <c r="DFS10" s="68"/>
      <c r="DFT10" s="48"/>
      <c r="DFU10" s="49"/>
      <c r="DFV10" s="49"/>
      <c r="DFW10" s="49"/>
      <c r="DFX10" s="49"/>
      <c r="DFY10" s="49"/>
      <c r="DFZ10" s="127"/>
      <c r="DGA10" s="43"/>
      <c r="DGB10" s="48"/>
      <c r="DGC10" s="49"/>
      <c r="DGD10" s="49"/>
      <c r="DGE10" s="49"/>
      <c r="DGF10" s="49"/>
      <c r="DGG10" s="49"/>
      <c r="DGH10" s="127"/>
      <c r="DGI10" s="43"/>
      <c r="DGJ10" s="48"/>
      <c r="DGK10" s="49"/>
      <c r="DGL10" s="49"/>
      <c r="DGM10" s="49"/>
      <c r="DGN10" s="49"/>
      <c r="DGO10" s="49"/>
      <c r="DGP10" s="64"/>
      <c r="DGQ10" s="68"/>
      <c r="DGR10" s="48"/>
      <c r="DGS10" s="49"/>
      <c r="DGT10" s="49"/>
      <c r="DGU10" s="49"/>
      <c r="DGV10" s="49"/>
      <c r="DGW10" s="49"/>
      <c r="DGX10" s="64"/>
      <c r="DGY10" s="68"/>
      <c r="DGZ10" s="48"/>
      <c r="DHA10" s="49"/>
      <c r="DHB10" s="49"/>
      <c r="DHC10" s="49"/>
      <c r="DHD10" s="49"/>
      <c r="DHE10" s="49"/>
      <c r="DHF10" s="64"/>
      <c r="DHG10" s="68"/>
      <c r="DHH10" s="63"/>
      <c r="DHI10" s="64"/>
      <c r="DHJ10" s="64"/>
      <c r="DHK10" s="64"/>
      <c r="DHL10" s="64"/>
      <c r="DHM10" s="64"/>
      <c r="DHN10" s="64"/>
      <c r="DHO10" s="68"/>
      <c r="DHP10" s="48"/>
      <c r="DHQ10" s="49"/>
      <c r="DHR10" s="49"/>
      <c r="DHS10" s="49"/>
      <c r="DHT10" s="49"/>
      <c r="DHU10" s="49"/>
      <c r="DHV10" s="64"/>
      <c r="DHW10" s="68"/>
      <c r="DHX10" s="48"/>
      <c r="DHY10" s="49"/>
      <c r="DHZ10" s="49"/>
      <c r="DIA10" s="49"/>
      <c r="DIB10" s="49"/>
      <c r="DIC10" s="49"/>
      <c r="DID10" s="64"/>
      <c r="DIE10" s="68"/>
      <c r="DIF10" s="48"/>
      <c r="DIG10" s="49"/>
      <c r="DIH10" s="49"/>
      <c r="DII10" s="49"/>
      <c r="DIJ10" s="49"/>
      <c r="DIK10" s="49"/>
      <c r="DIL10" s="64"/>
      <c r="DIM10" s="68"/>
      <c r="DIN10" s="48"/>
      <c r="DIO10" s="49"/>
      <c r="DIP10" s="49"/>
      <c r="DIQ10" s="49"/>
      <c r="DIR10" s="49"/>
      <c r="DIS10" s="49"/>
      <c r="DIT10" s="64"/>
      <c r="DIU10" s="68"/>
      <c r="DIV10" s="48"/>
      <c r="DIW10" s="49"/>
      <c r="DIX10" s="49"/>
      <c r="DIY10" s="49"/>
      <c r="DIZ10" s="49"/>
      <c r="DJA10" s="49"/>
      <c r="DJB10" s="64"/>
      <c r="DJC10" s="68"/>
      <c r="DJD10" s="48"/>
      <c r="DJE10" s="49"/>
      <c r="DJF10" s="49"/>
      <c r="DJG10" s="49"/>
      <c r="DJH10" s="49"/>
      <c r="DJI10" s="49"/>
      <c r="DJJ10" s="64"/>
      <c r="DJK10" s="68"/>
      <c r="DJL10" s="48"/>
      <c r="DJM10" s="49"/>
      <c r="DJN10" s="49"/>
      <c r="DJO10" s="49"/>
      <c r="DJP10" s="49"/>
      <c r="DJQ10" s="49"/>
      <c r="DJR10" s="64"/>
      <c r="DJS10" s="68"/>
      <c r="DJT10" s="48"/>
      <c r="DJU10" s="49"/>
      <c r="DJV10" s="49"/>
      <c r="DJW10" s="49"/>
      <c r="DJX10" s="49"/>
      <c r="DJY10" s="49"/>
      <c r="DJZ10" s="64"/>
      <c r="DKA10" s="68"/>
      <c r="DKB10" s="48"/>
      <c r="DKC10" s="49"/>
      <c r="DKD10" s="49"/>
      <c r="DKE10" s="49"/>
      <c r="DKF10" s="49"/>
      <c r="DKG10" s="49"/>
      <c r="DKH10" s="64"/>
      <c r="DKI10" s="68"/>
      <c r="DKJ10" s="48"/>
      <c r="DKK10" s="49"/>
      <c r="DKL10" s="49"/>
      <c r="DKM10" s="49"/>
      <c r="DKN10" s="49"/>
      <c r="DKO10" s="49"/>
      <c r="DKP10" s="64"/>
      <c r="DKQ10" s="68"/>
      <c r="DKR10" s="48"/>
      <c r="DKS10" s="49"/>
      <c r="DKT10" s="49"/>
      <c r="DKU10" s="49"/>
      <c r="DKV10" s="49"/>
      <c r="DKW10" s="49"/>
      <c r="DKX10" s="64"/>
      <c r="DKY10" s="68"/>
      <c r="DKZ10" s="48"/>
      <c r="DLA10" s="49"/>
      <c r="DLB10" s="49"/>
      <c r="DLC10" s="49"/>
      <c r="DLD10" s="49"/>
      <c r="DLE10" s="49"/>
      <c r="DLF10" s="64"/>
      <c r="DLG10" s="68"/>
      <c r="DLH10" s="48"/>
      <c r="DLI10" s="49"/>
      <c r="DLJ10" s="49"/>
      <c r="DLK10" s="49"/>
      <c r="DLL10" s="49"/>
      <c r="DLM10" s="49"/>
      <c r="DLN10" s="64"/>
      <c r="DLO10" s="68"/>
      <c r="DLP10" s="48"/>
      <c r="DLR10" s="49"/>
      <c r="DLS10" s="49"/>
      <c r="DLT10" s="49"/>
      <c r="DLU10" s="49"/>
      <c r="DLV10" s="64"/>
      <c r="DLW10" s="68"/>
      <c r="DLX10" s="48"/>
      <c r="DLY10" s="49"/>
      <c r="DLZ10" s="49"/>
      <c r="DMA10" s="49"/>
      <c r="DMB10" s="49"/>
      <c r="DMC10" s="49"/>
      <c r="DMD10" s="64"/>
      <c r="DME10" s="68"/>
      <c r="DMF10" s="48"/>
      <c r="DMG10" s="49"/>
      <c r="DMH10" s="49"/>
      <c r="DMI10" s="49"/>
      <c r="DMJ10" s="49"/>
      <c r="DMK10" s="49"/>
      <c r="DML10" s="64"/>
      <c r="DMM10" s="68"/>
      <c r="DMN10" s="48"/>
      <c r="DMO10" s="49"/>
      <c r="DMP10" s="49"/>
      <c r="DMQ10" s="49"/>
      <c r="DMR10" s="49"/>
      <c r="DMS10" s="49"/>
      <c r="DMT10" s="64"/>
      <c r="DMU10" s="68"/>
      <c r="DMV10" s="48"/>
      <c r="DMW10" s="49"/>
      <c r="DMX10" s="49"/>
      <c r="DMY10" s="49"/>
      <c r="DMZ10" s="49"/>
      <c r="DNA10" s="49"/>
      <c r="DNB10" s="64"/>
      <c r="DNC10" s="68"/>
      <c r="DND10" s="48"/>
      <c r="DNE10" s="49"/>
      <c r="DNF10" s="49"/>
      <c r="DNG10" s="49"/>
      <c r="DNH10" s="49"/>
      <c r="DNI10" s="49"/>
      <c r="DNJ10" s="64"/>
      <c r="DNK10" s="68"/>
      <c r="DNL10" s="48"/>
      <c r="DNM10" s="49"/>
      <c r="DNN10" s="49"/>
      <c r="DNO10" s="49"/>
      <c r="DNP10" s="49"/>
      <c r="DNQ10" s="49"/>
      <c r="DNR10" s="64"/>
      <c r="DNS10" s="68"/>
      <c r="DNT10" s="48"/>
      <c r="DNU10" s="49"/>
      <c r="DNV10" s="49"/>
      <c r="DNW10" s="49"/>
      <c r="DNX10" s="49"/>
      <c r="DNY10" s="49"/>
      <c r="DNZ10" s="64"/>
      <c r="DOA10" s="68"/>
      <c r="DOB10" s="48"/>
      <c r="DOC10" s="49"/>
      <c r="DOD10" s="49"/>
      <c r="DOE10" s="49"/>
      <c r="DOF10" s="49"/>
      <c r="DOG10" s="49"/>
      <c r="DOH10" s="64"/>
      <c r="DOI10" s="68"/>
      <c r="DOJ10" s="48"/>
      <c r="DOK10" s="49"/>
      <c r="DOL10" s="49"/>
      <c r="DOM10" s="49"/>
      <c r="DON10" s="49"/>
      <c r="DOO10" s="49"/>
      <c r="DOP10" s="64"/>
      <c r="DOQ10" s="68"/>
      <c r="DOR10" s="48"/>
      <c r="DOS10" s="49"/>
      <c r="DOT10" s="49"/>
      <c r="DOU10" s="49"/>
      <c r="DOV10" s="49"/>
      <c r="DOW10" s="49"/>
      <c r="DOX10" s="64"/>
      <c r="DOY10" s="68"/>
      <c r="DOZ10" s="48"/>
      <c r="DPA10" s="49"/>
      <c r="DPB10" s="49"/>
      <c r="DPC10" s="49"/>
      <c r="DPD10" s="49"/>
      <c r="DPE10" s="49"/>
      <c r="DPF10" s="64"/>
      <c r="DPG10" s="68"/>
      <c r="DPH10" s="48"/>
      <c r="DPI10" s="49"/>
      <c r="DPJ10" s="49"/>
      <c r="DPK10" s="49"/>
      <c r="DPL10" s="49"/>
      <c r="DPM10" s="49"/>
      <c r="DPN10" s="64"/>
      <c r="DPO10" s="68"/>
      <c r="DPP10" s="48"/>
      <c r="DPQ10" s="49"/>
      <c r="DPR10" s="49"/>
      <c r="DPS10" s="49"/>
      <c r="DPT10" s="49"/>
      <c r="DPU10" s="49"/>
      <c r="DPV10" s="491"/>
      <c r="DPW10" s="492"/>
      <c r="DPX10" s="48"/>
      <c r="DPY10" s="49"/>
      <c r="DPZ10" s="49"/>
      <c r="DQA10" s="49"/>
      <c r="DQB10" s="49"/>
      <c r="DQC10" s="49"/>
      <c r="DQD10" s="491"/>
      <c r="DQE10" s="492"/>
      <c r="DQF10" s="48"/>
      <c r="DQG10" s="49"/>
      <c r="DQH10" s="49"/>
      <c r="DQI10" s="49"/>
      <c r="DQJ10" s="49"/>
      <c r="DQK10" s="49"/>
      <c r="DQL10" s="489"/>
      <c r="DQM10" s="492"/>
      <c r="DQN10" s="48"/>
      <c r="DQO10" s="49"/>
      <c r="DQP10" s="49"/>
      <c r="DQQ10" s="49"/>
      <c r="DQR10" s="49"/>
      <c r="DQS10" s="49"/>
      <c r="DQT10" s="64"/>
      <c r="DQU10" s="68"/>
      <c r="DQV10" s="48"/>
      <c r="DQW10" s="49"/>
      <c r="DQX10" s="49"/>
      <c r="DQY10" s="49"/>
      <c r="DQZ10" s="49"/>
      <c r="DRA10" s="49"/>
      <c r="DRB10" s="491"/>
      <c r="DRC10" s="492"/>
      <c r="DRD10" s="48"/>
      <c r="DRE10" s="49"/>
      <c r="DRF10" s="49"/>
      <c r="DRG10" s="49"/>
      <c r="DRH10" s="49"/>
      <c r="DRI10" s="49"/>
      <c r="DRJ10" s="491"/>
      <c r="DRK10" s="492"/>
      <c r="DRL10" s="48"/>
      <c r="DRM10" s="49"/>
      <c r="DRN10" s="49"/>
      <c r="DRO10" s="49"/>
      <c r="DRP10" s="49"/>
      <c r="DRQ10" s="49"/>
      <c r="DRR10" s="64"/>
      <c r="DRS10" s="68"/>
      <c r="DRT10" s="48"/>
      <c r="DRU10" s="49"/>
      <c r="DRV10" s="49"/>
      <c r="DRW10" s="49"/>
      <c r="DRX10" s="49"/>
      <c r="DRY10" s="49"/>
      <c r="DRZ10" s="491"/>
      <c r="DSA10" s="68"/>
      <c r="DSB10" s="82"/>
      <c r="DSC10" s="83"/>
      <c r="DSD10" s="83"/>
      <c r="DSE10" s="83"/>
      <c r="DSF10" s="83"/>
      <c r="DSG10" s="83"/>
      <c r="DSH10" s="64"/>
      <c r="DSI10" s="68"/>
      <c r="DSJ10" s="48"/>
      <c r="DSK10" s="49"/>
      <c r="DSL10" s="49"/>
      <c r="DSM10" s="49"/>
      <c r="DSN10" s="49"/>
      <c r="DSO10" s="49"/>
      <c r="DSP10" s="64"/>
      <c r="DSQ10" s="68"/>
      <c r="DSR10" s="48"/>
      <c r="DSS10" s="49"/>
      <c r="DST10" s="49"/>
      <c r="DSU10" s="49"/>
      <c r="DSV10" s="49"/>
      <c r="DSW10" s="49"/>
      <c r="DSX10" s="64"/>
      <c r="DSY10" s="68"/>
      <c r="DSZ10" s="48"/>
      <c r="DTA10" s="49"/>
      <c r="DTB10" s="49"/>
      <c r="DTC10" s="49"/>
      <c r="DTD10" s="49"/>
      <c r="DTE10" s="49"/>
      <c r="DTF10" s="64"/>
      <c r="DTG10" s="68"/>
      <c r="DTH10" s="48"/>
      <c r="DTI10" s="49"/>
      <c r="DTJ10" s="49"/>
      <c r="DTK10" s="49"/>
      <c r="DTL10" s="49"/>
      <c r="DTM10" s="49"/>
      <c r="DTN10" s="64"/>
      <c r="DTO10" s="68"/>
      <c r="DTP10" s="48"/>
      <c r="DTQ10" s="49"/>
      <c r="DTR10" s="49"/>
      <c r="DTS10" s="49"/>
      <c r="DTT10" s="49"/>
      <c r="DTU10" s="49"/>
      <c r="DTV10" s="64"/>
      <c r="DTW10" s="68"/>
      <c r="DTX10" s="48"/>
      <c r="DTY10" s="49"/>
      <c r="DTZ10" s="49"/>
      <c r="DUA10" s="49"/>
      <c r="DUB10" s="49"/>
      <c r="DUC10" s="49"/>
      <c r="DUD10" s="64"/>
      <c r="DUE10" s="68"/>
      <c r="DUF10" s="48"/>
      <c r="DUG10" s="49"/>
      <c r="DUH10" s="49"/>
      <c r="DUI10" s="49"/>
      <c r="DUJ10" s="49"/>
      <c r="DUK10" s="49"/>
      <c r="DUL10" s="64"/>
      <c r="DUM10" s="68"/>
      <c r="DUN10" s="48"/>
      <c r="DUO10" s="49"/>
      <c r="DUP10" s="49"/>
      <c r="DUQ10" s="49"/>
      <c r="DUR10" s="49"/>
      <c r="DUS10" s="49"/>
      <c r="DUT10" s="64"/>
      <c r="DUU10" s="184"/>
      <c r="DUV10" s="48"/>
      <c r="DUW10" s="49"/>
      <c r="DUX10" s="49"/>
      <c r="DUY10" s="49"/>
      <c r="DUZ10" s="49"/>
      <c r="DVA10" s="49"/>
      <c r="DVB10" s="64"/>
      <c r="DVC10" s="68"/>
      <c r="DVD10" s="48"/>
      <c r="DVE10" s="49"/>
      <c r="DVF10" s="49"/>
      <c r="DVG10" s="49"/>
      <c r="DVH10" s="49"/>
      <c r="DVI10" s="49"/>
      <c r="DVJ10" s="64"/>
      <c r="DVK10" s="68"/>
      <c r="DVL10" s="48"/>
      <c r="DVM10" s="49"/>
      <c r="DVN10" s="49"/>
      <c r="DVO10" s="49"/>
      <c r="DVP10" s="49"/>
      <c r="DVQ10" s="49"/>
      <c r="DVR10" s="64"/>
      <c r="DVS10" s="68"/>
      <c r="DVT10" s="48"/>
      <c r="DVU10" s="49"/>
      <c r="DVV10" s="49"/>
      <c r="DVW10" s="49"/>
      <c r="DVX10" s="49"/>
      <c r="DVY10" s="49"/>
      <c r="DVZ10" s="64"/>
      <c r="DWA10" s="68"/>
      <c r="DWB10" s="48"/>
      <c r="DWC10" s="49"/>
      <c r="DWD10" s="49"/>
      <c r="DWE10" s="49"/>
      <c r="DWF10" s="49"/>
      <c r="DWG10" s="49"/>
      <c r="DWH10" s="64"/>
      <c r="DWI10" s="68"/>
      <c r="DWJ10" s="48"/>
      <c r="DWK10" s="49"/>
      <c r="DWL10" s="49"/>
      <c r="DWM10" s="49"/>
      <c r="DWN10" s="49"/>
      <c r="DWO10" s="49"/>
      <c r="DWP10" s="64"/>
      <c r="DWQ10" s="68"/>
      <c r="DWR10" s="48"/>
      <c r="DWS10" s="49"/>
      <c r="DWT10" s="49"/>
      <c r="DWU10" s="49"/>
      <c r="DWV10" s="49"/>
      <c r="DWW10" s="49"/>
      <c r="DWX10" s="64"/>
      <c r="DWY10" s="68"/>
      <c r="DWZ10" s="48"/>
      <c r="DXA10" s="49"/>
      <c r="DXB10" s="49"/>
      <c r="DXC10" s="49"/>
      <c r="DXD10" s="49"/>
      <c r="DXE10" s="49"/>
      <c r="DXF10" s="64"/>
      <c r="DXG10" s="68"/>
      <c r="DXH10" s="48"/>
      <c r="DXI10" s="49"/>
      <c r="DXJ10" s="49"/>
      <c r="DXK10" s="49"/>
      <c r="DXL10" s="49"/>
      <c r="DXM10" s="49"/>
      <c r="DXN10" s="64"/>
      <c r="DXO10" s="68"/>
      <c r="DXP10" s="48"/>
      <c r="DXQ10" s="49"/>
      <c r="DXR10" s="49"/>
      <c r="DXS10" s="49"/>
      <c r="DXT10" s="49"/>
      <c r="DXU10" s="49"/>
      <c r="DXV10" s="64"/>
      <c r="DXW10" s="68"/>
      <c r="DXX10" s="48"/>
      <c r="DXY10" s="49"/>
      <c r="DXZ10" s="49"/>
      <c r="DYA10" s="49"/>
      <c r="DYB10" s="49"/>
      <c r="DYC10" s="49"/>
      <c r="DYD10" s="64"/>
      <c r="DYE10" s="68"/>
      <c r="DYF10" s="48"/>
      <c r="DYG10" s="49"/>
      <c r="DYH10" s="49"/>
      <c r="DYI10" s="49"/>
      <c r="DYJ10" s="49"/>
      <c r="DYK10" s="49"/>
      <c r="DYL10" s="64"/>
      <c r="DYM10" s="68"/>
      <c r="DYN10" s="48"/>
      <c r="DYO10" s="49"/>
      <c r="DYP10" s="49"/>
      <c r="DYQ10" s="49"/>
      <c r="DYR10" s="49"/>
      <c r="DYS10" s="49"/>
      <c r="DYT10" s="64"/>
      <c r="DYU10" s="68"/>
      <c r="DYV10" s="48"/>
      <c r="DYW10" s="49"/>
      <c r="DYX10" s="49"/>
      <c r="DYY10" s="49"/>
      <c r="DYZ10" s="49"/>
      <c r="DZA10" s="49"/>
      <c r="DZB10" s="64"/>
      <c r="DZC10" s="68"/>
      <c r="DZD10" s="48"/>
      <c r="DZE10" s="49"/>
      <c r="DZF10" s="49"/>
      <c r="DZG10" s="49"/>
      <c r="DZH10" s="49"/>
      <c r="DZI10" s="49"/>
      <c r="DZJ10" s="64"/>
      <c r="DZK10" s="68"/>
      <c r="DZL10" s="48"/>
      <c r="DZM10" s="49"/>
      <c r="DZN10" s="49"/>
      <c r="DZO10" s="49"/>
      <c r="DZP10" s="49"/>
      <c r="DZQ10" s="49"/>
      <c r="DZR10" s="64"/>
      <c r="DZS10" s="68"/>
      <c r="DZT10" s="48"/>
      <c r="DZU10" s="49"/>
      <c r="DZV10" s="49"/>
      <c r="DZW10" s="49"/>
      <c r="DZX10" s="49"/>
      <c r="DZY10" s="49"/>
      <c r="DZZ10" s="64"/>
      <c r="EAA10" s="68"/>
      <c r="EAB10" s="48"/>
      <c r="EAC10" s="49"/>
      <c r="EAD10" s="49"/>
      <c r="EAE10" s="49"/>
      <c r="EAF10" s="49"/>
      <c r="EAG10" s="49"/>
      <c r="EAH10" s="64"/>
      <c r="EAI10" s="68"/>
      <c r="EAJ10" s="48"/>
      <c r="EAK10" s="49"/>
      <c r="EAL10" s="49"/>
      <c r="EAM10" s="49"/>
      <c r="EAN10" s="49"/>
      <c r="EAO10" s="49"/>
      <c r="EAP10" s="64"/>
      <c r="EAQ10" s="68"/>
      <c r="EAR10" s="48"/>
      <c r="EAS10" s="49"/>
      <c r="EAT10" s="49"/>
      <c r="EAU10" s="49"/>
      <c r="EAV10" s="49"/>
      <c r="EAW10" s="49"/>
      <c r="EAX10" s="64"/>
      <c r="EAY10" s="68"/>
      <c r="EAZ10" s="48"/>
      <c r="EBA10" s="49"/>
      <c r="EBB10" s="49"/>
      <c r="EBC10" s="49"/>
      <c r="EBD10" s="49"/>
      <c r="EBE10" s="49"/>
      <c r="EBF10" s="64"/>
      <c r="EBG10" s="68"/>
      <c r="EBH10" s="48"/>
      <c r="EBI10" s="49"/>
      <c r="EBJ10" s="49"/>
      <c r="EBK10" s="49"/>
      <c r="EBL10" s="49"/>
      <c r="EBM10" s="49"/>
      <c r="EBN10" s="64"/>
      <c r="EBO10" s="68"/>
      <c r="EBP10" s="48"/>
      <c r="EBQ10" s="49"/>
      <c r="EBR10" s="49"/>
      <c r="EBS10" s="49"/>
      <c r="EBT10" s="49"/>
      <c r="EBU10" s="49"/>
      <c r="EBV10" s="64"/>
      <c r="EBW10" s="68"/>
      <c r="EBX10" s="48"/>
      <c r="EBY10" s="49"/>
      <c r="EBZ10" s="49"/>
      <c r="ECA10" s="49"/>
      <c r="ECB10" s="49"/>
      <c r="ECC10" s="49"/>
      <c r="ECD10" s="64"/>
      <c r="ECE10" s="68"/>
      <c r="ECF10" s="48"/>
      <c r="ECG10" s="49"/>
      <c r="ECH10" s="49"/>
      <c r="ECI10" s="49"/>
      <c r="ECJ10" s="49"/>
      <c r="ECK10" s="49"/>
      <c r="ECL10" s="64"/>
      <c r="ECM10" s="68"/>
      <c r="ECN10" s="48"/>
      <c r="ECO10" s="49"/>
      <c r="ECP10" s="49"/>
      <c r="ECQ10" s="49"/>
      <c r="ECR10" s="49"/>
      <c r="ECS10" s="49"/>
      <c r="ECT10" s="64"/>
      <c r="ECU10" s="68"/>
      <c r="ECV10" s="48"/>
      <c r="ECW10" s="49"/>
      <c r="ECX10" s="49"/>
      <c r="ECY10" s="49"/>
      <c r="ECZ10" s="49"/>
      <c r="EDA10" s="49"/>
      <c r="EDB10" s="64"/>
      <c r="EDC10" s="68"/>
      <c r="EDD10" s="48"/>
      <c r="EDE10" s="49"/>
      <c r="EDF10" s="49"/>
      <c r="EDG10" s="49"/>
      <c r="EDH10" s="49"/>
      <c r="EDI10" s="49"/>
      <c r="EDJ10" s="64"/>
      <c r="EDK10" s="68"/>
      <c r="EDL10" s="48"/>
      <c r="EDM10" s="49"/>
      <c r="EDN10" s="49"/>
      <c r="EDO10" s="49"/>
      <c r="EDP10" s="49"/>
      <c r="EDQ10" s="49"/>
      <c r="EDR10" s="64"/>
      <c r="EDS10" s="184"/>
      <c r="EDT10" s="195"/>
      <c r="EDU10" s="49"/>
      <c r="EDV10" s="49"/>
      <c r="EDW10" s="49"/>
      <c r="EDX10" s="49"/>
      <c r="EDY10" s="49"/>
      <c r="EDZ10" s="64"/>
      <c r="EEA10" s="184"/>
      <c r="EEB10" s="48"/>
      <c r="EEC10" s="49"/>
      <c r="EED10" s="49"/>
      <c r="EEE10" s="49"/>
      <c r="EEF10" s="49"/>
      <c r="EEG10" s="49"/>
      <c r="EEH10" s="64"/>
      <c r="EEI10" s="68"/>
      <c r="EEJ10" s="48"/>
      <c r="EEK10" s="49"/>
      <c r="EEL10" s="49"/>
      <c r="EEM10" s="49"/>
      <c r="EEN10" s="49"/>
      <c r="EEO10" s="49"/>
      <c r="EEP10" s="64"/>
      <c r="EEQ10" s="68"/>
      <c r="EER10" s="48"/>
      <c r="EES10" s="49"/>
      <c r="EET10" s="49"/>
      <c r="EEU10" s="49"/>
      <c r="EEV10" s="49"/>
      <c r="EEW10" s="49"/>
      <c r="EEX10" s="64"/>
      <c r="EEY10" s="68"/>
      <c r="EEZ10" s="48"/>
      <c r="EFA10" s="49"/>
      <c r="EFB10" s="49"/>
      <c r="EFC10" s="49"/>
      <c r="EFD10" s="49"/>
      <c r="EFE10" s="49"/>
      <c r="EFF10" s="64"/>
      <c r="EFG10" s="68"/>
      <c r="EFH10" s="48"/>
      <c r="EFI10" s="49"/>
      <c r="EFJ10" s="49"/>
      <c r="EFK10" s="49"/>
      <c r="EFL10" s="49"/>
      <c r="EFM10" s="49"/>
      <c r="EFN10" s="64"/>
      <c r="EFO10" s="68"/>
      <c r="EFP10" s="48"/>
      <c r="EFQ10" s="49"/>
      <c r="EFR10" s="49"/>
      <c r="EFS10" s="49"/>
      <c r="EFT10" s="49"/>
      <c r="EFU10" s="49"/>
      <c r="EFV10" s="64"/>
      <c r="EFW10" s="68"/>
      <c r="EFX10" s="48"/>
      <c r="EFY10" s="49"/>
      <c r="EFZ10" s="49"/>
      <c r="EGA10" s="49"/>
      <c r="EGB10" s="49"/>
      <c r="EGC10" s="49"/>
      <c r="EGD10" s="64"/>
      <c r="EGE10" s="68"/>
      <c r="EGF10" s="48"/>
      <c r="EGG10" s="49"/>
      <c r="EGH10" s="49"/>
      <c r="EGI10" s="49"/>
      <c r="EGJ10" s="49"/>
      <c r="EGK10" s="49"/>
      <c r="EGL10" s="64"/>
      <c r="EGM10" s="68"/>
      <c r="EGN10" s="48"/>
      <c r="EGO10" s="49"/>
      <c r="EGP10" s="49"/>
      <c r="EGQ10" s="49"/>
      <c r="EGR10" s="49"/>
      <c r="EGS10" s="49"/>
      <c r="EGT10" s="64"/>
      <c r="EGU10" s="68"/>
      <c r="EGV10" s="48"/>
      <c r="EGW10" s="49"/>
      <c r="EGX10" s="49"/>
      <c r="EGY10" s="49"/>
      <c r="EGZ10" s="49"/>
      <c r="EHA10" s="49"/>
      <c r="EHB10" s="64"/>
      <c r="EHC10" s="68"/>
      <c r="EHD10" s="48"/>
      <c r="EHE10" s="49"/>
      <c r="EHF10" s="49"/>
      <c r="EHG10" s="49"/>
      <c r="EHH10" s="49"/>
      <c r="EHI10" s="49"/>
      <c r="EHJ10" s="64"/>
      <c r="EHK10" s="68"/>
      <c r="EHL10" s="48"/>
      <c r="EHM10" s="49"/>
      <c r="EHN10" s="49"/>
      <c r="EHO10" s="49"/>
      <c r="EHP10" s="49"/>
      <c r="EHQ10" s="49"/>
      <c r="EHR10" s="64"/>
      <c r="EHS10" s="68"/>
      <c r="EHT10" s="48"/>
      <c r="EHU10" s="49"/>
      <c r="EHV10" s="49"/>
      <c r="EHW10" s="49"/>
      <c r="EHX10" s="49"/>
      <c r="EHY10" s="49"/>
      <c r="EHZ10" s="64"/>
      <c r="EIA10" s="68"/>
      <c r="EIB10" s="48"/>
      <c r="EIC10" s="49"/>
      <c r="EID10" s="49"/>
      <c r="EIE10" s="49"/>
      <c r="EIF10" s="49"/>
      <c r="EIG10" s="49"/>
      <c r="EIH10" s="64"/>
      <c r="EII10" s="68"/>
      <c r="EIJ10" s="48"/>
      <c r="EIK10" s="49"/>
      <c r="EIL10" s="49"/>
      <c r="EIM10" s="49"/>
      <c r="EIN10" s="49"/>
      <c r="EIO10" s="49"/>
      <c r="EIP10" s="64"/>
      <c r="EIQ10" s="68"/>
      <c r="EIR10" s="48"/>
      <c r="EIS10" s="49"/>
      <c r="EIT10" s="49"/>
      <c r="EIU10" s="49"/>
      <c r="EIV10" s="49"/>
      <c r="EIW10" s="49"/>
      <c r="EIX10" s="64"/>
      <c r="EIY10" s="68"/>
      <c r="EIZ10" s="48"/>
      <c r="EJA10" s="49"/>
      <c r="EJB10" s="49"/>
      <c r="EJC10" s="49"/>
      <c r="EJD10" s="49"/>
      <c r="EJE10" s="49"/>
      <c r="EJF10" s="64"/>
      <c r="EJG10" s="68"/>
      <c r="EJH10" s="48"/>
      <c r="EJI10" s="49"/>
      <c r="EJJ10" s="49"/>
      <c r="EJK10" s="49"/>
      <c r="EJL10" s="49"/>
      <c r="EJM10" s="49"/>
      <c r="EJN10" s="64"/>
      <c r="EJO10" s="68"/>
      <c r="EJP10" s="48"/>
      <c r="EJQ10" s="49"/>
      <c r="EJR10" s="49"/>
      <c r="EJS10" s="49"/>
      <c r="EJT10" s="49"/>
      <c r="EJU10" s="49"/>
      <c r="EJV10" s="64"/>
      <c r="EJW10" s="68"/>
      <c r="EJX10" s="48"/>
      <c r="EJY10" s="49"/>
      <c r="EJZ10" s="49"/>
      <c r="EKA10" s="49"/>
      <c r="EKB10" s="49"/>
      <c r="EKC10" s="49"/>
      <c r="EKD10" s="64"/>
      <c r="EKE10" s="68"/>
      <c r="EKF10" s="48"/>
      <c r="EKG10" s="49"/>
      <c r="EKH10" s="49"/>
      <c r="EKI10" s="49"/>
      <c r="EKJ10" s="49"/>
      <c r="EKK10" s="49"/>
      <c r="EKL10" s="64"/>
      <c r="EKM10" s="68"/>
      <c r="EKN10" s="48"/>
      <c r="EKO10" s="49"/>
      <c r="EKP10" s="49"/>
      <c r="EKQ10" s="49"/>
      <c r="EKR10" s="49"/>
      <c r="EKS10" s="49"/>
      <c r="EKT10" s="64"/>
      <c r="EKU10" s="184"/>
      <c r="EKV10" s="665"/>
      <c r="EKW10" s="195"/>
      <c r="EKX10" s="49"/>
      <c r="EKY10" s="49"/>
      <c r="EKZ10" s="49"/>
      <c r="ELA10" s="49"/>
      <c r="ELB10" s="49"/>
      <c r="ELC10" s="64"/>
      <c r="ELD10" s="211"/>
      <c r="ELE10" s="195"/>
      <c r="ELF10" s="49"/>
      <c r="ELG10" s="49"/>
      <c r="ELH10" s="49"/>
      <c r="ELI10" s="49"/>
      <c r="ELJ10" s="49"/>
      <c r="ELK10" s="64"/>
      <c r="ELL10" s="211"/>
      <c r="ELM10" s="195"/>
      <c r="ELN10" s="49"/>
      <c r="ELO10" s="49"/>
      <c r="ELP10" s="49"/>
      <c r="ELQ10" s="49"/>
      <c r="ELR10" s="49"/>
      <c r="ELS10" s="64"/>
      <c r="ELT10" s="211"/>
      <c r="ELU10" s="195"/>
      <c r="ELV10" s="49"/>
      <c r="ELW10" s="49"/>
      <c r="ELX10" s="49"/>
      <c r="ELY10" s="49"/>
      <c r="ELZ10" s="49"/>
      <c r="EMA10" s="64"/>
      <c r="EMB10" s="211"/>
      <c r="EMC10" s="195"/>
      <c r="EMD10" s="49"/>
      <c r="EME10" s="49"/>
      <c r="EMF10" s="49"/>
      <c r="EMG10" s="49"/>
      <c r="EMH10" s="49"/>
      <c r="EMI10" s="64"/>
      <c r="EMJ10" s="211"/>
      <c r="EMK10" s="195"/>
      <c r="EML10" s="49"/>
      <c r="EMM10" s="49"/>
      <c r="EMN10" s="49"/>
      <c r="EMO10" s="49"/>
      <c r="EMP10" s="49"/>
      <c r="EMQ10" s="64"/>
      <c r="EMR10" s="211"/>
      <c r="EMS10" s="195"/>
      <c r="EMT10" s="49"/>
      <c r="EMU10" s="49"/>
      <c r="EMV10" s="49"/>
      <c r="EMW10" s="49"/>
      <c r="EMX10" s="49"/>
      <c r="EMY10" s="64"/>
      <c r="EMZ10" s="211"/>
      <c r="ENA10" s="195"/>
      <c r="ENB10" s="49"/>
      <c r="ENC10" s="49"/>
      <c r="END10" s="49"/>
      <c r="ENE10" s="49"/>
      <c r="ENF10" s="49"/>
      <c r="ENG10" s="64"/>
      <c r="ENH10" s="211"/>
      <c r="ENI10" s="195"/>
      <c r="ENJ10" s="49"/>
      <c r="ENK10" s="49"/>
      <c r="ENL10" s="49"/>
      <c r="ENM10" s="49"/>
      <c r="ENN10" s="49"/>
      <c r="ENO10" s="64"/>
      <c r="ENP10" s="211"/>
      <c r="ENQ10" s="195"/>
      <c r="ENR10" s="49"/>
      <c r="ENS10" s="49"/>
      <c r="ENT10" s="49"/>
      <c r="ENU10" s="49"/>
      <c r="ENV10" s="49"/>
      <c r="ENW10" s="64"/>
      <c r="ENX10" s="211"/>
      <c r="ENY10" s="195"/>
      <c r="ENZ10" s="49"/>
      <c r="EOA10" s="49"/>
      <c r="EOB10" s="49"/>
      <c r="EOC10" s="49"/>
      <c r="EOD10" s="49"/>
      <c r="EOE10" s="64"/>
      <c r="EOF10" s="211"/>
      <c r="EOG10" s="195"/>
      <c r="EOH10" s="360"/>
      <c r="EOI10" s="49"/>
      <c r="EOJ10" s="49"/>
      <c r="EOK10" s="49"/>
      <c r="EOL10" s="49"/>
      <c r="EOM10" s="64"/>
      <c r="EON10" s="211"/>
      <c r="EOO10" s="195"/>
      <c r="EOP10" s="49"/>
      <c r="EOQ10" s="49"/>
      <c r="EOR10" s="49"/>
      <c r="EOS10" s="49"/>
      <c r="EOT10" s="49"/>
      <c r="EOU10" s="64"/>
      <c r="EOV10" s="211"/>
      <c r="EOW10" s="195"/>
      <c r="EOX10" s="49"/>
      <c r="EOY10" s="49"/>
      <c r="EOZ10" s="49"/>
      <c r="EPA10" s="49"/>
      <c r="EPB10" s="49"/>
      <c r="EPC10" s="64"/>
      <c r="EPD10" s="211"/>
      <c r="EPE10" s="195"/>
      <c r="EPF10" s="49"/>
      <c r="EPG10" s="49"/>
      <c r="EPH10" s="49"/>
      <c r="EPI10" s="49"/>
      <c r="EPJ10" s="49"/>
      <c r="EPK10" s="64"/>
      <c r="EPL10" s="211"/>
      <c r="EPM10" s="195"/>
      <c r="EPN10" s="49"/>
      <c r="EPO10" s="49"/>
      <c r="EPP10" s="49"/>
      <c r="EPQ10" s="49"/>
      <c r="EPR10" s="49"/>
      <c r="EPS10" s="64"/>
      <c r="EPT10" s="211"/>
      <c r="EPU10" s="195"/>
      <c r="EPV10" s="49"/>
      <c r="EPW10" s="49"/>
      <c r="EPX10" s="49"/>
      <c r="EPY10" s="49"/>
      <c r="EPZ10" s="49"/>
      <c r="EQA10" s="64"/>
      <c r="EQB10" s="211"/>
      <c r="EQC10" s="195">
        <v>200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0"/>
        <v>200</v>
      </c>
      <c r="EQJ10" s="211">
        <f t="shared" si="1071"/>
        <v>33.333333333333336</v>
      </c>
      <c r="EQK10" s="195"/>
      <c r="EQL10" s="49">
        <v>0</v>
      </c>
      <c r="EQM10" s="49">
        <v>0</v>
      </c>
      <c r="EQN10" s="49"/>
      <c r="EQO10" s="49">
        <v>0</v>
      </c>
      <c r="EQP10" s="49">
        <v>0</v>
      </c>
      <c r="EQQ10" s="64">
        <f t="shared" si="1072"/>
        <v>0</v>
      </c>
      <c r="EQR10" s="211">
        <f t="shared" si="1073"/>
        <v>0</v>
      </c>
      <c r="EQS10" s="195">
        <v>0</v>
      </c>
      <c r="EQT10" s="49">
        <v>0</v>
      </c>
      <c r="EQU10" s="49">
        <v>0</v>
      </c>
      <c r="EQV10" s="49"/>
      <c r="EQW10" s="49">
        <v>0</v>
      </c>
      <c r="EQX10" s="49">
        <v>0</v>
      </c>
      <c r="EQY10" s="64">
        <f t="shared" si="1074"/>
        <v>0</v>
      </c>
      <c r="EQZ10" s="211">
        <f t="shared" si="1075"/>
        <v>0</v>
      </c>
      <c r="ERA10" s="195">
        <v>0</v>
      </c>
      <c r="ERB10" s="49">
        <v>0</v>
      </c>
      <c r="ERC10" s="49">
        <v>0</v>
      </c>
      <c r="ERD10" s="49">
        <v>0</v>
      </c>
      <c r="ERE10" s="49">
        <v>0</v>
      </c>
      <c r="ERF10" s="49"/>
      <c r="ERG10" s="64">
        <f t="shared" si="1076"/>
        <v>0</v>
      </c>
      <c r="ERH10" s="211">
        <f t="shared" si="1077"/>
        <v>0</v>
      </c>
      <c r="ERI10" s="195">
        <v>0</v>
      </c>
      <c r="ERJ10" s="49">
        <v>0</v>
      </c>
      <c r="ERK10" s="49"/>
      <c r="ERL10" s="49">
        <v>0</v>
      </c>
      <c r="ERM10" s="49">
        <v>0</v>
      </c>
      <c r="ERN10" s="49"/>
      <c r="ERO10" s="64">
        <f t="shared" si="1078"/>
        <v>0</v>
      </c>
      <c r="ERP10" s="211">
        <f t="shared" si="1079"/>
        <v>0</v>
      </c>
      <c r="ERQ10" s="195"/>
      <c r="ERR10" s="49">
        <v>0</v>
      </c>
      <c r="ERS10" s="49">
        <v>0</v>
      </c>
      <c r="ERT10" s="49">
        <v>0</v>
      </c>
      <c r="ERU10" s="49">
        <v>0</v>
      </c>
      <c r="ERV10" s="49">
        <v>0</v>
      </c>
      <c r="ERW10" s="64">
        <f t="shared" si="1080"/>
        <v>0</v>
      </c>
      <c r="ERX10" s="211">
        <f t="shared" si="1081"/>
        <v>0</v>
      </c>
      <c r="ERY10" s="195">
        <v>0</v>
      </c>
      <c r="ERZ10" s="49">
        <v>0</v>
      </c>
      <c r="ESA10" s="49">
        <v>0</v>
      </c>
      <c r="ESB10" s="49"/>
      <c r="ESC10" s="49">
        <v>0</v>
      </c>
      <c r="ESD10" s="49">
        <v>0</v>
      </c>
      <c r="ESE10" s="64">
        <f t="shared" si="1082"/>
        <v>0</v>
      </c>
      <c r="ESF10" s="211">
        <f t="shared" si="1083"/>
        <v>0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4"/>
        <v>0</v>
      </c>
      <c r="ESN10" s="211">
        <f t="shared" si="1085"/>
        <v>0</v>
      </c>
      <c r="ESO10" s="458">
        <v>0</v>
      </c>
      <c r="ESP10" s="83"/>
      <c r="ESQ10" s="83">
        <v>0</v>
      </c>
      <c r="ESR10" s="83">
        <v>0</v>
      </c>
      <c r="ESS10" s="83"/>
      <c r="EST10" s="83">
        <v>0</v>
      </c>
      <c r="ESU10" s="64">
        <f t="shared" si="1086"/>
        <v>0</v>
      </c>
      <c r="ESV10" s="211">
        <f t="shared" si="1087"/>
        <v>0</v>
      </c>
      <c r="ESW10" s="195"/>
      <c r="ESX10" s="49"/>
      <c r="ESY10" s="49"/>
      <c r="ESZ10" s="49">
        <v>0</v>
      </c>
      <c r="ETA10" s="49">
        <v>0</v>
      </c>
      <c r="ETB10" s="49">
        <v>0</v>
      </c>
      <c r="ETC10" s="808">
        <f t="shared" si="1088"/>
        <v>0</v>
      </c>
      <c r="ETD10" s="211">
        <f t="shared" si="1089"/>
        <v>0</v>
      </c>
      <c r="ETE10" s="195">
        <v>0</v>
      </c>
      <c r="ETF10" s="49">
        <v>0</v>
      </c>
      <c r="ETG10" s="49">
        <v>0</v>
      </c>
      <c r="ETH10" s="49">
        <v>0</v>
      </c>
      <c r="ETI10" s="49"/>
      <c r="ETJ10" s="49">
        <v>0</v>
      </c>
      <c r="ETK10" s="808">
        <f t="shared" si="1090"/>
        <v>0</v>
      </c>
      <c r="ETL10" s="211">
        <f t="shared" si="1091"/>
        <v>0</v>
      </c>
      <c r="ETM10" s="814"/>
      <c r="ETN10" s="815">
        <v>0</v>
      </c>
      <c r="ETO10" s="815">
        <v>0</v>
      </c>
      <c r="ETP10" s="815">
        <v>0</v>
      </c>
      <c r="ETQ10" s="815">
        <v>0</v>
      </c>
      <c r="ETR10" s="815">
        <v>0</v>
      </c>
      <c r="ETS10" s="808">
        <f t="shared" si="1092"/>
        <v>0</v>
      </c>
      <c r="ETT10" s="211">
        <f t="shared" si="1093"/>
        <v>0</v>
      </c>
      <c r="ETU10" s="458">
        <v>0</v>
      </c>
      <c r="ETV10" s="83">
        <v>0</v>
      </c>
      <c r="ETW10" s="83"/>
      <c r="ETX10" s="83">
        <v>0</v>
      </c>
      <c r="ETY10" s="83">
        <v>0</v>
      </c>
      <c r="ETZ10" s="83">
        <v>0</v>
      </c>
      <c r="EUA10" s="808">
        <f t="shared" si="1094"/>
        <v>0</v>
      </c>
      <c r="EUB10" s="211">
        <f t="shared" si="1095"/>
        <v>0</v>
      </c>
      <c r="EUC10" s="458">
        <v>0</v>
      </c>
      <c r="EUD10" s="83">
        <v>0</v>
      </c>
      <c r="EUE10" s="83"/>
      <c r="EUF10" s="83">
        <v>0</v>
      </c>
      <c r="EUG10" s="83">
        <v>0</v>
      </c>
      <c r="EUH10" s="83">
        <v>0</v>
      </c>
      <c r="EUI10" s="808">
        <f t="shared" si="1096"/>
        <v>0</v>
      </c>
      <c r="EUJ10" s="211">
        <f t="shared" si="1097"/>
        <v>0</v>
      </c>
      <c r="EUK10" s="195"/>
      <c r="EUL10" s="49">
        <v>0</v>
      </c>
      <c r="EUM10" s="49">
        <v>0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098"/>
        <v>0</v>
      </c>
      <c r="EUR10" s="211">
        <f t="shared" si="1099"/>
        <v>0</v>
      </c>
      <c r="EUS10" s="195">
        <v>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0"/>
        <v>0</v>
      </c>
      <c r="EUZ10" s="211">
        <f t="shared" si="1101"/>
        <v>0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2"/>
        <v>0</v>
      </c>
      <c r="EVH10" s="211">
        <f t="shared" si="1103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4"/>
        <v>0</v>
      </c>
      <c r="EVP10" s="211">
        <f t="shared" si="1105"/>
        <v>0</v>
      </c>
      <c r="EVQ10" s="195">
        <v>0</v>
      </c>
      <c r="EVR10" s="49">
        <v>0</v>
      </c>
      <c r="EVS10" s="49">
        <v>0</v>
      </c>
      <c r="EVT10" s="49"/>
      <c r="EVU10" s="49">
        <v>0</v>
      </c>
      <c r="EVV10" s="49">
        <v>0</v>
      </c>
      <c r="EVW10" s="808">
        <f t="shared" si="1106"/>
        <v>0</v>
      </c>
      <c r="EVX10" s="211">
        <f t="shared" si="1107"/>
        <v>0</v>
      </c>
      <c r="EVY10" s="195">
        <v>0</v>
      </c>
      <c r="EVZ10" s="49">
        <v>0</v>
      </c>
      <c r="EWA10" s="49"/>
      <c r="EWB10" s="49">
        <v>0</v>
      </c>
      <c r="EWC10" s="49">
        <v>0</v>
      </c>
      <c r="EWD10" s="49">
        <v>0</v>
      </c>
      <c r="EWE10" s="808">
        <f t="shared" si="1108"/>
        <v>0</v>
      </c>
      <c r="EWF10" s="211">
        <f t="shared" si="1109"/>
        <v>0</v>
      </c>
      <c r="EWG10" s="195"/>
      <c r="EWH10" s="49">
        <v>0</v>
      </c>
      <c r="EWI10" s="49">
        <v>0</v>
      </c>
      <c r="EWJ10" s="49">
        <v>0</v>
      </c>
      <c r="EWK10" s="49">
        <v>0</v>
      </c>
      <c r="EWL10" s="49">
        <v>0</v>
      </c>
      <c r="EWM10" s="808">
        <f t="shared" si="1110"/>
        <v>0</v>
      </c>
      <c r="EWN10" s="211">
        <f t="shared" si="175"/>
        <v>0</v>
      </c>
      <c r="EWO10" s="195">
        <v>0</v>
      </c>
      <c r="EWP10" s="49">
        <v>0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1"/>
        <v>0</v>
      </c>
      <c r="EWV10" s="211">
        <f t="shared" si="1112"/>
        <v>0</v>
      </c>
      <c r="EWW10" s="195"/>
      <c r="EWX10" s="49"/>
      <c r="EWY10" s="49">
        <v>240</v>
      </c>
      <c r="EWZ10" s="49">
        <v>0</v>
      </c>
      <c r="EXA10" s="49">
        <v>0</v>
      </c>
      <c r="EXB10" s="49"/>
      <c r="EXC10" s="808">
        <f t="shared" si="1113"/>
        <v>240</v>
      </c>
      <c r="EXD10" s="211">
        <f t="shared" si="1114"/>
        <v>40</v>
      </c>
      <c r="EXE10" s="195">
        <v>0</v>
      </c>
      <c r="EXF10" s="49">
        <v>0</v>
      </c>
      <c r="EXG10" s="49"/>
      <c r="EXH10" s="49">
        <v>0</v>
      </c>
      <c r="EXI10" s="49">
        <v>0</v>
      </c>
      <c r="EXJ10" s="49">
        <v>0</v>
      </c>
      <c r="EXK10" s="808">
        <f t="shared" si="1115"/>
        <v>0</v>
      </c>
      <c r="EXL10" s="211">
        <f t="shared" si="1116"/>
        <v>0</v>
      </c>
      <c r="EXM10" s="458">
        <v>159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7"/>
        <v>159</v>
      </c>
      <c r="EXT10" s="211">
        <f t="shared" si="1118"/>
        <v>26.5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19"/>
        <v>0</v>
      </c>
      <c r="EYB10" s="211">
        <f t="shared" si="1120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1"/>
        <v>0</v>
      </c>
      <c r="EYJ10" s="211">
        <f t="shared" si="1122"/>
        <v>0</v>
      </c>
      <c r="EYK10" s="195">
        <v>0</v>
      </c>
      <c r="EYL10" s="49">
        <v>0</v>
      </c>
      <c r="EYM10" s="49">
        <v>0</v>
      </c>
      <c r="EYN10" s="49">
        <v>0</v>
      </c>
      <c r="EYO10" s="49">
        <v>0</v>
      </c>
      <c r="EYP10" s="49">
        <v>0</v>
      </c>
      <c r="EYQ10" s="808">
        <f t="shared" si="1123"/>
        <v>0</v>
      </c>
      <c r="EYR10" s="211">
        <f t="shared" si="1124"/>
        <v>0</v>
      </c>
      <c r="EYS10" s="195">
        <v>240</v>
      </c>
      <c r="EYT10" s="49">
        <v>0</v>
      </c>
      <c r="EYU10" s="49">
        <v>200</v>
      </c>
      <c r="EYV10" s="49"/>
      <c r="EYW10" s="49"/>
      <c r="EYX10" s="49"/>
      <c r="EYY10" s="872">
        <f t="shared" si="1125"/>
        <v>440</v>
      </c>
      <c r="EYZ10" s="873">
        <f t="shared" si="1126"/>
        <v>73.333333333333329</v>
      </c>
      <c r="EZA10" s="195">
        <v>0</v>
      </c>
      <c r="EZB10" s="49">
        <v>0</v>
      </c>
      <c r="EZC10" s="49">
        <v>0</v>
      </c>
      <c r="EZD10" s="49">
        <v>0</v>
      </c>
      <c r="EZE10" s="49"/>
      <c r="EZF10" s="49">
        <v>0</v>
      </c>
      <c r="EZG10" s="872">
        <f t="shared" si="1127"/>
        <v>0</v>
      </c>
      <c r="EZH10" s="873">
        <f t="shared" si="1128"/>
        <v>0</v>
      </c>
      <c r="EZI10" s="195"/>
      <c r="EZJ10" s="49">
        <v>0</v>
      </c>
      <c r="EZK10" s="49">
        <v>0</v>
      </c>
      <c r="EZL10" s="49"/>
      <c r="EZM10" s="49"/>
      <c r="EZN10" s="49"/>
      <c r="EZO10" s="872">
        <f t="shared" si="1129"/>
        <v>0</v>
      </c>
      <c r="EZP10" s="873">
        <f t="shared" si="1130"/>
        <v>0</v>
      </c>
    </row>
    <row r="11" spans="1:4072" s="8" customFormat="1" ht="15" customHeight="1" x14ac:dyDescent="0.2">
      <c r="A11" s="301">
        <v>5</v>
      </c>
      <c r="B11" s="21" t="s">
        <v>115</v>
      </c>
      <c r="C11" s="275" t="s">
        <v>116</v>
      </c>
      <c r="D11" s="21">
        <v>25</v>
      </c>
      <c r="E11" s="24"/>
      <c r="F11" s="24">
        <v>1144</v>
      </c>
      <c r="G11" s="24"/>
      <c r="H11" s="24"/>
      <c r="I11" s="360"/>
      <c r="J11" s="360">
        <f>SUMIF(SUMPK!$B:$B,$B:$B,SUMPK!$O:$O)</f>
        <v>0</v>
      </c>
      <c r="K11" s="24">
        <f t="shared" si="1132"/>
        <v>0</v>
      </c>
      <c r="L11" s="24">
        <f t="shared" si="1133"/>
        <v>1144</v>
      </c>
      <c r="M11" s="24">
        <f t="shared" si="1134"/>
        <v>1144</v>
      </c>
      <c r="N11" s="15">
        <v>36.666666666666664</v>
      </c>
      <c r="O11" s="276">
        <f t="shared" si="189"/>
        <v>31.200000000000003</v>
      </c>
      <c r="P11" s="712">
        <v>161.83333333333334</v>
      </c>
      <c r="Q11" s="276">
        <f t="shared" si="190"/>
        <v>42.414006179196704</v>
      </c>
      <c r="R11" s="277">
        <f t="shared" si="191"/>
        <v>76.92307692307692</v>
      </c>
      <c r="S11" s="222">
        <v>2000</v>
      </c>
      <c r="T11" s="276">
        <f t="shared" si="192"/>
        <v>14.872</v>
      </c>
      <c r="U11" s="303"/>
      <c r="V11" s="302">
        <f t="shared" si="1135"/>
        <v>14.872</v>
      </c>
      <c r="W11" s="304">
        <f t="shared" si="1136"/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>
        <v>601</v>
      </c>
      <c r="AI11" s="49"/>
      <c r="AJ11" s="42">
        <f t="shared" ref="AJ11:AJ21" si="1137">SUM(AD11:AI11)</f>
        <v>601</v>
      </c>
      <c r="AK11" s="43">
        <f t="shared" ref="AK11:AK21" si="1138">AJ11/$AK$5</f>
        <v>100.16666666666667</v>
      </c>
      <c r="AL11" s="48"/>
      <c r="AM11" s="49">
        <v>100</v>
      </c>
      <c r="AN11" s="49">
        <v>698</v>
      </c>
      <c r="AO11" s="49"/>
      <c r="AP11" s="49"/>
      <c r="AQ11" s="49"/>
      <c r="AR11" s="42">
        <f t="shared" ref="AR11:AR21" si="1139">SUM(AL11:AQ11)</f>
        <v>798</v>
      </c>
      <c r="AS11" s="43">
        <f t="shared" ref="AS11:AS21" si="1140">AR11/$AK$5</f>
        <v>133</v>
      </c>
      <c r="AT11" s="48">
        <v>1392</v>
      </c>
      <c r="AU11" s="49"/>
      <c r="AV11" s="49"/>
      <c r="AW11" s="49"/>
      <c r="AX11" s="49"/>
      <c r="AY11" s="49"/>
      <c r="AZ11" s="42">
        <f t="shared" ref="AZ11:AZ21" si="1141">SUM(AT11:AY11)</f>
        <v>1392</v>
      </c>
      <c r="BA11" s="43">
        <f t="shared" ref="BA11:BA21" si="1142">AZ11/$AK$5</f>
        <v>232</v>
      </c>
      <c r="BB11" s="48">
        <v>1498</v>
      </c>
      <c r="BC11" s="49"/>
      <c r="BD11" s="49"/>
      <c r="BE11" s="49"/>
      <c r="BF11" s="49"/>
      <c r="BG11" s="49">
        <v>1237</v>
      </c>
      <c r="BH11" s="42">
        <f t="shared" ref="BH11:BH21" si="1143">SUM(BB11:BG11)</f>
        <v>2735</v>
      </c>
      <c r="BI11" s="43">
        <f t="shared" ref="BI11:BI21" si="1144">BH11/$BI$5</f>
        <v>455.83333333333331</v>
      </c>
      <c r="BJ11" s="48"/>
      <c r="BK11" s="49">
        <v>700</v>
      </c>
      <c r="BL11" s="49"/>
      <c r="BM11" s="49"/>
      <c r="BN11" s="49">
        <v>602</v>
      </c>
      <c r="BO11" s="49"/>
      <c r="BP11" s="42">
        <f t="shared" ref="BP11:BP21" si="1145">SUM(BJ11:BO11)</f>
        <v>1302</v>
      </c>
      <c r="BQ11" s="43">
        <f t="shared" ref="BQ11:BQ21" si="1146">BP11/$BI$5</f>
        <v>217</v>
      </c>
      <c r="BR11" s="48"/>
      <c r="BS11" s="49"/>
      <c r="BT11" s="49">
        <v>1200</v>
      </c>
      <c r="BU11" s="49"/>
      <c r="BV11" s="49">
        <v>600</v>
      </c>
      <c r="BW11" s="49"/>
      <c r="BX11" s="42">
        <f t="shared" ref="BX11:BX21" si="1147">SUM(BR11:BW11)</f>
        <v>1800</v>
      </c>
      <c r="BY11" s="43">
        <f t="shared" si="3"/>
        <v>300</v>
      </c>
      <c r="BZ11" s="48"/>
      <c r="CA11" s="49"/>
      <c r="CB11" s="49"/>
      <c r="CC11" s="49">
        <v>1002</v>
      </c>
      <c r="CD11" s="49"/>
      <c r="CE11" s="49"/>
      <c r="CF11" s="42">
        <f t="shared" ref="CF11:CF21" si="1148">SUM(BZ11:CE11)</f>
        <v>1002</v>
      </c>
      <c r="CG11" s="43">
        <f t="shared" ref="CG11:CG21" si="1149">CF11/$BI$5</f>
        <v>167</v>
      </c>
      <c r="CH11" s="48">
        <v>601</v>
      </c>
      <c r="CI11" s="49"/>
      <c r="CJ11" s="49"/>
      <c r="CK11" s="49"/>
      <c r="CL11" s="49">
        <v>2089</v>
      </c>
      <c r="CM11" s="49"/>
      <c r="CN11" s="42">
        <f t="shared" ref="CN11:CN21" si="1150">SUM(CH11:CM11)</f>
        <v>2690</v>
      </c>
      <c r="CO11" s="43">
        <f t="shared" ref="CO11:CO21" si="1151">CN11/$BI$5</f>
        <v>448.33333333333331</v>
      </c>
      <c r="CP11" s="48"/>
      <c r="CQ11" s="49"/>
      <c r="CR11" s="49"/>
      <c r="CS11" s="49"/>
      <c r="CT11" s="49"/>
      <c r="CU11" s="49">
        <v>1598</v>
      </c>
      <c r="CV11" s="42">
        <f t="shared" ref="CV11:CV21" si="1152">SUM(CP11:CU11)</f>
        <v>1598</v>
      </c>
      <c r="CW11" s="43">
        <f t="shared" ref="CW11:CW21" si="1153">CV11/$BI$5</f>
        <v>266.33333333333331</v>
      </c>
      <c r="CX11" s="48"/>
      <c r="CY11" s="49"/>
      <c r="CZ11" s="49"/>
      <c r="DA11" s="49"/>
      <c r="DB11" s="49">
        <v>819</v>
      </c>
      <c r="DC11" s="49"/>
      <c r="DD11" s="42">
        <f t="shared" ref="DD11:DD21" si="1154">SUM(CX11:DC11)</f>
        <v>819</v>
      </c>
      <c r="DE11" s="43">
        <f t="shared" ref="DE11:DE21" si="1155">DD11/$BI$5</f>
        <v>136.5</v>
      </c>
      <c r="DF11" s="48"/>
      <c r="DG11" s="49"/>
      <c r="DH11" s="49"/>
      <c r="DI11" s="49"/>
      <c r="DJ11" s="49">
        <v>810</v>
      </c>
      <c r="DK11" s="49"/>
      <c r="DL11" s="42">
        <f t="shared" ref="DL11:DL21" si="1156">SUM(DF11:DK11)</f>
        <v>810</v>
      </c>
      <c r="DM11" s="43">
        <f t="shared" ref="DM11:DM21" si="1157">DL11/$BI$5</f>
        <v>135</v>
      </c>
      <c r="DN11" s="48">
        <v>402</v>
      </c>
      <c r="DO11" s="49"/>
      <c r="DP11" s="49"/>
      <c r="DQ11" s="49"/>
      <c r="DR11" s="49">
        <v>1359</v>
      </c>
      <c r="DS11" s="49">
        <v>483</v>
      </c>
      <c r="DT11" s="42">
        <f t="shared" ref="DT11:DT21" si="1158">SUM(DN11:DS11)</f>
        <v>2244</v>
      </c>
      <c r="DU11" s="43">
        <f t="shared" ref="DU11:DU21" si="1159">DT11/$BI$5</f>
        <v>374</v>
      </c>
      <c r="DV11" s="48"/>
      <c r="DW11" s="49"/>
      <c r="DX11" s="49">
        <v>1194</v>
      </c>
      <c r="DY11" s="49"/>
      <c r="DZ11" s="49"/>
      <c r="EA11" s="49"/>
      <c r="EB11" s="42">
        <f t="shared" ref="EB11:EB21" si="1160">SUM(DV11:EA11)</f>
        <v>1194</v>
      </c>
      <c r="EC11" s="43">
        <f t="shared" ref="EC11:EC21" si="1161">EB11/$BI$5</f>
        <v>199</v>
      </c>
      <c r="ED11" s="48"/>
      <c r="EE11" s="49"/>
      <c r="EF11" s="49"/>
      <c r="EG11" s="49"/>
      <c r="EH11" s="49"/>
      <c r="EI11" s="49"/>
      <c r="EJ11" s="42">
        <f t="shared" ref="EJ11:EJ21" si="1162">SUM(ED11:EI11)</f>
        <v>0</v>
      </c>
      <c r="EK11" s="43">
        <f t="shared" ref="EK11:EK21" si="1163">EJ11/$BI$5</f>
        <v>0</v>
      </c>
      <c r="EL11" s="48">
        <v>817</v>
      </c>
      <c r="EM11" s="49"/>
      <c r="EN11" s="49"/>
      <c r="EO11" s="49"/>
      <c r="EP11" s="49"/>
      <c r="EQ11" s="49"/>
      <c r="ER11" s="42">
        <f t="shared" ref="ER11:ER21" si="1164">SUM(EL11:EQ11)</f>
        <v>817</v>
      </c>
      <c r="ES11" s="43">
        <f t="shared" ref="ES11:ES21" si="1165">ER11/$BI$5</f>
        <v>136.16666666666666</v>
      </c>
      <c r="ET11" s="48">
        <v>610</v>
      </c>
      <c r="EU11" s="49"/>
      <c r="EV11" s="49"/>
      <c r="EW11" s="49"/>
      <c r="EX11" s="49"/>
      <c r="EY11" s="49">
        <v>1206</v>
      </c>
      <c r="EZ11" s="42">
        <f t="shared" ref="EZ11:EZ21" si="1166">SUM(ET11:EY11)</f>
        <v>1816</v>
      </c>
      <c r="FA11" s="43">
        <f t="shared" ref="FA11:FA21" si="1167">EZ11/$BI$5</f>
        <v>302.66666666666669</v>
      </c>
      <c r="FB11" s="48">
        <v>610</v>
      </c>
      <c r="FC11" s="49"/>
      <c r="FD11" s="49"/>
      <c r="FE11" s="49"/>
      <c r="FF11" s="49"/>
      <c r="FG11" s="49">
        <v>919</v>
      </c>
      <c r="FH11" s="42">
        <f t="shared" ref="FH11:FH21" si="1168">SUM(FB11:FG11)</f>
        <v>1529</v>
      </c>
      <c r="FI11" s="43">
        <f t="shared" ref="FI11:FI21" si="1169">FH11/$BI$5</f>
        <v>254.83333333333334</v>
      </c>
      <c r="FJ11" s="48"/>
      <c r="FK11" s="49"/>
      <c r="FL11" s="49">
        <v>303</v>
      </c>
      <c r="FM11" s="49"/>
      <c r="FN11" s="49">
        <v>658</v>
      </c>
      <c r="FO11" s="49"/>
      <c r="FP11" s="42">
        <f t="shared" ref="FP11:FP21" si="1170">SUM(FJ11:FO11)</f>
        <v>961</v>
      </c>
      <c r="FQ11" s="43">
        <f t="shared" ref="FQ11:FQ21" si="1171">FP11/$BI$5</f>
        <v>160.16666666666666</v>
      </c>
      <c r="FR11" s="48"/>
      <c r="FS11" s="49">
        <v>1000</v>
      </c>
      <c r="FT11" s="49"/>
      <c r="FU11" s="49"/>
      <c r="FV11" s="49"/>
      <c r="FW11" s="49"/>
      <c r="FX11" s="42">
        <f t="shared" ref="FX11:FX21" si="1172">SUM(FR11:FW11)</f>
        <v>1000</v>
      </c>
      <c r="FY11" s="43">
        <f t="shared" ref="FY11:FY21" si="1173">FX11/$BI$5</f>
        <v>166.66666666666666</v>
      </c>
      <c r="FZ11" s="48">
        <v>1003</v>
      </c>
      <c r="GA11" s="49">
        <v>200</v>
      </c>
      <c r="GB11" s="49"/>
      <c r="GC11" s="49"/>
      <c r="GD11" s="49">
        <v>798</v>
      </c>
      <c r="GE11" s="49"/>
      <c r="GF11" s="42">
        <f t="shared" ref="GF11:GF21" si="1174">SUM(FZ11:GE11)</f>
        <v>2001</v>
      </c>
      <c r="GG11" s="43">
        <f t="shared" ref="GG11:GG21" si="1175">GF11/$BI$5</f>
        <v>333.5</v>
      </c>
      <c r="GH11" s="48"/>
      <c r="GI11" s="49"/>
      <c r="GJ11" s="49"/>
      <c r="GK11" s="49"/>
      <c r="GL11" s="49">
        <v>599</v>
      </c>
      <c r="GM11" s="49"/>
      <c r="GN11" s="42">
        <f t="shared" ref="GN11:GN21" si="1176">SUM(GH11:GM11)</f>
        <v>599</v>
      </c>
      <c r="GO11" s="43">
        <f t="shared" ref="GO11:GO21" si="1177">GN11/$BI$5</f>
        <v>99.833333333333329</v>
      </c>
      <c r="GP11" s="48"/>
      <c r="GQ11" s="49"/>
      <c r="GR11" s="49">
        <v>805</v>
      </c>
      <c r="GS11" s="49"/>
      <c r="GT11" s="49"/>
      <c r="GU11" s="49"/>
      <c r="GV11" s="42">
        <f t="shared" ref="GV11:GV21" si="1178">SUM(GP11:GU11)</f>
        <v>805</v>
      </c>
      <c r="GW11" s="43">
        <f t="shared" ref="GW11:GW21" si="1179">GV11/$BI$5</f>
        <v>134.16666666666666</v>
      </c>
      <c r="GX11" s="48">
        <v>984</v>
      </c>
      <c r="GY11" s="49"/>
      <c r="GZ11" s="49"/>
      <c r="HA11" s="49"/>
      <c r="HB11" s="49">
        <v>615</v>
      </c>
      <c r="HC11" s="49"/>
      <c r="HD11" s="42">
        <f t="shared" ref="HD11:HD21" si="1180">SUM(GX11:HC11)</f>
        <v>1599</v>
      </c>
      <c r="HE11" s="43">
        <f t="shared" ref="HE11:HE21" si="1181">HD11/$BI$5</f>
        <v>266.5</v>
      </c>
      <c r="HF11" s="48"/>
      <c r="HG11" s="49"/>
      <c r="HH11" s="49">
        <v>200</v>
      </c>
      <c r="HI11" s="49"/>
      <c r="HJ11" s="49"/>
      <c r="HK11" s="49">
        <v>403</v>
      </c>
      <c r="HL11" s="42">
        <f t="shared" ref="HL11:HL21" si="1182">SUM(HF11:HK11)</f>
        <v>603</v>
      </c>
      <c r="HM11" s="43">
        <f t="shared" ref="HM11:HM21" si="1183">HL11/$BI$5</f>
        <v>100.5</v>
      </c>
      <c r="HN11" s="82"/>
      <c r="HO11" s="83"/>
      <c r="HP11" s="83"/>
      <c r="HQ11" s="83">
        <v>1001</v>
      </c>
      <c r="HR11" s="83"/>
      <c r="HS11" s="83"/>
      <c r="HT11" s="42">
        <f t="shared" ref="HT11:HT21" si="1184">SUM(HN11:HS11)</f>
        <v>1001</v>
      </c>
      <c r="HU11" s="43">
        <f t="shared" ref="HU11:HU21" si="1185">HT11/$AK$5</f>
        <v>166.83333333333334</v>
      </c>
      <c r="HV11" s="48"/>
      <c r="HW11" s="49">
        <v>800</v>
      </c>
      <c r="HX11" s="49">
        <v>380</v>
      </c>
      <c r="HY11" s="49"/>
      <c r="HZ11" s="49"/>
      <c r="IA11" s="49"/>
      <c r="IB11" s="42">
        <f t="shared" ref="IB11:IB21" si="1186">SUM(HV11:IA11)</f>
        <v>1180</v>
      </c>
      <c r="IC11" s="43">
        <f t="shared" ref="IC11:IC21" si="1187">IB11/$AK$5</f>
        <v>196.66666666666666</v>
      </c>
      <c r="ID11" s="48">
        <v>577</v>
      </c>
      <c r="IE11" s="49"/>
      <c r="IF11" s="49"/>
      <c r="IG11" s="49">
        <v>586</v>
      </c>
      <c r="IH11" s="49">
        <v>193</v>
      </c>
      <c r="II11" s="49"/>
      <c r="IJ11" s="42">
        <f t="shared" ref="IJ11:IJ21" si="1188">SUM(ID11:II11)</f>
        <v>1356</v>
      </c>
      <c r="IK11" s="43">
        <f t="shared" ref="IK11:IK21" si="1189">IJ11/$AK$5</f>
        <v>226</v>
      </c>
      <c r="IL11" s="48"/>
      <c r="IM11" s="49"/>
      <c r="IN11" s="49">
        <v>401</v>
      </c>
      <c r="IO11" s="49"/>
      <c r="IP11" s="49"/>
      <c r="IQ11" s="49"/>
      <c r="IR11" s="67">
        <f t="shared" ref="IR11:IR21" si="1190">SUM(IL11:IQ11)</f>
        <v>401</v>
      </c>
      <c r="IS11" s="68">
        <f t="shared" ref="IS11:IS21" si="1191">IR11/$IS$5</f>
        <v>66.833333333333329</v>
      </c>
      <c r="IT11" s="48"/>
      <c r="IU11" s="49"/>
      <c r="IV11" s="49"/>
      <c r="IW11" s="49">
        <v>863</v>
      </c>
      <c r="IX11" s="49"/>
      <c r="IY11" s="49"/>
      <c r="IZ11" s="67">
        <f t="shared" ref="IZ11:IZ21" si="1192">SUM(IT11:IY11)</f>
        <v>863</v>
      </c>
      <c r="JA11" s="68">
        <f t="shared" ref="JA11:JA21" si="1193">IZ11/$IS$5</f>
        <v>143.83333333333334</v>
      </c>
      <c r="JB11" s="48">
        <v>597</v>
      </c>
      <c r="JC11" s="49"/>
      <c r="JD11" s="49"/>
      <c r="JE11" s="49"/>
      <c r="JF11" s="49"/>
      <c r="JG11" s="49"/>
      <c r="JH11" s="67">
        <f t="shared" ref="JH11:JH21" si="1194">SUM(JB11:JG11)</f>
        <v>597</v>
      </c>
      <c r="JI11" s="68">
        <f t="shared" ref="JI11:JI21" si="1195">JH11/$IS$5</f>
        <v>99.5</v>
      </c>
      <c r="JJ11" s="48"/>
      <c r="JK11" s="49"/>
      <c r="JL11" s="49"/>
      <c r="JM11" s="49"/>
      <c r="JN11" s="49"/>
      <c r="JO11" s="49"/>
      <c r="JP11" s="42">
        <f t="shared" ref="JP11:JP21" si="1196">SUM(JJ11:JO11)</f>
        <v>0</v>
      </c>
      <c r="JQ11" s="43">
        <f t="shared" ref="JQ11:JQ21" si="1197">JP11/$JQ$5</f>
        <v>0</v>
      </c>
      <c r="JR11" s="48"/>
      <c r="JS11" s="49">
        <v>797</v>
      </c>
      <c r="JT11" s="49"/>
      <c r="JU11" s="49"/>
      <c r="JV11" s="49">
        <v>1214</v>
      </c>
      <c r="JW11" s="49"/>
      <c r="JX11" s="42">
        <f t="shared" ref="JX11:JX21" si="1198">SUM(JR11:JW11)</f>
        <v>2011</v>
      </c>
      <c r="JY11" s="43">
        <f t="shared" ref="JY11:JY21" si="1199">JX11/$JQ$5</f>
        <v>335.16666666666669</v>
      </c>
      <c r="JZ11" s="48"/>
      <c r="KA11" s="49">
        <v>602</v>
      </c>
      <c r="KB11" s="49"/>
      <c r="KC11" s="49"/>
      <c r="KD11" s="49">
        <v>1308</v>
      </c>
      <c r="KE11" s="49">
        <v>116</v>
      </c>
      <c r="KF11" s="42">
        <f t="shared" si="194"/>
        <v>2026</v>
      </c>
      <c r="KG11" s="43">
        <f t="shared" si="195"/>
        <v>337.66666666666669</v>
      </c>
      <c r="KH11" s="48"/>
      <c r="KI11" s="49"/>
      <c r="KJ11" s="49">
        <v>803</v>
      </c>
      <c r="KK11" s="49"/>
      <c r="KL11" s="49"/>
      <c r="KM11" s="49"/>
      <c r="KN11" s="67">
        <f t="shared" si="196"/>
        <v>803</v>
      </c>
      <c r="KO11" s="68">
        <f t="shared" si="197"/>
        <v>133.83333333333334</v>
      </c>
      <c r="KP11" s="48">
        <v>602</v>
      </c>
      <c r="KQ11" s="49"/>
      <c r="KR11" s="49"/>
      <c r="KS11" s="49"/>
      <c r="KT11" s="49">
        <v>807</v>
      </c>
      <c r="KU11" s="49"/>
      <c r="KV11" s="67">
        <f t="shared" si="198"/>
        <v>1409</v>
      </c>
      <c r="KW11" s="68">
        <f t="shared" si="199"/>
        <v>234.83333333333334</v>
      </c>
      <c r="KX11" s="48"/>
      <c r="KY11" s="49"/>
      <c r="KZ11" s="49"/>
      <c r="LA11" s="49"/>
      <c r="LB11" s="49"/>
      <c r="LC11" s="49"/>
      <c r="LD11" s="67">
        <f t="shared" si="200"/>
        <v>0</v>
      </c>
      <c r="LE11" s="68">
        <f t="shared" si="201"/>
        <v>0</v>
      </c>
      <c r="LF11" s="48"/>
      <c r="LG11" s="49"/>
      <c r="LH11" s="49"/>
      <c r="LI11" s="49"/>
      <c r="LJ11" s="49">
        <v>521</v>
      </c>
      <c r="LK11" s="49">
        <v>98</v>
      </c>
      <c r="LL11" s="67">
        <f t="shared" si="202"/>
        <v>619</v>
      </c>
      <c r="LM11" s="68">
        <f t="shared" si="203"/>
        <v>103.16666666666667</v>
      </c>
      <c r="LN11" s="48">
        <v>596</v>
      </c>
      <c r="LO11" s="49"/>
      <c r="LP11" s="49">
        <v>796</v>
      </c>
      <c r="LQ11" s="49"/>
      <c r="LR11" s="49"/>
      <c r="LS11" s="49"/>
      <c r="LT11" s="67">
        <f t="shared" si="204"/>
        <v>1392</v>
      </c>
      <c r="LU11" s="68">
        <f t="shared" si="205"/>
        <v>232</v>
      </c>
      <c r="LV11" s="48"/>
      <c r="LW11" s="49">
        <v>1600</v>
      </c>
      <c r="LX11" s="49"/>
      <c r="LY11" s="49"/>
      <c r="LZ11" s="49">
        <v>402</v>
      </c>
      <c r="MA11" s="49"/>
      <c r="MB11" s="67">
        <f t="shared" si="206"/>
        <v>2002</v>
      </c>
      <c r="MC11" s="68">
        <f t="shared" si="207"/>
        <v>333.66666666666669</v>
      </c>
      <c r="MD11" s="48">
        <v>1392</v>
      </c>
      <c r="ME11" s="49"/>
      <c r="MF11" s="49"/>
      <c r="MG11" s="49">
        <v>588</v>
      </c>
      <c r="MH11" s="49"/>
      <c r="MI11" s="49"/>
      <c r="MJ11" s="67">
        <f t="shared" si="208"/>
        <v>1980</v>
      </c>
      <c r="MK11" s="68">
        <f t="shared" si="209"/>
        <v>330</v>
      </c>
      <c r="ML11" s="48"/>
      <c r="MM11" s="49"/>
      <c r="MN11" s="49"/>
      <c r="MO11" s="49"/>
      <c r="MP11" s="49"/>
      <c r="MQ11" s="49"/>
      <c r="MR11" s="67">
        <f t="shared" si="210"/>
        <v>0</v>
      </c>
      <c r="MS11" s="68">
        <f t="shared" si="211"/>
        <v>0</v>
      </c>
      <c r="MT11" s="48">
        <v>1002</v>
      </c>
      <c r="MU11" s="49"/>
      <c r="MV11" s="49"/>
      <c r="MW11" s="49"/>
      <c r="MX11" s="49"/>
      <c r="MY11" s="49"/>
      <c r="MZ11" s="67">
        <f t="shared" si="212"/>
        <v>1002</v>
      </c>
      <c r="NA11" s="68">
        <f t="shared" si="213"/>
        <v>167</v>
      </c>
      <c r="NB11" s="48">
        <v>402</v>
      </c>
      <c r="NC11" s="49"/>
      <c r="ND11" s="49"/>
      <c r="NE11" s="49">
        <v>1254</v>
      </c>
      <c r="NF11" s="49"/>
      <c r="NG11" s="49"/>
      <c r="NH11" s="67">
        <f t="shared" si="214"/>
        <v>1656</v>
      </c>
      <c r="NI11" s="68">
        <f t="shared" si="215"/>
        <v>276</v>
      </c>
      <c r="NJ11" s="48"/>
      <c r="NK11" s="49">
        <v>204</v>
      </c>
      <c r="NL11" s="49"/>
      <c r="NM11" s="49"/>
      <c r="NN11" s="49">
        <v>808</v>
      </c>
      <c r="NO11" s="49"/>
      <c r="NP11" s="67">
        <f t="shared" si="216"/>
        <v>1012</v>
      </c>
      <c r="NQ11" s="68">
        <f t="shared" si="217"/>
        <v>168.66666666666666</v>
      </c>
      <c r="NR11" s="48"/>
      <c r="NS11" s="49"/>
      <c r="NT11" s="49">
        <v>795</v>
      </c>
      <c r="NU11" s="49"/>
      <c r="NV11" s="49"/>
      <c r="NW11" s="49"/>
      <c r="NX11" s="67">
        <f t="shared" si="218"/>
        <v>795</v>
      </c>
      <c r="NY11" s="68">
        <f t="shared" si="219"/>
        <v>132.5</v>
      </c>
      <c r="NZ11" s="48"/>
      <c r="OA11" s="49"/>
      <c r="OB11" s="49"/>
      <c r="OC11" s="49"/>
      <c r="OD11" s="49"/>
      <c r="OE11" s="49"/>
      <c r="OF11" s="67">
        <f t="shared" si="220"/>
        <v>0</v>
      </c>
      <c r="OG11" s="68">
        <f t="shared" si="221"/>
        <v>0</v>
      </c>
      <c r="OH11" s="48">
        <v>805</v>
      </c>
      <c r="OI11" s="49"/>
      <c r="OJ11" s="49"/>
      <c r="OK11" s="49"/>
      <c r="OL11" s="49">
        <v>100</v>
      </c>
      <c r="OM11" s="49">
        <v>1482</v>
      </c>
      <c r="ON11" s="67">
        <f t="shared" si="222"/>
        <v>2387</v>
      </c>
      <c r="OO11" s="68">
        <f t="shared" si="223"/>
        <v>397.83333333333331</v>
      </c>
      <c r="OP11" s="48"/>
      <c r="OQ11" s="49"/>
      <c r="OR11" s="49"/>
      <c r="OS11" s="49"/>
      <c r="OT11" s="49"/>
      <c r="OU11" s="49"/>
      <c r="OV11" s="67">
        <f t="shared" si="224"/>
        <v>0</v>
      </c>
      <c r="OW11" s="68">
        <f t="shared" si="225"/>
        <v>0</v>
      </c>
      <c r="OX11" s="48"/>
      <c r="OY11" s="49"/>
      <c r="OZ11" s="49"/>
      <c r="PA11" s="49"/>
      <c r="PB11" s="49"/>
      <c r="PC11" s="49"/>
      <c r="PD11" s="67">
        <f t="shared" si="226"/>
        <v>0</v>
      </c>
      <c r="PE11" s="68">
        <f t="shared" si="227"/>
        <v>0</v>
      </c>
      <c r="PF11" s="48"/>
      <c r="PG11" s="49"/>
      <c r="PH11" s="49"/>
      <c r="PI11" s="49"/>
      <c r="PJ11" s="49">
        <v>1108</v>
      </c>
      <c r="PK11" s="49"/>
      <c r="PL11" s="67">
        <f t="shared" si="228"/>
        <v>1108</v>
      </c>
      <c r="PM11" s="68">
        <f t="shared" si="229"/>
        <v>184.66666666666666</v>
      </c>
      <c r="PN11" s="48">
        <v>800</v>
      </c>
      <c r="PO11" s="49"/>
      <c r="PP11" s="49"/>
      <c r="PQ11" s="49">
        <v>734</v>
      </c>
      <c r="PR11" s="49"/>
      <c r="PS11" s="49"/>
      <c r="PT11" s="104">
        <f t="shared" si="230"/>
        <v>1534</v>
      </c>
      <c r="PU11" s="105">
        <f t="shared" si="231"/>
        <v>255.66666666666666</v>
      </c>
      <c r="PV11" s="106"/>
      <c r="PW11" s="107"/>
      <c r="PX11" s="107"/>
      <c r="PY11" s="107"/>
      <c r="PZ11" s="107"/>
      <c r="QA11" s="107"/>
      <c r="QB11" s="104">
        <f t="shared" si="232"/>
        <v>0</v>
      </c>
      <c r="QC11" s="105">
        <f t="shared" si="233"/>
        <v>0</v>
      </c>
      <c r="QD11" s="106">
        <v>801</v>
      </c>
      <c r="QE11" s="107"/>
      <c r="QF11" s="107"/>
      <c r="QG11" s="107"/>
      <c r="QH11" s="107"/>
      <c r="QI11" s="107"/>
      <c r="QJ11" s="104">
        <f t="shared" si="234"/>
        <v>801</v>
      </c>
      <c r="QK11" s="105">
        <f t="shared" si="235"/>
        <v>133.5</v>
      </c>
      <c r="QL11" s="106"/>
      <c r="QM11" s="107"/>
      <c r="QN11" s="107">
        <v>471</v>
      </c>
      <c r="QO11" s="107">
        <v>134</v>
      </c>
      <c r="QP11" s="107"/>
      <c r="QQ11" s="107"/>
      <c r="QR11" s="104">
        <f t="shared" si="236"/>
        <v>605</v>
      </c>
      <c r="QS11" s="105">
        <f t="shared" si="237"/>
        <v>100.83333333333333</v>
      </c>
      <c r="QT11" s="106"/>
      <c r="QU11" s="107"/>
      <c r="QV11" s="107"/>
      <c r="QW11" s="107">
        <v>786</v>
      </c>
      <c r="QX11" s="107"/>
      <c r="QY11" s="107"/>
      <c r="QZ11" s="104">
        <f t="shared" si="238"/>
        <v>786</v>
      </c>
      <c r="RA11" s="105">
        <f t="shared" si="239"/>
        <v>131</v>
      </c>
      <c r="RB11" s="106">
        <v>730</v>
      </c>
      <c r="RC11" s="107"/>
      <c r="RD11" s="107"/>
      <c r="RE11" s="107"/>
      <c r="RF11" s="107"/>
      <c r="RG11" s="107">
        <v>365</v>
      </c>
      <c r="RH11" s="104">
        <f t="shared" si="240"/>
        <v>1095</v>
      </c>
      <c r="RI11" s="105">
        <f t="shared" si="241"/>
        <v>182.5</v>
      </c>
      <c r="RJ11" s="106">
        <v>420</v>
      </c>
      <c r="RK11" s="107"/>
      <c r="RL11" s="107"/>
      <c r="RM11" s="107"/>
      <c r="RN11" s="107"/>
      <c r="RO11" s="107"/>
      <c r="RP11" s="104">
        <f t="shared" si="242"/>
        <v>420</v>
      </c>
      <c r="RQ11" s="105">
        <f t="shared" si="243"/>
        <v>70</v>
      </c>
      <c r="RR11" s="106">
        <v>1222</v>
      </c>
      <c r="RS11" s="107"/>
      <c r="RT11" s="107"/>
      <c r="RU11" s="107"/>
      <c r="RV11" s="107"/>
      <c r="RW11" s="107"/>
      <c r="RX11" s="104">
        <f t="shared" si="244"/>
        <v>1222</v>
      </c>
      <c r="RY11" s="105">
        <f t="shared" si="245"/>
        <v>203.66666666666666</v>
      </c>
      <c r="RZ11" s="106">
        <v>388</v>
      </c>
      <c r="SA11" s="107"/>
      <c r="SB11" s="107"/>
      <c r="SC11" s="107"/>
      <c r="SD11" s="107">
        <v>1260</v>
      </c>
      <c r="SE11" s="107"/>
      <c r="SF11" s="104">
        <f t="shared" si="246"/>
        <v>1648</v>
      </c>
      <c r="SG11" s="105">
        <f t="shared" si="247"/>
        <v>274.66666666666669</v>
      </c>
      <c r="SH11" s="106"/>
      <c r="SI11" s="107"/>
      <c r="SJ11" s="107"/>
      <c r="SK11" s="107"/>
      <c r="SL11" s="107">
        <v>800</v>
      </c>
      <c r="SM11" s="107"/>
      <c r="SN11" s="104">
        <f t="shared" si="248"/>
        <v>800</v>
      </c>
      <c r="SO11" s="105">
        <f t="shared" si="249"/>
        <v>133.33333333333334</v>
      </c>
      <c r="SP11" s="106"/>
      <c r="SQ11" s="107"/>
      <c r="SR11" s="107">
        <v>1222</v>
      </c>
      <c r="SS11" s="107"/>
      <c r="ST11" s="107"/>
      <c r="SU11" s="107"/>
      <c r="SV11" s="104">
        <f t="shared" si="250"/>
        <v>1222</v>
      </c>
      <c r="SW11" s="105">
        <f t="shared" si="251"/>
        <v>203.66666666666666</v>
      </c>
      <c r="SX11" s="106"/>
      <c r="SY11" s="107"/>
      <c r="SZ11" s="107">
        <v>600</v>
      </c>
      <c r="TA11" s="107"/>
      <c r="TB11" s="107">
        <v>962</v>
      </c>
      <c r="TC11" s="107"/>
      <c r="TD11" s="104">
        <f t="shared" si="252"/>
        <v>1562</v>
      </c>
      <c r="TE11" s="105">
        <f t="shared" si="253"/>
        <v>260.33333333333331</v>
      </c>
      <c r="TF11" s="106"/>
      <c r="TG11" s="107"/>
      <c r="TH11" s="107"/>
      <c r="TI11" s="107"/>
      <c r="TJ11" s="107"/>
      <c r="TK11" s="107">
        <v>804</v>
      </c>
      <c r="TL11" s="104">
        <f t="shared" si="254"/>
        <v>804</v>
      </c>
      <c r="TM11" s="105">
        <f t="shared" si="255"/>
        <v>134</v>
      </c>
      <c r="TN11" s="106"/>
      <c r="TO11" s="107"/>
      <c r="TP11" s="107"/>
      <c r="TQ11" s="107">
        <v>400</v>
      </c>
      <c r="TR11" s="107"/>
      <c r="TS11" s="107"/>
      <c r="TT11" s="104">
        <f t="shared" si="256"/>
        <v>400</v>
      </c>
      <c r="TU11" s="105">
        <f t="shared" si="257"/>
        <v>66.666666666666671</v>
      </c>
      <c r="TV11" s="106"/>
      <c r="TW11" s="107"/>
      <c r="TX11" s="107"/>
      <c r="TY11" s="107">
        <v>1771</v>
      </c>
      <c r="TZ11" s="107"/>
      <c r="UA11" s="107"/>
      <c r="UB11" s="104">
        <f t="shared" si="258"/>
        <v>1771</v>
      </c>
      <c r="UC11" s="105">
        <f t="shared" si="259"/>
        <v>295.16666666666669</v>
      </c>
      <c r="UD11" s="106"/>
      <c r="UE11" s="107">
        <v>286</v>
      </c>
      <c r="UF11" s="107">
        <v>548</v>
      </c>
      <c r="UG11" s="107"/>
      <c r="UH11" s="107"/>
      <c r="UI11" s="107"/>
      <c r="UJ11" s="104">
        <f t="shared" si="260"/>
        <v>834</v>
      </c>
      <c r="UK11" s="105">
        <f t="shared" si="261"/>
        <v>139</v>
      </c>
      <c r="UL11" s="106"/>
      <c r="UM11" s="107"/>
      <c r="UN11" s="107"/>
      <c r="UO11" s="107"/>
      <c r="UP11" s="107"/>
      <c r="UQ11" s="107"/>
      <c r="UR11" s="107"/>
      <c r="US11" s="104">
        <f t="shared" si="262"/>
        <v>0</v>
      </c>
      <c r="UT11" s="105">
        <f t="shared" si="263"/>
        <v>0</v>
      </c>
      <c r="UU11" s="106">
        <v>1400</v>
      </c>
      <c r="UV11" s="107"/>
      <c r="UW11" s="107"/>
      <c r="UX11" s="107"/>
      <c r="UY11" s="107">
        <v>200</v>
      </c>
      <c r="UZ11" s="107"/>
      <c r="VA11" s="104">
        <f t="shared" si="264"/>
        <v>1600</v>
      </c>
      <c r="VB11" s="105">
        <f t="shared" si="265"/>
        <v>266.66666666666669</v>
      </c>
      <c r="VC11" s="106"/>
      <c r="VD11" s="107"/>
      <c r="VE11" s="107"/>
      <c r="VF11" s="107"/>
      <c r="VG11" s="107"/>
      <c r="VH11" s="107">
        <v>400</v>
      </c>
      <c r="VI11" s="104">
        <f t="shared" si="266"/>
        <v>400</v>
      </c>
      <c r="VJ11" s="105">
        <f t="shared" si="267"/>
        <v>66.666666666666671</v>
      </c>
      <c r="VK11" s="106"/>
      <c r="VL11" s="107"/>
      <c r="VM11" s="107"/>
      <c r="VN11" s="107">
        <v>601</v>
      </c>
      <c r="VO11" s="107"/>
      <c r="VP11" s="107"/>
      <c r="VQ11" s="104">
        <f t="shared" si="268"/>
        <v>601</v>
      </c>
      <c r="VR11" s="105">
        <f t="shared" si="269"/>
        <v>100.16666666666667</v>
      </c>
      <c r="VS11" s="106"/>
      <c r="VT11" s="107"/>
      <c r="VU11" s="107"/>
      <c r="VV11" s="107"/>
      <c r="VW11" s="107">
        <v>797</v>
      </c>
      <c r="VX11" s="107"/>
      <c r="VY11" s="104">
        <f t="shared" si="270"/>
        <v>797</v>
      </c>
      <c r="VZ11" s="105">
        <f t="shared" si="271"/>
        <v>132.83333333333334</v>
      </c>
      <c r="WA11" s="63"/>
      <c r="WB11" s="64">
        <v>543</v>
      </c>
      <c r="WC11" s="64"/>
      <c r="WD11" s="64"/>
      <c r="WE11" s="64"/>
      <c r="WF11" s="64">
        <v>399</v>
      </c>
      <c r="WG11" s="67">
        <f t="shared" si="272"/>
        <v>942</v>
      </c>
      <c r="WH11" s="68">
        <f t="shared" si="273"/>
        <v>157</v>
      </c>
      <c r="WI11" s="48"/>
      <c r="WJ11" s="49"/>
      <c r="WK11" s="49"/>
      <c r="WL11" s="49"/>
      <c r="WM11" s="49">
        <v>1292</v>
      </c>
      <c r="WN11" s="49"/>
      <c r="WO11" s="67">
        <f t="shared" si="274"/>
        <v>1292</v>
      </c>
      <c r="WP11" s="68">
        <f t="shared" si="275"/>
        <v>215.33333333333334</v>
      </c>
      <c r="WQ11" s="48"/>
      <c r="WR11" s="49"/>
      <c r="WS11" s="49">
        <v>804</v>
      </c>
      <c r="WT11" s="49"/>
      <c r="WU11" s="49"/>
      <c r="WV11" s="49"/>
      <c r="WW11" s="49">
        <v>402</v>
      </c>
      <c r="WX11" s="67">
        <f t="shared" si="276"/>
        <v>1206</v>
      </c>
      <c r="WY11" s="68">
        <f t="shared" si="277"/>
        <v>201</v>
      </c>
      <c r="WZ11" s="48"/>
      <c r="XA11" s="49"/>
      <c r="XB11" s="49"/>
      <c r="XC11" s="49"/>
      <c r="XD11" s="49"/>
      <c r="XE11" s="49">
        <v>397</v>
      </c>
      <c r="XF11" s="49"/>
      <c r="XG11" s="67">
        <f t="shared" si="278"/>
        <v>397</v>
      </c>
      <c r="XH11" s="68">
        <f t="shared" si="279"/>
        <v>66.166666666666671</v>
      </c>
      <c r="XI11" s="106">
        <v>804</v>
      </c>
      <c r="XJ11" s="107"/>
      <c r="XK11" s="107"/>
      <c r="XL11" s="107"/>
      <c r="XM11" s="107"/>
      <c r="XN11" s="107"/>
      <c r="XO11" s="107">
        <v>501</v>
      </c>
      <c r="XP11" s="104">
        <f t="shared" si="280"/>
        <v>501</v>
      </c>
      <c r="XQ11" s="105">
        <f t="shared" si="281"/>
        <v>83.5</v>
      </c>
      <c r="XR11" s="48"/>
      <c r="XS11" s="49"/>
      <c r="XT11" s="49"/>
      <c r="XU11" s="49">
        <v>200</v>
      </c>
      <c r="XV11" s="49"/>
      <c r="XW11" s="49">
        <v>400</v>
      </c>
      <c r="XX11" s="49"/>
      <c r="XY11" s="67">
        <f t="shared" si="282"/>
        <v>600</v>
      </c>
      <c r="XZ11" s="68">
        <f t="shared" si="283"/>
        <v>100</v>
      </c>
      <c r="YA11" s="48"/>
      <c r="YB11" s="49"/>
      <c r="YC11" s="49"/>
      <c r="YD11" s="49">
        <v>806</v>
      </c>
      <c r="YE11" s="49"/>
      <c r="YF11" s="49"/>
      <c r="YG11" s="49">
        <v>600</v>
      </c>
      <c r="YH11" s="67">
        <f t="shared" si="284"/>
        <v>1406</v>
      </c>
      <c r="YI11" s="68">
        <f t="shared" si="285"/>
        <v>234.33333333333334</v>
      </c>
      <c r="YJ11" s="180"/>
      <c r="YK11" s="49"/>
      <c r="YL11" s="49"/>
      <c r="YM11" s="49"/>
      <c r="YN11" s="49"/>
      <c r="YO11" s="49"/>
      <c r="YP11" s="49">
        <v>803</v>
      </c>
      <c r="YQ11" s="67">
        <f t="shared" si="286"/>
        <v>803</v>
      </c>
      <c r="YR11" s="68">
        <f t="shared" si="287"/>
        <v>133.83333333333334</v>
      </c>
      <c r="YS11" s="48"/>
      <c r="YT11" s="49"/>
      <c r="YU11" s="49">
        <v>801</v>
      </c>
      <c r="YV11" s="49"/>
      <c r="YW11" s="49"/>
      <c r="YX11" s="49">
        <v>599</v>
      </c>
      <c r="YY11" s="67">
        <f t="shared" si="288"/>
        <v>1400</v>
      </c>
      <c r="YZ11" s="68">
        <f t="shared" si="289"/>
        <v>233.33333333333334</v>
      </c>
      <c r="ZA11" s="48"/>
      <c r="ZB11" s="49"/>
      <c r="ZC11" s="49"/>
      <c r="ZD11" s="49"/>
      <c r="ZE11" s="49"/>
      <c r="ZF11" s="49"/>
      <c r="ZG11" s="67">
        <f t="shared" si="290"/>
        <v>0</v>
      </c>
      <c r="ZH11" s="68">
        <f t="shared" si="291"/>
        <v>0</v>
      </c>
      <c r="ZI11" s="48">
        <v>518</v>
      </c>
      <c r="ZJ11" s="49"/>
      <c r="ZK11" s="49"/>
      <c r="ZL11" s="49"/>
      <c r="ZM11" s="24">
        <v>780</v>
      </c>
      <c r="ZN11" s="24"/>
      <c r="ZO11" s="67">
        <f t="shared" si="292"/>
        <v>1298</v>
      </c>
      <c r="ZP11" s="68">
        <f t="shared" si="293"/>
        <v>216.33333333333334</v>
      </c>
      <c r="ZQ11" s="48"/>
      <c r="ZR11" s="49"/>
      <c r="ZS11" s="49">
        <v>801</v>
      </c>
      <c r="ZT11" s="49"/>
      <c r="ZU11" s="49"/>
      <c r="ZV11" s="49">
        <v>398</v>
      </c>
      <c r="ZW11" s="49"/>
      <c r="ZX11" s="67">
        <f t="shared" si="294"/>
        <v>1199</v>
      </c>
      <c r="ZY11" s="68">
        <f t="shared" si="295"/>
        <v>199.83333333333334</v>
      </c>
      <c r="ZZ11" s="48"/>
      <c r="AAA11" s="49"/>
      <c r="AAB11" s="49">
        <v>200</v>
      </c>
      <c r="AAC11" s="49"/>
      <c r="AAD11" s="49">
        <v>603</v>
      </c>
      <c r="AAE11" s="49"/>
      <c r="AAF11" s="49"/>
      <c r="AAG11" s="67">
        <f t="shared" si="296"/>
        <v>803</v>
      </c>
      <c r="AAH11" s="68">
        <f t="shared" si="297"/>
        <v>133.83333333333334</v>
      </c>
      <c r="AAI11" s="48"/>
      <c r="AAJ11" s="49">
        <v>398</v>
      </c>
      <c r="AAK11" s="49"/>
      <c r="AAL11" s="49"/>
      <c r="AAM11" s="49"/>
      <c r="AAN11" s="49"/>
      <c r="AAO11" s="67">
        <f t="shared" si="298"/>
        <v>398</v>
      </c>
      <c r="AAP11" s="68">
        <f t="shared" si="299"/>
        <v>66.333333333333329</v>
      </c>
      <c r="AAQ11" s="48"/>
      <c r="AAR11" s="49">
        <v>761</v>
      </c>
      <c r="AAS11" s="49"/>
      <c r="AAT11" s="49">
        <v>514</v>
      </c>
      <c r="AAU11" s="49">
        <v>56</v>
      </c>
      <c r="AAV11" s="49"/>
      <c r="AAW11" s="67">
        <f t="shared" si="300"/>
        <v>1331</v>
      </c>
      <c r="AAX11" s="68">
        <f t="shared" si="301"/>
        <v>221.83333333333334</v>
      </c>
      <c r="AAY11" s="48">
        <v>811</v>
      </c>
      <c r="AAZ11" s="49"/>
      <c r="ABA11" s="49">
        <v>624</v>
      </c>
      <c r="ABB11" s="49"/>
      <c r="ABC11" s="49"/>
      <c r="ABD11" s="49"/>
      <c r="ABE11" s="67">
        <f t="shared" si="302"/>
        <v>1435</v>
      </c>
      <c r="ABF11" s="68">
        <f t="shared" si="303"/>
        <v>239.16666666666666</v>
      </c>
      <c r="ABG11" s="48"/>
      <c r="ABH11" s="49">
        <v>731</v>
      </c>
      <c r="ABI11" s="49"/>
      <c r="ABJ11" s="49"/>
      <c r="ABK11" s="49"/>
      <c r="ABL11" s="49"/>
      <c r="ABM11" s="67">
        <f t="shared" si="304"/>
        <v>731</v>
      </c>
      <c r="ABN11" s="68">
        <f t="shared" si="305"/>
        <v>121.83333333333333</v>
      </c>
      <c r="ABO11" s="48">
        <v>1017</v>
      </c>
      <c r="ABP11" s="49"/>
      <c r="ABQ11" s="49">
        <v>602</v>
      </c>
      <c r="ABR11" s="49"/>
      <c r="ABS11" s="49"/>
      <c r="ABT11" s="49"/>
      <c r="ABU11" s="67">
        <f t="shared" si="306"/>
        <v>1619</v>
      </c>
      <c r="ABV11" s="68">
        <f t="shared" si="307"/>
        <v>269.83333333333331</v>
      </c>
      <c r="ABW11" s="48">
        <v>201</v>
      </c>
      <c r="ABX11" s="49">
        <v>398</v>
      </c>
      <c r="ABY11" s="49"/>
      <c r="ABZ11" s="49"/>
      <c r="ACA11" s="49"/>
      <c r="ACB11" s="49"/>
      <c r="ACC11" s="67">
        <f t="shared" si="308"/>
        <v>599</v>
      </c>
      <c r="ACD11" s="68">
        <f t="shared" si="309"/>
        <v>99.833333333333329</v>
      </c>
      <c r="ACE11" s="48">
        <v>701</v>
      </c>
      <c r="ACF11" s="49"/>
      <c r="ACG11" s="49"/>
      <c r="ACH11" s="49">
        <v>1028</v>
      </c>
      <c r="ACI11" s="49"/>
      <c r="ACJ11" s="49"/>
      <c r="ACK11" s="67">
        <f t="shared" si="310"/>
        <v>1729</v>
      </c>
      <c r="ACL11" s="68">
        <f t="shared" si="311"/>
        <v>288.16666666666669</v>
      </c>
      <c r="ACM11" s="48"/>
      <c r="ACN11" s="49"/>
      <c r="ACO11" s="49">
        <v>622</v>
      </c>
      <c r="ACP11" s="49"/>
      <c r="ACQ11" s="49"/>
      <c r="ACR11" s="49"/>
      <c r="ACS11" s="67">
        <f t="shared" si="312"/>
        <v>622</v>
      </c>
      <c r="ACT11" s="68">
        <f t="shared" si="313"/>
        <v>103.66666666666667</v>
      </c>
      <c r="ACU11" s="48">
        <v>1000</v>
      </c>
      <c r="ACV11" s="49"/>
      <c r="ACW11" s="49"/>
      <c r="ACX11" s="49"/>
      <c r="ACY11" s="49"/>
      <c r="ACZ11" s="49">
        <v>601</v>
      </c>
      <c r="ADA11" s="67">
        <f t="shared" si="314"/>
        <v>1601</v>
      </c>
      <c r="ADB11" s="68">
        <f t="shared" si="315"/>
        <v>266.83333333333331</v>
      </c>
      <c r="ADC11" s="48"/>
      <c r="ADD11" s="49"/>
      <c r="ADE11" s="49"/>
      <c r="ADF11" s="49">
        <v>200</v>
      </c>
      <c r="ADG11" s="49">
        <v>598</v>
      </c>
      <c r="ADH11" s="49"/>
      <c r="ADI11" s="67">
        <f t="shared" si="316"/>
        <v>798</v>
      </c>
      <c r="ADJ11" s="68">
        <f t="shared" si="317"/>
        <v>133</v>
      </c>
      <c r="ADK11" s="48"/>
      <c r="ADL11" s="49"/>
      <c r="ADM11" s="49"/>
      <c r="ADN11" s="49">
        <v>618</v>
      </c>
      <c r="ADO11" s="49"/>
      <c r="ADP11" s="49"/>
      <c r="ADQ11" s="67">
        <f t="shared" si="318"/>
        <v>618</v>
      </c>
      <c r="ADR11" s="68">
        <f t="shared" si="319"/>
        <v>103</v>
      </c>
      <c r="ADS11" s="48">
        <v>597</v>
      </c>
      <c r="ADT11" s="49"/>
      <c r="ADU11" s="49"/>
      <c r="ADV11" s="49"/>
      <c r="ADW11" s="49"/>
      <c r="ADX11" s="49">
        <v>434</v>
      </c>
      <c r="ADY11" s="67">
        <f t="shared" si="320"/>
        <v>1031</v>
      </c>
      <c r="ADZ11" s="68">
        <f t="shared" si="321"/>
        <v>171.83333333333334</v>
      </c>
      <c r="AEA11" s="48">
        <v>223</v>
      </c>
      <c r="AEB11" s="49"/>
      <c r="AEC11" s="49"/>
      <c r="AED11" s="49"/>
      <c r="AEE11" s="49">
        <v>1213</v>
      </c>
      <c r="AEF11" s="49">
        <v>799</v>
      </c>
      <c r="AEG11" s="67">
        <f t="shared" si="322"/>
        <v>2235</v>
      </c>
      <c r="AEH11" s="68">
        <f t="shared" si="323"/>
        <v>372.5</v>
      </c>
      <c r="AEI11" s="48"/>
      <c r="AEJ11" s="49"/>
      <c r="AEK11" s="49"/>
      <c r="AEL11" s="49"/>
      <c r="AEM11" s="49">
        <v>603</v>
      </c>
      <c r="AEN11" s="49"/>
      <c r="AEO11" s="67">
        <f t="shared" si="324"/>
        <v>603</v>
      </c>
      <c r="AEP11" s="68">
        <f t="shared" si="325"/>
        <v>100.5</v>
      </c>
      <c r="AEQ11" s="48"/>
      <c r="AER11" s="49"/>
      <c r="AES11" s="49"/>
      <c r="AET11" s="49">
        <v>992</v>
      </c>
      <c r="AEU11" s="49"/>
      <c r="AEV11" s="49">
        <v>103</v>
      </c>
      <c r="AEW11" s="67">
        <f t="shared" si="326"/>
        <v>1095</v>
      </c>
      <c r="AEX11" s="68">
        <f t="shared" si="327"/>
        <v>182.5</v>
      </c>
      <c r="AEY11" s="48"/>
      <c r="AEZ11" s="49"/>
      <c r="AFA11" s="49">
        <v>527</v>
      </c>
      <c r="AFB11" s="49">
        <v>78</v>
      </c>
      <c r="AFC11" s="49">
        <v>199</v>
      </c>
      <c r="AFD11" s="49"/>
      <c r="AFE11" s="67">
        <f t="shared" si="328"/>
        <v>804</v>
      </c>
      <c r="AFF11" s="68">
        <f t="shared" si="329"/>
        <v>134</v>
      </c>
      <c r="AFG11" s="48"/>
      <c r="AFH11" s="49"/>
      <c r="AFI11" s="49">
        <v>401</v>
      </c>
      <c r="AFJ11" s="49">
        <v>195</v>
      </c>
      <c r="AFK11" s="49">
        <v>1004</v>
      </c>
      <c r="AFL11" s="49"/>
      <c r="AFM11" s="67">
        <f t="shared" si="330"/>
        <v>1600</v>
      </c>
      <c r="AFN11" s="68">
        <f t="shared" si="331"/>
        <v>266.66666666666669</v>
      </c>
      <c r="AFO11" s="48"/>
      <c r="AFP11" s="49"/>
      <c r="AFQ11" s="49"/>
      <c r="AFR11" s="49">
        <v>1004</v>
      </c>
      <c r="AFS11" s="49"/>
      <c r="AFT11" s="49"/>
      <c r="AFU11" s="67">
        <f t="shared" si="332"/>
        <v>1004</v>
      </c>
      <c r="AFV11" s="68">
        <f t="shared" si="333"/>
        <v>167.33333333333334</v>
      </c>
      <c r="AFW11" s="48"/>
      <c r="AFX11" s="49">
        <v>601</v>
      </c>
      <c r="AFY11" s="49"/>
      <c r="AFZ11" s="49"/>
      <c r="AGA11" s="49"/>
      <c r="AGB11" s="49"/>
      <c r="AGC11" s="67">
        <f t="shared" si="334"/>
        <v>601</v>
      </c>
      <c r="AGD11" s="68">
        <f t="shared" si="335"/>
        <v>100.16666666666667</v>
      </c>
      <c r="AGE11" s="48">
        <v>902</v>
      </c>
      <c r="AGF11" s="49"/>
      <c r="AGG11" s="49"/>
      <c r="AGH11" s="49"/>
      <c r="AGI11" s="49"/>
      <c r="AGJ11" s="49"/>
      <c r="AGK11" s="67">
        <f t="shared" si="336"/>
        <v>902</v>
      </c>
      <c r="AGL11" s="68">
        <f t="shared" si="337"/>
        <v>150.33333333333334</v>
      </c>
      <c r="AGM11" s="48"/>
      <c r="AGN11" s="49"/>
      <c r="AGO11" s="49"/>
      <c r="AGP11" s="49">
        <v>626</v>
      </c>
      <c r="AGQ11" s="49"/>
      <c r="AGR11" s="49"/>
      <c r="AGS11" s="49"/>
      <c r="AGT11" s="67">
        <f t="shared" si="338"/>
        <v>626</v>
      </c>
      <c r="AGU11" s="68">
        <f t="shared" si="339"/>
        <v>104.33333333333333</v>
      </c>
      <c r="AGV11" s="48"/>
      <c r="AGW11" s="49">
        <v>1205</v>
      </c>
      <c r="AGX11" s="49"/>
      <c r="AGY11" s="49"/>
      <c r="AGZ11" s="49"/>
      <c r="AHA11" s="49"/>
      <c r="AHB11" s="67">
        <f t="shared" si="340"/>
        <v>1205</v>
      </c>
      <c r="AHC11" s="68">
        <f t="shared" si="341"/>
        <v>41.551724137931032</v>
      </c>
      <c r="AHD11" s="48"/>
      <c r="AHE11" s="49"/>
      <c r="AHF11" s="49"/>
      <c r="AHG11" s="49">
        <v>245</v>
      </c>
      <c r="AHH11" s="49"/>
      <c r="AHI11" s="49"/>
      <c r="AHJ11" s="67">
        <f t="shared" si="342"/>
        <v>245</v>
      </c>
      <c r="AHK11" s="68">
        <f t="shared" si="343"/>
        <v>8.4482758620689662</v>
      </c>
      <c r="AHL11" s="48"/>
      <c r="AHM11" s="49">
        <v>621</v>
      </c>
      <c r="AHN11" s="49"/>
      <c r="AHO11" s="49"/>
      <c r="AHP11" s="49">
        <v>399</v>
      </c>
      <c r="AHQ11" s="49"/>
      <c r="AHR11" s="67">
        <f t="shared" si="344"/>
        <v>1020</v>
      </c>
      <c r="AHS11" s="68">
        <f t="shared" si="345"/>
        <v>35.172413793103445</v>
      </c>
      <c r="AHT11" s="48"/>
      <c r="AHU11" s="49">
        <v>797</v>
      </c>
      <c r="AHV11" s="49"/>
      <c r="AHW11" s="49"/>
      <c r="AHX11" s="49">
        <v>1</v>
      </c>
      <c r="AHY11" s="49">
        <v>900</v>
      </c>
      <c r="AHZ11" s="67">
        <f t="shared" si="346"/>
        <v>1698</v>
      </c>
      <c r="AIA11" s="68">
        <f t="shared" si="347"/>
        <v>58.551724137931032</v>
      </c>
      <c r="AIB11" s="48"/>
      <c r="AIC11" s="49"/>
      <c r="AID11" s="49"/>
      <c r="AIE11" s="49"/>
      <c r="AIF11" s="49"/>
      <c r="AIG11" s="49">
        <v>300</v>
      </c>
      <c r="AIH11" s="67">
        <f t="shared" si="348"/>
        <v>300</v>
      </c>
      <c r="AII11" s="68">
        <f t="shared" si="349"/>
        <v>10.344827586206897</v>
      </c>
      <c r="AIJ11" s="48"/>
      <c r="AIK11" s="49">
        <v>100</v>
      </c>
      <c r="AIL11" s="49"/>
      <c r="AIM11" s="49"/>
      <c r="AIN11" s="49"/>
      <c r="AIO11" s="49">
        <v>609</v>
      </c>
      <c r="AIP11" s="67">
        <f t="shared" si="350"/>
        <v>709</v>
      </c>
      <c r="AIQ11" s="68">
        <f t="shared" si="351"/>
        <v>24.448275862068964</v>
      </c>
      <c r="AIR11" s="48"/>
      <c r="AIS11" s="49"/>
      <c r="AIT11" s="49"/>
      <c r="AIU11" s="49"/>
      <c r="AIV11" s="49">
        <v>802</v>
      </c>
      <c r="AIW11" s="49"/>
      <c r="AIX11" s="67">
        <f t="shared" si="352"/>
        <v>802</v>
      </c>
      <c r="AIY11" s="68">
        <f t="shared" si="353"/>
        <v>27.655172413793103</v>
      </c>
      <c r="AIZ11" s="48"/>
      <c r="AJA11" s="49"/>
      <c r="AJB11" s="49">
        <v>1057</v>
      </c>
      <c r="AJC11" s="49"/>
      <c r="AJD11" s="49"/>
      <c r="AJE11" s="49"/>
      <c r="AJF11" s="67">
        <f t="shared" si="354"/>
        <v>1057</v>
      </c>
      <c r="AJG11" s="68">
        <f t="shared" si="355"/>
        <v>36.448275862068968</v>
      </c>
      <c r="AJH11" s="48"/>
      <c r="AJI11" s="49"/>
      <c r="AJJ11" s="49">
        <v>397</v>
      </c>
      <c r="AJK11" s="49"/>
      <c r="AJL11" s="49">
        <v>520</v>
      </c>
      <c r="AJM11" s="49"/>
      <c r="AJN11" s="42">
        <f t="shared" si="356"/>
        <v>917</v>
      </c>
      <c r="AJO11" s="43">
        <f t="shared" si="357"/>
        <v>31.620689655172413</v>
      </c>
      <c r="AJP11" s="48">
        <v>808</v>
      </c>
      <c r="AJQ11" s="49"/>
      <c r="AJR11" s="49"/>
      <c r="AJS11" s="49"/>
      <c r="AJT11" s="49"/>
      <c r="AJU11" s="49"/>
      <c r="AJV11" s="42">
        <f t="shared" si="358"/>
        <v>808</v>
      </c>
      <c r="AJW11" s="43">
        <f t="shared" si="359"/>
        <v>27.862068965517242</v>
      </c>
      <c r="AJX11" s="48"/>
      <c r="AJY11" s="49"/>
      <c r="AJZ11" s="49"/>
      <c r="AKA11" s="49">
        <v>801</v>
      </c>
      <c r="AKB11" s="49"/>
      <c r="AKC11" s="49">
        <v>402</v>
      </c>
      <c r="AKD11" s="67">
        <f t="shared" si="360"/>
        <v>1203</v>
      </c>
      <c r="AKE11" s="68">
        <f t="shared" si="361"/>
        <v>41.482758620689658</v>
      </c>
      <c r="AKF11" s="48"/>
      <c r="AKG11" s="49"/>
      <c r="AKH11" s="49"/>
      <c r="AKI11" s="49">
        <v>399</v>
      </c>
      <c r="AKJ11" s="49"/>
      <c r="AKK11" s="49"/>
      <c r="AKL11" s="67">
        <f t="shared" si="362"/>
        <v>399</v>
      </c>
      <c r="AKM11" s="184">
        <f t="shared" si="363"/>
        <v>66.5</v>
      </c>
      <c r="AKN11" s="195"/>
      <c r="AKO11" s="49">
        <v>643</v>
      </c>
      <c r="AKP11" s="49"/>
      <c r="AKQ11" s="49"/>
      <c r="AKR11" s="49"/>
      <c r="AKS11" s="49">
        <v>602</v>
      </c>
      <c r="AKT11" s="67">
        <f t="shared" si="364"/>
        <v>1245</v>
      </c>
      <c r="AKU11" s="184">
        <f t="shared" si="365"/>
        <v>207.5</v>
      </c>
      <c r="AKV11" s="48"/>
      <c r="AKW11" s="49"/>
      <c r="AKX11" s="49"/>
      <c r="AKY11" s="49"/>
      <c r="AKZ11" s="49"/>
      <c r="ALA11" s="49">
        <v>600</v>
      </c>
      <c r="ALB11" s="67">
        <f t="shared" si="366"/>
        <v>600</v>
      </c>
      <c r="ALC11" s="68">
        <f t="shared" si="367"/>
        <v>100</v>
      </c>
      <c r="ALD11" s="48"/>
      <c r="ALE11" s="49"/>
      <c r="ALF11" s="49">
        <v>803</v>
      </c>
      <c r="ALG11" s="49"/>
      <c r="ALH11" s="49"/>
      <c r="ALI11" s="49"/>
      <c r="ALJ11" s="67">
        <f t="shared" si="368"/>
        <v>803</v>
      </c>
      <c r="ALK11" s="68">
        <f t="shared" si="369"/>
        <v>133.83333333333334</v>
      </c>
      <c r="ALL11" s="48">
        <v>75</v>
      </c>
      <c r="ALM11" s="49">
        <v>798</v>
      </c>
      <c r="ALN11" s="49"/>
      <c r="ALO11" s="49"/>
      <c r="ALP11" s="49"/>
      <c r="ALQ11" s="49"/>
      <c r="ALR11" s="67">
        <f t="shared" si="370"/>
        <v>873</v>
      </c>
      <c r="ALS11" s="68">
        <f t="shared" si="371"/>
        <v>145.5</v>
      </c>
      <c r="ALT11" s="48"/>
      <c r="ALU11" s="49"/>
      <c r="ALV11" s="49"/>
      <c r="ALW11" s="49"/>
      <c r="ALX11" s="49"/>
      <c r="ALY11" s="49"/>
      <c r="ALZ11" s="67">
        <f t="shared" si="372"/>
        <v>0</v>
      </c>
      <c r="AMA11" s="68">
        <f t="shared" si="373"/>
        <v>0</v>
      </c>
      <c r="AMB11" s="48"/>
      <c r="AMC11" s="49">
        <v>799</v>
      </c>
      <c r="AMD11" s="49"/>
      <c r="AME11" s="49"/>
      <c r="AMF11" s="49">
        <v>796</v>
      </c>
      <c r="AMG11" s="49"/>
      <c r="AMH11" s="67">
        <f t="shared" si="374"/>
        <v>1595</v>
      </c>
      <c r="AMI11" s="68">
        <f t="shared" si="375"/>
        <v>265.83333333333331</v>
      </c>
      <c r="AMJ11" s="48"/>
      <c r="AMK11" s="49"/>
      <c r="AML11" s="49"/>
      <c r="AMM11" s="49"/>
      <c r="AMN11" s="49"/>
      <c r="AMO11" s="49"/>
      <c r="AMP11" s="67">
        <f t="shared" si="376"/>
        <v>0</v>
      </c>
      <c r="AMQ11" s="68">
        <f t="shared" si="377"/>
        <v>0</v>
      </c>
      <c r="AMR11" s="48"/>
      <c r="AMS11" s="49">
        <v>702</v>
      </c>
      <c r="AMT11" s="49"/>
      <c r="AMU11" s="49"/>
      <c r="AMV11" s="49">
        <v>600</v>
      </c>
      <c r="AMW11" s="49"/>
      <c r="AMX11" s="67">
        <f t="shared" si="378"/>
        <v>1302</v>
      </c>
      <c r="AMY11" s="68">
        <f t="shared" si="379"/>
        <v>217</v>
      </c>
      <c r="AMZ11" s="48"/>
      <c r="ANA11" s="49">
        <v>807</v>
      </c>
      <c r="ANB11" s="49"/>
      <c r="ANC11" s="49"/>
      <c r="AND11" s="49"/>
      <c r="ANE11" s="49"/>
      <c r="ANF11" s="67">
        <f t="shared" si="380"/>
        <v>807</v>
      </c>
      <c r="ANG11" s="68">
        <f t="shared" si="381"/>
        <v>134.5</v>
      </c>
      <c r="ANH11" s="48">
        <v>200</v>
      </c>
      <c r="ANI11" s="49">
        <v>600</v>
      </c>
      <c r="ANJ11" s="49"/>
      <c r="ANK11" s="49">
        <v>698</v>
      </c>
      <c r="ANL11" s="49">
        <v>698</v>
      </c>
      <c r="ANM11" s="49">
        <v>103</v>
      </c>
      <c r="ANN11" s="67">
        <f t="shared" si="382"/>
        <v>2299</v>
      </c>
      <c r="ANO11" s="68">
        <f t="shared" si="383"/>
        <v>383.16666666666669</v>
      </c>
      <c r="ANP11" s="48"/>
      <c r="ANQ11" s="49"/>
      <c r="ANR11" s="49"/>
      <c r="ANS11" s="49"/>
      <c r="ANT11" s="49">
        <v>400</v>
      </c>
      <c r="ANU11" s="49"/>
      <c r="ANV11" s="67">
        <f t="shared" si="384"/>
        <v>400</v>
      </c>
      <c r="ANW11" s="68">
        <f t="shared" si="385"/>
        <v>66.666666666666671</v>
      </c>
      <c r="ANX11" s="82">
        <v>798</v>
      </c>
      <c r="ANY11" s="83"/>
      <c r="ANZ11" s="83"/>
      <c r="AOA11" s="83"/>
      <c r="AOB11" s="83"/>
      <c r="AOC11" s="83">
        <v>200</v>
      </c>
      <c r="AOD11" s="67">
        <f t="shared" si="386"/>
        <v>998</v>
      </c>
      <c r="AOE11" s="68">
        <f t="shared" si="387"/>
        <v>166.33333333333334</v>
      </c>
      <c r="AOF11" s="48"/>
      <c r="AOG11" s="49"/>
      <c r="AOH11" s="49">
        <v>401</v>
      </c>
      <c r="AOI11" s="49"/>
      <c r="AOJ11" s="49"/>
      <c r="AOK11" s="49">
        <v>600</v>
      </c>
      <c r="AOL11" s="67">
        <f t="shared" si="388"/>
        <v>1001</v>
      </c>
      <c r="AOM11" s="68">
        <f t="shared" si="389"/>
        <v>166.83333333333334</v>
      </c>
      <c r="AON11" s="48"/>
      <c r="AOO11" s="49"/>
      <c r="AOP11" s="49"/>
      <c r="AOQ11" s="49">
        <v>799</v>
      </c>
      <c r="AOR11" s="49"/>
      <c r="AOS11" s="49"/>
      <c r="AOT11" s="67">
        <f t="shared" si="390"/>
        <v>799</v>
      </c>
      <c r="AOU11" s="68">
        <f t="shared" si="391"/>
        <v>133.16666666666666</v>
      </c>
      <c r="AOV11" s="48"/>
      <c r="AOW11" s="49"/>
      <c r="AOX11" s="49">
        <v>400</v>
      </c>
      <c r="AOY11" s="49"/>
      <c r="AOZ11" s="49"/>
      <c r="APA11" s="49"/>
      <c r="APB11" s="67">
        <f t="shared" si="392"/>
        <v>400</v>
      </c>
      <c r="APC11" s="68">
        <f t="shared" si="393"/>
        <v>66.666666666666671</v>
      </c>
      <c r="APD11" s="48"/>
      <c r="APE11" s="49"/>
      <c r="APF11" s="49">
        <v>600</v>
      </c>
      <c r="APG11" s="49"/>
      <c r="APH11" s="49"/>
      <c r="API11" s="49"/>
      <c r="APJ11" s="67">
        <f t="shared" si="394"/>
        <v>600</v>
      </c>
      <c r="APK11" s="68">
        <f t="shared" si="395"/>
        <v>100</v>
      </c>
      <c r="APL11" s="48"/>
      <c r="APM11" s="49">
        <v>602</v>
      </c>
      <c r="APN11" s="49"/>
      <c r="APO11" s="49"/>
      <c r="APP11" s="49"/>
      <c r="APQ11" s="49"/>
      <c r="APR11" s="67">
        <f t="shared" si="396"/>
        <v>602</v>
      </c>
      <c r="APS11" s="68">
        <f t="shared" si="397"/>
        <v>100.33333333333333</v>
      </c>
      <c r="APT11" s="48">
        <v>801</v>
      </c>
      <c r="APU11" s="49"/>
      <c r="APV11" s="49"/>
      <c r="APW11" s="49"/>
      <c r="APX11" s="49"/>
      <c r="APY11" s="49">
        <v>800</v>
      </c>
      <c r="APZ11" s="67">
        <f t="shared" si="398"/>
        <v>1601</v>
      </c>
      <c r="AQA11" s="68">
        <f t="shared" si="399"/>
        <v>266.83333333333331</v>
      </c>
      <c r="AQB11" s="48"/>
      <c r="AQC11" s="49"/>
      <c r="AQD11" s="49"/>
      <c r="AQE11" s="49"/>
      <c r="AQF11" s="49">
        <v>401</v>
      </c>
      <c r="AQG11" s="49"/>
      <c r="AQH11" s="67">
        <f t="shared" si="400"/>
        <v>401</v>
      </c>
      <c r="AQI11" s="68">
        <f t="shared" si="401"/>
        <v>66.833333333333329</v>
      </c>
      <c r="AQJ11" s="48"/>
      <c r="AQK11" s="49"/>
      <c r="AQL11" s="49">
        <v>502</v>
      </c>
      <c r="AQM11" s="49"/>
      <c r="AQN11" s="49">
        <v>397</v>
      </c>
      <c r="AQO11" s="49"/>
      <c r="AQP11" s="67">
        <f t="shared" si="402"/>
        <v>899</v>
      </c>
      <c r="AQQ11" s="68">
        <f t="shared" si="403"/>
        <v>149.83333333333334</v>
      </c>
      <c r="AQR11" s="48"/>
      <c r="AQS11" s="49"/>
      <c r="AQT11" s="49"/>
      <c r="AQU11" s="49"/>
      <c r="AQV11" s="49">
        <v>200</v>
      </c>
      <c r="AQW11" s="49"/>
      <c r="AQX11" s="67">
        <f t="shared" si="404"/>
        <v>200</v>
      </c>
      <c r="AQY11" s="68">
        <f t="shared" si="405"/>
        <v>33.333333333333336</v>
      </c>
      <c r="AQZ11" s="48"/>
      <c r="ARA11" s="49"/>
      <c r="ARB11" s="49">
        <v>545</v>
      </c>
      <c r="ARC11" s="49">
        <v>57</v>
      </c>
      <c r="ARD11" s="49"/>
      <c r="ARE11" s="49"/>
      <c r="ARF11" s="67">
        <f t="shared" si="406"/>
        <v>602</v>
      </c>
      <c r="ARG11" s="68">
        <f t="shared" si="407"/>
        <v>100.33333333333333</v>
      </c>
      <c r="ARH11" s="48"/>
      <c r="ARI11" s="49">
        <v>884</v>
      </c>
      <c r="ARJ11" s="49"/>
      <c r="ARK11" s="49"/>
      <c r="ARL11" s="49"/>
      <c r="ARM11" s="49">
        <v>305</v>
      </c>
      <c r="ARN11" s="67">
        <f t="shared" si="408"/>
        <v>1189</v>
      </c>
      <c r="ARO11" s="68">
        <f t="shared" si="409"/>
        <v>198.16666666666666</v>
      </c>
      <c r="ARP11" s="48"/>
      <c r="ARQ11" s="49"/>
      <c r="ARR11" s="49">
        <v>300</v>
      </c>
      <c r="ARS11" s="49"/>
      <c r="ART11" s="49"/>
      <c r="ARU11" s="49"/>
      <c r="ARV11" s="67">
        <f t="shared" si="410"/>
        <v>300</v>
      </c>
      <c r="ARW11" s="68">
        <f t="shared" si="411"/>
        <v>50</v>
      </c>
      <c r="ARX11" s="48"/>
      <c r="ARY11" s="49"/>
      <c r="ARZ11" s="49"/>
      <c r="ASA11" s="49">
        <v>402</v>
      </c>
      <c r="ASB11" s="49"/>
      <c r="ASC11" s="49"/>
      <c r="ASD11" s="67">
        <f t="shared" si="412"/>
        <v>402</v>
      </c>
      <c r="ASE11" s="68">
        <f t="shared" si="413"/>
        <v>67</v>
      </c>
      <c r="ASF11" s="48">
        <v>611</v>
      </c>
      <c r="ASG11" s="49"/>
      <c r="ASH11" s="49"/>
      <c r="ASI11" s="49">
        <v>402</v>
      </c>
      <c r="ASJ11" s="49"/>
      <c r="ASK11" s="49"/>
      <c r="ASL11" s="67">
        <f t="shared" si="414"/>
        <v>1013</v>
      </c>
      <c r="ASM11" s="68">
        <f t="shared" si="415"/>
        <v>168.83333333333334</v>
      </c>
      <c r="ASN11" s="48"/>
      <c r="ASO11" s="49">
        <v>401</v>
      </c>
      <c r="ASP11" s="49"/>
      <c r="ASQ11" s="49"/>
      <c r="ASR11" s="49">
        <v>600</v>
      </c>
      <c r="ASS11" s="49"/>
      <c r="AST11" s="67">
        <f t="shared" si="416"/>
        <v>1001</v>
      </c>
      <c r="ASU11" s="68">
        <f t="shared" si="417"/>
        <v>166.83333333333334</v>
      </c>
      <c r="ASV11" s="48"/>
      <c r="ASW11" s="49"/>
      <c r="ASX11" s="49"/>
      <c r="ASY11" s="49">
        <v>802</v>
      </c>
      <c r="ASZ11" s="49"/>
      <c r="ATA11" s="49"/>
      <c r="ATB11" s="67">
        <f t="shared" si="418"/>
        <v>802</v>
      </c>
      <c r="ATC11" s="68">
        <f t="shared" si="419"/>
        <v>133.66666666666666</v>
      </c>
      <c r="ATD11" s="48"/>
      <c r="ATE11" s="49"/>
      <c r="ATF11" s="49"/>
      <c r="ATG11" s="49">
        <v>400</v>
      </c>
      <c r="ATH11" s="49"/>
      <c r="ATI11" s="49"/>
      <c r="ATJ11" s="67">
        <f t="shared" si="420"/>
        <v>400</v>
      </c>
      <c r="ATK11" s="68">
        <f t="shared" si="421"/>
        <v>66.666666666666671</v>
      </c>
      <c r="ATL11" s="48"/>
      <c r="ATM11" s="49"/>
      <c r="ATN11" s="49"/>
      <c r="ATO11" s="49"/>
      <c r="ATP11" s="49">
        <v>403</v>
      </c>
      <c r="ATQ11" s="49"/>
      <c r="ATR11" s="67">
        <f t="shared" si="422"/>
        <v>403</v>
      </c>
      <c r="ATS11" s="68">
        <f t="shared" si="423"/>
        <v>67.166666666666671</v>
      </c>
      <c r="ATT11" s="48"/>
      <c r="ATU11" s="49"/>
      <c r="ATV11" s="49"/>
      <c r="ATW11" s="49"/>
      <c r="ATX11" s="49">
        <v>805</v>
      </c>
      <c r="ATY11" s="49"/>
      <c r="ATZ11" s="67">
        <f t="shared" si="424"/>
        <v>805</v>
      </c>
      <c r="AUA11" s="68">
        <f t="shared" si="425"/>
        <v>134.16666666666666</v>
      </c>
      <c r="AUB11" s="48"/>
      <c r="AUC11" s="49"/>
      <c r="AUD11" s="49"/>
      <c r="AUE11" s="49"/>
      <c r="AUF11" s="49"/>
      <c r="AUG11" s="49"/>
      <c r="AUH11" s="67">
        <f t="shared" si="426"/>
        <v>0</v>
      </c>
      <c r="AUI11" s="68">
        <f t="shared" si="427"/>
        <v>0</v>
      </c>
      <c r="AUJ11" s="48">
        <v>562</v>
      </c>
      <c r="AUK11" s="49">
        <v>39</v>
      </c>
      <c r="AUL11" s="49"/>
      <c r="AUM11" s="49"/>
      <c r="AUN11" s="49"/>
      <c r="AUO11" s="49">
        <v>399</v>
      </c>
      <c r="AUP11" s="67">
        <f t="shared" si="428"/>
        <v>1000</v>
      </c>
      <c r="AUQ11" s="68">
        <f t="shared" si="429"/>
        <v>166.66666666666666</v>
      </c>
      <c r="AUR11" s="48"/>
      <c r="AUS11" s="49"/>
      <c r="AUT11" s="49"/>
      <c r="AUU11" s="49"/>
      <c r="AUV11" s="49"/>
      <c r="AUW11" s="49"/>
      <c r="AUX11" s="67">
        <f t="shared" si="430"/>
        <v>0</v>
      </c>
      <c r="AUY11" s="68">
        <f t="shared" si="431"/>
        <v>0</v>
      </c>
      <c r="AUZ11" s="48"/>
      <c r="AVA11" s="49"/>
      <c r="AVB11" s="49"/>
      <c r="AVC11" s="49">
        <v>201</v>
      </c>
      <c r="AVD11" s="49"/>
      <c r="AVE11" s="49"/>
      <c r="AVF11" s="67">
        <f t="shared" si="432"/>
        <v>201</v>
      </c>
      <c r="AVG11" s="68">
        <f t="shared" si="433"/>
        <v>33.5</v>
      </c>
      <c r="AVH11" s="48"/>
      <c r="AVI11" s="49">
        <v>300</v>
      </c>
      <c r="AVJ11" s="49"/>
      <c r="AVK11" s="49"/>
      <c r="AVL11" s="49">
        <v>557</v>
      </c>
      <c r="AVM11" s="49"/>
      <c r="AVN11" s="67">
        <f t="shared" si="434"/>
        <v>857</v>
      </c>
      <c r="AVO11" s="68">
        <f t="shared" si="435"/>
        <v>142.83333333333334</v>
      </c>
      <c r="AVP11" s="48"/>
      <c r="AVQ11" s="49"/>
      <c r="AVR11" s="49"/>
      <c r="AVS11" s="49"/>
      <c r="AVT11" s="49">
        <v>189</v>
      </c>
      <c r="AVU11" s="49"/>
      <c r="AVV11" s="67">
        <f t="shared" si="436"/>
        <v>189</v>
      </c>
      <c r="AVW11" s="68">
        <f t="shared" si="437"/>
        <v>31.5</v>
      </c>
      <c r="AVX11" s="48"/>
      <c r="AVY11" s="49"/>
      <c r="AVZ11" s="49">
        <v>600</v>
      </c>
      <c r="AWA11" s="49"/>
      <c r="AWB11" s="49"/>
      <c r="AWC11" s="49"/>
      <c r="AWD11" s="67">
        <f t="shared" si="438"/>
        <v>600</v>
      </c>
      <c r="AWE11" s="68">
        <f t="shared" si="439"/>
        <v>100</v>
      </c>
      <c r="AWF11" s="48"/>
      <c r="AWG11" s="49"/>
      <c r="AWH11" s="49">
        <v>801</v>
      </c>
      <c r="AWI11" s="49"/>
      <c r="AWJ11" s="49"/>
      <c r="AWK11" s="49"/>
      <c r="AWL11" s="67">
        <f t="shared" si="440"/>
        <v>801</v>
      </c>
      <c r="AWM11" s="68">
        <f t="shared" si="441"/>
        <v>133.5</v>
      </c>
      <c r="AWN11" s="48"/>
      <c r="AWO11" s="49"/>
      <c r="AWP11" s="49"/>
      <c r="AWQ11" s="49"/>
      <c r="AWR11" s="49"/>
      <c r="AWS11" s="49"/>
      <c r="AWT11" s="42">
        <f t="shared" si="442"/>
        <v>0</v>
      </c>
      <c r="AWU11" s="43">
        <f t="shared" si="443"/>
        <v>0</v>
      </c>
      <c r="AWV11" s="48">
        <v>200</v>
      </c>
      <c r="AWW11" s="49"/>
      <c r="AWX11" s="49"/>
      <c r="AWY11" s="49"/>
      <c r="AWZ11" s="49"/>
      <c r="AXA11" s="49">
        <v>200</v>
      </c>
      <c r="AXB11" s="42">
        <f t="shared" si="444"/>
        <v>400</v>
      </c>
      <c r="AXC11" s="43">
        <f t="shared" si="445"/>
        <v>66.666666666666671</v>
      </c>
      <c r="AXD11" s="48"/>
      <c r="AXE11" s="49"/>
      <c r="AXF11" s="49">
        <v>200</v>
      </c>
      <c r="AXG11" s="49"/>
      <c r="AXH11" s="49"/>
      <c r="AXI11" s="49"/>
      <c r="AXJ11" s="42">
        <f t="shared" si="446"/>
        <v>200</v>
      </c>
      <c r="AXK11" s="43">
        <f t="shared" si="447"/>
        <v>33.333333333333336</v>
      </c>
      <c r="AXL11" s="48">
        <v>810</v>
      </c>
      <c r="AXM11" s="49"/>
      <c r="AXN11" s="49"/>
      <c r="AXO11" s="49"/>
      <c r="AXP11" s="49"/>
      <c r="AXQ11" s="49"/>
      <c r="AXR11" s="42">
        <f t="shared" si="448"/>
        <v>810</v>
      </c>
      <c r="AXS11" s="43">
        <f t="shared" si="449"/>
        <v>135</v>
      </c>
      <c r="AXT11" s="48"/>
      <c r="AXU11" s="49"/>
      <c r="AXV11" s="49"/>
      <c r="AXW11" s="49"/>
      <c r="AXX11" s="49">
        <v>103</v>
      </c>
      <c r="AXY11" s="49"/>
      <c r="AXZ11" s="42">
        <f t="shared" si="450"/>
        <v>103</v>
      </c>
      <c r="AYA11" s="43">
        <f t="shared" si="451"/>
        <v>17.166666666666668</v>
      </c>
      <c r="AYB11" s="48"/>
      <c r="AYC11" s="49">
        <v>102</v>
      </c>
      <c r="AYD11" s="49">
        <v>300</v>
      </c>
      <c r="AYE11" s="49"/>
      <c r="AYF11" s="49"/>
      <c r="AYG11" s="49">
        <v>400</v>
      </c>
      <c r="AYH11" s="42">
        <f t="shared" si="452"/>
        <v>802</v>
      </c>
      <c r="AYI11" s="43">
        <f t="shared" si="453"/>
        <v>133.66666666666666</v>
      </c>
      <c r="AYJ11" s="48"/>
      <c r="AYK11" s="49"/>
      <c r="AYL11" s="49">
        <v>783</v>
      </c>
      <c r="AYM11" s="49"/>
      <c r="AYN11" s="49"/>
      <c r="AYO11" s="49"/>
      <c r="AYP11" s="42">
        <f t="shared" si="454"/>
        <v>783</v>
      </c>
      <c r="AYQ11" s="43">
        <f t="shared" si="455"/>
        <v>130.5</v>
      </c>
      <c r="AYR11" s="48"/>
      <c r="AYS11" s="49"/>
      <c r="AYT11" s="49"/>
      <c r="AYU11" s="49"/>
      <c r="AYV11" s="49"/>
      <c r="AYW11" s="49"/>
      <c r="AYX11" s="42">
        <f t="shared" si="456"/>
        <v>0</v>
      </c>
      <c r="AYY11" s="43">
        <f t="shared" si="457"/>
        <v>0</v>
      </c>
      <c r="AYZ11" s="48">
        <v>605</v>
      </c>
      <c r="AZA11" s="49"/>
      <c r="AZB11" s="49"/>
      <c r="AZC11" s="49"/>
      <c r="AZD11" s="49"/>
      <c r="AZE11" s="49"/>
      <c r="AZF11" s="42">
        <f t="shared" si="458"/>
        <v>605</v>
      </c>
      <c r="AZG11" s="43">
        <f t="shared" si="459"/>
        <v>100.83333333333333</v>
      </c>
      <c r="AZH11" s="48"/>
      <c r="AZI11" s="49"/>
      <c r="AZJ11" s="49"/>
      <c r="AZK11" s="49"/>
      <c r="AZL11" s="49"/>
      <c r="AZM11" s="49"/>
      <c r="AZN11" s="42">
        <f t="shared" si="460"/>
        <v>0</v>
      </c>
      <c r="AZO11" s="43">
        <f t="shared" si="461"/>
        <v>0</v>
      </c>
      <c r="AZP11" s="48"/>
      <c r="AZQ11" s="49"/>
      <c r="AZR11" s="49"/>
      <c r="AZS11" s="49">
        <v>443</v>
      </c>
      <c r="AZT11" s="49"/>
      <c r="AZU11" s="49">
        <v>457</v>
      </c>
      <c r="AZV11" s="42">
        <f t="shared" si="462"/>
        <v>900</v>
      </c>
      <c r="AZW11" s="43">
        <f t="shared" si="463"/>
        <v>150</v>
      </c>
      <c r="AZX11" s="82"/>
      <c r="AZY11" s="83"/>
      <c r="AZZ11" s="83">
        <v>405</v>
      </c>
      <c r="BAA11" s="83"/>
      <c r="BAB11" s="83"/>
      <c r="BAC11" s="83"/>
      <c r="BAD11" s="42">
        <f t="shared" si="464"/>
        <v>405</v>
      </c>
      <c r="BAE11" s="43">
        <f t="shared" si="465"/>
        <v>67.5</v>
      </c>
      <c r="BAF11" s="48"/>
      <c r="BAG11" s="49"/>
      <c r="BAH11" s="49"/>
      <c r="BAI11" s="49"/>
      <c r="BAJ11" s="49"/>
      <c r="BAK11" s="49">
        <v>406</v>
      </c>
      <c r="BAL11" s="42">
        <f t="shared" si="466"/>
        <v>406</v>
      </c>
      <c r="BAM11" s="43">
        <f t="shared" si="467"/>
        <v>67.666666666666671</v>
      </c>
      <c r="BAN11" s="48"/>
      <c r="BAO11" s="49"/>
      <c r="BAP11" s="49"/>
      <c r="BAQ11" s="49"/>
      <c r="BAR11" s="49">
        <v>443</v>
      </c>
      <c r="BAS11" s="49"/>
      <c r="BAT11" s="42">
        <f t="shared" si="468"/>
        <v>443</v>
      </c>
      <c r="BAU11" s="43">
        <f t="shared" si="469"/>
        <v>73.833333333333329</v>
      </c>
      <c r="BAV11" s="48"/>
      <c r="BAW11" s="49"/>
      <c r="BAX11" s="49"/>
      <c r="BAY11" s="49"/>
      <c r="BAZ11" s="49"/>
      <c r="BBA11" s="49">
        <v>599</v>
      </c>
      <c r="BBB11" s="42">
        <f t="shared" si="470"/>
        <v>599</v>
      </c>
      <c r="BBC11" s="43">
        <f t="shared" si="471"/>
        <v>99.833333333333329</v>
      </c>
      <c r="BBD11" s="48"/>
      <c r="BBE11" s="49"/>
      <c r="BBF11" s="49"/>
      <c r="BBG11" s="49"/>
      <c r="BBH11" s="49"/>
      <c r="BBI11" s="49">
        <v>400</v>
      </c>
      <c r="BBJ11" s="42">
        <f t="shared" si="472"/>
        <v>400</v>
      </c>
      <c r="BBK11" s="43">
        <f t="shared" si="473"/>
        <v>66.666666666666671</v>
      </c>
      <c r="BBL11" s="48"/>
      <c r="BBM11" s="49"/>
      <c r="BBN11" s="49"/>
      <c r="BBO11" s="49">
        <v>601</v>
      </c>
      <c r="BBP11" s="49"/>
      <c r="BBQ11" s="49"/>
      <c r="BBR11" s="42">
        <f t="shared" si="474"/>
        <v>601</v>
      </c>
      <c r="BBS11" s="43">
        <f t="shared" si="475"/>
        <v>100.16666666666667</v>
      </c>
      <c r="BBT11" s="48"/>
      <c r="BBU11" s="49"/>
      <c r="BBV11" s="49"/>
      <c r="BBW11" s="49">
        <v>798</v>
      </c>
      <c r="BBX11" s="49"/>
      <c r="BBY11" s="49"/>
      <c r="BBZ11" s="42">
        <f t="shared" si="476"/>
        <v>798</v>
      </c>
      <c r="BCA11" s="43">
        <f t="shared" si="477"/>
        <v>133</v>
      </c>
      <c r="BCB11" s="48"/>
      <c r="BCC11" s="49"/>
      <c r="BCD11" s="49"/>
      <c r="BCE11" s="49"/>
      <c r="BCF11" s="49"/>
      <c r="BCG11" s="49"/>
      <c r="BCH11" s="42">
        <f t="shared" si="478"/>
        <v>0</v>
      </c>
      <c r="BCI11" s="43">
        <f t="shared" si="479"/>
        <v>0</v>
      </c>
      <c r="BCJ11" s="48"/>
      <c r="BCK11" s="49">
        <v>660</v>
      </c>
      <c r="BCL11" s="49"/>
      <c r="BCM11" s="49"/>
      <c r="BCN11" s="49"/>
      <c r="BCO11" s="49"/>
      <c r="BCP11" s="42">
        <f t="shared" si="480"/>
        <v>660</v>
      </c>
      <c r="BCQ11" s="43">
        <f t="shared" si="481"/>
        <v>110</v>
      </c>
      <c r="BCR11" s="48"/>
      <c r="BCS11" s="49"/>
      <c r="BCT11" s="49"/>
      <c r="BCU11" s="49"/>
      <c r="BCV11" s="49"/>
      <c r="BCW11" s="49">
        <v>400</v>
      </c>
      <c r="BCX11" s="42">
        <f t="shared" si="482"/>
        <v>400</v>
      </c>
      <c r="BCY11" s="43">
        <f t="shared" si="483"/>
        <v>66.666666666666671</v>
      </c>
      <c r="BCZ11" s="48"/>
      <c r="BDA11" s="49"/>
      <c r="BDB11" s="49">
        <v>400</v>
      </c>
      <c r="BDC11" s="49"/>
      <c r="BDD11" s="49"/>
      <c r="BDE11" s="49"/>
      <c r="BDF11" s="42">
        <f t="shared" si="484"/>
        <v>400</v>
      </c>
      <c r="BDG11" s="43">
        <f t="shared" si="485"/>
        <v>66.666666666666671</v>
      </c>
      <c r="BDH11" s="48">
        <v>400</v>
      </c>
      <c r="BDI11" s="49"/>
      <c r="BDJ11" s="49">
        <v>200</v>
      </c>
      <c r="BDK11" s="49"/>
      <c r="BDL11" s="49"/>
      <c r="BDM11" s="49"/>
      <c r="BDN11" s="42">
        <f t="shared" si="486"/>
        <v>600</v>
      </c>
      <c r="BDO11" s="43">
        <f t="shared" si="487"/>
        <v>100</v>
      </c>
      <c r="BDP11" s="48"/>
      <c r="BDQ11" s="49"/>
      <c r="BDR11" s="49"/>
      <c r="BDS11" s="49">
        <v>600</v>
      </c>
      <c r="BDT11" s="49"/>
      <c r="BDU11" s="49"/>
      <c r="BDV11" s="42">
        <f t="shared" si="488"/>
        <v>600</v>
      </c>
      <c r="BDW11" s="43">
        <f t="shared" si="489"/>
        <v>100</v>
      </c>
      <c r="BDX11" s="48"/>
      <c r="BDY11" s="49"/>
      <c r="BDZ11" s="49">
        <v>300</v>
      </c>
      <c r="BEA11" s="49"/>
      <c r="BEB11" s="49"/>
      <c r="BEC11" s="49"/>
      <c r="BED11" s="42">
        <f t="shared" si="490"/>
        <v>300</v>
      </c>
      <c r="BEE11" s="43">
        <f t="shared" si="491"/>
        <v>50</v>
      </c>
      <c r="BEF11" s="48"/>
      <c r="BEG11" s="49"/>
      <c r="BEH11" s="49">
        <v>200</v>
      </c>
      <c r="BEI11" s="49">
        <v>200</v>
      </c>
      <c r="BEJ11" s="49"/>
      <c r="BEK11" s="49"/>
      <c r="BEL11" s="42">
        <f t="shared" si="492"/>
        <v>400</v>
      </c>
      <c r="BEM11" s="43">
        <f t="shared" si="493"/>
        <v>66.666666666666671</v>
      </c>
      <c r="BEN11" s="48"/>
      <c r="BEO11" s="49">
        <v>400</v>
      </c>
      <c r="BEP11" s="49"/>
      <c r="BEQ11" s="49"/>
      <c r="BER11" s="49"/>
      <c r="BES11" s="49"/>
      <c r="BET11" s="42">
        <f t="shared" si="494"/>
        <v>400</v>
      </c>
      <c r="BEU11" s="43">
        <f t="shared" si="495"/>
        <v>66.666666666666671</v>
      </c>
      <c r="BEV11" s="82"/>
      <c r="BEW11" s="83">
        <v>398</v>
      </c>
      <c r="BEX11" s="83"/>
      <c r="BEY11" s="83"/>
      <c r="BEZ11" s="83"/>
      <c r="BFA11" s="83">
        <v>200</v>
      </c>
      <c r="BFB11" s="42">
        <f t="shared" si="496"/>
        <v>598</v>
      </c>
      <c r="BFC11" s="43">
        <f t="shared" si="497"/>
        <v>99.666666666666671</v>
      </c>
      <c r="BFD11" s="48"/>
      <c r="BFE11" s="49"/>
      <c r="BFF11" s="49"/>
      <c r="BFG11" s="49"/>
      <c r="BFH11" s="49">
        <v>400</v>
      </c>
      <c r="BFI11" s="49"/>
      <c r="BFJ11" s="42">
        <f t="shared" si="498"/>
        <v>400</v>
      </c>
      <c r="BFK11" s="43">
        <f t="shared" si="499"/>
        <v>66.666666666666671</v>
      </c>
      <c r="BFL11" s="48">
        <v>200</v>
      </c>
      <c r="BFM11" s="49"/>
      <c r="BFN11" s="49"/>
      <c r="BFO11" s="49">
        <v>200</v>
      </c>
      <c r="BFP11" s="49"/>
      <c r="BFQ11" s="49"/>
      <c r="BFR11" s="42">
        <f t="shared" si="500"/>
        <v>400</v>
      </c>
      <c r="BFS11" s="43">
        <f t="shared" si="501"/>
        <v>66.666666666666671</v>
      </c>
      <c r="BFT11" s="48">
        <v>200</v>
      </c>
      <c r="BFU11" s="49"/>
      <c r="BFV11" s="49">
        <v>401</v>
      </c>
      <c r="BFW11" s="49"/>
      <c r="BFX11" s="49">
        <v>200</v>
      </c>
      <c r="BFY11" s="49"/>
      <c r="BFZ11" s="42">
        <f t="shared" si="502"/>
        <v>801</v>
      </c>
      <c r="BGA11" s="43">
        <f t="shared" si="503"/>
        <v>133.5</v>
      </c>
      <c r="BGB11" s="48"/>
      <c r="BGC11" s="49"/>
      <c r="BGD11" s="49">
        <v>386</v>
      </c>
      <c r="BGE11" s="49"/>
      <c r="BGF11" s="49"/>
      <c r="BGG11" s="49"/>
      <c r="BGH11" s="42">
        <f t="shared" si="504"/>
        <v>386</v>
      </c>
      <c r="BGI11" s="43">
        <f t="shared" si="505"/>
        <v>64.333333333333329</v>
      </c>
      <c r="BGJ11" s="48">
        <v>200</v>
      </c>
      <c r="BGK11" s="49"/>
      <c r="BGL11" s="49">
        <v>400</v>
      </c>
      <c r="BGM11" s="49"/>
      <c r="BGN11" s="49"/>
      <c r="BGO11" s="49"/>
      <c r="BGP11" s="42">
        <f t="shared" si="506"/>
        <v>600</v>
      </c>
      <c r="BGQ11" s="43">
        <f t="shared" si="507"/>
        <v>100</v>
      </c>
      <c r="BGR11" s="48"/>
      <c r="BGS11" s="49">
        <v>400</v>
      </c>
      <c r="BGT11" s="49"/>
      <c r="BGU11" s="49"/>
      <c r="BGV11" s="49"/>
      <c r="BGW11" s="49">
        <v>600</v>
      </c>
      <c r="BGX11" s="42">
        <f t="shared" si="508"/>
        <v>1000</v>
      </c>
      <c r="BGY11" s="43">
        <f t="shared" si="509"/>
        <v>166.66666666666666</v>
      </c>
      <c r="BGZ11" s="48">
        <v>198</v>
      </c>
      <c r="BHA11" s="49"/>
      <c r="BHB11" s="49"/>
      <c r="BHC11" s="49"/>
      <c r="BHD11" s="49"/>
      <c r="BHE11" s="49"/>
      <c r="BHF11" s="42">
        <f t="shared" si="510"/>
        <v>198</v>
      </c>
      <c r="BHG11" s="43">
        <f t="shared" si="511"/>
        <v>33</v>
      </c>
      <c r="BHH11" s="63"/>
      <c r="BHI11" s="64"/>
      <c r="BHJ11" s="64">
        <v>1</v>
      </c>
      <c r="BHK11" s="64">
        <v>200</v>
      </c>
      <c r="BHL11" s="64">
        <v>400</v>
      </c>
      <c r="BHM11" s="64"/>
      <c r="BHN11" s="42">
        <f t="shared" si="512"/>
        <v>601</v>
      </c>
      <c r="BHO11" s="43">
        <f t="shared" si="513"/>
        <v>100.16666666666667</v>
      </c>
      <c r="BHP11" s="48"/>
      <c r="BHQ11" s="49"/>
      <c r="BHR11" s="49"/>
      <c r="BHS11" s="49">
        <v>200</v>
      </c>
      <c r="BHT11" s="49"/>
      <c r="BHU11" s="49">
        <v>200</v>
      </c>
      <c r="BHV11" s="42">
        <f t="shared" si="514"/>
        <v>400</v>
      </c>
      <c r="BHW11" s="43">
        <f t="shared" si="515"/>
        <v>66.666666666666671</v>
      </c>
      <c r="BHX11" s="48"/>
      <c r="BHY11" s="49"/>
      <c r="BHZ11" s="49">
        <v>201</v>
      </c>
      <c r="BIA11" s="49"/>
      <c r="BIB11" s="49"/>
      <c r="BIC11" s="49"/>
      <c r="BID11" s="42">
        <f t="shared" si="516"/>
        <v>201</v>
      </c>
      <c r="BIE11" s="43">
        <f t="shared" si="517"/>
        <v>33.5</v>
      </c>
      <c r="BIF11" s="48">
        <v>398</v>
      </c>
      <c r="BIG11" s="49"/>
      <c r="BIH11" s="49"/>
      <c r="BII11" s="49"/>
      <c r="BIJ11" s="49"/>
      <c r="BIK11" s="49"/>
      <c r="BIL11" s="42">
        <f t="shared" si="518"/>
        <v>398</v>
      </c>
      <c r="BIM11" s="43">
        <f t="shared" si="519"/>
        <v>66.333333333333329</v>
      </c>
      <c r="BIN11" s="48"/>
      <c r="BIO11" s="49">
        <v>804</v>
      </c>
      <c r="BIP11" s="49"/>
      <c r="BIQ11" s="49"/>
      <c r="BIR11" s="49"/>
      <c r="BIS11" s="49">
        <v>354</v>
      </c>
      <c r="BIT11" s="42">
        <f t="shared" si="520"/>
        <v>1158</v>
      </c>
      <c r="BIU11" s="43">
        <f t="shared" si="521"/>
        <v>193</v>
      </c>
      <c r="BIV11" s="48"/>
      <c r="BIW11" s="49">
        <v>105</v>
      </c>
      <c r="BIX11" s="49">
        <v>300</v>
      </c>
      <c r="BIY11" s="49">
        <v>139</v>
      </c>
      <c r="BIZ11" s="49"/>
      <c r="BJA11" s="49"/>
      <c r="BJB11" s="42">
        <f t="shared" si="522"/>
        <v>544</v>
      </c>
      <c r="BJC11" s="43">
        <f t="shared" si="523"/>
        <v>90.666666666666671</v>
      </c>
      <c r="BJD11" s="48"/>
      <c r="BJE11" s="49"/>
      <c r="BJF11" s="49"/>
      <c r="BJG11" s="49"/>
      <c r="BJH11" s="49"/>
      <c r="BJI11" s="49"/>
      <c r="BJJ11" s="42">
        <f t="shared" si="524"/>
        <v>0</v>
      </c>
      <c r="BJK11" s="43">
        <f t="shared" si="525"/>
        <v>0</v>
      </c>
      <c r="BJL11" s="48">
        <v>100</v>
      </c>
      <c r="BJM11" s="49"/>
      <c r="BJN11" s="49">
        <v>400</v>
      </c>
      <c r="BJO11" s="49"/>
      <c r="BJP11" s="49"/>
      <c r="BJQ11" s="49"/>
      <c r="BJR11" s="42">
        <f t="shared" si="526"/>
        <v>500</v>
      </c>
      <c r="BJS11" s="43">
        <f t="shared" si="527"/>
        <v>83.333333333333329</v>
      </c>
      <c r="BJT11" s="63"/>
      <c r="BJU11" s="64"/>
      <c r="BJV11" s="64"/>
      <c r="BJW11" s="64"/>
      <c r="BJX11" s="64"/>
      <c r="BJY11" s="64"/>
      <c r="BJZ11" s="42">
        <f t="shared" si="528"/>
        <v>0</v>
      </c>
      <c r="BKA11" s="43">
        <f t="shared" si="529"/>
        <v>0</v>
      </c>
      <c r="BKB11" s="48"/>
      <c r="BKC11" s="49"/>
      <c r="BKD11" s="49">
        <v>500</v>
      </c>
      <c r="BKE11" s="49"/>
      <c r="BKF11" s="49"/>
      <c r="BKG11" s="49"/>
      <c r="BKH11" s="67">
        <f t="shared" si="530"/>
        <v>500</v>
      </c>
      <c r="BKI11" s="68">
        <f t="shared" si="531"/>
        <v>83.333333333333329</v>
      </c>
      <c r="BKJ11" s="48"/>
      <c r="BKK11" s="49"/>
      <c r="BKL11" s="49"/>
      <c r="BKM11" s="49"/>
      <c r="BKN11" s="49"/>
      <c r="BKO11" s="49"/>
      <c r="BKP11" s="42">
        <f t="shared" si="532"/>
        <v>0</v>
      </c>
      <c r="BKQ11" s="43">
        <f t="shared" si="533"/>
        <v>0</v>
      </c>
      <c r="BKR11" s="48">
        <v>123</v>
      </c>
      <c r="BKS11" s="49"/>
      <c r="BKT11" s="49"/>
      <c r="BKU11" s="49">
        <v>308</v>
      </c>
      <c r="BKV11" s="49">
        <v>594</v>
      </c>
      <c r="BKW11" s="49"/>
      <c r="BKX11" s="42">
        <f t="shared" si="534"/>
        <v>1025</v>
      </c>
      <c r="BKY11" s="43">
        <f t="shared" si="535"/>
        <v>170.83333333333334</v>
      </c>
      <c r="BKZ11" s="48"/>
      <c r="BLA11" s="49"/>
      <c r="BLB11" s="49"/>
      <c r="BLC11" s="49"/>
      <c r="BLD11" s="49">
        <v>42</v>
      </c>
      <c r="BLE11" s="49"/>
      <c r="BLF11" s="42">
        <f t="shared" si="536"/>
        <v>42</v>
      </c>
      <c r="BLG11" s="43">
        <f t="shared" si="537"/>
        <v>7</v>
      </c>
      <c r="BLH11" s="48"/>
      <c r="BLI11" s="49"/>
      <c r="BLJ11" s="49">
        <v>434</v>
      </c>
      <c r="BLK11" s="49"/>
      <c r="BLL11" s="49">
        <v>402</v>
      </c>
      <c r="BLM11" s="49"/>
      <c r="BLN11" s="42">
        <f t="shared" si="538"/>
        <v>836</v>
      </c>
      <c r="BLO11" s="43">
        <f t="shared" si="539"/>
        <v>139.33333333333334</v>
      </c>
      <c r="BLP11" s="48"/>
      <c r="BLQ11" s="49"/>
      <c r="BLR11" s="49"/>
      <c r="BLS11" s="49">
        <v>400</v>
      </c>
      <c r="BLT11" s="49"/>
      <c r="BLU11" s="49"/>
      <c r="BLV11" s="42">
        <f t="shared" si="540"/>
        <v>400</v>
      </c>
      <c r="BLW11" s="43">
        <f t="shared" si="541"/>
        <v>66.666666666666671</v>
      </c>
      <c r="BLX11" s="63"/>
      <c r="BLY11" s="64">
        <v>600</v>
      </c>
      <c r="BLZ11" s="64"/>
      <c r="BMA11" s="64"/>
      <c r="BMB11" s="64"/>
      <c r="BMC11" s="64"/>
      <c r="BMD11" s="42">
        <f t="shared" si="542"/>
        <v>600</v>
      </c>
      <c r="BME11" s="43">
        <f t="shared" si="543"/>
        <v>100</v>
      </c>
      <c r="BMF11" s="48"/>
      <c r="BMG11" s="49"/>
      <c r="BMH11" s="49"/>
      <c r="BMI11" s="49">
        <v>600</v>
      </c>
      <c r="BMJ11" s="49"/>
      <c r="BMK11" s="49"/>
      <c r="BML11" s="42">
        <f t="shared" si="544"/>
        <v>600</v>
      </c>
      <c r="BMM11" s="43">
        <f t="shared" si="545"/>
        <v>100</v>
      </c>
      <c r="BMN11" s="63"/>
      <c r="BMO11" s="64"/>
      <c r="BMP11" s="64"/>
      <c r="BMQ11" s="64">
        <v>400</v>
      </c>
      <c r="BMR11" s="64"/>
      <c r="BMS11" s="64"/>
      <c r="BMT11" s="42">
        <f t="shared" si="546"/>
        <v>400</v>
      </c>
      <c r="BMU11" s="43">
        <f t="shared" si="547"/>
        <v>66.666666666666671</v>
      </c>
      <c r="BMV11" s="48">
        <v>402</v>
      </c>
      <c r="BMW11" s="49"/>
      <c r="BMX11" s="49"/>
      <c r="BMY11" s="49"/>
      <c r="BMZ11" s="49"/>
      <c r="BNA11" s="49">
        <v>601</v>
      </c>
      <c r="BNB11" s="42">
        <f t="shared" si="548"/>
        <v>1003</v>
      </c>
      <c r="BNC11" s="43">
        <f t="shared" si="549"/>
        <v>167.16666666666666</v>
      </c>
      <c r="BND11" s="48"/>
      <c r="BNE11" s="49"/>
      <c r="BNF11" s="49"/>
      <c r="BNG11" s="49"/>
      <c r="BNH11" s="49"/>
      <c r="BNI11" s="49"/>
      <c r="BNJ11" s="42">
        <f t="shared" si="550"/>
        <v>0</v>
      </c>
      <c r="BNK11" s="43">
        <f t="shared" si="551"/>
        <v>0</v>
      </c>
      <c r="BNL11" s="48"/>
      <c r="BNM11" s="49"/>
      <c r="BNN11" s="49"/>
      <c r="BNO11" s="49"/>
      <c r="BNP11" s="49"/>
      <c r="BNQ11" s="49"/>
      <c r="BNR11" s="42">
        <f t="shared" si="552"/>
        <v>0</v>
      </c>
      <c r="BNS11" s="43">
        <f t="shared" si="553"/>
        <v>0</v>
      </c>
      <c r="BNT11" s="48">
        <v>222</v>
      </c>
      <c r="BNU11" s="49"/>
      <c r="BNV11" s="49"/>
      <c r="BNW11" s="49"/>
      <c r="BNX11" s="49"/>
      <c r="BNY11" s="49"/>
      <c r="BNZ11" s="42">
        <f t="shared" si="554"/>
        <v>222</v>
      </c>
      <c r="BOA11" s="43">
        <f t="shared" si="555"/>
        <v>37</v>
      </c>
      <c r="BOB11" s="48">
        <v>397</v>
      </c>
      <c r="BOC11" s="49"/>
      <c r="BOD11" s="49"/>
      <c r="BOE11" s="49"/>
      <c r="BOF11" s="49">
        <v>401</v>
      </c>
      <c r="BOG11" s="49"/>
      <c r="BOH11" s="42">
        <f t="shared" si="556"/>
        <v>798</v>
      </c>
      <c r="BOI11" s="43">
        <f t="shared" si="557"/>
        <v>133</v>
      </c>
      <c r="BOJ11" s="48"/>
      <c r="BOK11" s="49"/>
      <c r="BOL11" s="49"/>
      <c r="BOM11" s="49"/>
      <c r="BON11" s="49"/>
      <c r="BOO11" s="49"/>
      <c r="BOP11" s="42">
        <f t="shared" si="558"/>
        <v>0</v>
      </c>
      <c r="BOQ11" s="43">
        <f t="shared" si="559"/>
        <v>0</v>
      </c>
      <c r="BOR11" s="48"/>
      <c r="BOS11" s="49"/>
      <c r="BOT11" s="49"/>
      <c r="BOU11" s="49"/>
      <c r="BOV11" s="49">
        <v>100</v>
      </c>
      <c r="BOW11" s="49"/>
      <c r="BOX11" s="42">
        <f t="shared" si="560"/>
        <v>100</v>
      </c>
      <c r="BOY11" s="43">
        <f t="shared" si="561"/>
        <v>16.666666666666668</v>
      </c>
      <c r="BOZ11" s="63">
        <v>100</v>
      </c>
      <c r="BPA11" s="64"/>
      <c r="BPB11" s="64">
        <v>201</v>
      </c>
      <c r="BPC11" s="64"/>
      <c r="BPD11" s="64"/>
      <c r="BPE11" s="64"/>
      <c r="BPF11" s="42">
        <f t="shared" si="562"/>
        <v>301</v>
      </c>
      <c r="BPG11" s="43">
        <f t="shared" si="563"/>
        <v>50.166666666666664</v>
      </c>
      <c r="BPH11" s="48"/>
      <c r="BPI11" s="49">
        <v>623</v>
      </c>
      <c r="BPJ11" s="49"/>
      <c r="BPK11" s="49"/>
      <c r="BPL11" s="49">
        <v>300</v>
      </c>
      <c r="BPM11" s="49"/>
      <c r="BPN11" s="42">
        <f t="shared" si="564"/>
        <v>923</v>
      </c>
      <c r="BPO11" s="43">
        <f t="shared" si="565"/>
        <v>153.83333333333334</v>
      </c>
      <c r="BPP11" s="48"/>
      <c r="BPQ11" s="49"/>
      <c r="BPR11" s="49"/>
      <c r="BPS11" s="49"/>
      <c r="BPT11" s="49"/>
      <c r="BPU11" s="49"/>
      <c r="BPV11" s="42">
        <f t="shared" si="566"/>
        <v>0</v>
      </c>
      <c r="BPW11" s="43">
        <f t="shared" si="567"/>
        <v>0</v>
      </c>
      <c r="BPX11" s="48"/>
      <c r="BPY11" s="49"/>
      <c r="BPZ11" s="49">
        <v>382</v>
      </c>
      <c r="BQA11" s="49"/>
      <c r="BQB11" s="49"/>
      <c r="BQC11" s="49"/>
      <c r="BQD11" s="67">
        <f t="shared" si="568"/>
        <v>382</v>
      </c>
      <c r="BQE11" s="43">
        <f t="shared" si="569"/>
        <v>63.666666666666664</v>
      </c>
      <c r="BQF11" s="63"/>
      <c r="BQG11" s="64">
        <v>660</v>
      </c>
      <c r="BQH11" s="64"/>
      <c r="BQI11" s="64"/>
      <c r="BQJ11" s="64"/>
      <c r="BQK11" s="64"/>
      <c r="BQL11" s="67">
        <f t="shared" si="570"/>
        <v>660</v>
      </c>
      <c r="BQM11" s="43">
        <f t="shared" si="571"/>
        <v>110</v>
      </c>
      <c r="BQN11" s="63"/>
      <c r="BQO11" s="64">
        <v>200</v>
      </c>
      <c r="BQP11" s="64"/>
      <c r="BQQ11" s="64"/>
      <c r="BQR11" s="64"/>
      <c r="BQS11" s="64"/>
      <c r="BQT11" s="67">
        <f t="shared" si="572"/>
        <v>200</v>
      </c>
      <c r="BQU11" s="43">
        <f t="shared" si="573"/>
        <v>33.333333333333336</v>
      </c>
      <c r="BQV11" s="48">
        <v>200</v>
      </c>
      <c r="BQW11" s="49"/>
      <c r="BQX11" s="49"/>
      <c r="BQY11" s="49"/>
      <c r="BQZ11" s="49"/>
      <c r="BRA11" s="49">
        <v>100</v>
      </c>
      <c r="BRB11" s="67">
        <f t="shared" si="574"/>
        <v>300</v>
      </c>
      <c r="BRC11" s="43">
        <f t="shared" si="575"/>
        <v>50</v>
      </c>
      <c r="BRD11" s="48"/>
      <c r="BRE11" s="49">
        <v>218</v>
      </c>
      <c r="BRF11" s="49"/>
      <c r="BRG11" s="49">
        <v>220</v>
      </c>
      <c r="BRH11" s="49"/>
      <c r="BRI11" s="49"/>
      <c r="BRJ11" s="67">
        <f t="shared" si="576"/>
        <v>438</v>
      </c>
      <c r="BRK11" s="43">
        <f t="shared" si="577"/>
        <v>73</v>
      </c>
      <c r="BRL11" s="48">
        <v>412</v>
      </c>
      <c r="BRM11" s="49"/>
      <c r="BRN11" s="49"/>
      <c r="BRO11" s="49">
        <v>179</v>
      </c>
      <c r="BRP11" s="49">
        <v>221</v>
      </c>
      <c r="BRQ11" s="49">
        <v>200</v>
      </c>
      <c r="BRR11" s="67">
        <f t="shared" si="578"/>
        <v>1012</v>
      </c>
      <c r="BRS11" s="68">
        <f t="shared" si="579"/>
        <v>168.66666666666666</v>
      </c>
      <c r="BRT11" s="63"/>
      <c r="BRU11" s="64"/>
      <c r="BRV11" s="64"/>
      <c r="BRW11" s="64"/>
      <c r="BRX11" s="64"/>
      <c r="BRY11" s="64">
        <v>330</v>
      </c>
      <c r="BRZ11" s="67">
        <f t="shared" si="580"/>
        <v>330</v>
      </c>
      <c r="BSA11" s="43">
        <f t="shared" si="581"/>
        <v>55</v>
      </c>
      <c r="BSB11" s="63">
        <v>110</v>
      </c>
      <c r="BSC11" s="64"/>
      <c r="BSD11" s="64">
        <v>400</v>
      </c>
      <c r="BSE11" s="64"/>
      <c r="BSF11" s="64"/>
      <c r="BSG11" s="64">
        <v>398</v>
      </c>
      <c r="BSH11" s="67">
        <f t="shared" si="582"/>
        <v>908</v>
      </c>
      <c r="BSI11" s="43">
        <f t="shared" si="583"/>
        <v>151.33333333333334</v>
      </c>
      <c r="BSJ11" s="63"/>
      <c r="BSK11" s="64">
        <v>400</v>
      </c>
      <c r="BSL11" s="64">
        <v>332</v>
      </c>
      <c r="BSM11" s="64"/>
      <c r="BSN11" s="64"/>
      <c r="BSO11" s="64"/>
      <c r="BSP11" s="67">
        <f t="shared" si="584"/>
        <v>732</v>
      </c>
      <c r="BSQ11" s="43">
        <f t="shared" si="585"/>
        <v>122</v>
      </c>
      <c r="BSR11" s="63"/>
      <c r="BSS11" s="64"/>
      <c r="BST11" s="64"/>
      <c r="BSU11" s="64">
        <v>386</v>
      </c>
      <c r="BSV11" s="64"/>
      <c r="BSW11" s="64"/>
      <c r="BSX11" s="67">
        <f t="shared" si="586"/>
        <v>386</v>
      </c>
      <c r="BSY11" s="43">
        <f t="shared" si="587"/>
        <v>64.333333333333329</v>
      </c>
      <c r="BSZ11" s="63">
        <v>599</v>
      </c>
      <c r="BTA11" s="64"/>
      <c r="BTB11" s="64"/>
      <c r="BTC11" s="64"/>
      <c r="BTD11" s="64">
        <v>400</v>
      </c>
      <c r="BTE11" s="64"/>
      <c r="BTF11" s="67">
        <f t="shared" si="588"/>
        <v>999</v>
      </c>
      <c r="BTG11" s="43">
        <f t="shared" si="589"/>
        <v>166.5</v>
      </c>
      <c r="BTH11" s="63"/>
      <c r="BTI11" s="64"/>
      <c r="BTJ11" s="64"/>
      <c r="BTK11" s="64"/>
      <c r="BTL11" s="64"/>
      <c r="BTM11" s="64">
        <v>300</v>
      </c>
      <c r="BTN11" s="67">
        <f t="shared" si="590"/>
        <v>300</v>
      </c>
      <c r="BTO11" s="68">
        <f t="shared" si="591"/>
        <v>50</v>
      </c>
      <c r="BTP11" s="48">
        <v>501</v>
      </c>
      <c r="BTQ11" s="49"/>
      <c r="BTR11" s="49"/>
      <c r="BTS11" s="49"/>
      <c r="BTT11" s="49"/>
      <c r="BTU11" s="49"/>
      <c r="BTV11" s="67">
        <f t="shared" si="592"/>
        <v>501</v>
      </c>
      <c r="BTW11" s="43">
        <f t="shared" si="593"/>
        <v>83.5</v>
      </c>
      <c r="BTX11" s="63">
        <v>600</v>
      </c>
      <c r="BTY11" s="64"/>
      <c r="BTZ11" s="64"/>
      <c r="BUA11" s="64"/>
      <c r="BUB11" s="64">
        <v>403</v>
      </c>
      <c r="BUC11" s="64"/>
      <c r="BUD11" s="67">
        <f t="shared" si="594"/>
        <v>1003</v>
      </c>
      <c r="BUE11" s="68">
        <f t="shared" si="595"/>
        <v>167.16666666666666</v>
      </c>
      <c r="BUF11" s="48">
        <v>400</v>
      </c>
      <c r="BUG11" s="49"/>
      <c r="BUH11" s="49"/>
      <c r="BUI11" s="49"/>
      <c r="BUJ11" s="49"/>
      <c r="BUK11" s="49"/>
      <c r="BUL11" s="67">
        <f t="shared" si="596"/>
        <v>400</v>
      </c>
      <c r="BUM11" s="68">
        <f t="shared" si="597"/>
        <v>66.666666666666671</v>
      </c>
      <c r="BUN11" s="63"/>
      <c r="BUO11" s="64"/>
      <c r="BUP11" s="64">
        <v>186</v>
      </c>
      <c r="BUQ11" s="64">
        <v>694</v>
      </c>
      <c r="BUR11" s="64"/>
      <c r="BUS11" s="64"/>
      <c r="BUT11" s="67">
        <f t="shared" si="598"/>
        <v>880</v>
      </c>
      <c r="BUU11" s="68">
        <f t="shared" si="599"/>
        <v>146.66666666666666</v>
      </c>
      <c r="BUV11" s="48"/>
      <c r="BUW11" s="49"/>
      <c r="BUX11" s="49"/>
      <c r="BUY11" s="49"/>
      <c r="BUZ11" s="49">
        <v>1002</v>
      </c>
      <c r="BVA11" s="49"/>
      <c r="BVB11" s="67">
        <f t="shared" si="600"/>
        <v>1002</v>
      </c>
      <c r="BVC11" s="68">
        <f t="shared" si="601"/>
        <v>167</v>
      </c>
      <c r="BVD11" s="48"/>
      <c r="BVE11" s="49"/>
      <c r="BVF11" s="49"/>
      <c r="BVG11" s="49"/>
      <c r="BVH11" s="49"/>
      <c r="BVI11" s="49"/>
      <c r="BVJ11" s="67">
        <f t="shared" si="602"/>
        <v>0</v>
      </c>
      <c r="BVK11" s="68">
        <f t="shared" si="603"/>
        <v>0</v>
      </c>
      <c r="BVL11" s="48">
        <v>245</v>
      </c>
      <c r="BVM11" s="49"/>
      <c r="BVN11" s="49"/>
      <c r="BVO11" s="49">
        <v>400</v>
      </c>
      <c r="BVP11" s="49"/>
      <c r="BVQ11" s="49"/>
      <c r="BVR11" s="67">
        <f t="shared" si="604"/>
        <v>645</v>
      </c>
      <c r="BVS11" s="68">
        <f t="shared" si="605"/>
        <v>107.5</v>
      </c>
      <c r="BVT11" s="48"/>
      <c r="BVU11" s="49">
        <v>100</v>
      </c>
      <c r="BVV11" s="49">
        <v>399</v>
      </c>
      <c r="BVW11" s="49"/>
      <c r="BVX11" s="49"/>
      <c r="BVY11" s="49">
        <v>598</v>
      </c>
      <c r="BVZ11" s="67">
        <f t="shared" si="606"/>
        <v>1097</v>
      </c>
      <c r="BWA11" s="68">
        <f t="shared" si="607"/>
        <v>182.83333333333334</v>
      </c>
      <c r="BWB11" s="48"/>
      <c r="BWC11" s="49">
        <v>440</v>
      </c>
      <c r="BWD11" s="49"/>
      <c r="BWE11" s="49"/>
      <c r="BWF11" s="49"/>
      <c r="BWG11" s="49"/>
      <c r="BWH11" s="67">
        <f t="shared" si="608"/>
        <v>440</v>
      </c>
      <c r="BWI11" s="68">
        <f t="shared" si="609"/>
        <v>73.333333333333329</v>
      </c>
      <c r="BWJ11" s="48"/>
      <c r="BWK11" s="49"/>
      <c r="BWL11" s="49"/>
      <c r="BWM11" s="49">
        <v>199</v>
      </c>
      <c r="BWN11" s="49"/>
      <c r="BWO11" s="49"/>
      <c r="BWP11" s="67">
        <f t="shared" si="610"/>
        <v>199</v>
      </c>
      <c r="BWQ11" s="68">
        <f t="shared" si="611"/>
        <v>33.166666666666664</v>
      </c>
      <c r="BWR11" s="48"/>
      <c r="BWS11" s="49">
        <v>400</v>
      </c>
      <c r="BWT11" s="49"/>
      <c r="BWU11" s="49"/>
      <c r="BWV11" s="49"/>
      <c r="BWW11" s="49"/>
      <c r="BWX11" s="67">
        <f t="shared" si="612"/>
        <v>400</v>
      </c>
      <c r="BWY11" s="68">
        <f t="shared" si="613"/>
        <v>66.666666666666671</v>
      </c>
      <c r="BWZ11" s="48"/>
      <c r="BXA11" s="49"/>
      <c r="BXB11" s="49">
        <v>600</v>
      </c>
      <c r="BXC11" s="49"/>
      <c r="BXD11" s="49"/>
      <c r="BXE11" s="49"/>
      <c r="BXF11" s="67">
        <f t="shared" si="614"/>
        <v>600</v>
      </c>
      <c r="BXG11" s="68">
        <f t="shared" si="615"/>
        <v>100</v>
      </c>
      <c r="BXH11" s="48"/>
      <c r="BXI11" s="49"/>
      <c r="BXJ11" s="49">
        <v>200</v>
      </c>
      <c r="BXK11" s="49">
        <v>399</v>
      </c>
      <c r="BXL11" s="49"/>
      <c r="BXM11" s="49"/>
      <c r="BXN11" s="67">
        <f t="shared" si="616"/>
        <v>599</v>
      </c>
      <c r="BXO11" s="68">
        <f t="shared" si="617"/>
        <v>99.833333333333329</v>
      </c>
      <c r="BXP11" s="63"/>
      <c r="BXQ11" s="64"/>
      <c r="BXR11" s="64"/>
      <c r="BXS11" s="64"/>
      <c r="BXT11" s="64">
        <v>413</v>
      </c>
      <c r="BXU11" s="1"/>
      <c r="BXV11" s="67">
        <f t="shared" si="73"/>
        <v>413</v>
      </c>
      <c r="BXW11" s="68">
        <f t="shared" si="618"/>
        <v>68.833333333333329</v>
      </c>
      <c r="BXX11" s="48"/>
      <c r="BXY11" s="49"/>
      <c r="BXZ11" s="49"/>
      <c r="BYA11" s="49"/>
      <c r="BYB11" s="49">
        <v>400</v>
      </c>
      <c r="BYC11" s="49"/>
      <c r="BYD11" s="67">
        <f t="shared" si="619"/>
        <v>400</v>
      </c>
      <c r="BYE11" s="68">
        <f t="shared" si="620"/>
        <v>66.666666666666671</v>
      </c>
      <c r="BYF11" s="63">
        <v>200</v>
      </c>
      <c r="BYG11" s="64"/>
      <c r="BYH11" s="64"/>
      <c r="BYI11" s="64">
        <v>333</v>
      </c>
      <c r="BYJ11" s="64"/>
      <c r="BYK11" s="64"/>
      <c r="BYL11" s="67">
        <f t="shared" si="621"/>
        <v>533</v>
      </c>
      <c r="BYM11" s="68">
        <f t="shared" si="622"/>
        <v>88.833333333333329</v>
      </c>
      <c r="BYN11" s="48"/>
      <c r="BYO11" s="49"/>
      <c r="BYP11" s="49">
        <v>200</v>
      </c>
      <c r="BYQ11" s="49">
        <v>300</v>
      </c>
      <c r="BYR11" s="49"/>
      <c r="BYS11" s="49">
        <v>300</v>
      </c>
      <c r="BYT11" s="67">
        <f t="shared" si="623"/>
        <v>800</v>
      </c>
      <c r="BYU11" s="68">
        <f t="shared" si="624"/>
        <v>133.33333333333334</v>
      </c>
      <c r="BYV11" s="48"/>
      <c r="BYW11" s="49"/>
      <c r="BYX11" s="49"/>
      <c r="BYY11" s="49">
        <v>440</v>
      </c>
      <c r="BYZ11" s="49"/>
      <c r="BZA11" s="49">
        <v>440</v>
      </c>
      <c r="BZB11" s="67">
        <f t="shared" si="625"/>
        <v>880</v>
      </c>
      <c r="BZC11" s="68">
        <f t="shared" si="626"/>
        <v>146.66666666666666</v>
      </c>
      <c r="BZD11" s="48"/>
      <c r="BZE11" s="49"/>
      <c r="BZF11" s="49"/>
      <c r="BZG11" s="49"/>
      <c r="BZH11" s="49"/>
      <c r="BZI11" s="49"/>
      <c r="BZJ11" s="67">
        <f t="shared" si="627"/>
        <v>0</v>
      </c>
      <c r="BZK11" s="68">
        <f t="shared" si="628"/>
        <v>0</v>
      </c>
      <c r="BZL11" s="48"/>
      <c r="BZM11" s="49">
        <v>631</v>
      </c>
      <c r="BZN11" s="49"/>
      <c r="BZO11" s="49"/>
      <c r="BZP11" s="49"/>
      <c r="BZQ11" s="49"/>
      <c r="BZR11" s="67">
        <f t="shared" si="629"/>
        <v>631</v>
      </c>
      <c r="BZS11" s="68">
        <f t="shared" si="630"/>
        <v>105.16666666666667</v>
      </c>
      <c r="BZT11" s="48"/>
      <c r="BZU11" s="49">
        <v>110</v>
      </c>
      <c r="BZV11" s="49"/>
      <c r="BZW11" s="49"/>
      <c r="BZX11" s="49">
        <v>330</v>
      </c>
      <c r="BZY11" s="49">
        <v>200</v>
      </c>
      <c r="BZZ11" s="67">
        <f t="shared" si="631"/>
        <v>640</v>
      </c>
      <c r="CAA11" s="68">
        <f t="shared" si="632"/>
        <v>106.66666666666667</v>
      </c>
      <c r="CAB11" s="48">
        <v>220</v>
      </c>
      <c r="CAC11" s="49"/>
      <c r="CAD11" s="49"/>
      <c r="CAE11" s="49"/>
      <c r="CAF11" s="49">
        <v>300</v>
      </c>
      <c r="CAG11" s="49"/>
      <c r="CAH11" s="67">
        <f t="shared" si="633"/>
        <v>520</v>
      </c>
      <c r="CAI11" s="68">
        <f t="shared" si="634"/>
        <v>86.666666666666671</v>
      </c>
      <c r="CAJ11" s="63"/>
      <c r="CAK11" s="64">
        <v>100</v>
      </c>
      <c r="CAL11" s="64"/>
      <c r="CAM11" s="64"/>
      <c r="CAN11" s="64">
        <v>825</v>
      </c>
      <c r="CAO11" s="64"/>
      <c r="CAP11" s="67">
        <f t="shared" si="635"/>
        <v>925</v>
      </c>
      <c r="CAQ11" s="68">
        <f t="shared" si="636"/>
        <v>154.16666666666666</v>
      </c>
      <c r="CAR11" s="63"/>
      <c r="CAS11" s="64"/>
      <c r="CAT11" s="64"/>
      <c r="CAU11" s="64">
        <v>208</v>
      </c>
      <c r="CAV11" s="64"/>
      <c r="CAW11" s="64"/>
      <c r="CAX11" s="67">
        <f t="shared" si="637"/>
        <v>208</v>
      </c>
      <c r="CAY11" s="68">
        <f t="shared" si="638"/>
        <v>34.666666666666664</v>
      </c>
      <c r="CAZ11" s="48">
        <v>398</v>
      </c>
      <c r="CBA11" s="49"/>
      <c r="CBB11" s="49"/>
      <c r="CBC11" s="49"/>
      <c r="CBD11" s="49"/>
      <c r="CBE11" s="49"/>
      <c r="CBF11" s="67">
        <f t="shared" si="639"/>
        <v>398</v>
      </c>
      <c r="CBG11" s="68">
        <f t="shared" si="640"/>
        <v>66.333333333333329</v>
      </c>
      <c r="CBH11" s="48"/>
      <c r="CBI11" s="49"/>
      <c r="CBJ11" s="49">
        <v>484</v>
      </c>
      <c r="CBK11" s="49"/>
      <c r="CBL11" s="49"/>
      <c r="CBM11" s="49">
        <v>422</v>
      </c>
      <c r="CBN11" s="67">
        <f t="shared" si="641"/>
        <v>906</v>
      </c>
      <c r="CBO11" s="68">
        <f t="shared" si="642"/>
        <v>151</v>
      </c>
      <c r="CBP11" s="48"/>
      <c r="CBQ11" s="49"/>
      <c r="CBR11" s="49"/>
      <c r="CBS11" s="49"/>
      <c r="CBT11" s="49"/>
      <c r="CBU11" s="49">
        <v>100</v>
      </c>
      <c r="CBV11" s="67">
        <f t="shared" si="643"/>
        <v>100</v>
      </c>
      <c r="CBW11" s="68">
        <f t="shared" si="644"/>
        <v>16.666666666666668</v>
      </c>
      <c r="CBX11" s="48"/>
      <c r="CBY11" s="49">
        <v>502</v>
      </c>
      <c r="CBZ11" s="49"/>
      <c r="CCA11" s="49"/>
      <c r="CCB11" s="49"/>
      <c r="CCC11" s="49">
        <v>220</v>
      </c>
      <c r="CCD11" s="67">
        <f t="shared" si="645"/>
        <v>722</v>
      </c>
      <c r="CCE11" s="68">
        <f t="shared" si="646"/>
        <v>120.33333333333333</v>
      </c>
      <c r="CCF11" s="48"/>
      <c r="CCG11" s="49"/>
      <c r="CCH11" s="49"/>
      <c r="CCI11" s="49"/>
      <c r="CCJ11" s="49"/>
      <c r="CCK11" s="49">
        <v>440</v>
      </c>
      <c r="CCL11" s="67">
        <f t="shared" si="647"/>
        <v>440</v>
      </c>
      <c r="CCM11" s="68">
        <f t="shared" si="648"/>
        <v>73.333333333333329</v>
      </c>
      <c r="CCN11" s="48"/>
      <c r="CCO11" s="49"/>
      <c r="CCP11" s="49"/>
      <c r="CCQ11" s="49"/>
      <c r="CCR11" s="49"/>
      <c r="CCS11" s="49"/>
      <c r="CCT11" s="67">
        <f t="shared" si="649"/>
        <v>0</v>
      </c>
      <c r="CCU11" s="68">
        <f t="shared" si="650"/>
        <v>0</v>
      </c>
      <c r="CCV11" s="48">
        <v>600</v>
      </c>
      <c r="CCW11" s="49"/>
      <c r="CCX11" s="49"/>
      <c r="CCY11" s="49"/>
      <c r="CCZ11" s="49"/>
      <c r="CDA11" s="49"/>
      <c r="CDB11" s="67">
        <f t="shared" si="651"/>
        <v>600</v>
      </c>
      <c r="CDC11" s="68">
        <f t="shared" si="652"/>
        <v>100</v>
      </c>
      <c r="CDD11" s="48"/>
      <c r="CDE11" s="49"/>
      <c r="CDF11" s="49">
        <v>466</v>
      </c>
      <c r="CDG11" s="49"/>
      <c r="CDH11" s="49"/>
      <c r="CDI11" s="49">
        <v>800</v>
      </c>
      <c r="CDJ11" s="67">
        <f t="shared" si="653"/>
        <v>1266</v>
      </c>
      <c r="CDK11" s="68">
        <f t="shared" si="654"/>
        <v>211</v>
      </c>
      <c r="CDL11" s="48"/>
      <c r="CDM11" s="49"/>
      <c r="CDN11" s="49"/>
      <c r="CDO11" s="49"/>
      <c r="CDP11" s="49">
        <v>220</v>
      </c>
      <c r="CDQ11" s="49"/>
      <c r="CDR11" s="67">
        <f t="shared" si="655"/>
        <v>220</v>
      </c>
      <c r="CDS11" s="68">
        <f t="shared" si="656"/>
        <v>36.666666666666664</v>
      </c>
      <c r="CDT11" s="48"/>
      <c r="CDU11" s="49"/>
      <c r="CDV11" s="49">
        <v>236</v>
      </c>
      <c r="CDW11" s="49"/>
      <c r="CDX11" s="49"/>
      <c r="CDY11" s="49">
        <v>224</v>
      </c>
      <c r="CDZ11" s="67">
        <f t="shared" si="657"/>
        <v>460</v>
      </c>
      <c r="CEA11" s="68">
        <f t="shared" si="658"/>
        <v>76.666666666666671</v>
      </c>
      <c r="CEB11" s="48"/>
      <c r="CEC11" s="49"/>
      <c r="CED11" s="49"/>
      <c r="CEE11" s="49">
        <v>220</v>
      </c>
      <c r="CEF11" s="49">
        <v>220</v>
      </c>
      <c r="CEG11" s="49"/>
      <c r="CEH11" s="67">
        <f t="shared" si="659"/>
        <v>440</v>
      </c>
      <c r="CEI11" s="68">
        <f t="shared" si="660"/>
        <v>73.333333333333329</v>
      </c>
      <c r="CEJ11" s="48"/>
      <c r="CEK11" s="49">
        <v>400</v>
      </c>
      <c r="CEL11" s="49"/>
      <c r="CEM11" s="49"/>
      <c r="CEN11" s="49"/>
      <c r="CEO11" s="49"/>
      <c r="CEP11" s="67">
        <f t="shared" si="661"/>
        <v>400</v>
      </c>
      <c r="CEQ11" s="68">
        <f t="shared" si="662"/>
        <v>66.666666666666671</v>
      </c>
      <c r="CER11" s="48">
        <v>427</v>
      </c>
      <c r="CES11" s="49"/>
      <c r="CET11" s="49"/>
      <c r="CEU11" s="49"/>
      <c r="CEV11" s="49"/>
      <c r="CEW11" s="49"/>
      <c r="CEX11" s="67">
        <f t="shared" si="663"/>
        <v>427</v>
      </c>
      <c r="CEY11" s="68">
        <f t="shared" si="664"/>
        <v>71.166666666666671</v>
      </c>
      <c r="CEZ11" s="48">
        <v>402</v>
      </c>
      <c r="CFA11" s="49"/>
      <c r="CFB11" s="49"/>
      <c r="CFC11" s="49">
        <v>369</v>
      </c>
      <c r="CFD11" s="49">
        <v>200</v>
      </c>
      <c r="CFE11" s="49"/>
      <c r="CFF11" s="67">
        <f t="shared" si="665"/>
        <v>971</v>
      </c>
      <c r="CFG11" s="68">
        <f t="shared" si="666"/>
        <v>161.83333333333334</v>
      </c>
      <c r="CFH11" s="48"/>
      <c r="CFI11" s="49"/>
      <c r="CFJ11" s="49">
        <v>200</v>
      </c>
      <c r="CFK11" s="49"/>
      <c r="CFL11" s="49"/>
      <c r="CFM11" s="49"/>
      <c r="CFN11" s="67">
        <f t="shared" si="667"/>
        <v>200</v>
      </c>
      <c r="CFO11" s="68">
        <f t="shared" si="668"/>
        <v>33.333333333333336</v>
      </c>
      <c r="CFP11" s="48"/>
      <c r="CFQ11" s="49"/>
      <c r="CFR11" s="49">
        <v>400</v>
      </c>
      <c r="CFS11" s="49"/>
      <c r="CFT11" s="49"/>
      <c r="CFU11" s="49">
        <v>599</v>
      </c>
      <c r="CFV11" s="67">
        <f t="shared" si="669"/>
        <v>999</v>
      </c>
      <c r="CFW11" s="68">
        <f t="shared" si="670"/>
        <v>166.5</v>
      </c>
      <c r="CFX11" s="48"/>
      <c r="CFY11" s="49"/>
      <c r="CFZ11" s="49"/>
      <c r="CGA11" s="49">
        <v>244</v>
      </c>
      <c r="CGB11" s="49">
        <v>422</v>
      </c>
      <c r="CGC11" s="49"/>
      <c r="CGD11" s="67">
        <f t="shared" si="671"/>
        <v>666</v>
      </c>
      <c r="CGE11" s="68">
        <f t="shared" si="672"/>
        <v>111</v>
      </c>
      <c r="CGF11" s="48"/>
      <c r="CGG11" s="49"/>
      <c r="CGH11" s="49"/>
      <c r="CGI11" s="49"/>
      <c r="CGJ11" s="49">
        <v>216</v>
      </c>
      <c r="CGK11" s="49"/>
      <c r="CGL11" s="67">
        <f t="shared" si="673"/>
        <v>216</v>
      </c>
      <c r="CGM11" s="68">
        <f t="shared" si="674"/>
        <v>36</v>
      </c>
      <c r="CGN11" s="63">
        <v>111</v>
      </c>
      <c r="CGO11" s="64"/>
      <c r="CGP11" s="64"/>
      <c r="CGQ11" s="64"/>
      <c r="CGR11" s="64"/>
      <c r="CGS11" s="64">
        <v>220</v>
      </c>
      <c r="CGT11" s="67">
        <f t="shared" si="675"/>
        <v>331</v>
      </c>
      <c r="CGU11" s="68">
        <f t="shared" si="676"/>
        <v>55.166666666666664</v>
      </c>
      <c r="CGV11" s="48"/>
      <c r="CGW11" s="49"/>
      <c r="CGX11" s="49"/>
      <c r="CGY11" s="49"/>
      <c r="CGZ11" s="49"/>
      <c r="CHA11" s="49">
        <v>446</v>
      </c>
      <c r="CHB11" s="67">
        <f t="shared" si="677"/>
        <v>446</v>
      </c>
      <c r="CHC11" s="68">
        <f t="shared" si="678"/>
        <v>74.333333333333329</v>
      </c>
      <c r="CHD11" s="48"/>
      <c r="CHE11" s="49"/>
      <c r="CHF11" s="49">
        <v>219</v>
      </c>
      <c r="CHG11" s="49"/>
      <c r="CHH11" s="49">
        <v>437</v>
      </c>
      <c r="CHI11" s="49"/>
      <c r="CHJ11" s="67">
        <f t="shared" si="679"/>
        <v>656</v>
      </c>
      <c r="CHK11" s="68">
        <f t="shared" si="680"/>
        <v>109.33333333333333</v>
      </c>
      <c r="CHL11" s="63">
        <v>399</v>
      </c>
      <c r="CHM11" s="64"/>
      <c r="CHN11" s="64">
        <v>200</v>
      </c>
      <c r="CHO11" s="64"/>
      <c r="CHP11" s="64">
        <v>452</v>
      </c>
      <c r="CHQ11" s="64"/>
      <c r="CHR11" s="67">
        <f t="shared" si="681"/>
        <v>1051</v>
      </c>
      <c r="CHS11" s="68">
        <f t="shared" si="682"/>
        <v>175.16666666666666</v>
      </c>
      <c r="CHT11" s="48"/>
      <c r="CHU11" s="49"/>
      <c r="CHV11" s="49">
        <v>218</v>
      </c>
      <c r="CHW11" s="49"/>
      <c r="CHX11" s="49"/>
      <c r="CHY11" s="49">
        <v>439</v>
      </c>
      <c r="CHZ11" s="67">
        <f t="shared" si="683"/>
        <v>657</v>
      </c>
      <c r="CIA11" s="68">
        <f t="shared" si="684"/>
        <v>109.5</v>
      </c>
      <c r="CIB11" s="63"/>
      <c r="CIC11" s="64"/>
      <c r="CID11" s="64"/>
      <c r="CIE11" s="64"/>
      <c r="CIF11" s="64"/>
      <c r="CIG11" s="64">
        <v>657</v>
      </c>
      <c r="CIH11" s="67">
        <f t="shared" si="685"/>
        <v>657</v>
      </c>
      <c r="CII11" s="68">
        <f t="shared" si="686"/>
        <v>109.5</v>
      </c>
      <c r="CIJ11" s="63"/>
      <c r="CIK11" s="64"/>
      <c r="CIL11" s="64"/>
      <c r="CIM11" s="64"/>
      <c r="CIN11" s="64"/>
      <c r="CIO11" s="64">
        <v>417</v>
      </c>
      <c r="CIP11" s="67">
        <f t="shared" si="687"/>
        <v>417</v>
      </c>
      <c r="CIQ11" s="68">
        <f t="shared" si="688"/>
        <v>69.5</v>
      </c>
      <c r="CIR11" s="48"/>
      <c r="CIS11" s="49"/>
      <c r="CIT11" s="49">
        <v>201</v>
      </c>
      <c r="CIU11" s="49"/>
      <c r="CIV11" s="49"/>
      <c r="CIW11" s="49">
        <v>440</v>
      </c>
      <c r="CIX11" s="67">
        <f t="shared" si="689"/>
        <v>641</v>
      </c>
      <c r="CIY11" s="68">
        <f t="shared" si="690"/>
        <v>106.83333333333333</v>
      </c>
      <c r="CIZ11" s="48"/>
      <c r="CJA11" s="49">
        <v>220</v>
      </c>
      <c r="CJB11" s="49"/>
      <c r="CJC11" s="49">
        <v>1</v>
      </c>
      <c r="CJD11" s="49"/>
      <c r="CJE11" s="49"/>
      <c r="CJF11" s="67">
        <f t="shared" si="691"/>
        <v>221</v>
      </c>
      <c r="CJG11" s="68">
        <f t="shared" ref="CJG11:CJG21" si="1200">CJF11/$CJG$28</f>
        <v>36.833333333333336</v>
      </c>
      <c r="CJH11" s="48">
        <v>446</v>
      </c>
      <c r="CJI11" s="49"/>
      <c r="CJJ11" s="49"/>
      <c r="CJK11" s="49"/>
      <c r="CJL11" s="49">
        <v>439</v>
      </c>
      <c r="CJM11" s="49"/>
      <c r="CJN11" s="67">
        <f t="shared" si="692"/>
        <v>885</v>
      </c>
      <c r="CJO11" s="68">
        <f t="shared" si="693"/>
        <v>147.5</v>
      </c>
      <c r="CJP11" s="48"/>
      <c r="CJQ11" s="49">
        <v>329</v>
      </c>
      <c r="CJR11" s="49"/>
      <c r="CJS11" s="49"/>
      <c r="CJT11" s="49"/>
      <c r="CJU11" s="49"/>
      <c r="CJV11" s="67">
        <f t="shared" si="694"/>
        <v>329</v>
      </c>
      <c r="CJW11" s="68">
        <f t="shared" si="695"/>
        <v>54.833333333333336</v>
      </c>
      <c r="CJX11" s="48">
        <v>223</v>
      </c>
      <c r="CJY11" s="49"/>
      <c r="CJZ11" s="49">
        <v>452</v>
      </c>
      <c r="CKA11" s="49"/>
      <c r="CKB11" s="49">
        <v>281</v>
      </c>
      <c r="CKC11" s="49"/>
      <c r="CKD11" s="67">
        <f t="shared" si="696"/>
        <v>956</v>
      </c>
      <c r="CKE11" s="68">
        <f t="shared" si="697"/>
        <v>159.33333333333334</v>
      </c>
      <c r="CKF11" s="63">
        <v>419</v>
      </c>
      <c r="CKG11" s="64"/>
      <c r="CKH11" s="64">
        <v>500</v>
      </c>
      <c r="CKI11" s="64"/>
      <c r="CKJ11" s="64"/>
      <c r="CKK11" s="64"/>
      <c r="CKL11" s="67">
        <f t="shared" si="698"/>
        <v>919</v>
      </c>
      <c r="CKM11" s="68">
        <f t="shared" si="699"/>
        <v>153.16666666666666</v>
      </c>
      <c r="CKN11" s="48"/>
      <c r="CKO11" s="49">
        <v>319</v>
      </c>
      <c r="CKP11" s="49"/>
      <c r="CKQ11" s="49">
        <v>219</v>
      </c>
      <c r="CKR11" s="49"/>
      <c r="CKS11" s="47"/>
      <c r="CKT11" s="67">
        <f t="shared" si="700"/>
        <v>538</v>
      </c>
      <c r="CKU11" s="68">
        <f t="shared" si="701"/>
        <v>89.666666666666671</v>
      </c>
      <c r="CKV11" s="48"/>
      <c r="CKW11" s="49"/>
      <c r="CKX11" s="49">
        <v>220</v>
      </c>
      <c r="CKY11" s="49"/>
      <c r="CKZ11" s="49"/>
      <c r="CLA11" s="49"/>
      <c r="CLB11" s="67">
        <f t="shared" si="702"/>
        <v>220</v>
      </c>
      <c r="CLC11" s="68">
        <f t="shared" si="703"/>
        <v>36.666666666666664</v>
      </c>
      <c r="CLD11" s="48"/>
      <c r="CLE11" s="49">
        <v>329</v>
      </c>
      <c r="CLF11" s="49"/>
      <c r="CLG11" s="49"/>
      <c r="CLH11" s="49"/>
      <c r="CLI11" s="49"/>
      <c r="CLJ11" s="67">
        <f t="shared" si="704"/>
        <v>329</v>
      </c>
      <c r="CLK11" s="68">
        <f t="shared" si="705"/>
        <v>54.833333333333336</v>
      </c>
      <c r="CLL11" s="48"/>
      <c r="CLM11" s="49"/>
      <c r="CLN11" s="49"/>
      <c r="CLO11" s="49">
        <v>330</v>
      </c>
      <c r="CLP11" s="49"/>
      <c r="CLQ11" s="49"/>
      <c r="CLR11" s="67">
        <f t="shared" si="706"/>
        <v>330</v>
      </c>
      <c r="CLS11" s="68">
        <f t="shared" si="707"/>
        <v>55</v>
      </c>
      <c r="CLT11" s="63"/>
      <c r="CLU11" s="64"/>
      <c r="CLV11" s="64"/>
      <c r="CLW11" s="64"/>
      <c r="CLX11" s="64">
        <v>341</v>
      </c>
      <c r="CLY11" s="64"/>
      <c r="CLZ11" s="67">
        <f t="shared" si="708"/>
        <v>341</v>
      </c>
      <c r="CMA11" s="68">
        <f t="shared" si="709"/>
        <v>56.833333333333336</v>
      </c>
      <c r="CMB11" s="48"/>
      <c r="CMC11" s="49"/>
      <c r="CMD11" s="49"/>
      <c r="CME11" s="49"/>
      <c r="CMF11" s="49"/>
      <c r="CMG11" s="49"/>
      <c r="CMH11" s="67">
        <f t="shared" si="710"/>
        <v>0</v>
      </c>
      <c r="CMI11" s="68">
        <f t="shared" si="711"/>
        <v>0</v>
      </c>
      <c r="CMJ11" s="48"/>
      <c r="CMK11" s="49">
        <v>333</v>
      </c>
      <c r="CML11" s="49"/>
      <c r="CMM11" s="49">
        <v>220</v>
      </c>
      <c r="CMN11" s="49"/>
      <c r="CMO11" s="49">
        <v>220</v>
      </c>
      <c r="CMP11" s="67">
        <f t="shared" si="712"/>
        <v>773</v>
      </c>
      <c r="CMQ11" s="68">
        <f t="shared" si="713"/>
        <v>128.83333333333334</v>
      </c>
      <c r="CMR11" s="48"/>
      <c r="CMS11" s="49"/>
      <c r="CMT11" s="49"/>
      <c r="CMU11" s="49"/>
      <c r="CMV11" s="49">
        <v>2</v>
      </c>
      <c r="CMW11" s="49">
        <v>440</v>
      </c>
      <c r="CMX11" s="67">
        <f t="shared" si="714"/>
        <v>442</v>
      </c>
      <c r="CMY11" s="68">
        <f t="shared" si="715"/>
        <v>73.666666666666671</v>
      </c>
      <c r="CMZ11" s="63"/>
      <c r="CNA11" s="64"/>
      <c r="CNB11" s="64"/>
      <c r="CNC11" s="64"/>
      <c r="CND11" s="64"/>
      <c r="CNE11" s="64">
        <v>323</v>
      </c>
      <c r="CNF11" s="67">
        <f t="shared" si="716"/>
        <v>323</v>
      </c>
      <c r="CNG11" s="68">
        <f t="shared" si="717"/>
        <v>53.833333333333336</v>
      </c>
      <c r="CNH11" s="48"/>
      <c r="CNI11" s="49"/>
      <c r="CNJ11" s="49">
        <v>1</v>
      </c>
      <c r="CNK11" s="49"/>
      <c r="CNL11" s="49">
        <v>439</v>
      </c>
      <c r="CNM11" s="49"/>
      <c r="CNN11" s="67">
        <f t="shared" si="718"/>
        <v>440</v>
      </c>
      <c r="CNO11" s="68">
        <f t="shared" si="719"/>
        <v>73.333333333333329</v>
      </c>
      <c r="CNP11" s="63">
        <v>220</v>
      </c>
      <c r="CNQ11" s="64">
        <v>330</v>
      </c>
      <c r="CNR11" s="64"/>
      <c r="CNS11" s="64">
        <v>110</v>
      </c>
      <c r="CNT11" s="64"/>
      <c r="CNU11" s="64"/>
      <c r="CNV11" s="67">
        <f t="shared" si="720"/>
        <v>660</v>
      </c>
      <c r="CNW11" s="68">
        <f t="shared" si="721"/>
        <v>110</v>
      </c>
      <c r="CNX11" s="48"/>
      <c r="CNY11" s="49"/>
      <c r="CNZ11" s="49">
        <v>220</v>
      </c>
      <c r="COA11" s="49">
        <v>219</v>
      </c>
      <c r="COB11" s="49"/>
      <c r="COC11" s="49"/>
      <c r="COD11" s="67">
        <f t="shared" si="722"/>
        <v>439</v>
      </c>
      <c r="COE11" s="68">
        <f t="shared" si="723"/>
        <v>73.166666666666671</v>
      </c>
      <c r="COF11" s="48"/>
      <c r="COG11" s="49"/>
      <c r="COH11" s="49"/>
      <c r="COI11" s="49"/>
      <c r="COJ11" s="49">
        <v>220</v>
      </c>
      <c r="COK11" s="49"/>
      <c r="COL11" s="67">
        <f t="shared" si="724"/>
        <v>220</v>
      </c>
      <c r="COM11" s="68">
        <f t="shared" si="725"/>
        <v>36.666666666666664</v>
      </c>
      <c r="CON11" s="48"/>
      <c r="COO11" s="49">
        <v>443</v>
      </c>
      <c r="COP11" s="49"/>
      <c r="COQ11" s="49"/>
      <c r="COR11" s="49">
        <v>220</v>
      </c>
      <c r="COS11" s="49"/>
      <c r="COT11" s="67">
        <f t="shared" si="726"/>
        <v>663</v>
      </c>
      <c r="COU11" s="68">
        <f t="shared" si="727"/>
        <v>110.5</v>
      </c>
      <c r="COV11" s="48"/>
      <c r="COW11" s="49"/>
      <c r="COX11" s="49"/>
      <c r="COY11" s="49">
        <v>220</v>
      </c>
      <c r="COZ11" s="49"/>
      <c r="CPA11" s="49">
        <v>419</v>
      </c>
      <c r="CPB11" s="67">
        <f t="shared" si="728"/>
        <v>639</v>
      </c>
      <c r="CPC11" s="68">
        <f t="shared" si="729"/>
        <v>106.5</v>
      </c>
      <c r="CPD11" s="48">
        <v>0</v>
      </c>
      <c r="CPE11" s="49">
        <v>0</v>
      </c>
      <c r="CPF11" s="49">
        <v>0</v>
      </c>
      <c r="CPG11" s="49">
        <v>0</v>
      </c>
      <c r="CPH11" s="49">
        <v>0</v>
      </c>
      <c r="CPI11" s="49">
        <v>440</v>
      </c>
      <c r="CPJ11" s="67">
        <f t="shared" si="730"/>
        <v>440</v>
      </c>
      <c r="CPK11" s="68">
        <f t="shared" si="731"/>
        <v>73.333333333333329</v>
      </c>
      <c r="CPL11" s="48"/>
      <c r="CPM11" s="49">
        <v>0</v>
      </c>
      <c r="CPN11" s="49">
        <v>0</v>
      </c>
      <c r="CPO11" s="49">
        <v>0</v>
      </c>
      <c r="CPP11" s="49">
        <v>0</v>
      </c>
      <c r="CPQ11" s="49">
        <v>0</v>
      </c>
      <c r="CPR11" s="67">
        <f t="shared" si="732"/>
        <v>0</v>
      </c>
      <c r="CPS11" s="68">
        <f t="shared" si="733"/>
        <v>0</v>
      </c>
      <c r="CPT11" s="63">
        <v>0</v>
      </c>
      <c r="CPU11" s="64">
        <v>0</v>
      </c>
      <c r="CPV11" s="64">
        <v>0</v>
      </c>
      <c r="CPW11" s="64">
        <v>0</v>
      </c>
      <c r="CPX11" s="64">
        <v>110</v>
      </c>
      <c r="CPY11" s="64">
        <v>0</v>
      </c>
      <c r="CPZ11" s="67">
        <f t="shared" si="734"/>
        <v>110</v>
      </c>
      <c r="CQA11" s="68">
        <f t="shared" si="735"/>
        <v>18.333333333333332</v>
      </c>
      <c r="CQB11" s="48">
        <v>317</v>
      </c>
      <c r="CQC11" s="49">
        <v>0</v>
      </c>
      <c r="CQD11" s="49">
        <v>0</v>
      </c>
      <c r="CQE11" s="49">
        <v>0</v>
      </c>
      <c r="CQF11" s="49">
        <v>441</v>
      </c>
      <c r="CQG11" s="49">
        <v>0</v>
      </c>
      <c r="CQH11" s="67">
        <f t="shared" si="736"/>
        <v>758</v>
      </c>
      <c r="CQI11" s="68">
        <f t="shared" si="737"/>
        <v>126.33333333333333</v>
      </c>
      <c r="CQJ11" s="82">
        <v>0</v>
      </c>
      <c r="CQK11" s="83">
        <v>0</v>
      </c>
      <c r="CQL11" s="83">
        <v>110</v>
      </c>
      <c r="CQM11" s="83">
        <v>0</v>
      </c>
      <c r="CQN11" s="83">
        <v>0</v>
      </c>
      <c r="CQO11" s="83"/>
      <c r="CQP11" s="67">
        <f t="shared" si="738"/>
        <v>110</v>
      </c>
      <c r="CQQ11" s="68">
        <f t="shared" si="739"/>
        <v>18.333333333333332</v>
      </c>
      <c r="CQR11" s="48">
        <v>440</v>
      </c>
      <c r="CQS11" s="49">
        <v>0</v>
      </c>
      <c r="CQT11" s="49">
        <v>0</v>
      </c>
      <c r="CQU11" s="49">
        <v>0</v>
      </c>
      <c r="CQV11" s="49">
        <v>0</v>
      </c>
      <c r="CQW11" s="49">
        <v>0</v>
      </c>
      <c r="CQX11" s="67">
        <f t="shared" si="740"/>
        <v>440</v>
      </c>
      <c r="CQY11" s="68">
        <f t="shared" si="741"/>
        <v>73.333333333333329</v>
      </c>
      <c r="CQZ11" s="48">
        <v>207</v>
      </c>
      <c r="CRA11" s="49"/>
      <c r="CRB11" s="49">
        <v>0</v>
      </c>
      <c r="CRC11" s="49"/>
      <c r="CRD11" s="49">
        <v>440</v>
      </c>
      <c r="CRE11" s="49">
        <v>0</v>
      </c>
      <c r="CRF11" s="67">
        <f t="shared" si="742"/>
        <v>647</v>
      </c>
      <c r="CRG11" s="68">
        <f t="shared" si="743"/>
        <v>107.83333333333333</v>
      </c>
      <c r="CRH11" s="48">
        <v>0</v>
      </c>
      <c r="CRI11" s="49">
        <v>0</v>
      </c>
      <c r="CRJ11" s="49">
        <v>0</v>
      </c>
      <c r="CRK11" s="49">
        <v>0</v>
      </c>
      <c r="CRL11" s="49">
        <v>0</v>
      </c>
      <c r="CRM11" s="49">
        <v>440</v>
      </c>
      <c r="CRN11" s="67">
        <f t="shared" si="744"/>
        <v>440</v>
      </c>
      <c r="CRO11" s="68">
        <f t="shared" si="745"/>
        <v>73.333333333333329</v>
      </c>
      <c r="CRP11" s="48">
        <v>0</v>
      </c>
      <c r="CRQ11" s="49">
        <v>0</v>
      </c>
      <c r="CRR11" s="49">
        <v>0</v>
      </c>
      <c r="CRS11" s="49">
        <v>219</v>
      </c>
      <c r="CRT11" s="49">
        <v>0</v>
      </c>
      <c r="CRU11" s="49">
        <v>0</v>
      </c>
      <c r="CRV11" s="47">
        <f t="shared" si="746"/>
        <v>219</v>
      </c>
      <c r="CRW11" s="68">
        <f t="shared" si="747"/>
        <v>36.5</v>
      </c>
      <c r="CRX11" s="63">
        <v>0</v>
      </c>
      <c r="CRY11" s="64">
        <v>0</v>
      </c>
      <c r="CRZ11" s="64">
        <v>0</v>
      </c>
      <c r="CSA11" s="64">
        <v>0</v>
      </c>
      <c r="CSB11" s="64">
        <v>0</v>
      </c>
      <c r="CSC11" s="64">
        <v>300</v>
      </c>
      <c r="CSD11" s="67">
        <f t="shared" si="748"/>
        <v>300</v>
      </c>
      <c r="CSE11" s="68">
        <f t="shared" si="749"/>
        <v>50</v>
      </c>
      <c r="CSF11" s="48">
        <v>30</v>
      </c>
      <c r="CSG11" s="49">
        <v>0</v>
      </c>
      <c r="CSH11" s="49">
        <v>0</v>
      </c>
      <c r="CSI11" s="49">
        <v>0</v>
      </c>
      <c r="CSJ11" s="49">
        <v>220</v>
      </c>
      <c r="CSK11" s="49">
        <v>0</v>
      </c>
      <c r="CSL11" s="64">
        <f t="shared" si="750"/>
        <v>250</v>
      </c>
      <c r="CSM11" s="68">
        <f t="shared" si="751"/>
        <v>41.666666666666664</v>
      </c>
      <c r="CSN11" s="48">
        <v>208</v>
      </c>
      <c r="CSO11" s="49">
        <v>0</v>
      </c>
      <c r="CSP11" s="49">
        <v>0</v>
      </c>
      <c r="CSQ11" s="49">
        <v>0</v>
      </c>
      <c r="CSR11" s="49">
        <v>108</v>
      </c>
      <c r="CSS11" s="49">
        <v>214</v>
      </c>
      <c r="CST11" s="64">
        <f t="shared" si="752"/>
        <v>530</v>
      </c>
      <c r="CSU11" s="68">
        <f t="shared" si="753"/>
        <v>88.333333333333329</v>
      </c>
      <c r="CSV11" s="48">
        <v>0</v>
      </c>
      <c r="CSW11" s="49">
        <v>0</v>
      </c>
      <c r="CSX11" s="49">
        <v>219</v>
      </c>
      <c r="CSY11" s="49">
        <v>0</v>
      </c>
      <c r="CSZ11" s="49"/>
      <c r="CTA11" s="49">
        <v>108</v>
      </c>
      <c r="CTB11" s="64">
        <f t="shared" si="754"/>
        <v>327</v>
      </c>
      <c r="CTC11" s="68">
        <f t="shared" si="755"/>
        <v>54.5</v>
      </c>
      <c r="CTD11" s="48">
        <v>0</v>
      </c>
      <c r="CTE11" s="49">
        <v>0</v>
      </c>
      <c r="CTF11" s="49">
        <v>0</v>
      </c>
      <c r="CTG11" s="49">
        <v>440</v>
      </c>
      <c r="CTH11" s="49">
        <v>0</v>
      </c>
      <c r="CTI11" s="49"/>
      <c r="CTJ11" s="64">
        <f t="shared" si="756"/>
        <v>440</v>
      </c>
      <c r="CTK11" s="68">
        <f t="shared" si="757"/>
        <v>73.333333333333329</v>
      </c>
      <c r="CTL11" s="48">
        <v>0</v>
      </c>
      <c r="CTM11" s="49">
        <v>0</v>
      </c>
      <c r="CTN11" s="49"/>
      <c r="CTO11" s="49">
        <v>220</v>
      </c>
      <c r="CTP11" s="49">
        <v>98</v>
      </c>
      <c r="CTQ11" s="49"/>
      <c r="CTR11" s="64">
        <f t="shared" si="758"/>
        <v>318</v>
      </c>
      <c r="CTS11" s="68">
        <f t="shared" si="759"/>
        <v>53</v>
      </c>
      <c r="CTT11" s="48"/>
      <c r="CTU11" s="49">
        <v>218</v>
      </c>
      <c r="CTV11" s="49">
        <v>330</v>
      </c>
      <c r="CTW11" s="49"/>
      <c r="CTX11" s="49">
        <v>0</v>
      </c>
      <c r="CTY11" s="49">
        <v>0</v>
      </c>
      <c r="CTZ11" s="64">
        <f t="shared" si="760"/>
        <v>548</v>
      </c>
      <c r="CUA11" s="68">
        <f t="shared" si="761"/>
        <v>91.333333333333329</v>
      </c>
      <c r="CUB11" s="48"/>
      <c r="CUC11" s="49">
        <v>215</v>
      </c>
      <c r="CUD11" s="49">
        <v>110</v>
      </c>
      <c r="CUE11" s="49"/>
      <c r="CUF11" s="49">
        <v>330</v>
      </c>
      <c r="CUG11" s="49">
        <v>99</v>
      </c>
      <c r="CUH11" s="64">
        <f t="shared" si="762"/>
        <v>754</v>
      </c>
      <c r="CUI11" s="68">
        <f t="shared" si="763"/>
        <v>125.66666666666667</v>
      </c>
      <c r="CUJ11" s="48">
        <v>0</v>
      </c>
      <c r="CUK11" s="49">
        <v>0</v>
      </c>
      <c r="CUL11" s="49">
        <v>211</v>
      </c>
      <c r="CUM11" s="49">
        <v>0</v>
      </c>
      <c r="CUN11" s="49">
        <v>0</v>
      </c>
      <c r="CUO11" s="49">
        <v>0</v>
      </c>
      <c r="CUP11" s="64">
        <f t="shared" si="764"/>
        <v>211</v>
      </c>
      <c r="CUQ11" s="68">
        <f t="shared" si="765"/>
        <v>35.166666666666664</v>
      </c>
      <c r="CUR11" s="48">
        <v>0</v>
      </c>
      <c r="CUS11" s="49">
        <v>0</v>
      </c>
      <c r="CUT11" s="49">
        <v>330</v>
      </c>
      <c r="CUU11" s="49">
        <v>0</v>
      </c>
      <c r="CUV11" s="49">
        <v>0</v>
      </c>
      <c r="CUW11" s="49">
        <v>436</v>
      </c>
      <c r="CUX11" s="64">
        <f t="shared" si="766"/>
        <v>766</v>
      </c>
      <c r="CUY11" s="68">
        <f t="shared" si="767"/>
        <v>127.66666666666667</v>
      </c>
      <c r="CUZ11" s="48">
        <v>0</v>
      </c>
      <c r="CVA11" s="49">
        <v>0</v>
      </c>
      <c r="CVB11" s="49">
        <v>105</v>
      </c>
      <c r="CVC11" s="49">
        <v>0</v>
      </c>
      <c r="CVD11" s="49">
        <v>0</v>
      </c>
      <c r="CVE11" s="49">
        <v>223</v>
      </c>
      <c r="CVF11" s="64">
        <f t="shared" si="768"/>
        <v>328</v>
      </c>
      <c r="CVG11" s="68">
        <f t="shared" si="769"/>
        <v>54.666666666666664</v>
      </c>
      <c r="CVH11" s="48">
        <v>0</v>
      </c>
      <c r="CVI11" s="49">
        <v>220</v>
      </c>
      <c r="CVJ11" s="49">
        <v>0</v>
      </c>
      <c r="CVK11" s="49">
        <v>202</v>
      </c>
      <c r="CVL11" s="49">
        <v>219</v>
      </c>
      <c r="CVM11" s="49">
        <v>0</v>
      </c>
      <c r="CVN11" s="64">
        <f t="shared" si="770"/>
        <v>641</v>
      </c>
      <c r="CVO11" s="68">
        <f t="shared" si="771"/>
        <v>106.83333333333333</v>
      </c>
      <c r="CVP11" s="48"/>
      <c r="CVQ11" s="49">
        <v>0</v>
      </c>
      <c r="CVR11" s="49">
        <v>0</v>
      </c>
      <c r="CVS11" s="49">
        <v>0</v>
      </c>
      <c r="CVT11" s="49">
        <v>0</v>
      </c>
      <c r="CVU11" s="49">
        <v>419</v>
      </c>
      <c r="CVV11" s="64">
        <f t="shared" si="772"/>
        <v>419</v>
      </c>
      <c r="CVW11" s="68">
        <f t="shared" si="773"/>
        <v>69.833333333333329</v>
      </c>
      <c r="CVX11" s="48">
        <v>0</v>
      </c>
      <c r="CVY11" s="49">
        <v>0</v>
      </c>
      <c r="CVZ11" s="49">
        <v>220</v>
      </c>
      <c r="CWA11" s="49">
        <v>109</v>
      </c>
      <c r="CWB11" s="49">
        <v>0</v>
      </c>
      <c r="CWC11" s="49">
        <v>109</v>
      </c>
      <c r="CWD11" s="64">
        <f t="shared" si="774"/>
        <v>438</v>
      </c>
      <c r="CWE11" s="68">
        <f t="shared" si="775"/>
        <v>73</v>
      </c>
      <c r="CWF11" s="48">
        <v>112</v>
      </c>
      <c r="CWG11" s="49">
        <v>0</v>
      </c>
      <c r="CWH11" s="49">
        <v>0</v>
      </c>
      <c r="CWI11" s="49">
        <v>0</v>
      </c>
      <c r="CWJ11" s="49">
        <v>0</v>
      </c>
      <c r="CWK11" s="49">
        <v>0</v>
      </c>
      <c r="CWL11" s="64">
        <f t="shared" si="776"/>
        <v>112</v>
      </c>
      <c r="CWM11" s="68">
        <f t="shared" si="777"/>
        <v>18.666666666666668</v>
      </c>
      <c r="CWN11" s="48">
        <v>0</v>
      </c>
      <c r="CWO11" s="49">
        <v>0</v>
      </c>
      <c r="CWP11" s="49">
        <v>438</v>
      </c>
      <c r="CWQ11" s="49">
        <v>0</v>
      </c>
      <c r="CWR11" s="49">
        <v>108</v>
      </c>
      <c r="CWS11" s="49">
        <v>0</v>
      </c>
      <c r="CWT11" s="64">
        <f t="shared" si="778"/>
        <v>546</v>
      </c>
      <c r="CWU11" s="68">
        <f t="shared" si="779"/>
        <v>91</v>
      </c>
      <c r="CWV11" s="48">
        <v>177</v>
      </c>
      <c r="CWW11" s="49">
        <v>0</v>
      </c>
      <c r="CWX11" s="49">
        <v>0</v>
      </c>
      <c r="CWY11" s="49">
        <v>300</v>
      </c>
      <c r="CWZ11" s="49">
        <v>9</v>
      </c>
      <c r="CXA11" s="49">
        <v>0</v>
      </c>
      <c r="CXB11" s="127">
        <f t="shared" si="780"/>
        <v>486</v>
      </c>
      <c r="CXC11" s="43">
        <f t="shared" si="781"/>
        <v>81</v>
      </c>
      <c r="CXD11" s="48">
        <v>440</v>
      </c>
      <c r="CXE11" s="49">
        <v>0</v>
      </c>
      <c r="CXF11" s="49">
        <v>0</v>
      </c>
      <c r="CXG11" s="49">
        <v>0</v>
      </c>
      <c r="CXH11" s="49">
        <v>110</v>
      </c>
      <c r="CXI11" s="49">
        <v>110</v>
      </c>
      <c r="CXJ11" s="127">
        <f t="shared" si="782"/>
        <v>660</v>
      </c>
      <c r="CXK11" s="43">
        <f t="shared" si="783"/>
        <v>110</v>
      </c>
      <c r="CXL11" s="48">
        <v>0</v>
      </c>
      <c r="CXM11" s="49">
        <v>235</v>
      </c>
      <c r="CXN11" s="49">
        <v>0</v>
      </c>
      <c r="CXO11" s="49">
        <v>0</v>
      </c>
      <c r="CXP11" s="49">
        <v>0</v>
      </c>
      <c r="CXQ11" s="49">
        <v>383</v>
      </c>
      <c r="CXR11" s="127">
        <f t="shared" si="784"/>
        <v>618</v>
      </c>
      <c r="CXS11" s="43">
        <f t="shared" si="785"/>
        <v>103</v>
      </c>
      <c r="CXT11" s="48">
        <v>111</v>
      </c>
      <c r="CXU11" s="49">
        <v>111</v>
      </c>
      <c r="CXV11" s="49">
        <v>0</v>
      </c>
      <c r="CXW11" s="49">
        <v>0</v>
      </c>
      <c r="CXX11" s="49">
        <v>0</v>
      </c>
      <c r="CXY11" s="49">
        <v>0</v>
      </c>
      <c r="CXZ11" s="127">
        <f t="shared" si="786"/>
        <v>222</v>
      </c>
      <c r="CYA11" s="43">
        <f t="shared" si="787"/>
        <v>37</v>
      </c>
      <c r="CYB11" s="48">
        <v>0</v>
      </c>
      <c r="CYC11" s="49">
        <v>110</v>
      </c>
      <c r="CYD11" s="49">
        <v>333</v>
      </c>
      <c r="CYE11" s="49">
        <v>0</v>
      </c>
      <c r="CYF11" s="49">
        <v>0</v>
      </c>
      <c r="CYG11" s="49">
        <v>0</v>
      </c>
      <c r="CYH11" s="127">
        <f t="shared" si="788"/>
        <v>443</v>
      </c>
      <c r="CYI11" s="43">
        <f t="shared" si="789"/>
        <v>73.833333333333329</v>
      </c>
      <c r="CYJ11" s="48"/>
      <c r="CYK11" s="49">
        <v>110</v>
      </c>
      <c r="CYL11" s="49">
        <v>0</v>
      </c>
      <c r="CYM11" s="49">
        <v>0</v>
      </c>
      <c r="CYN11" s="49">
        <v>0</v>
      </c>
      <c r="CYO11" s="49">
        <v>321</v>
      </c>
      <c r="CYP11" s="127">
        <f t="shared" si="790"/>
        <v>431</v>
      </c>
      <c r="CYQ11" s="43">
        <f t="shared" si="791"/>
        <v>71.833333333333329</v>
      </c>
      <c r="CYR11" s="48">
        <v>0</v>
      </c>
      <c r="CYS11" s="49">
        <v>0</v>
      </c>
      <c r="CYT11" s="49">
        <v>110</v>
      </c>
      <c r="CYU11" s="49">
        <v>220</v>
      </c>
      <c r="CYV11" s="49">
        <v>0</v>
      </c>
      <c r="CYW11" s="49">
        <v>220</v>
      </c>
      <c r="CYX11" s="127">
        <f t="shared" si="792"/>
        <v>550</v>
      </c>
      <c r="CYY11" s="43">
        <f t="shared" si="793"/>
        <v>91.666666666666671</v>
      </c>
      <c r="CYZ11" s="48">
        <v>0</v>
      </c>
      <c r="CZA11" s="49">
        <v>110</v>
      </c>
      <c r="CZB11" s="49">
        <v>0</v>
      </c>
      <c r="CZC11" s="49">
        <v>0</v>
      </c>
      <c r="CZD11" s="49"/>
      <c r="CZE11" s="49">
        <v>0</v>
      </c>
      <c r="CZF11" s="127">
        <f t="shared" si="794"/>
        <v>110</v>
      </c>
      <c r="CZG11" s="43">
        <f t="shared" si="795"/>
        <v>22</v>
      </c>
      <c r="CZH11" s="48">
        <v>401</v>
      </c>
      <c r="CZI11" s="49">
        <v>0</v>
      </c>
      <c r="CZJ11" s="49">
        <v>400</v>
      </c>
      <c r="CZK11" s="49">
        <v>0</v>
      </c>
      <c r="CZL11" s="49">
        <v>0</v>
      </c>
      <c r="CZM11" s="49">
        <v>0</v>
      </c>
      <c r="CZN11" s="127">
        <f t="shared" si="796"/>
        <v>801</v>
      </c>
      <c r="CZO11" s="43">
        <f t="shared" si="797"/>
        <v>133.5</v>
      </c>
      <c r="CZP11" s="48">
        <v>0</v>
      </c>
      <c r="CZQ11" s="49"/>
      <c r="CZR11" s="49"/>
      <c r="CZS11" s="49">
        <v>0</v>
      </c>
      <c r="CZT11" s="49">
        <v>0</v>
      </c>
      <c r="CZU11" s="49">
        <v>0</v>
      </c>
      <c r="CZV11" s="127">
        <f t="shared" si="798"/>
        <v>0</v>
      </c>
      <c r="CZW11" s="43">
        <f t="shared" si="799"/>
        <v>0</v>
      </c>
      <c r="CZX11" s="48">
        <v>328</v>
      </c>
      <c r="CZY11" s="49">
        <v>0</v>
      </c>
      <c r="CZZ11" s="49">
        <v>222</v>
      </c>
      <c r="DAA11" s="49">
        <v>0</v>
      </c>
      <c r="DAB11" s="49">
        <v>0</v>
      </c>
      <c r="DAC11" s="49">
        <v>0</v>
      </c>
      <c r="DAD11" s="64">
        <f t="shared" si="800"/>
        <v>550</v>
      </c>
      <c r="DAE11" s="68">
        <f t="shared" si="801"/>
        <v>91.666666666666671</v>
      </c>
      <c r="DAF11" s="48">
        <v>329</v>
      </c>
      <c r="DAG11" s="49">
        <v>0</v>
      </c>
      <c r="DAH11" s="49">
        <v>0</v>
      </c>
      <c r="DAI11" s="49">
        <v>0</v>
      </c>
      <c r="DAJ11" s="49">
        <v>609</v>
      </c>
      <c r="DAK11" s="49">
        <v>0</v>
      </c>
      <c r="DAL11" s="64">
        <f t="shared" si="802"/>
        <v>938</v>
      </c>
      <c r="DAM11" s="68">
        <f t="shared" si="803"/>
        <v>156.33333333333334</v>
      </c>
      <c r="DAN11" s="48">
        <v>0</v>
      </c>
      <c r="DAO11" s="49">
        <v>0</v>
      </c>
      <c r="DAP11" s="49">
        <v>0</v>
      </c>
      <c r="DAQ11" s="49">
        <v>0</v>
      </c>
      <c r="DAR11" s="49">
        <v>220</v>
      </c>
      <c r="DAS11" s="49"/>
      <c r="DAT11" s="64">
        <f t="shared" si="804"/>
        <v>220</v>
      </c>
      <c r="DAU11" s="68">
        <f t="shared" si="805"/>
        <v>36.666666666666664</v>
      </c>
      <c r="DAV11" s="48">
        <v>0</v>
      </c>
      <c r="DAW11" s="49">
        <v>0</v>
      </c>
      <c r="DAX11" s="49">
        <v>220</v>
      </c>
      <c r="DAY11" s="49">
        <v>0</v>
      </c>
      <c r="DAZ11" s="49">
        <v>0</v>
      </c>
      <c r="DBA11" s="49">
        <v>229</v>
      </c>
      <c r="DBB11" s="64">
        <f t="shared" si="806"/>
        <v>449</v>
      </c>
      <c r="DBC11" s="68">
        <f t="shared" si="807"/>
        <v>74.833333333333329</v>
      </c>
      <c r="DBD11" s="48">
        <v>0</v>
      </c>
      <c r="DBE11" s="49">
        <v>0</v>
      </c>
      <c r="DBF11" s="49">
        <v>0</v>
      </c>
      <c r="DBG11" s="49">
        <v>440</v>
      </c>
      <c r="DBH11" s="49">
        <v>0</v>
      </c>
      <c r="DBI11" s="49">
        <v>0</v>
      </c>
      <c r="DBJ11" s="64">
        <f t="shared" si="808"/>
        <v>440</v>
      </c>
      <c r="DBK11" s="68">
        <f t="shared" si="809"/>
        <v>73.333333333333329</v>
      </c>
      <c r="DBL11" s="48">
        <v>110</v>
      </c>
      <c r="DBM11" s="49"/>
      <c r="DBN11" s="49">
        <v>110</v>
      </c>
      <c r="DBO11" s="49">
        <v>0</v>
      </c>
      <c r="DBP11" s="49">
        <v>0</v>
      </c>
      <c r="DBQ11" s="49">
        <v>110</v>
      </c>
      <c r="DBR11" s="64">
        <f t="shared" si="810"/>
        <v>330</v>
      </c>
      <c r="DBS11" s="68">
        <f t="shared" si="811"/>
        <v>55</v>
      </c>
      <c r="DBT11" s="48">
        <v>0</v>
      </c>
      <c r="DBU11" s="49"/>
      <c r="DBV11" s="49">
        <v>220</v>
      </c>
      <c r="DBW11" s="49">
        <v>0</v>
      </c>
      <c r="DBX11" s="49"/>
      <c r="DBY11" s="49"/>
      <c r="DBZ11" s="64">
        <f t="shared" si="812"/>
        <v>220</v>
      </c>
      <c r="DCA11" s="68">
        <f t="shared" si="813"/>
        <v>44</v>
      </c>
      <c r="DCB11" s="48"/>
      <c r="DCC11" s="49">
        <v>110</v>
      </c>
      <c r="DCD11" s="49"/>
      <c r="DCE11" s="49"/>
      <c r="DCF11" s="49">
        <v>218</v>
      </c>
      <c r="DCG11" s="49"/>
      <c r="DCH11" s="64">
        <f t="shared" si="814"/>
        <v>328</v>
      </c>
      <c r="DCI11" s="68">
        <f t="shared" si="815"/>
        <v>54.666666666666664</v>
      </c>
      <c r="DCJ11" s="48">
        <v>220</v>
      </c>
      <c r="DCK11" s="49">
        <v>0</v>
      </c>
      <c r="DCL11" s="49">
        <v>110</v>
      </c>
      <c r="DCM11" s="49">
        <v>0</v>
      </c>
      <c r="DCN11" s="49">
        <v>0</v>
      </c>
      <c r="DCO11" s="49">
        <v>219</v>
      </c>
      <c r="DCP11" s="64">
        <f t="shared" si="816"/>
        <v>549</v>
      </c>
      <c r="DCQ11" s="68">
        <f t="shared" si="817"/>
        <v>91.5</v>
      </c>
      <c r="DCR11" s="48">
        <v>0</v>
      </c>
      <c r="DCS11" s="49">
        <v>0</v>
      </c>
      <c r="DCT11" s="49">
        <v>332</v>
      </c>
      <c r="DCU11" s="49">
        <v>0</v>
      </c>
      <c r="DCV11" s="49">
        <v>0</v>
      </c>
      <c r="DCW11" s="49">
        <v>108</v>
      </c>
      <c r="DCX11" s="64">
        <f t="shared" si="818"/>
        <v>440</v>
      </c>
      <c r="DCY11" s="68">
        <f t="shared" si="819"/>
        <v>73.333333333333329</v>
      </c>
      <c r="DCZ11" s="48">
        <v>0</v>
      </c>
      <c r="DDA11" s="49">
        <v>110</v>
      </c>
      <c r="DDB11" s="49">
        <v>0</v>
      </c>
      <c r="DDC11" s="49">
        <v>219</v>
      </c>
      <c r="DDD11" s="49"/>
      <c r="DDE11" s="49">
        <v>0</v>
      </c>
      <c r="DDF11" s="64">
        <f t="shared" si="820"/>
        <v>329</v>
      </c>
      <c r="DDG11" s="68">
        <f t="shared" si="821"/>
        <v>54.833333333333336</v>
      </c>
      <c r="DDH11" s="48">
        <v>0</v>
      </c>
      <c r="DDI11" s="49">
        <v>0</v>
      </c>
      <c r="DDJ11" s="49">
        <v>330</v>
      </c>
      <c r="DDK11" s="49">
        <v>0</v>
      </c>
      <c r="DDL11" s="49">
        <v>0</v>
      </c>
      <c r="DDM11" s="49">
        <v>0</v>
      </c>
      <c r="DDN11" s="127">
        <f t="shared" si="822"/>
        <v>330</v>
      </c>
      <c r="DDO11" s="43">
        <f t="shared" si="823"/>
        <v>55</v>
      </c>
      <c r="DDP11" s="48">
        <v>330</v>
      </c>
      <c r="DDQ11" s="49">
        <v>0</v>
      </c>
      <c r="DDR11" s="49">
        <v>0</v>
      </c>
      <c r="DDS11" s="49"/>
      <c r="DDT11" s="49">
        <v>220</v>
      </c>
      <c r="DDU11" s="49">
        <v>112</v>
      </c>
      <c r="DDV11" s="127">
        <f t="shared" si="824"/>
        <v>662</v>
      </c>
      <c r="DDW11" s="43">
        <f t="shared" si="825"/>
        <v>110.33333333333333</v>
      </c>
      <c r="DDX11" s="48">
        <v>0</v>
      </c>
      <c r="DDY11" s="49">
        <v>0</v>
      </c>
      <c r="DDZ11" s="49">
        <v>0</v>
      </c>
      <c r="DEA11" s="49">
        <v>220</v>
      </c>
      <c r="DEB11" s="49">
        <v>0</v>
      </c>
      <c r="DEC11" s="49">
        <v>0</v>
      </c>
      <c r="DED11" s="127">
        <f t="shared" si="826"/>
        <v>220</v>
      </c>
      <c r="DEE11" s="43">
        <f t="shared" si="827"/>
        <v>36.666666666666664</v>
      </c>
      <c r="DEF11" s="48">
        <v>330</v>
      </c>
      <c r="DEG11" s="49">
        <v>0</v>
      </c>
      <c r="DEH11" s="49"/>
      <c r="DEI11" s="49">
        <v>0</v>
      </c>
      <c r="DEJ11" s="49">
        <v>0</v>
      </c>
      <c r="DEK11" s="49">
        <v>220</v>
      </c>
      <c r="DEL11" s="127">
        <f t="shared" si="828"/>
        <v>550</v>
      </c>
      <c r="DEM11" s="43">
        <f t="shared" si="829"/>
        <v>91.666666666666671</v>
      </c>
      <c r="DEN11" s="48">
        <v>0</v>
      </c>
      <c r="DEO11" s="49">
        <v>0</v>
      </c>
      <c r="DEP11" s="49">
        <v>330</v>
      </c>
      <c r="DEQ11" s="49">
        <v>0</v>
      </c>
      <c r="DER11" s="49"/>
      <c r="DES11" s="49">
        <v>110</v>
      </c>
      <c r="DET11" s="127">
        <f t="shared" si="830"/>
        <v>440</v>
      </c>
      <c r="DEU11" s="43">
        <f t="shared" si="831"/>
        <v>73.333333333333329</v>
      </c>
      <c r="DEV11" s="48">
        <v>0</v>
      </c>
      <c r="DEW11" s="49"/>
      <c r="DEX11" s="49">
        <v>0</v>
      </c>
      <c r="DEY11" s="49">
        <v>0</v>
      </c>
      <c r="DEZ11" s="49">
        <v>219</v>
      </c>
      <c r="DFA11" s="49">
        <v>0</v>
      </c>
      <c r="DFB11" s="127">
        <f t="shared" si="832"/>
        <v>219</v>
      </c>
      <c r="DFC11" s="43">
        <f t="shared" si="833"/>
        <v>36.5</v>
      </c>
      <c r="DFD11" s="48">
        <v>0</v>
      </c>
      <c r="DFE11" s="49">
        <v>330</v>
      </c>
      <c r="DFF11" s="49">
        <v>0</v>
      </c>
      <c r="DFG11" s="49">
        <v>0</v>
      </c>
      <c r="DFH11" s="49">
        <v>110</v>
      </c>
      <c r="DFI11" s="49">
        <v>110</v>
      </c>
      <c r="DFJ11" s="127">
        <f t="shared" si="834"/>
        <v>550</v>
      </c>
      <c r="DFK11" s="43">
        <f t="shared" si="835"/>
        <v>91.666666666666671</v>
      </c>
      <c r="DFL11" s="63"/>
      <c r="DFM11" s="64">
        <v>0</v>
      </c>
      <c r="DFN11" s="64">
        <v>0</v>
      </c>
      <c r="DFO11" s="64">
        <v>161</v>
      </c>
      <c r="DFP11" s="64">
        <v>0</v>
      </c>
      <c r="DFQ11" s="64">
        <v>110</v>
      </c>
      <c r="DFR11" s="64">
        <f t="shared" si="836"/>
        <v>271</v>
      </c>
      <c r="DFS11" s="68">
        <f t="shared" si="837"/>
        <v>45.166666666666664</v>
      </c>
      <c r="DFT11" s="48">
        <v>0</v>
      </c>
      <c r="DFU11" s="49">
        <v>0</v>
      </c>
      <c r="DFV11" s="49">
        <v>0</v>
      </c>
      <c r="DFW11" s="49">
        <v>334</v>
      </c>
      <c r="DFX11" s="49"/>
      <c r="DFY11" s="49">
        <v>221</v>
      </c>
      <c r="DFZ11" s="127">
        <f t="shared" si="838"/>
        <v>555</v>
      </c>
      <c r="DGA11" s="43">
        <f t="shared" si="839"/>
        <v>92.5</v>
      </c>
      <c r="DGB11" s="48">
        <v>0</v>
      </c>
      <c r="DGC11" s="49">
        <v>0</v>
      </c>
      <c r="DGD11" s="49">
        <v>220</v>
      </c>
      <c r="DGE11" s="49"/>
      <c r="DGF11" s="49">
        <v>0</v>
      </c>
      <c r="DGG11" s="49">
        <v>110</v>
      </c>
      <c r="DGH11" s="127">
        <f t="shared" si="840"/>
        <v>330</v>
      </c>
      <c r="DGI11" s="43">
        <f t="shared" si="841"/>
        <v>55</v>
      </c>
      <c r="DGJ11" s="48">
        <v>110</v>
      </c>
      <c r="DGK11" s="49">
        <v>0</v>
      </c>
      <c r="DGL11" s="49">
        <v>222</v>
      </c>
      <c r="DGM11" s="49">
        <v>0</v>
      </c>
      <c r="DGN11" s="49">
        <v>0</v>
      </c>
      <c r="DGO11" s="49"/>
      <c r="DGP11" s="64">
        <f t="shared" si="842"/>
        <v>332</v>
      </c>
      <c r="DGQ11" s="68">
        <f t="shared" si="843"/>
        <v>55.333333333333336</v>
      </c>
      <c r="DGR11" s="48">
        <v>330</v>
      </c>
      <c r="DGS11" s="49">
        <v>0</v>
      </c>
      <c r="DGT11" s="49">
        <v>0</v>
      </c>
      <c r="DGU11" s="49">
        <v>0</v>
      </c>
      <c r="DGV11" s="49">
        <v>0</v>
      </c>
      <c r="DGW11" s="49"/>
      <c r="DGX11" s="64">
        <f t="shared" si="844"/>
        <v>330</v>
      </c>
      <c r="DGY11" s="68">
        <f t="shared" si="845"/>
        <v>55</v>
      </c>
      <c r="DGZ11" s="48">
        <v>0</v>
      </c>
      <c r="DHA11" s="49">
        <v>331</v>
      </c>
      <c r="DHB11" s="49">
        <v>0</v>
      </c>
      <c r="DHC11" s="49">
        <v>0</v>
      </c>
      <c r="DHD11" s="49">
        <v>220</v>
      </c>
      <c r="DHE11" s="49">
        <v>0</v>
      </c>
      <c r="DHF11" s="64">
        <f t="shared" si="846"/>
        <v>551</v>
      </c>
      <c r="DHG11" s="68">
        <f t="shared" si="847"/>
        <v>91.833333333333329</v>
      </c>
      <c r="DHH11" s="63"/>
      <c r="DHI11" s="64">
        <v>220</v>
      </c>
      <c r="DHJ11" s="64">
        <v>0</v>
      </c>
      <c r="DHK11" s="64">
        <v>110</v>
      </c>
      <c r="DHL11" s="64">
        <v>0</v>
      </c>
      <c r="DHM11" s="64">
        <v>0</v>
      </c>
      <c r="DHN11" s="64">
        <f t="shared" si="848"/>
        <v>330</v>
      </c>
      <c r="DHO11" s="68">
        <f t="shared" si="849"/>
        <v>55</v>
      </c>
      <c r="DHP11" s="48">
        <v>330</v>
      </c>
      <c r="DHQ11" s="49">
        <v>0</v>
      </c>
      <c r="DHR11" s="49">
        <v>0</v>
      </c>
      <c r="DHS11" s="49">
        <v>0</v>
      </c>
      <c r="DHT11" s="49">
        <v>0</v>
      </c>
      <c r="DHU11" s="49">
        <v>330</v>
      </c>
      <c r="DHV11" s="64">
        <f t="shared" si="850"/>
        <v>660</v>
      </c>
      <c r="DHW11" s="68">
        <f t="shared" si="851"/>
        <v>110</v>
      </c>
      <c r="DHX11" s="48">
        <v>0</v>
      </c>
      <c r="DHY11" s="49"/>
      <c r="DHZ11" s="49">
        <v>0</v>
      </c>
      <c r="DIA11" s="49">
        <v>220</v>
      </c>
      <c r="DIB11" s="49">
        <v>0</v>
      </c>
      <c r="DIC11" s="49">
        <v>0</v>
      </c>
      <c r="DID11" s="64">
        <f t="shared" si="852"/>
        <v>220</v>
      </c>
      <c r="DIE11" s="68">
        <f t="shared" si="853"/>
        <v>36.666666666666664</v>
      </c>
      <c r="DIF11" s="48"/>
      <c r="DIG11" s="49">
        <v>332</v>
      </c>
      <c r="DIH11" s="49">
        <v>0</v>
      </c>
      <c r="DII11" s="49">
        <v>0</v>
      </c>
      <c r="DIJ11" s="49">
        <v>0</v>
      </c>
      <c r="DIK11" s="49"/>
      <c r="DIL11" s="64">
        <f t="shared" si="854"/>
        <v>332</v>
      </c>
      <c r="DIM11" s="68">
        <f t="shared" si="855"/>
        <v>55.333333333333336</v>
      </c>
      <c r="DIN11" s="48">
        <v>222</v>
      </c>
      <c r="DIO11" s="49"/>
      <c r="DIP11" s="49">
        <v>0</v>
      </c>
      <c r="DIQ11" s="49">
        <v>0</v>
      </c>
      <c r="DIR11" s="49">
        <v>0</v>
      </c>
      <c r="DIS11" s="49">
        <v>0</v>
      </c>
      <c r="DIT11" s="64">
        <f t="shared" si="856"/>
        <v>222</v>
      </c>
      <c r="DIU11" s="68">
        <f t="shared" si="857"/>
        <v>37</v>
      </c>
      <c r="DIV11" s="48">
        <f>SUMIF(SUMPK!$B:$B,$B:$B,SUMPK!$O:$O)</f>
        <v>0</v>
      </c>
      <c r="DIW11" s="49">
        <v>110</v>
      </c>
      <c r="DIX11" s="49">
        <v>0</v>
      </c>
      <c r="DIY11" s="49">
        <v>331</v>
      </c>
      <c r="DIZ11" s="49">
        <v>0</v>
      </c>
      <c r="DJA11" s="49">
        <v>0</v>
      </c>
      <c r="DJB11" s="64">
        <f t="shared" si="858"/>
        <v>441</v>
      </c>
      <c r="DJC11" s="68">
        <f t="shared" si="859"/>
        <v>73.5</v>
      </c>
      <c r="DJD11" s="48">
        <v>0</v>
      </c>
      <c r="DJE11" s="49">
        <v>0</v>
      </c>
      <c r="DJF11" s="49">
        <v>0</v>
      </c>
      <c r="DJG11" s="49">
        <v>219</v>
      </c>
      <c r="DJH11" s="49">
        <v>0</v>
      </c>
      <c r="DJI11" s="49"/>
      <c r="DJJ11" s="64">
        <f t="shared" si="860"/>
        <v>219</v>
      </c>
      <c r="DJK11" s="68">
        <f t="shared" si="861"/>
        <v>36.5</v>
      </c>
      <c r="DJL11" s="48">
        <v>219</v>
      </c>
      <c r="DJM11" s="49">
        <v>0</v>
      </c>
      <c r="DJN11" s="49">
        <v>112</v>
      </c>
      <c r="DJO11" s="49">
        <v>0</v>
      </c>
      <c r="DJP11" s="49">
        <v>0</v>
      </c>
      <c r="DJQ11" s="49">
        <v>110</v>
      </c>
      <c r="DJR11" s="64">
        <f t="shared" si="862"/>
        <v>441</v>
      </c>
      <c r="DJS11" s="68">
        <f t="shared" si="863"/>
        <v>73.5</v>
      </c>
      <c r="DJT11" s="48"/>
      <c r="DJU11" s="49">
        <v>0</v>
      </c>
      <c r="DJV11" s="49">
        <v>0</v>
      </c>
      <c r="DJW11" s="49">
        <v>224</v>
      </c>
      <c r="DJX11" s="49">
        <v>0</v>
      </c>
      <c r="DJY11" s="49">
        <v>107</v>
      </c>
      <c r="DJZ11" s="64">
        <f t="shared" si="864"/>
        <v>331</v>
      </c>
      <c r="DKA11" s="68">
        <f t="shared" si="865"/>
        <v>55.166666666666664</v>
      </c>
      <c r="DKB11" s="48">
        <v>0</v>
      </c>
      <c r="DKC11" s="49">
        <v>111</v>
      </c>
      <c r="DKD11" s="49">
        <v>0</v>
      </c>
      <c r="DKE11" s="49">
        <v>328</v>
      </c>
      <c r="DKF11" s="49">
        <v>0</v>
      </c>
      <c r="DKG11" s="49">
        <v>110</v>
      </c>
      <c r="DKH11" s="64">
        <f t="shared" si="866"/>
        <v>549</v>
      </c>
      <c r="DKI11" s="68">
        <f t="shared" si="867"/>
        <v>91.5</v>
      </c>
      <c r="DKJ11" s="48"/>
      <c r="DKK11" s="49">
        <v>0</v>
      </c>
      <c r="DKL11" s="49">
        <v>0</v>
      </c>
      <c r="DKM11" s="49">
        <v>0</v>
      </c>
      <c r="DKN11" s="49">
        <v>220</v>
      </c>
      <c r="DKO11" s="49">
        <v>0</v>
      </c>
      <c r="DKP11" s="64">
        <f t="shared" si="868"/>
        <v>220</v>
      </c>
      <c r="DKQ11" s="68">
        <f t="shared" si="869"/>
        <v>36.666666666666664</v>
      </c>
      <c r="DKR11" s="48">
        <v>0</v>
      </c>
      <c r="DKS11" s="49">
        <v>10</v>
      </c>
      <c r="DKT11" s="49">
        <v>450</v>
      </c>
      <c r="DKU11" s="49">
        <v>0</v>
      </c>
      <c r="DKV11" s="49">
        <v>0</v>
      </c>
      <c r="DKW11" s="49">
        <v>0</v>
      </c>
      <c r="DKX11" s="64">
        <f t="shared" si="870"/>
        <v>460</v>
      </c>
      <c r="DKY11" s="68">
        <f t="shared" si="871"/>
        <v>76.666666666666671</v>
      </c>
      <c r="DKZ11" s="48">
        <v>0</v>
      </c>
      <c r="DLA11" s="49">
        <v>0</v>
      </c>
      <c r="DLB11" s="49">
        <v>219</v>
      </c>
      <c r="DLC11" s="49">
        <v>0</v>
      </c>
      <c r="DLD11" s="49">
        <v>0</v>
      </c>
      <c r="DLE11" s="49">
        <v>331</v>
      </c>
      <c r="DLF11" s="64">
        <f t="shared" si="872"/>
        <v>550</v>
      </c>
      <c r="DLG11" s="68">
        <f t="shared" si="873"/>
        <v>91.666666666666671</v>
      </c>
      <c r="DLH11" s="48"/>
      <c r="DLI11" s="49">
        <v>0</v>
      </c>
      <c r="DLJ11" s="49">
        <v>219</v>
      </c>
      <c r="DLK11" s="49">
        <f>SUMIF(SUMPK!$B:$B,$B:$B,SUMPK!$O:$O)</f>
        <v>0</v>
      </c>
      <c r="DLL11" s="49"/>
      <c r="DLM11" s="49">
        <v>0</v>
      </c>
      <c r="DLN11" s="64">
        <f t="shared" si="874"/>
        <v>219</v>
      </c>
      <c r="DLO11" s="68">
        <f t="shared" si="875"/>
        <v>36.5</v>
      </c>
      <c r="DLP11" s="48">
        <v>0</v>
      </c>
      <c r="DLR11" s="49">
        <v>0</v>
      </c>
      <c r="DLS11" s="49">
        <v>331</v>
      </c>
      <c r="DLT11" s="49">
        <v>0</v>
      </c>
      <c r="DLU11" s="49">
        <v>0</v>
      </c>
      <c r="DLV11" s="64">
        <f t="shared" si="876"/>
        <v>331</v>
      </c>
      <c r="DLW11" s="68">
        <f t="shared" si="877"/>
        <v>55.166666666666664</v>
      </c>
      <c r="DLX11" s="48">
        <v>0</v>
      </c>
      <c r="DLY11" s="49">
        <v>330</v>
      </c>
      <c r="DLZ11" s="49">
        <v>0</v>
      </c>
      <c r="DMA11" s="49">
        <v>0</v>
      </c>
      <c r="DMB11" s="49">
        <v>0</v>
      </c>
      <c r="DMC11" s="49"/>
      <c r="DMD11" s="64">
        <f t="shared" si="878"/>
        <v>330</v>
      </c>
      <c r="DME11" s="68">
        <f t="shared" si="879"/>
        <v>55</v>
      </c>
      <c r="DMF11" s="48"/>
      <c r="DMG11" s="49">
        <v>0</v>
      </c>
      <c r="DMH11" s="49"/>
      <c r="DMI11" s="49">
        <v>0</v>
      </c>
      <c r="DMJ11" s="49">
        <v>186</v>
      </c>
      <c r="DMK11" s="49">
        <v>0</v>
      </c>
      <c r="DML11" s="64">
        <f t="shared" si="880"/>
        <v>186</v>
      </c>
      <c r="DMM11" s="68">
        <f t="shared" si="881"/>
        <v>31</v>
      </c>
      <c r="DMN11" s="48">
        <v>0</v>
      </c>
      <c r="DMO11" s="49">
        <v>216</v>
      </c>
      <c r="DMP11" s="49">
        <v>220</v>
      </c>
      <c r="DMQ11" s="49">
        <v>0</v>
      </c>
      <c r="DMR11" s="49">
        <v>110</v>
      </c>
      <c r="DMS11" s="49">
        <v>0</v>
      </c>
      <c r="DMT11" s="64">
        <f t="shared" si="882"/>
        <v>546</v>
      </c>
      <c r="DMU11" s="68">
        <f t="shared" si="883"/>
        <v>91</v>
      </c>
      <c r="DMV11" s="48">
        <v>0</v>
      </c>
      <c r="DMW11" s="49">
        <v>110</v>
      </c>
      <c r="DMX11" s="49">
        <v>0</v>
      </c>
      <c r="DMY11" s="49">
        <v>0</v>
      </c>
      <c r="DMZ11" s="49">
        <v>0</v>
      </c>
      <c r="DNA11" s="49">
        <v>110</v>
      </c>
      <c r="DNB11" s="64">
        <f t="shared" si="884"/>
        <v>220</v>
      </c>
      <c r="DNC11" s="68">
        <f t="shared" si="885"/>
        <v>36.666666666666664</v>
      </c>
      <c r="DND11" s="48"/>
      <c r="DNE11" s="49">
        <v>110</v>
      </c>
      <c r="DNF11" s="49"/>
      <c r="DNG11" s="49">
        <v>110</v>
      </c>
      <c r="DNH11" s="49">
        <v>0</v>
      </c>
      <c r="DNI11" s="49">
        <v>68</v>
      </c>
      <c r="DNJ11" s="64">
        <f t="shared" si="886"/>
        <v>288</v>
      </c>
      <c r="DNK11" s="68">
        <f t="shared" si="887"/>
        <v>48</v>
      </c>
      <c r="DNL11" s="48"/>
      <c r="DNM11" s="49"/>
      <c r="DNN11" s="49">
        <v>0</v>
      </c>
      <c r="DNO11" s="49">
        <v>330</v>
      </c>
      <c r="DNP11" s="49">
        <v>0</v>
      </c>
      <c r="DNQ11" s="49">
        <v>0</v>
      </c>
      <c r="DNR11" s="64">
        <f t="shared" si="888"/>
        <v>330</v>
      </c>
      <c r="DNS11" s="68">
        <f t="shared" si="889"/>
        <v>55</v>
      </c>
      <c r="DNT11" s="48"/>
      <c r="DNU11" s="49">
        <v>220</v>
      </c>
      <c r="DNV11" s="49">
        <v>0</v>
      </c>
      <c r="DNW11" s="49"/>
      <c r="DNX11" s="49">
        <v>0</v>
      </c>
      <c r="DNY11" s="49">
        <v>112</v>
      </c>
      <c r="DNZ11" s="64">
        <f t="shared" si="890"/>
        <v>332</v>
      </c>
      <c r="DOA11" s="68">
        <f t="shared" si="891"/>
        <v>55.333333333333336</v>
      </c>
      <c r="DOB11" s="48">
        <v>0</v>
      </c>
      <c r="DOC11" s="49"/>
      <c r="DOD11" s="49"/>
      <c r="DOE11" s="49">
        <v>0</v>
      </c>
      <c r="DOF11" s="49">
        <v>325</v>
      </c>
      <c r="DOG11" s="49">
        <v>0</v>
      </c>
      <c r="DOH11" s="64">
        <f t="shared" si="892"/>
        <v>325</v>
      </c>
      <c r="DOI11" s="68">
        <f t="shared" si="893"/>
        <v>54.166666666666664</v>
      </c>
      <c r="DOJ11" s="48">
        <v>110</v>
      </c>
      <c r="DOK11" s="49">
        <v>0</v>
      </c>
      <c r="DOL11" s="49"/>
      <c r="DOM11" s="49">
        <v>0</v>
      </c>
      <c r="DON11" s="49">
        <v>220</v>
      </c>
      <c r="DOO11" s="49">
        <v>0</v>
      </c>
      <c r="DOP11" s="64">
        <f t="shared" si="894"/>
        <v>330</v>
      </c>
      <c r="DOQ11" s="68">
        <f t="shared" si="895"/>
        <v>55</v>
      </c>
      <c r="DOR11" s="48">
        <v>0</v>
      </c>
      <c r="DOS11" s="49">
        <v>220</v>
      </c>
      <c r="DOT11" s="49"/>
      <c r="DOU11" s="49">
        <v>0</v>
      </c>
      <c r="DOV11" s="49"/>
      <c r="DOW11" s="49">
        <v>0</v>
      </c>
      <c r="DOX11" s="64">
        <f t="shared" si="896"/>
        <v>220</v>
      </c>
      <c r="DOY11" s="68">
        <f t="shared" si="897"/>
        <v>36.666666666666664</v>
      </c>
      <c r="DOZ11" s="48"/>
      <c r="DPA11" s="49">
        <v>0</v>
      </c>
      <c r="DPB11" s="49">
        <v>0</v>
      </c>
      <c r="DPC11" s="49">
        <v>0</v>
      </c>
      <c r="DPD11" s="49">
        <v>0</v>
      </c>
      <c r="DPE11" s="49">
        <v>220</v>
      </c>
      <c r="DPF11" s="64">
        <f t="shared" si="898"/>
        <v>220</v>
      </c>
      <c r="DPG11" s="68">
        <f t="shared" si="899"/>
        <v>36.666666666666664</v>
      </c>
      <c r="DPH11" s="48">
        <v>0</v>
      </c>
      <c r="DPI11" s="49">
        <v>0</v>
      </c>
      <c r="DPJ11" s="49">
        <v>220</v>
      </c>
      <c r="DPK11" s="49">
        <v>0</v>
      </c>
      <c r="DPL11" s="49">
        <v>0</v>
      </c>
      <c r="DPM11" s="49">
        <v>332</v>
      </c>
      <c r="DPN11" s="64">
        <f t="shared" si="900"/>
        <v>552</v>
      </c>
      <c r="DPO11" s="68">
        <f t="shared" si="901"/>
        <v>92</v>
      </c>
      <c r="DPP11" s="48">
        <v>106</v>
      </c>
      <c r="DPQ11" s="49">
        <v>0</v>
      </c>
      <c r="DPR11" s="49">
        <v>220</v>
      </c>
      <c r="DPS11" s="49">
        <v>0</v>
      </c>
      <c r="DPT11" s="49">
        <v>0</v>
      </c>
      <c r="DPU11" s="49">
        <v>0</v>
      </c>
      <c r="DPV11" s="491">
        <f t="shared" si="902"/>
        <v>326</v>
      </c>
      <c r="DPW11" s="492">
        <f t="shared" si="903"/>
        <v>54.333333333333336</v>
      </c>
      <c r="DPX11" s="48">
        <v>440</v>
      </c>
      <c r="DPY11" s="49">
        <v>0</v>
      </c>
      <c r="DPZ11" s="49">
        <v>0</v>
      </c>
      <c r="DQA11" s="49">
        <v>0</v>
      </c>
      <c r="DQB11" s="49">
        <v>0</v>
      </c>
      <c r="DQC11" s="49"/>
      <c r="DQD11" s="491">
        <f t="shared" si="904"/>
        <v>440</v>
      </c>
      <c r="DQE11" s="492">
        <f t="shared" si="905"/>
        <v>73.333333333333329</v>
      </c>
      <c r="DQF11" s="48">
        <v>0</v>
      </c>
      <c r="DQG11" s="49">
        <v>0</v>
      </c>
      <c r="DQH11" s="49">
        <v>331</v>
      </c>
      <c r="DQI11" s="49"/>
      <c r="DQJ11" s="49">
        <v>0</v>
      </c>
      <c r="DQK11" s="49">
        <v>337</v>
      </c>
      <c r="DQL11" s="489">
        <f t="shared" si="906"/>
        <v>668</v>
      </c>
      <c r="DQM11" s="492">
        <f t="shared" si="907"/>
        <v>111.33333333333333</v>
      </c>
      <c r="DQN11" s="48">
        <v>0</v>
      </c>
      <c r="DQO11" s="49">
        <v>0</v>
      </c>
      <c r="DQP11" s="49">
        <v>0</v>
      </c>
      <c r="DQQ11" s="49">
        <v>0</v>
      </c>
      <c r="DQR11" s="49">
        <v>0</v>
      </c>
      <c r="DQS11" s="49">
        <v>322</v>
      </c>
      <c r="DQT11" s="64">
        <f t="shared" si="908"/>
        <v>322</v>
      </c>
      <c r="DQU11" s="68">
        <f t="shared" si="909"/>
        <v>53.666666666666664</v>
      </c>
      <c r="DQV11" s="48">
        <v>0</v>
      </c>
      <c r="DQW11" s="49">
        <v>143</v>
      </c>
      <c r="DQX11" s="49">
        <v>0</v>
      </c>
      <c r="DQY11" s="49">
        <v>221</v>
      </c>
      <c r="DQZ11" s="49">
        <v>0</v>
      </c>
      <c r="DRA11" s="49">
        <v>0</v>
      </c>
      <c r="DRB11" s="491">
        <f t="shared" si="910"/>
        <v>364</v>
      </c>
      <c r="DRC11" s="492">
        <f t="shared" si="911"/>
        <v>60.666666666666664</v>
      </c>
      <c r="DRD11" s="48">
        <v>0</v>
      </c>
      <c r="DRE11" s="49">
        <v>0</v>
      </c>
      <c r="DRF11" s="49">
        <v>110</v>
      </c>
      <c r="DRG11" s="49">
        <v>0</v>
      </c>
      <c r="DRH11" s="49">
        <v>0</v>
      </c>
      <c r="DRI11" s="49"/>
      <c r="DRJ11" s="491">
        <f t="shared" si="912"/>
        <v>110</v>
      </c>
      <c r="DRK11" s="492">
        <f t="shared" si="913"/>
        <v>18.333333333333332</v>
      </c>
      <c r="DRL11" s="48">
        <v>220</v>
      </c>
      <c r="DRM11" s="49">
        <v>0</v>
      </c>
      <c r="DRN11" s="49"/>
      <c r="DRO11" s="49">
        <v>0</v>
      </c>
      <c r="DRP11" s="49">
        <v>352</v>
      </c>
      <c r="DRQ11" s="49">
        <v>0</v>
      </c>
      <c r="DRR11" s="64">
        <f t="shared" si="914"/>
        <v>572</v>
      </c>
      <c r="DRS11" s="68">
        <f t="shared" si="915"/>
        <v>95.333333333333329</v>
      </c>
      <c r="DRT11" s="48">
        <v>0</v>
      </c>
      <c r="DRU11" s="49">
        <v>0</v>
      </c>
      <c r="DRV11" s="49">
        <v>0</v>
      </c>
      <c r="DRW11" s="49">
        <v>0</v>
      </c>
      <c r="DRX11" s="49">
        <v>110</v>
      </c>
      <c r="DRY11" s="49"/>
      <c r="DRZ11" s="491">
        <f t="shared" si="916"/>
        <v>110</v>
      </c>
      <c r="DSA11" s="68">
        <f t="shared" si="917"/>
        <v>18.333333333333332</v>
      </c>
      <c r="DSB11" s="82">
        <v>220</v>
      </c>
      <c r="DSC11" s="83">
        <v>0</v>
      </c>
      <c r="DSD11" s="83">
        <v>0</v>
      </c>
      <c r="DSE11" s="83"/>
      <c r="DSF11" s="83">
        <v>332</v>
      </c>
      <c r="DSG11" s="83">
        <v>0</v>
      </c>
      <c r="DSH11" s="64">
        <f t="shared" si="918"/>
        <v>552</v>
      </c>
      <c r="DSI11" s="68">
        <f t="shared" si="919"/>
        <v>92</v>
      </c>
      <c r="DSJ11" s="48">
        <v>0</v>
      </c>
      <c r="DSK11" s="49">
        <v>0</v>
      </c>
      <c r="DSL11" s="49">
        <v>220</v>
      </c>
      <c r="DSM11" s="49">
        <v>0</v>
      </c>
      <c r="DSN11" s="49">
        <v>110</v>
      </c>
      <c r="DSO11" s="49">
        <v>0</v>
      </c>
      <c r="DSP11" s="64">
        <f t="shared" si="920"/>
        <v>330</v>
      </c>
      <c r="DSQ11" s="68">
        <f t="shared" si="921"/>
        <v>55</v>
      </c>
      <c r="DSR11" s="48">
        <v>0</v>
      </c>
      <c r="DSS11" s="49">
        <v>0</v>
      </c>
      <c r="DST11" s="49">
        <v>0</v>
      </c>
      <c r="DSU11" s="49">
        <v>0</v>
      </c>
      <c r="DSV11" s="49">
        <v>0</v>
      </c>
      <c r="DSW11" s="49">
        <v>0</v>
      </c>
      <c r="DSX11" s="64">
        <f t="shared" si="922"/>
        <v>0</v>
      </c>
      <c r="DSY11" s="68">
        <f t="shared" si="923"/>
        <v>0</v>
      </c>
      <c r="DSZ11" s="48">
        <v>0</v>
      </c>
      <c r="DTA11" s="49"/>
      <c r="DTB11" s="49">
        <v>0</v>
      </c>
      <c r="DTC11" s="49">
        <v>330</v>
      </c>
      <c r="DTD11" s="49">
        <v>0</v>
      </c>
      <c r="DTE11" s="49">
        <v>0</v>
      </c>
      <c r="DTF11" s="64">
        <f t="shared" si="924"/>
        <v>330</v>
      </c>
      <c r="DTG11" s="68">
        <f t="shared" si="925"/>
        <v>55</v>
      </c>
      <c r="DTH11" s="48"/>
      <c r="DTI11" s="49">
        <v>0</v>
      </c>
      <c r="DTJ11" s="49">
        <v>0</v>
      </c>
      <c r="DTK11" s="49">
        <v>221</v>
      </c>
      <c r="DTL11" s="49">
        <v>110</v>
      </c>
      <c r="DTM11" s="49">
        <v>0</v>
      </c>
      <c r="DTN11" s="64">
        <f t="shared" si="926"/>
        <v>331</v>
      </c>
      <c r="DTO11" s="68">
        <f t="shared" si="927"/>
        <v>55.166666666666664</v>
      </c>
      <c r="DTP11" s="48">
        <v>110</v>
      </c>
      <c r="DTQ11" s="49">
        <v>0</v>
      </c>
      <c r="DTR11" s="49"/>
      <c r="DTS11" s="49">
        <v>221</v>
      </c>
      <c r="DTT11" s="49">
        <v>0</v>
      </c>
      <c r="DTU11" s="49">
        <v>0</v>
      </c>
      <c r="DTV11" s="64">
        <f t="shared" si="928"/>
        <v>331</v>
      </c>
      <c r="DTW11" s="68">
        <f t="shared" si="929"/>
        <v>55.166666666666664</v>
      </c>
      <c r="DTX11" s="48">
        <v>0</v>
      </c>
      <c r="DTY11" s="49">
        <v>220</v>
      </c>
      <c r="DTZ11" s="49">
        <v>110</v>
      </c>
      <c r="DUA11" s="49">
        <v>0</v>
      </c>
      <c r="DUB11" s="49">
        <v>221</v>
      </c>
      <c r="DUC11" s="49">
        <v>0</v>
      </c>
      <c r="DUD11" s="64">
        <f t="shared" si="930"/>
        <v>551</v>
      </c>
      <c r="DUE11" s="68">
        <f t="shared" si="931"/>
        <v>91.833333333333329</v>
      </c>
      <c r="DUF11" s="48">
        <v>0</v>
      </c>
      <c r="DUG11" s="49">
        <v>0</v>
      </c>
      <c r="DUH11" s="49"/>
      <c r="DUI11" s="49">
        <v>538</v>
      </c>
      <c r="DUJ11" s="49">
        <v>0</v>
      </c>
      <c r="DUK11" s="49">
        <v>0</v>
      </c>
      <c r="DUL11" s="64">
        <f t="shared" si="932"/>
        <v>538</v>
      </c>
      <c r="DUM11" s="68">
        <f t="shared" si="933"/>
        <v>89.666666666666671</v>
      </c>
      <c r="DUN11" s="48"/>
      <c r="DUO11" s="49">
        <v>0</v>
      </c>
      <c r="DUP11" s="49">
        <v>220</v>
      </c>
      <c r="DUQ11" s="49">
        <v>0</v>
      </c>
      <c r="DUR11" s="49"/>
      <c r="DUS11" s="49">
        <v>35</v>
      </c>
      <c r="DUT11" s="64">
        <f t="shared" si="934"/>
        <v>255</v>
      </c>
      <c r="DUU11" s="184">
        <f t="shared" si="935"/>
        <v>42.5</v>
      </c>
      <c r="DUV11" s="48">
        <v>187</v>
      </c>
      <c r="DUW11" s="49">
        <v>0</v>
      </c>
      <c r="DUX11" s="49">
        <v>221</v>
      </c>
      <c r="DUY11" s="49">
        <v>0</v>
      </c>
      <c r="DUZ11" s="49">
        <v>0</v>
      </c>
      <c r="DVA11" s="49"/>
      <c r="DVB11" s="64">
        <f t="shared" si="936"/>
        <v>408</v>
      </c>
      <c r="DVC11" s="68">
        <f t="shared" si="937"/>
        <v>68</v>
      </c>
      <c r="DVD11" s="48"/>
      <c r="DVE11" s="49">
        <v>0</v>
      </c>
      <c r="DVF11" s="49">
        <v>440</v>
      </c>
      <c r="DVG11" s="49">
        <v>0</v>
      </c>
      <c r="DVH11" s="49">
        <v>444</v>
      </c>
      <c r="DVI11" s="49"/>
      <c r="DVJ11" s="64">
        <f t="shared" si="938"/>
        <v>884</v>
      </c>
      <c r="DVK11" s="68">
        <f t="shared" si="939"/>
        <v>147.33333333333334</v>
      </c>
      <c r="DVL11" s="48">
        <v>0</v>
      </c>
      <c r="DVM11" s="49">
        <v>0</v>
      </c>
      <c r="DVN11" s="49">
        <v>0</v>
      </c>
      <c r="DVO11" s="49">
        <v>0</v>
      </c>
      <c r="DVP11" s="49">
        <v>0</v>
      </c>
      <c r="DVQ11" s="49"/>
      <c r="DVR11" s="64">
        <f t="shared" si="940"/>
        <v>0</v>
      </c>
      <c r="DVS11" s="68">
        <f t="shared" si="941"/>
        <v>0</v>
      </c>
      <c r="DVT11" s="48"/>
      <c r="DVU11" s="49">
        <v>0</v>
      </c>
      <c r="DVV11" s="49">
        <v>0</v>
      </c>
      <c r="DVW11" s="49">
        <v>0</v>
      </c>
      <c r="DVX11" s="49"/>
      <c r="DVY11" s="49">
        <v>0</v>
      </c>
      <c r="DVZ11" s="64">
        <f t="shared" si="942"/>
        <v>0</v>
      </c>
      <c r="DWA11" s="68">
        <f t="shared" si="943"/>
        <v>0</v>
      </c>
      <c r="DWB11" s="48"/>
      <c r="DWC11" s="49">
        <v>220</v>
      </c>
      <c r="DWD11" s="49">
        <v>0</v>
      </c>
      <c r="DWE11" s="49">
        <v>0</v>
      </c>
      <c r="DWF11" s="49">
        <v>0</v>
      </c>
      <c r="DWG11" s="49">
        <v>0</v>
      </c>
      <c r="DWH11" s="64">
        <f t="shared" si="944"/>
        <v>220</v>
      </c>
      <c r="DWI11" s="68">
        <f t="shared" si="945"/>
        <v>36.666666666666664</v>
      </c>
      <c r="DWJ11" s="48">
        <v>0</v>
      </c>
      <c r="DWK11" s="49"/>
      <c r="DWL11" s="49">
        <v>305</v>
      </c>
      <c r="DWM11" s="49">
        <v>0</v>
      </c>
      <c r="DWN11" s="49">
        <v>0</v>
      </c>
      <c r="DWO11" s="49">
        <v>0</v>
      </c>
      <c r="DWP11" s="64">
        <f t="shared" si="946"/>
        <v>305</v>
      </c>
      <c r="DWQ11" s="68">
        <f t="shared" si="947"/>
        <v>50.833333333333336</v>
      </c>
      <c r="DWR11" s="48"/>
      <c r="DWS11" s="49"/>
      <c r="DWT11" s="49">
        <v>0</v>
      </c>
      <c r="DWU11" s="49">
        <v>330</v>
      </c>
      <c r="DWV11" s="49">
        <v>0</v>
      </c>
      <c r="DWW11" s="49">
        <v>0</v>
      </c>
      <c r="DWX11" s="64">
        <f t="shared" si="948"/>
        <v>330</v>
      </c>
      <c r="DWY11" s="68">
        <f t="shared" ref="DWY11:DWY21" si="1201">DWX11/$DWY$28</f>
        <v>55</v>
      </c>
      <c r="DWZ11" s="48">
        <v>110</v>
      </c>
      <c r="DXA11" s="49"/>
      <c r="DXB11" s="49">
        <v>220</v>
      </c>
      <c r="DXC11" s="49">
        <v>0</v>
      </c>
      <c r="DXD11" s="49">
        <v>0</v>
      </c>
      <c r="DXE11" s="49"/>
      <c r="DXF11" s="64">
        <f t="shared" si="949"/>
        <v>330</v>
      </c>
      <c r="DXG11" s="68">
        <f t="shared" si="950"/>
        <v>55</v>
      </c>
      <c r="DXH11" s="48">
        <v>0</v>
      </c>
      <c r="DXI11" s="49">
        <v>242</v>
      </c>
      <c r="DXJ11" s="49">
        <v>0</v>
      </c>
      <c r="DXK11" s="49">
        <v>0</v>
      </c>
      <c r="DXL11" s="49"/>
      <c r="DXM11" s="49">
        <v>330</v>
      </c>
      <c r="DXN11" s="64">
        <f t="shared" si="951"/>
        <v>572</v>
      </c>
      <c r="DXO11" s="68">
        <f t="shared" si="952"/>
        <v>95.333333333333329</v>
      </c>
      <c r="DXP11" s="48">
        <v>0</v>
      </c>
      <c r="DXQ11" s="49">
        <v>0</v>
      </c>
      <c r="DXR11" s="49">
        <v>328</v>
      </c>
      <c r="DXS11" s="49">
        <v>0</v>
      </c>
      <c r="DXT11" s="49"/>
      <c r="DXU11" s="49"/>
      <c r="DXV11" s="64">
        <f t="shared" si="953"/>
        <v>328</v>
      </c>
      <c r="DXW11" s="68">
        <f t="shared" si="954"/>
        <v>54.666666666666664</v>
      </c>
      <c r="DXX11" s="48">
        <v>115</v>
      </c>
      <c r="DXY11" s="49">
        <v>0</v>
      </c>
      <c r="DXZ11" s="49">
        <v>0</v>
      </c>
      <c r="DYA11" s="49">
        <v>331</v>
      </c>
      <c r="DYB11" s="49">
        <v>0</v>
      </c>
      <c r="DYC11" s="49">
        <v>0</v>
      </c>
      <c r="DYD11" s="64">
        <f t="shared" si="955"/>
        <v>446</v>
      </c>
      <c r="DYE11" s="68">
        <f t="shared" si="956"/>
        <v>74.333333333333329</v>
      </c>
      <c r="DYF11" s="48"/>
      <c r="DYG11" s="49">
        <v>25</v>
      </c>
      <c r="DYH11" s="49">
        <v>0</v>
      </c>
      <c r="DYI11" s="49">
        <v>0</v>
      </c>
      <c r="DYJ11" s="49">
        <v>311</v>
      </c>
      <c r="DYK11" s="49"/>
      <c r="DYL11" s="64">
        <f t="shared" si="957"/>
        <v>336</v>
      </c>
      <c r="DYM11" s="68">
        <f t="shared" si="958"/>
        <v>56</v>
      </c>
      <c r="DYN11" s="48">
        <v>0</v>
      </c>
      <c r="DYO11" s="49">
        <v>0</v>
      </c>
      <c r="DYP11" s="49">
        <v>110</v>
      </c>
      <c r="DYQ11" s="49">
        <v>0</v>
      </c>
      <c r="DYR11" s="49">
        <v>89</v>
      </c>
      <c r="DYS11" s="49">
        <v>0</v>
      </c>
      <c r="DYT11" s="64">
        <f t="shared" si="959"/>
        <v>199</v>
      </c>
      <c r="DYU11" s="68">
        <f t="shared" si="960"/>
        <v>33.166666666666664</v>
      </c>
      <c r="DYV11" s="48">
        <v>0</v>
      </c>
      <c r="DYW11" s="49">
        <v>44</v>
      </c>
      <c r="DYX11" s="49">
        <v>219</v>
      </c>
      <c r="DYY11" s="49">
        <v>0</v>
      </c>
      <c r="DYZ11" s="49">
        <v>0</v>
      </c>
      <c r="DZA11" s="49">
        <v>220</v>
      </c>
      <c r="DZB11" s="64">
        <f t="shared" si="961"/>
        <v>483</v>
      </c>
      <c r="DZC11" s="68">
        <f t="shared" si="962"/>
        <v>80.5</v>
      </c>
      <c r="DZD11" s="48">
        <v>0</v>
      </c>
      <c r="DZE11" s="49">
        <v>0</v>
      </c>
      <c r="DZF11" s="49">
        <v>0</v>
      </c>
      <c r="DZG11" s="49"/>
      <c r="DZH11" s="49">
        <f>SUMIF(SUMPK!$B:$B,$B:$B,SUMPK!$O:$O)</f>
        <v>0</v>
      </c>
      <c r="DZI11" s="49"/>
      <c r="DZJ11" s="64">
        <f t="shared" si="963"/>
        <v>0</v>
      </c>
      <c r="DZK11" s="68">
        <f t="shared" si="964"/>
        <v>0</v>
      </c>
      <c r="DZL11" s="48">
        <v>0</v>
      </c>
      <c r="DZM11" s="49">
        <v>220</v>
      </c>
      <c r="DZN11" s="49"/>
      <c r="DZO11" s="49">
        <v>110</v>
      </c>
      <c r="DZP11" s="49"/>
      <c r="DZQ11" s="49"/>
      <c r="DZR11" s="64">
        <f t="shared" si="965"/>
        <v>330</v>
      </c>
      <c r="DZS11" s="68">
        <f t="shared" si="966"/>
        <v>55</v>
      </c>
      <c r="DZT11" s="48">
        <v>0</v>
      </c>
      <c r="DZU11" s="49">
        <v>0</v>
      </c>
      <c r="DZV11" s="49">
        <v>0</v>
      </c>
      <c r="DZW11" s="49">
        <v>216</v>
      </c>
      <c r="DZX11" s="49">
        <v>0</v>
      </c>
      <c r="DZY11" s="49"/>
      <c r="DZZ11" s="64">
        <f t="shared" si="967"/>
        <v>216</v>
      </c>
      <c r="EAA11" s="68">
        <f t="shared" si="968"/>
        <v>36</v>
      </c>
      <c r="EAB11" s="48"/>
      <c r="EAC11" s="49">
        <v>0</v>
      </c>
      <c r="EAD11" s="49"/>
      <c r="EAE11" s="49"/>
      <c r="EAF11" s="49">
        <v>504</v>
      </c>
      <c r="EAG11" s="49">
        <v>0</v>
      </c>
      <c r="EAH11" s="64">
        <f t="shared" si="969"/>
        <v>504</v>
      </c>
      <c r="EAI11" s="68">
        <f t="shared" si="970"/>
        <v>84</v>
      </c>
      <c r="EAJ11" s="48"/>
      <c r="EAK11" s="49">
        <v>0</v>
      </c>
      <c r="EAL11" s="49">
        <v>0</v>
      </c>
      <c r="EAM11" s="49">
        <v>0</v>
      </c>
      <c r="EAN11" s="49">
        <v>0</v>
      </c>
      <c r="EAO11" s="49">
        <v>228</v>
      </c>
      <c r="EAP11" s="64">
        <f t="shared" si="971"/>
        <v>228</v>
      </c>
      <c r="EAQ11" s="68">
        <f t="shared" ref="EAQ11:EAQ21" si="1202">EAP11/$EAQ$28</f>
        <v>38</v>
      </c>
      <c r="EAR11" s="48">
        <v>0</v>
      </c>
      <c r="EAS11" s="49">
        <v>0</v>
      </c>
      <c r="EAT11" s="49">
        <v>110</v>
      </c>
      <c r="EAU11" s="49">
        <v>0</v>
      </c>
      <c r="EAV11" s="49">
        <v>320</v>
      </c>
      <c r="EAW11" s="49"/>
      <c r="EAX11" s="64">
        <f t="shared" si="972"/>
        <v>430</v>
      </c>
      <c r="EAY11" s="68">
        <f t="shared" si="973"/>
        <v>71.666666666666671</v>
      </c>
      <c r="EAZ11" s="48"/>
      <c r="EBA11" s="49">
        <v>0</v>
      </c>
      <c r="EBB11" s="49">
        <v>0</v>
      </c>
      <c r="EBC11" s="49"/>
      <c r="EBD11" s="49">
        <v>332</v>
      </c>
      <c r="EBE11" s="49">
        <v>110</v>
      </c>
      <c r="EBF11" s="64">
        <f t="shared" si="974"/>
        <v>442</v>
      </c>
      <c r="EBG11" s="68">
        <f t="shared" si="975"/>
        <v>73.666666666666671</v>
      </c>
      <c r="EBH11" s="48"/>
      <c r="EBI11" s="49">
        <v>0</v>
      </c>
      <c r="EBJ11" s="49">
        <v>0</v>
      </c>
      <c r="EBK11" s="49"/>
      <c r="EBL11" s="49">
        <v>328</v>
      </c>
      <c r="EBM11" s="49">
        <v>0</v>
      </c>
      <c r="EBN11" s="64">
        <f t="shared" si="976"/>
        <v>328</v>
      </c>
      <c r="EBO11" s="68">
        <f t="shared" si="1131"/>
        <v>54.666666666666664</v>
      </c>
      <c r="EBP11" s="48">
        <v>0</v>
      </c>
      <c r="EBQ11" s="49">
        <v>0</v>
      </c>
      <c r="EBR11" s="49"/>
      <c r="EBS11" s="49">
        <v>220</v>
      </c>
      <c r="EBT11" s="49">
        <v>0</v>
      </c>
      <c r="EBU11" s="49">
        <v>0</v>
      </c>
      <c r="EBV11" s="64">
        <f t="shared" si="977"/>
        <v>220</v>
      </c>
      <c r="EBW11" s="68">
        <f t="shared" si="978"/>
        <v>36.666666666666664</v>
      </c>
      <c r="EBX11" s="48">
        <v>0</v>
      </c>
      <c r="EBY11" s="49">
        <v>212</v>
      </c>
      <c r="EBZ11" s="49">
        <v>0</v>
      </c>
      <c r="ECA11" s="49">
        <v>0</v>
      </c>
      <c r="ECB11" s="49">
        <v>0</v>
      </c>
      <c r="ECC11" s="49">
        <v>222</v>
      </c>
      <c r="ECD11" s="64">
        <f t="shared" si="979"/>
        <v>434</v>
      </c>
      <c r="ECE11" s="68">
        <f t="shared" si="980"/>
        <v>72.333333333333329</v>
      </c>
      <c r="ECF11" s="48">
        <v>220</v>
      </c>
      <c r="ECG11" s="49">
        <v>110</v>
      </c>
      <c r="ECH11" s="49">
        <v>110</v>
      </c>
      <c r="ECI11" s="49"/>
      <c r="ECJ11" s="49">
        <v>0</v>
      </c>
      <c r="ECK11" s="49">
        <v>0</v>
      </c>
      <c r="ECL11" s="64">
        <f t="shared" si="981"/>
        <v>440</v>
      </c>
      <c r="ECM11" s="68">
        <f t="shared" si="982"/>
        <v>73.333333333333329</v>
      </c>
      <c r="ECN11" s="48">
        <v>0</v>
      </c>
      <c r="ECO11" s="49">
        <v>0</v>
      </c>
      <c r="ECP11" s="49">
        <v>110</v>
      </c>
      <c r="ECQ11" s="49"/>
      <c r="ECR11" s="49"/>
      <c r="ECS11" s="49">
        <v>111</v>
      </c>
      <c r="ECT11" s="64">
        <f t="shared" si="983"/>
        <v>221</v>
      </c>
      <c r="ECU11" s="68">
        <f t="shared" si="984"/>
        <v>36.833333333333336</v>
      </c>
      <c r="ECV11" s="48">
        <v>217</v>
      </c>
      <c r="ECW11" s="49">
        <v>0</v>
      </c>
      <c r="ECX11" s="49">
        <v>0</v>
      </c>
      <c r="ECY11" s="49">
        <v>220</v>
      </c>
      <c r="ECZ11" s="49"/>
      <c r="EDA11" s="49">
        <v>0</v>
      </c>
      <c r="EDB11" s="64">
        <f t="shared" si="985"/>
        <v>437</v>
      </c>
      <c r="EDC11" s="68">
        <f t="shared" si="986"/>
        <v>72.833333333333329</v>
      </c>
      <c r="EDD11" s="48">
        <v>0</v>
      </c>
      <c r="EDE11" s="49">
        <v>0</v>
      </c>
      <c r="EDF11" s="49">
        <v>0</v>
      </c>
      <c r="EDG11" s="49">
        <v>110</v>
      </c>
      <c r="EDH11" s="49"/>
      <c r="EDI11" s="49">
        <v>0</v>
      </c>
      <c r="EDJ11" s="64">
        <f t="shared" si="987"/>
        <v>110</v>
      </c>
      <c r="EDK11" s="68">
        <f t="shared" si="988"/>
        <v>18.333333333333332</v>
      </c>
      <c r="EDL11" s="48">
        <v>46</v>
      </c>
      <c r="EDM11" s="49">
        <v>438</v>
      </c>
      <c r="EDN11" s="49">
        <v>0</v>
      </c>
      <c r="EDO11" s="49">
        <f>SUMIF(SUMPK!$B:$B,$B:$B,SUMPK!$O:$O)</f>
        <v>0</v>
      </c>
      <c r="EDP11" s="49"/>
      <c r="EDQ11" s="49">
        <v>0</v>
      </c>
      <c r="EDR11" s="64">
        <f t="shared" si="989"/>
        <v>484</v>
      </c>
      <c r="EDS11" s="184">
        <f t="shared" si="990"/>
        <v>80.666666666666671</v>
      </c>
      <c r="EDT11" s="195">
        <v>112</v>
      </c>
      <c r="EDU11" s="49">
        <v>0</v>
      </c>
      <c r="EDV11" s="49">
        <v>0</v>
      </c>
      <c r="EDW11" s="49">
        <v>0</v>
      </c>
      <c r="EDX11" s="49"/>
      <c r="EDY11" s="49"/>
      <c r="EDZ11" s="64">
        <f t="shared" si="991"/>
        <v>112</v>
      </c>
      <c r="EEA11" s="184">
        <f t="shared" si="992"/>
        <v>18.666666666666668</v>
      </c>
      <c r="EEB11" s="48">
        <v>0</v>
      </c>
      <c r="EEC11" s="49">
        <v>483</v>
      </c>
      <c r="EED11" s="49">
        <v>0</v>
      </c>
      <c r="EEE11" s="49">
        <v>0</v>
      </c>
      <c r="EEF11" s="49">
        <v>0</v>
      </c>
      <c r="EEG11" s="49"/>
      <c r="EEH11" s="64">
        <f t="shared" si="993"/>
        <v>483</v>
      </c>
      <c r="EEI11" s="68">
        <f t="shared" si="994"/>
        <v>80.5</v>
      </c>
      <c r="EEJ11" s="48">
        <v>0</v>
      </c>
      <c r="EEK11" s="49">
        <v>225</v>
      </c>
      <c r="EEL11" s="49">
        <v>0</v>
      </c>
      <c r="EEM11" s="49"/>
      <c r="EEN11" s="49"/>
      <c r="EEO11" s="49">
        <v>0</v>
      </c>
      <c r="EEP11" s="64">
        <f t="shared" si="995"/>
        <v>225</v>
      </c>
      <c r="EEQ11" s="68">
        <f t="shared" si="996"/>
        <v>37.5</v>
      </c>
      <c r="EER11" s="48">
        <v>0</v>
      </c>
      <c r="EES11" s="49">
        <v>228</v>
      </c>
      <c r="EET11" s="49"/>
      <c r="EEU11" s="49">
        <v>0</v>
      </c>
      <c r="EEV11" s="49">
        <v>0</v>
      </c>
      <c r="EEW11" s="49"/>
      <c r="EEX11" s="64">
        <f t="shared" si="997"/>
        <v>228</v>
      </c>
      <c r="EEY11" s="68">
        <f t="shared" si="998"/>
        <v>38</v>
      </c>
      <c r="EEZ11" s="48">
        <v>117</v>
      </c>
      <c r="EFA11" s="49">
        <v>0</v>
      </c>
      <c r="EFB11" s="49">
        <v>0</v>
      </c>
      <c r="EFC11" s="49">
        <v>225</v>
      </c>
      <c r="EFD11" s="49">
        <v>0</v>
      </c>
      <c r="EFE11" s="49">
        <v>0</v>
      </c>
      <c r="EFF11" s="64">
        <f t="shared" si="999"/>
        <v>342</v>
      </c>
      <c r="EFG11" s="68">
        <f t="shared" si="1000"/>
        <v>57</v>
      </c>
      <c r="EFH11" s="48"/>
      <c r="EFI11" s="49">
        <v>0</v>
      </c>
      <c r="EFJ11" s="49">
        <v>0</v>
      </c>
      <c r="EFK11" s="49">
        <v>113</v>
      </c>
      <c r="EFL11" s="49">
        <v>0</v>
      </c>
      <c r="EFM11" s="49">
        <v>0</v>
      </c>
      <c r="EFN11" s="64">
        <f t="shared" si="1001"/>
        <v>113</v>
      </c>
      <c r="EFO11" s="68">
        <f t="shared" si="1002"/>
        <v>18.833333333333332</v>
      </c>
      <c r="EFP11" s="48">
        <v>0</v>
      </c>
      <c r="EFQ11" s="49">
        <v>227</v>
      </c>
      <c r="EFR11" s="49"/>
      <c r="EFS11" s="49">
        <v>0</v>
      </c>
      <c r="EFT11" s="49">
        <v>0</v>
      </c>
      <c r="EFU11" s="49"/>
      <c r="EFV11" s="64">
        <f t="shared" si="1003"/>
        <v>227</v>
      </c>
      <c r="EFW11" s="68">
        <f t="shared" si="1004"/>
        <v>37.833333333333336</v>
      </c>
      <c r="EFX11" s="48"/>
      <c r="EFY11" s="49">
        <v>0</v>
      </c>
      <c r="EFZ11" s="49">
        <v>93</v>
      </c>
      <c r="EGA11" s="49">
        <v>0</v>
      </c>
      <c r="EGB11" s="49">
        <v>0</v>
      </c>
      <c r="EGC11" s="49">
        <v>243</v>
      </c>
      <c r="EGD11" s="64">
        <f t="shared" si="1005"/>
        <v>336</v>
      </c>
      <c r="EGE11" s="68">
        <f t="shared" si="1006"/>
        <v>56</v>
      </c>
      <c r="EGF11" s="48">
        <v>0</v>
      </c>
      <c r="EGG11" s="49">
        <v>0</v>
      </c>
      <c r="EGH11" s="49"/>
      <c r="EGI11" s="49">
        <v>114</v>
      </c>
      <c r="EGJ11" s="49">
        <v>111</v>
      </c>
      <c r="EGK11" s="49">
        <v>0</v>
      </c>
      <c r="EGL11" s="64">
        <f t="shared" si="1007"/>
        <v>225</v>
      </c>
      <c r="EGM11" s="68">
        <f t="shared" si="1008"/>
        <v>37.5</v>
      </c>
      <c r="EGN11" s="48">
        <v>0</v>
      </c>
      <c r="EGO11" s="49">
        <v>0</v>
      </c>
      <c r="EGP11" s="49">
        <v>220</v>
      </c>
      <c r="EGQ11" s="49">
        <v>0</v>
      </c>
      <c r="EGR11" s="49"/>
      <c r="EGS11" s="49">
        <v>221</v>
      </c>
      <c r="EGT11" s="64">
        <f t="shared" si="1009"/>
        <v>441</v>
      </c>
      <c r="EGU11" s="68">
        <f t="shared" ref="EGU11:EGU21" si="1203">EGT11/$EGU$28</f>
        <v>73.5</v>
      </c>
      <c r="EGV11" s="48">
        <v>0</v>
      </c>
      <c r="EGW11" s="49">
        <v>0</v>
      </c>
      <c r="EGX11" s="49"/>
      <c r="EGY11" s="49">
        <v>220</v>
      </c>
      <c r="EGZ11" s="49">
        <v>0</v>
      </c>
      <c r="EHA11" s="49"/>
      <c r="EHB11" s="64">
        <f t="shared" si="1010"/>
        <v>220</v>
      </c>
      <c r="EHC11" s="68">
        <f t="shared" si="1011"/>
        <v>36.666666666666664</v>
      </c>
      <c r="EHD11" s="48">
        <v>0</v>
      </c>
      <c r="EHE11" s="49">
        <v>0</v>
      </c>
      <c r="EHF11" s="49">
        <v>220</v>
      </c>
      <c r="EHG11" s="49">
        <v>0</v>
      </c>
      <c r="EHH11" s="49">
        <v>0</v>
      </c>
      <c r="EHI11" s="49">
        <v>110</v>
      </c>
      <c r="EHJ11" s="64">
        <f t="shared" si="1012"/>
        <v>330</v>
      </c>
      <c r="EHK11" s="68">
        <f t="shared" si="1013"/>
        <v>55</v>
      </c>
      <c r="EHL11" s="48">
        <v>110</v>
      </c>
      <c r="EHM11" s="49">
        <v>0</v>
      </c>
      <c r="EHN11" s="49">
        <v>0</v>
      </c>
      <c r="EHO11" s="49"/>
      <c r="EHP11" s="49">
        <v>219</v>
      </c>
      <c r="EHQ11" s="49">
        <v>0</v>
      </c>
      <c r="EHR11" s="64">
        <f t="shared" si="1014"/>
        <v>329</v>
      </c>
      <c r="EHS11" s="68">
        <f t="shared" si="1015"/>
        <v>54.833333333333336</v>
      </c>
      <c r="EHT11" s="48">
        <v>0</v>
      </c>
      <c r="EHU11" s="49"/>
      <c r="EHV11" s="49">
        <v>0</v>
      </c>
      <c r="EHW11" s="49">
        <v>201</v>
      </c>
      <c r="EHX11" s="49"/>
      <c r="EHY11" s="49">
        <v>0</v>
      </c>
      <c r="EHZ11" s="64">
        <f t="shared" si="1016"/>
        <v>201</v>
      </c>
      <c r="EIA11" s="68">
        <f t="shared" si="1017"/>
        <v>33.5</v>
      </c>
      <c r="EIB11" s="48"/>
      <c r="EIC11" s="49"/>
      <c r="EID11" s="49">
        <v>0</v>
      </c>
      <c r="EIE11" s="49">
        <v>110</v>
      </c>
      <c r="EIF11" s="49">
        <v>0</v>
      </c>
      <c r="EIG11" s="49">
        <v>220</v>
      </c>
      <c r="EIH11" s="64">
        <f t="shared" si="1018"/>
        <v>330</v>
      </c>
      <c r="EII11" s="68">
        <f t="shared" si="1019"/>
        <v>55</v>
      </c>
      <c r="EIJ11" s="48">
        <v>110</v>
      </c>
      <c r="EIK11" s="49">
        <v>0</v>
      </c>
      <c r="EIL11" s="49"/>
      <c r="EIM11" s="49">
        <v>0</v>
      </c>
      <c r="EIN11" s="49">
        <v>0</v>
      </c>
      <c r="EIO11" s="49">
        <v>0</v>
      </c>
      <c r="EIP11" s="64">
        <f t="shared" si="1020"/>
        <v>110</v>
      </c>
      <c r="EIQ11" s="68">
        <f t="shared" si="1021"/>
        <v>18.333333333333332</v>
      </c>
      <c r="EIR11" s="48">
        <v>0</v>
      </c>
      <c r="EIS11" s="49">
        <v>222</v>
      </c>
      <c r="EIT11" s="49">
        <v>0</v>
      </c>
      <c r="EIU11" s="49">
        <v>0</v>
      </c>
      <c r="EIV11" s="49">
        <v>222</v>
      </c>
      <c r="EIW11" s="49"/>
      <c r="EIX11" s="64">
        <f t="shared" si="1022"/>
        <v>444</v>
      </c>
      <c r="EIY11" s="68">
        <f t="shared" si="1023"/>
        <v>74</v>
      </c>
      <c r="EIZ11" s="48">
        <v>0</v>
      </c>
      <c r="EJA11" s="49">
        <v>0</v>
      </c>
      <c r="EJB11" s="49">
        <v>0</v>
      </c>
      <c r="EJC11" s="49">
        <v>0</v>
      </c>
      <c r="EJD11" s="49">
        <v>0</v>
      </c>
      <c r="EJE11" s="49">
        <v>401</v>
      </c>
      <c r="EJF11" s="64">
        <f t="shared" si="1024"/>
        <v>401</v>
      </c>
      <c r="EJG11" s="68">
        <f t="shared" si="1025"/>
        <v>66.833333333333329</v>
      </c>
      <c r="EJH11" s="48">
        <v>0</v>
      </c>
      <c r="EJI11" s="49">
        <v>0</v>
      </c>
      <c r="EJJ11" s="49">
        <v>0</v>
      </c>
      <c r="EJK11" s="49">
        <v>0</v>
      </c>
      <c r="EJL11" s="49"/>
      <c r="EJM11" s="49"/>
      <c r="EJN11" s="64">
        <f t="shared" si="1026"/>
        <v>0</v>
      </c>
      <c r="EJO11" s="68">
        <f t="shared" si="1027"/>
        <v>0</v>
      </c>
      <c r="EJP11" s="48">
        <v>0</v>
      </c>
      <c r="EJQ11" s="49">
        <v>0</v>
      </c>
      <c r="EJR11" s="49">
        <v>0</v>
      </c>
      <c r="EJS11" s="49">
        <v>215</v>
      </c>
      <c r="EJT11" s="49">
        <v>0</v>
      </c>
      <c r="EJU11" s="49">
        <v>0</v>
      </c>
      <c r="EJV11" s="64">
        <f t="shared" si="1028"/>
        <v>215</v>
      </c>
      <c r="EJW11" s="68">
        <f t="shared" si="1029"/>
        <v>35.833333333333336</v>
      </c>
      <c r="EJX11" s="48">
        <v>310</v>
      </c>
      <c r="EJY11" s="49">
        <v>0</v>
      </c>
      <c r="EJZ11" s="49">
        <v>106</v>
      </c>
      <c r="EKA11" s="49">
        <v>0</v>
      </c>
      <c r="EKB11" s="49"/>
      <c r="EKC11" s="49"/>
      <c r="EKD11" s="64">
        <f t="shared" si="1030"/>
        <v>416</v>
      </c>
      <c r="EKE11" s="68">
        <f t="shared" si="1031"/>
        <v>69.333333333333329</v>
      </c>
      <c r="EKF11" s="48">
        <v>0</v>
      </c>
      <c r="EKG11" s="49">
        <v>190</v>
      </c>
      <c r="EKH11" s="49"/>
      <c r="EKI11" s="49"/>
      <c r="EKJ11" s="49">
        <v>0</v>
      </c>
      <c r="EKK11" s="49">
        <v>110</v>
      </c>
      <c r="EKL11" s="64">
        <f t="shared" si="1032"/>
        <v>300</v>
      </c>
      <c r="EKM11" s="68">
        <f t="shared" si="1033"/>
        <v>50</v>
      </c>
      <c r="EKN11" s="48"/>
      <c r="EKO11" s="49">
        <v>209</v>
      </c>
      <c r="EKP11" s="49">
        <v>0</v>
      </c>
      <c r="EKQ11" s="49">
        <v>0</v>
      </c>
      <c r="EKR11" s="49">
        <v>267</v>
      </c>
      <c r="EKS11" s="49">
        <v>0</v>
      </c>
      <c r="EKT11" s="64">
        <f t="shared" si="1034"/>
        <v>476</v>
      </c>
      <c r="EKU11" s="184">
        <f t="shared" si="1035"/>
        <v>79.333333333333329</v>
      </c>
      <c r="EKV11" s="665"/>
      <c r="EKW11" s="195">
        <v>0</v>
      </c>
      <c r="EKX11" s="49">
        <v>268</v>
      </c>
      <c r="EKY11" s="49">
        <v>187</v>
      </c>
      <c r="EKZ11" s="49">
        <v>0</v>
      </c>
      <c r="ELA11" s="49"/>
      <c r="ELB11" s="49">
        <v>0</v>
      </c>
      <c r="ELC11" s="64">
        <f t="shared" si="1036"/>
        <v>455</v>
      </c>
      <c r="ELD11" s="211">
        <f t="shared" si="1037"/>
        <v>75.833333333333329</v>
      </c>
      <c r="ELE11" s="195">
        <v>0</v>
      </c>
      <c r="ELF11" s="49">
        <v>0</v>
      </c>
      <c r="ELG11" s="49">
        <v>220</v>
      </c>
      <c r="ELH11" s="49">
        <v>0</v>
      </c>
      <c r="ELI11" s="49">
        <v>0</v>
      </c>
      <c r="ELJ11" s="49">
        <v>0</v>
      </c>
      <c r="ELK11" s="64">
        <f t="shared" si="1038"/>
        <v>220</v>
      </c>
      <c r="ELL11" s="211">
        <f t="shared" si="1039"/>
        <v>36.666666666666664</v>
      </c>
      <c r="ELM11" s="195">
        <v>112</v>
      </c>
      <c r="ELN11" s="49">
        <v>233</v>
      </c>
      <c r="ELO11" s="49">
        <v>0</v>
      </c>
      <c r="ELP11" s="49"/>
      <c r="ELQ11" s="49">
        <v>0</v>
      </c>
      <c r="ELR11" s="49">
        <v>0</v>
      </c>
      <c r="ELS11" s="64">
        <f t="shared" si="1040"/>
        <v>345</v>
      </c>
      <c r="ELT11" s="211">
        <f t="shared" si="1041"/>
        <v>57.5</v>
      </c>
      <c r="ELU11" s="195">
        <v>0</v>
      </c>
      <c r="ELV11" s="49">
        <v>110</v>
      </c>
      <c r="ELW11" s="49">
        <v>0</v>
      </c>
      <c r="ELX11" s="49">
        <v>0</v>
      </c>
      <c r="ELY11" s="49"/>
      <c r="ELZ11" s="49">
        <v>220</v>
      </c>
      <c r="EMA11" s="64">
        <f t="shared" si="1042"/>
        <v>330</v>
      </c>
      <c r="EMB11" s="211">
        <f t="shared" si="1043"/>
        <v>55</v>
      </c>
      <c r="EMC11" s="195"/>
      <c r="EMD11" s="49">
        <v>0</v>
      </c>
      <c r="EME11" s="49">
        <v>110</v>
      </c>
      <c r="EMF11" s="49">
        <v>0</v>
      </c>
      <c r="EMG11" s="49">
        <v>111</v>
      </c>
      <c r="EMH11" s="49">
        <v>0</v>
      </c>
      <c r="EMI11" s="64">
        <f t="shared" si="1044"/>
        <v>221</v>
      </c>
      <c r="EMJ11" s="211">
        <f t="shared" si="1045"/>
        <v>36.833333333333336</v>
      </c>
      <c r="EMK11" s="195">
        <v>110</v>
      </c>
      <c r="EML11" s="49"/>
      <c r="EMM11" s="49">
        <v>0</v>
      </c>
      <c r="EMN11" s="49">
        <v>0</v>
      </c>
      <c r="EMO11" s="49">
        <v>0</v>
      </c>
      <c r="EMP11" s="49">
        <v>110</v>
      </c>
      <c r="EMQ11" s="64">
        <f t="shared" si="1046"/>
        <v>220</v>
      </c>
      <c r="EMR11" s="211">
        <f t="shared" si="1047"/>
        <v>36.666666666666664</v>
      </c>
      <c r="EMS11" s="195">
        <v>0</v>
      </c>
      <c r="EMT11" s="49">
        <v>110</v>
      </c>
      <c r="EMU11" s="49">
        <v>109</v>
      </c>
      <c r="EMV11" s="49">
        <v>0</v>
      </c>
      <c r="EMW11" s="49">
        <v>0</v>
      </c>
      <c r="EMX11" s="49">
        <v>221</v>
      </c>
      <c r="EMY11" s="64">
        <f t="shared" si="1048"/>
        <v>440</v>
      </c>
      <c r="EMZ11" s="211">
        <f t="shared" si="1049"/>
        <v>73.333333333333329</v>
      </c>
      <c r="ENA11" s="195">
        <v>0</v>
      </c>
      <c r="ENB11" s="49">
        <v>0</v>
      </c>
      <c r="ENC11" s="49">
        <v>0</v>
      </c>
      <c r="END11" s="49">
        <v>0</v>
      </c>
      <c r="ENE11" s="49">
        <v>143</v>
      </c>
      <c r="ENF11" s="49">
        <v>0</v>
      </c>
      <c r="ENG11" s="64">
        <f t="shared" si="1050"/>
        <v>143</v>
      </c>
      <c r="ENH11" s="211">
        <f t="shared" si="1051"/>
        <v>23.833333333333332</v>
      </c>
      <c r="ENI11" s="195">
        <v>0</v>
      </c>
      <c r="ENJ11" s="49"/>
      <c r="ENK11" s="49">
        <v>0</v>
      </c>
      <c r="ENL11" s="49">
        <v>329</v>
      </c>
      <c r="ENM11" s="49">
        <v>0</v>
      </c>
      <c r="ENN11" s="49">
        <v>0</v>
      </c>
      <c r="ENO11" s="64">
        <f t="shared" si="1052"/>
        <v>329</v>
      </c>
      <c r="ENP11" s="211">
        <f t="shared" si="1053"/>
        <v>54.833333333333336</v>
      </c>
      <c r="ENQ11" s="195">
        <v>222</v>
      </c>
      <c r="ENR11" s="49">
        <v>0</v>
      </c>
      <c r="ENS11" s="49">
        <v>0</v>
      </c>
      <c r="ENT11" s="49">
        <v>234</v>
      </c>
      <c r="ENU11" s="49">
        <v>0</v>
      </c>
      <c r="ENV11" s="49">
        <v>0</v>
      </c>
      <c r="ENW11" s="64">
        <f t="shared" si="1054"/>
        <v>456</v>
      </c>
      <c r="ENX11" s="211">
        <f t="shared" si="1055"/>
        <v>76</v>
      </c>
      <c r="ENY11" s="195"/>
      <c r="ENZ11" s="49">
        <v>0</v>
      </c>
      <c r="EOA11" s="49">
        <v>333</v>
      </c>
      <c r="EOB11" s="49">
        <v>0</v>
      </c>
      <c r="EOC11" s="49">
        <v>0</v>
      </c>
      <c r="EOD11" s="49">
        <v>0</v>
      </c>
      <c r="EOE11" s="64">
        <f t="shared" si="1056"/>
        <v>333</v>
      </c>
      <c r="EOF11" s="211">
        <f t="shared" si="1057"/>
        <v>55.5</v>
      </c>
      <c r="EOG11" s="195"/>
      <c r="EOH11" s="360">
        <f>SUMIF(SUMPK!$B:$B,$B:$B,SUMPK!$O:$O)</f>
        <v>0</v>
      </c>
      <c r="EOI11" s="49">
        <v>0</v>
      </c>
      <c r="EOJ11" s="49">
        <v>0</v>
      </c>
      <c r="EOK11" s="49">
        <v>0</v>
      </c>
      <c r="EOL11" s="49">
        <v>0</v>
      </c>
      <c r="EOM11" s="64">
        <f t="shared" si="1058"/>
        <v>0</v>
      </c>
      <c r="EON11" s="211">
        <f t="shared" si="1059"/>
        <v>0</v>
      </c>
      <c r="EOO11" s="195">
        <v>0</v>
      </c>
      <c r="EOP11" s="49">
        <v>0</v>
      </c>
      <c r="EOQ11" s="49">
        <v>0</v>
      </c>
      <c r="EOR11" s="49">
        <v>0</v>
      </c>
      <c r="EOS11" s="49">
        <v>220</v>
      </c>
      <c r="EOT11" s="49">
        <v>0</v>
      </c>
      <c r="EOU11" s="64">
        <f t="shared" si="1060"/>
        <v>220</v>
      </c>
      <c r="EOV11" s="211">
        <f t="shared" si="1061"/>
        <v>36.666666666666664</v>
      </c>
      <c r="EOW11" s="195">
        <v>0</v>
      </c>
      <c r="EOX11" s="49">
        <v>0</v>
      </c>
      <c r="EOY11" s="49">
        <v>0</v>
      </c>
      <c r="EOZ11" s="49">
        <v>220</v>
      </c>
      <c r="EPA11" s="49">
        <v>0</v>
      </c>
      <c r="EPB11" s="49">
        <v>0</v>
      </c>
      <c r="EPC11" s="64">
        <f t="shared" si="1062"/>
        <v>220</v>
      </c>
      <c r="EPD11" s="211">
        <f t="shared" si="1063"/>
        <v>36.666666666666664</v>
      </c>
      <c r="EPE11" s="195">
        <v>330</v>
      </c>
      <c r="EPF11" s="49">
        <f>SUMIF(SUMPK!$B:$B,$B:$B,SUMPK!$O:$O)</f>
        <v>0</v>
      </c>
      <c r="EPG11" s="49">
        <v>0</v>
      </c>
      <c r="EPH11" s="49">
        <v>0</v>
      </c>
      <c r="EPI11" s="49">
        <v>0</v>
      </c>
      <c r="EPJ11" s="49">
        <v>0</v>
      </c>
      <c r="EPK11" s="64">
        <f t="shared" si="1064"/>
        <v>330</v>
      </c>
      <c r="EPL11" s="211">
        <f t="shared" si="1065"/>
        <v>55</v>
      </c>
      <c r="EPM11" s="195"/>
      <c r="EPN11" s="49">
        <v>0</v>
      </c>
      <c r="EPO11" s="49">
        <v>215</v>
      </c>
      <c r="EPP11" s="49">
        <v>0</v>
      </c>
      <c r="EPQ11" s="49">
        <v>0</v>
      </c>
      <c r="EPR11" s="49">
        <v>0</v>
      </c>
      <c r="EPS11" s="64">
        <f t="shared" si="1066"/>
        <v>215</v>
      </c>
      <c r="EPT11" s="211">
        <f t="shared" si="1067"/>
        <v>35.833333333333336</v>
      </c>
      <c r="EPU11" s="195">
        <v>0</v>
      </c>
      <c r="EPV11" s="49">
        <v>0</v>
      </c>
      <c r="EPW11" s="49"/>
      <c r="EPX11" s="49">
        <v>220</v>
      </c>
      <c r="EPY11" s="49">
        <v>0</v>
      </c>
      <c r="EPZ11" s="49">
        <v>0</v>
      </c>
      <c r="EQA11" s="64">
        <f t="shared" si="1068"/>
        <v>220</v>
      </c>
      <c r="EQB11" s="211">
        <f t="shared" si="1069"/>
        <v>36.666666666666664</v>
      </c>
      <c r="EQC11" s="195">
        <v>0</v>
      </c>
      <c r="EQD11" s="49">
        <v>294</v>
      </c>
      <c r="EQE11" s="49">
        <v>0</v>
      </c>
      <c r="EQF11" s="49">
        <v>0</v>
      </c>
      <c r="EQG11" s="49">
        <v>0</v>
      </c>
      <c r="EQH11" s="49">
        <v>221</v>
      </c>
      <c r="EQI11" s="64">
        <f t="shared" si="1070"/>
        <v>515</v>
      </c>
      <c r="EQJ11" s="211">
        <f t="shared" si="1071"/>
        <v>85.833333333333329</v>
      </c>
      <c r="EQK11" s="195"/>
      <c r="EQL11" s="49">
        <v>0</v>
      </c>
      <c r="EQM11" s="49">
        <v>0</v>
      </c>
      <c r="EQN11" s="49"/>
      <c r="EQO11" s="49">
        <v>223</v>
      </c>
      <c r="EQP11" s="49">
        <v>0</v>
      </c>
      <c r="EQQ11" s="64">
        <f t="shared" si="1072"/>
        <v>223</v>
      </c>
      <c r="EQR11" s="211">
        <f t="shared" si="1073"/>
        <v>37.166666666666664</v>
      </c>
      <c r="EQS11" s="195">
        <v>0</v>
      </c>
      <c r="EQT11" s="49">
        <v>0</v>
      </c>
      <c r="EQU11" s="49">
        <v>0</v>
      </c>
      <c r="EQV11" s="49"/>
      <c r="EQW11" s="49">
        <v>219</v>
      </c>
      <c r="EQX11" s="49">
        <v>0</v>
      </c>
      <c r="EQY11" s="64">
        <f t="shared" si="1074"/>
        <v>219</v>
      </c>
      <c r="EQZ11" s="211">
        <f t="shared" si="1075"/>
        <v>36.5</v>
      </c>
      <c r="ERA11" s="195">
        <v>0</v>
      </c>
      <c r="ERB11" s="49">
        <v>0</v>
      </c>
      <c r="ERC11" s="49">
        <v>0</v>
      </c>
      <c r="ERD11" s="49">
        <v>221</v>
      </c>
      <c r="ERE11" s="49">
        <v>0</v>
      </c>
      <c r="ERF11" s="49"/>
      <c r="ERG11" s="64">
        <f t="shared" si="1076"/>
        <v>221</v>
      </c>
      <c r="ERH11" s="211">
        <f t="shared" si="1077"/>
        <v>36.833333333333336</v>
      </c>
      <c r="ERI11" s="195">
        <v>109</v>
      </c>
      <c r="ERJ11" s="49">
        <v>0</v>
      </c>
      <c r="ERK11" s="49">
        <v>440</v>
      </c>
      <c r="ERL11" s="49">
        <v>0</v>
      </c>
      <c r="ERM11" s="49">
        <v>0</v>
      </c>
      <c r="ERN11" s="49"/>
      <c r="ERO11" s="64">
        <f t="shared" si="1078"/>
        <v>549</v>
      </c>
      <c r="ERP11" s="211">
        <f t="shared" si="1079"/>
        <v>91.5</v>
      </c>
      <c r="ERQ11" s="195"/>
      <c r="ERR11" s="49">
        <v>0</v>
      </c>
      <c r="ERS11" s="49">
        <v>0</v>
      </c>
      <c r="ERT11" s="49">
        <v>0</v>
      </c>
      <c r="ERU11" s="49">
        <v>219</v>
      </c>
      <c r="ERV11" s="49">
        <v>0</v>
      </c>
      <c r="ERW11" s="64">
        <f t="shared" si="1080"/>
        <v>219</v>
      </c>
      <c r="ERX11" s="211">
        <f t="shared" si="1081"/>
        <v>36.5</v>
      </c>
      <c r="ERY11" s="195">
        <v>0</v>
      </c>
      <c r="ERZ11" s="49">
        <v>110</v>
      </c>
      <c r="ESA11" s="49">
        <v>0</v>
      </c>
      <c r="ESB11" s="49"/>
      <c r="ESC11" s="49">
        <v>0</v>
      </c>
      <c r="ESD11" s="49">
        <v>207</v>
      </c>
      <c r="ESE11" s="64">
        <f t="shared" si="1082"/>
        <v>317</v>
      </c>
      <c r="ESF11" s="211">
        <f t="shared" si="1083"/>
        <v>52.833333333333336</v>
      </c>
      <c r="ESG11" s="195">
        <v>0</v>
      </c>
      <c r="ESH11" s="49">
        <v>0</v>
      </c>
      <c r="ESI11" s="49">
        <v>401</v>
      </c>
      <c r="ESJ11" s="49">
        <v>0</v>
      </c>
      <c r="ESK11" s="49"/>
      <c r="ESL11" s="49">
        <v>199</v>
      </c>
      <c r="ESM11" s="64">
        <f t="shared" si="1084"/>
        <v>600</v>
      </c>
      <c r="ESN11" s="211">
        <f t="shared" si="1085"/>
        <v>100</v>
      </c>
      <c r="ESO11" s="458">
        <v>0</v>
      </c>
      <c r="ESP11" s="83"/>
      <c r="ESQ11" s="83">
        <v>110</v>
      </c>
      <c r="ESR11" s="83">
        <v>0</v>
      </c>
      <c r="ESS11" s="83"/>
      <c r="EST11" s="83">
        <v>0</v>
      </c>
      <c r="ESU11" s="64">
        <f t="shared" si="1086"/>
        <v>110</v>
      </c>
      <c r="ESV11" s="211">
        <f t="shared" si="1087"/>
        <v>18.333333333333332</v>
      </c>
      <c r="ESW11" s="195"/>
      <c r="ESX11" s="49"/>
      <c r="ESY11" s="49"/>
      <c r="ESZ11" s="49">
        <v>0</v>
      </c>
      <c r="ETA11" s="49">
        <v>220</v>
      </c>
      <c r="ETB11" s="49">
        <v>0</v>
      </c>
      <c r="ETC11" s="808">
        <f t="shared" si="1088"/>
        <v>220</v>
      </c>
      <c r="ETD11" s="211">
        <f t="shared" si="1089"/>
        <v>36.666666666666664</v>
      </c>
      <c r="ETE11" s="195">
        <v>220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0"/>
        <v>220</v>
      </c>
      <c r="ETL11" s="211">
        <f t="shared" si="1091"/>
        <v>36.666666666666664</v>
      </c>
      <c r="ETM11" s="814"/>
      <c r="ETN11" s="815">
        <v>0</v>
      </c>
      <c r="ETO11" s="815">
        <v>0</v>
      </c>
      <c r="ETP11" s="815">
        <v>0</v>
      </c>
      <c r="ETQ11" s="815">
        <v>176</v>
      </c>
      <c r="ETR11" s="815">
        <v>0</v>
      </c>
      <c r="ETS11" s="808">
        <f t="shared" si="1092"/>
        <v>176</v>
      </c>
      <c r="ETT11" s="211">
        <f t="shared" si="1093"/>
        <v>29.333333333333332</v>
      </c>
      <c r="ETU11" s="458">
        <v>0</v>
      </c>
      <c r="ETV11" s="83">
        <v>220</v>
      </c>
      <c r="ETW11" s="83"/>
      <c r="ETX11" s="83">
        <v>0</v>
      </c>
      <c r="ETY11" s="83">
        <v>0</v>
      </c>
      <c r="ETZ11" s="83">
        <v>0</v>
      </c>
      <c r="EUA11" s="808">
        <f t="shared" si="1094"/>
        <v>220</v>
      </c>
      <c r="EUB11" s="211">
        <f t="shared" si="1095"/>
        <v>36.666666666666664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6"/>
        <v>0</v>
      </c>
      <c r="EUJ11" s="211">
        <f t="shared" si="1097"/>
        <v>0</v>
      </c>
      <c r="EUK11" s="195"/>
      <c r="EUL11" s="49">
        <v>439</v>
      </c>
      <c r="EUM11" s="49">
        <v>0</v>
      </c>
      <c r="EUN11" s="49">
        <f>SUMIF(SUMPK!$B:$B,$B:$B,SUMPK!$O:$O)</f>
        <v>0</v>
      </c>
      <c r="EUO11" s="49">
        <v>0</v>
      </c>
      <c r="EUP11" s="49">
        <v>0</v>
      </c>
      <c r="EUQ11" s="808">
        <f t="shared" si="1098"/>
        <v>439</v>
      </c>
      <c r="EUR11" s="211">
        <f t="shared" si="1099"/>
        <v>73.166666666666671</v>
      </c>
      <c r="EUS11" s="195">
        <v>218</v>
      </c>
      <c r="EUT11" s="49">
        <v>0</v>
      </c>
      <c r="EUU11" s="49">
        <v>223</v>
      </c>
      <c r="EUV11" s="49">
        <v>0</v>
      </c>
      <c r="EUW11" s="49"/>
      <c r="EUX11" s="49">
        <v>0</v>
      </c>
      <c r="EUY11" s="808">
        <f t="shared" si="1100"/>
        <v>441</v>
      </c>
      <c r="EUZ11" s="211">
        <f t="shared" si="1101"/>
        <v>73.5</v>
      </c>
      <c r="EVA11" s="195">
        <v>0</v>
      </c>
      <c r="EVB11" s="49"/>
      <c r="EVC11" s="49"/>
      <c r="EVD11" s="49"/>
      <c r="EVE11" s="49">
        <v>0</v>
      </c>
      <c r="EVF11" s="49">
        <v>219</v>
      </c>
      <c r="EVG11" s="808">
        <f t="shared" si="1102"/>
        <v>219</v>
      </c>
      <c r="EVH11" s="211">
        <f t="shared" si="1103"/>
        <v>36.5</v>
      </c>
      <c r="EVI11" s="195">
        <v>0</v>
      </c>
      <c r="EVJ11" s="49">
        <v>200</v>
      </c>
      <c r="EVK11" s="49">
        <v>0</v>
      </c>
      <c r="EVL11" s="49"/>
      <c r="EVM11" s="49"/>
      <c r="EVN11" s="49">
        <v>0</v>
      </c>
      <c r="EVO11" s="808">
        <f t="shared" si="1104"/>
        <v>200</v>
      </c>
      <c r="EVP11" s="211">
        <f t="shared" si="1105"/>
        <v>33.333333333333336</v>
      </c>
      <c r="EVQ11" s="195">
        <v>220</v>
      </c>
      <c r="EVR11" s="49">
        <v>110</v>
      </c>
      <c r="EVS11" s="49">
        <v>220</v>
      </c>
      <c r="EVT11" s="49"/>
      <c r="EVU11" s="49">
        <v>0</v>
      </c>
      <c r="EVV11" s="49">
        <v>0</v>
      </c>
      <c r="EVW11" s="808">
        <f t="shared" si="1106"/>
        <v>550</v>
      </c>
      <c r="EVX11" s="211">
        <f t="shared" si="1107"/>
        <v>91.666666666666671</v>
      </c>
      <c r="EVY11" s="195">
        <v>442</v>
      </c>
      <c r="EVZ11" s="49">
        <v>0</v>
      </c>
      <c r="EWA11" s="49"/>
      <c r="EWB11" s="49">
        <v>0</v>
      </c>
      <c r="EWC11" s="49">
        <v>0</v>
      </c>
      <c r="EWD11" s="49">
        <v>220</v>
      </c>
      <c r="EWE11" s="808">
        <f t="shared" si="1108"/>
        <v>662</v>
      </c>
      <c r="EWF11" s="211">
        <f t="shared" si="1109"/>
        <v>110.33333333333333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441</v>
      </c>
      <c r="EWM11" s="808">
        <f t="shared" si="1110"/>
        <v>441</v>
      </c>
      <c r="EWN11" s="211">
        <f t="shared" si="175"/>
        <v>73.5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1"/>
        <v>0</v>
      </c>
      <c r="EWV11" s="211">
        <f t="shared" si="1112"/>
        <v>0</v>
      </c>
      <c r="EWW11" s="195"/>
      <c r="EWX11" s="49"/>
      <c r="EWY11" s="49">
        <v>0</v>
      </c>
      <c r="EWZ11" s="49">
        <v>0</v>
      </c>
      <c r="EXA11" s="49">
        <v>0</v>
      </c>
      <c r="EXB11" s="49"/>
      <c r="EXC11" s="808">
        <f t="shared" si="1113"/>
        <v>0</v>
      </c>
      <c r="EXD11" s="211">
        <f t="shared" si="1114"/>
        <v>0</v>
      </c>
      <c r="EXE11" s="195">
        <v>0</v>
      </c>
      <c r="EXF11" s="49">
        <v>219</v>
      </c>
      <c r="EXG11" s="49"/>
      <c r="EXH11" s="49">
        <v>0</v>
      </c>
      <c r="EXI11" s="49">
        <v>110</v>
      </c>
      <c r="EXJ11" s="49">
        <v>0</v>
      </c>
      <c r="EXK11" s="808">
        <f t="shared" si="1115"/>
        <v>329</v>
      </c>
      <c r="EXL11" s="211">
        <f t="shared" si="1116"/>
        <v>54.833333333333336</v>
      </c>
      <c r="EXM11" s="458">
        <v>591</v>
      </c>
      <c r="EXN11" s="83">
        <v>0</v>
      </c>
      <c r="EXO11" s="83"/>
      <c r="EXP11" s="83">
        <v>0</v>
      </c>
      <c r="EXQ11" s="83"/>
      <c r="EXR11" s="83">
        <v>331</v>
      </c>
      <c r="EXS11" s="808">
        <f t="shared" si="1117"/>
        <v>922</v>
      </c>
      <c r="EXT11" s="211">
        <f t="shared" si="1118"/>
        <v>153.66666666666666</v>
      </c>
      <c r="EXU11" s="195">
        <v>0</v>
      </c>
      <c r="EXV11" s="49"/>
      <c r="EXW11" s="49"/>
      <c r="EXX11" s="49">
        <v>190</v>
      </c>
      <c r="EXY11" s="49"/>
      <c r="EXZ11" s="49">
        <v>0</v>
      </c>
      <c r="EYA11" s="808">
        <f t="shared" si="1119"/>
        <v>190</v>
      </c>
      <c r="EYB11" s="211">
        <f t="shared" si="1120"/>
        <v>31.666666666666668</v>
      </c>
      <c r="EYC11" s="195">
        <v>0</v>
      </c>
      <c r="EYD11" s="49"/>
      <c r="EYE11" s="49">
        <v>0</v>
      </c>
      <c r="EYF11" s="49">
        <v>220</v>
      </c>
      <c r="EYG11" s="49">
        <v>220</v>
      </c>
      <c r="EYH11" s="49">
        <v>0</v>
      </c>
      <c r="EYI11" s="808">
        <f t="shared" si="1121"/>
        <v>440</v>
      </c>
      <c r="EYJ11" s="211">
        <f t="shared" si="1122"/>
        <v>73.333333333333329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219</v>
      </c>
      <c r="EYQ11" s="808">
        <f t="shared" si="1123"/>
        <v>219</v>
      </c>
      <c r="EYR11" s="211">
        <f t="shared" si="1124"/>
        <v>36.5</v>
      </c>
      <c r="EYS11" s="195">
        <v>0</v>
      </c>
      <c r="EYT11" s="49">
        <v>0</v>
      </c>
      <c r="EYU11" s="49">
        <v>396</v>
      </c>
      <c r="EYV11" s="49"/>
      <c r="EYW11" s="49"/>
      <c r="EYX11" s="49"/>
      <c r="EYY11" s="872">
        <f t="shared" si="1125"/>
        <v>396</v>
      </c>
      <c r="EYZ11" s="873">
        <f t="shared" si="1126"/>
        <v>66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220</v>
      </c>
      <c r="EZG11" s="872">
        <f t="shared" si="1127"/>
        <v>220</v>
      </c>
      <c r="EZH11" s="873">
        <f t="shared" si="1128"/>
        <v>36.666666666666664</v>
      </c>
      <c r="EZI11" s="195"/>
      <c r="EZJ11" s="49">
        <v>0</v>
      </c>
      <c r="EZK11" s="49">
        <v>320</v>
      </c>
      <c r="EZL11" s="49"/>
      <c r="EZM11" s="49"/>
      <c r="EZN11" s="49"/>
      <c r="EZO11" s="872">
        <f t="shared" si="1129"/>
        <v>320</v>
      </c>
      <c r="EZP11" s="873">
        <f t="shared" si="1130"/>
        <v>53.333333333333336</v>
      </c>
    </row>
    <row r="12" spans="1:4072" s="8" customFormat="1" ht="15" customHeight="1" x14ac:dyDescent="0.2">
      <c r="A12" s="301">
        <v>6</v>
      </c>
      <c r="B12" s="21" t="s">
        <v>117</v>
      </c>
      <c r="C12" s="275" t="s">
        <v>118</v>
      </c>
      <c r="D12" s="21">
        <v>25</v>
      </c>
      <c r="E12" s="24"/>
      <c r="F12" s="24">
        <v>4633</v>
      </c>
      <c r="G12" s="24"/>
      <c r="H12" s="24"/>
      <c r="I12" s="360"/>
      <c r="J12" s="360">
        <f>SUMIF(SUMPK!$B:$B,$B:$B,SUMPK!$O:$O)</f>
        <v>330</v>
      </c>
      <c r="K12" s="24">
        <f t="shared" si="186"/>
        <v>0</v>
      </c>
      <c r="L12" s="24">
        <f t="shared" si="187"/>
        <v>4303</v>
      </c>
      <c r="M12" s="24">
        <f t="shared" si="188"/>
        <v>4303</v>
      </c>
      <c r="N12" s="15">
        <v>92</v>
      </c>
      <c r="O12" s="276">
        <f t="shared" si="189"/>
        <v>46.771739130434781</v>
      </c>
      <c r="P12" s="712">
        <v>306</v>
      </c>
      <c r="Q12" s="276">
        <f t="shared" si="190"/>
        <v>84.372549019607845</v>
      </c>
      <c r="R12" s="277">
        <f t="shared" si="191"/>
        <v>200</v>
      </c>
      <c r="S12" s="222">
        <v>5200</v>
      </c>
      <c r="T12" s="276">
        <f t="shared" si="192"/>
        <v>21.515000000000001</v>
      </c>
      <c r="U12" s="303"/>
      <c r="V12" s="302">
        <f t="shared" si="193"/>
        <v>21.515000000000001</v>
      </c>
      <c r="W12" s="304">
        <f t="shared" si="0"/>
        <v>1</v>
      </c>
      <c r="X12" s="305"/>
      <c r="Y12" s="280"/>
      <c r="Z12" s="280"/>
      <c r="AA12" s="280"/>
      <c r="AB12" s="280"/>
      <c r="AC12" s="662">
        <v>17</v>
      </c>
      <c r="AD12" s="649">
        <v>1400</v>
      </c>
      <c r="AE12" s="49"/>
      <c r="AF12" s="49"/>
      <c r="AG12" s="49"/>
      <c r="AH12" s="49"/>
      <c r="AI12" s="49">
        <v>1924</v>
      </c>
      <c r="AJ12" s="42">
        <f t="shared" si="1137"/>
        <v>3324</v>
      </c>
      <c r="AK12" s="43">
        <f t="shared" si="1138"/>
        <v>554</v>
      </c>
      <c r="AL12" s="48"/>
      <c r="AM12" s="49"/>
      <c r="AN12" s="49">
        <v>601</v>
      </c>
      <c r="AO12" s="49"/>
      <c r="AP12" s="49"/>
      <c r="AQ12" s="49"/>
      <c r="AR12" s="42">
        <f t="shared" si="1139"/>
        <v>601</v>
      </c>
      <c r="AS12" s="43">
        <f t="shared" si="1140"/>
        <v>100.16666666666667</v>
      </c>
      <c r="AT12" s="48">
        <v>1999</v>
      </c>
      <c r="AU12" s="49"/>
      <c r="AV12" s="49"/>
      <c r="AW12" s="49"/>
      <c r="AX12" s="49"/>
      <c r="AY12" s="49"/>
      <c r="AZ12" s="42">
        <f t="shared" si="1141"/>
        <v>1999</v>
      </c>
      <c r="BA12" s="43">
        <f t="shared" si="1142"/>
        <v>333.16666666666669</v>
      </c>
      <c r="BB12" s="48">
        <v>1994</v>
      </c>
      <c r="BC12" s="49"/>
      <c r="BD12" s="49"/>
      <c r="BE12" s="49">
        <v>1373</v>
      </c>
      <c r="BF12" s="49">
        <v>792</v>
      </c>
      <c r="BG12" s="49"/>
      <c r="BH12" s="42">
        <f t="shared" si="1143"/>
        <v>4159</v>
      </c>
      <c r="BI12" s="43">
        <f t="shared" si="1144"/>
        <v>693.16666666666663</v>
      </c>
      <c r="BJ12" s="48"/>
      <c r="BK12" s="49">
        <v>1567</v>
      </c>
      <c r="BL12" s="49"/>
      <c r="BM12" s="49"/>
      <c r="BN12" s="49"/>
      <c r="BO12" s="49">
        <v>1000</v>
      </c>
      <c r="BP12" s="42">
        <f t="shared" si="1145"/>
        <v>2567</v>
      </c>
      <c r="BQ12" s="43">
        <f t="shared" si="1146"/>
        <v>427.83333333333331</v>
      </c>
      <c r="BR12" s="48"/>
      <c r="BS12" s="49"/>
      <c r="BT12" s="49">
        <v>1465</v>
      </c>
      <c r="BU12" s="49"/>
      <c r="BV12" s="49">
        <v>1600</v>
      </c>
      <c r="BW12" s="49"/>
      <c r="BX12" s="42">
        <f t="shared" si="1147"/>
        <v>3065</v>
      </c>
      <c r="BY12" s="43">
        <f t="shared" si="3"/>
        <v>510.83333333333331</v>
      </c>
      <c r="BZ12" s="48"/>
      <c r="CA12" s="49">
        <v>1600</v>
      </c>
      <c r="CB12" s="49"/>
      <c r="CC12" s="49"/>
      <c r="CD12" s="49">
        <v>1557</v>
      </c>
      <c r="CE12" s="49"/>
      <c r="CF12" s="42">
        <f t="shared" si="1148"/>
        <v>3157</v>
      </c>
      <c r="CG12" s="43">
        <f t="shared" si="1149"/>
        <v>526.16666666666663</v>
      </c>
      <c r="CH12" s="48"/>
      <c r="CI12" s="49">
        <v>2028</v>
      </c>
      <c r="CJ12" s="49"/>
      <c r="CK12" s="49"/>
      <c r="CL12" s="49"/>
      <c r="CM12" s="49">
        <v>1598</v>
      </c>
      <c r="CN12" s="42">
        <f t="shared" si="1150"/>
        <v>3626</v>
      </c>
      <c r="CO12" s="43">
        <f t="shared" si="1151"/>
        <v>604.33333333333337</v>
      </c>
      <c r="CP12" s="48"/>
      <c r="CQ12" s="49"/>
      <c r="CR12" s="49">
        <v>1968</v>
      </c>
      <c r="CS12" s="49"/>
      <c r="CT12" s="49">
        <v>1195</v>
      </c>
      <c r="CU12" s="49"/>
      <c r="CV12" s="42">
        <f t="shared" si="1152"/>
        <v>3163</v>
      </c>
      <c r="CW12" s="43">
        <f t="shared" si="1153"/>
        <v>527.16666666666663</v>
      </c>
      <c r="CX12" s="48">
        <v>400</v>
      </c>
      <c r="CY12" s="49"/>
      <c r="CZ12" s="49"/>
      <c r="DA12" s="49"/>
      <c r="DB12" s="49"/>
      <c r="DC12" s="49">
        <v>352</v>
      </c>
      <c r="DD12" s="42">
        <f t="shared" si="1154"/>
        <v>752</v>
      </c>
      <c r="DE12" s="43">
        <f t="shared" si="1155"/>
        <v>125.33333333333333</v>
      </c>
      <c r="DF12" s="48"/>
      <c r="DG12" s="49"/>
      <c r="DH12" s="49"/>
      <c r="DI12" s="49">
        <v>1199</v>
      </c>
      <c r="DJ12" s="49"/>
      <c r="DK12" s="49">
        <v>1600</v>
      </c>
      <c r="DL12" s="42">
        <f t="shared" si="1156"/>
        <v>2799</v>
      </c>
      <c r="DM12" s="43">
        <f t="shared" si="1157"/>
        <v>466.5</v>
      </c>
      <c r="DN12" s="48"/>
      <c r="DO12" s="49"/>
      <c r="DP12" s="49"/>
      <c r="DQ12" s="49">
        <v>1197</v>
      </c>
      <c r="DR12" s="49"/>
      <c r="DS12" s="49">
        <v>1819</v>
      </c>
      <c r="DT12" s="42">
        <f t="shared" si="1158"/>
        <v>3016</v>
      </c>
      <c r="DU12" s="43">
        <f t="shared" si="1159"/>
        <v>502.66666666666669</v>
      </c>
      <c r="DV12" s="48"/>
      <c r="DW12" s="49">
        <v>1800</v>
      </c>
      <c r="DX12" s="49"/>
      <c r="DY12" s="49"/>
      <c r="DZ12" s="49">
        <v>2036</v>
      </c>
      <c r="EA12" s="49"/>
      <c r="EB12" s="42">
        <f t="shared" si="1160"/>
        <v>3836</v>
      </c>
      <c r="EC12" s="43">
        <f t="shared" si="1161"/>
        <v>639.33333333333337</v>
      </c>
      <c r="ED12" s="48"/>
      <c r="EE12" s="49">
        <v>602</v>
      </c>
      <c r="EF12" s="49"/>
      <c r="EG12" s="49"/>
      <c r="EH12" s="49"/>
      <c r="EI12" s="49">
        <v>1560</v>
      </c>
      <c r="EJ12" s="42">
        <f t="shared" si="1162"/>
        <v>2162</v>
      </c>
      <c r="EK12" s="43">
        <f t="shared" si="1163"/>
        <v>360.33333333333331</v>
      </c>
      <c r="EL12" s="48"/>
      <c r="EM12" s="49">
        <v>800</v>
      </c>
      <c r="EN12" s="49"/>
      <c r="EO12" s="49"/>
      <c r="EP12" s="49"/>
      <c r="EQ12" s="49">
        <v>1557</v>
      </c>
      <c r="ER12" s="42">
        <f t="shared" si="1164"/>
        <v>2357</v>
      </c>
      <c r="ES12" s="43">
        <f t="shared" si="1165"/>
        <v>392.83333333333331</v>
      </c>
      <c r="ET12" s="48"/>
      <c r="EU12" s="49">
        <v>2313</v>
      </c>
      <c r="EV12" s="49"/>
      <c r="EW12" s="49"/>
      <c r="EX12" s="49">
        <v>1200</v>
      </c>
      <c r="EY12" s="49">
        <v>412</v>
      </c>
      <c r="EZ12" s="42">
        <f t="shared" si="1166"/>
        <v>3925</v>
      </c>
      <c r="FA12" s="43">
        <f t="shared" si="1167"/>
        <v>654.16666666666663</v>
      </c>
      <c r="FB12" s="48"/>
      <c r="FC12" s="49">
        <v>1600</v>
      </c>
      <c r="FD12" s="49"/>
      <c r="FE12" s="49">
        <v>1000</v>
      </c>
      <c r="FF12" s="49"/>
      <c r="FG12" s="49"/>
      <c r="FH12" s="42">
        <f t="shared" si="1168"/>
        <v>2600</v>
      </c>
      <c r="FI12" s="43">
        <f t="shared" si="1169"/>
        <v>433.33333333333331</v>
      </c>
      <c r="FJ12" s="48">
        <v>801</v>
      </c>
      <c r="FK12" s="49"/>
      <c r="FL12" s="49">
        <v>1597</v>
      </c>
      <c r="FM12" s="49"/>
      <c r="FN12" s="49"/>
      <c r="FO12" s="49">
        <v>1400</v>
      </c>
      <c r="FP12" s="42">
        <f t="shared" si="1170"/>
        <v>3798</v>
      </c>
      <c r="FQ12" s="43">
        <f t="shared" si="1171"/>
        <v>633</v>
      </c>
      <c r="FR12" s="48"/>
      <c r="FS12" s="49">
        <v>2393</v>
      </c>
      <c r="FT12" s="49"/>
      <c r="FU12" s="49">
        <v>800</v>
      </c>
      <c r="FV12" s="49">
        <v>400</v>
      </c>
      <c r="FW12" s="49"/>
      <c r="FX12" s="42">
        <f t="shared" si="1172"/>
        <v>3593</v>
      </c>
      <c r="FY12" s="43">
        <f t="shared" si="1173"/>
        <v>598.83333333333337</v>
      </c>
      <c r="FZ12" s="48">
        <v>1627</v>
      </c>
      <c r="GA12" s="49">
        <v>1200</v>
      </c>
      <c r="GB12" s="49"/>
      <c r="GC12" s="49"/>
      <c r="GD12" s="49">
        <v>823</v>
      </c>
      <c r="GE12" s="49"/>
      <c r="GF12" s="42">
        <f t="shared" si="1174"/>
        <v>3650</v>
      </c>
      <c r="GG12" s="43">
        <f t="shared" si="1175"/>
        <v>608.33333333333337</v>
      </c>
      <c r="GH12" s="48"/>
      <c r="GI12" s="49"/>
      <c r="GJ12" s="49">
        <v>1166</v>
      </c>
      <c r="GK12" s="49"/>
      <c r="GL12" s="49">
        <v>400</v>
      </c>
      <c r="GM12" s="49"/>
      <c r="GN12" s="42">
        <f t="shared" si="1176"/>
        <v>1566</v>
      </c>
      <c r="GO12" s="43">
        <f t="shared" si="1177"/>
        <v>261</v>
      </c>
      <c r="GP12" s="48">
        <v>399</v>
      </c>
      <c r="GQ12" s="49">
        <v>1226</v>
      </c>
      <c r="GR12" s="49"/>
      <c r="GS12" s="49"/>
      <c r="GT12" s="49"/>
      <c r="GU12" s="49">
        <v>2021</v>
      </c>
      <c r="GV12" s="42">
        <f t="shared" si="1178"/>
        <v>3646</v>
      </c>
      <c r="GW12" s="43">
        <f t="shared" si="1179"/>
        <v>607.66666666666663</v>
      </c>
      <c r="GX12" s="48"/>
      <c r="GY12" s="49">
        <v>1200</v>
      </c>
      <c r="GZ12" s="49"/>
      <c r="HA12" s="49"/>
      <c r="HB12" s="49">
        <v>1700</v>
      </c>
      <c r="HC12" s="49"/>
      <c r="HD12" s="42">
        <f t="shared" si="1180"/>
        <v>2900</v>
      </c>
      <c r="HE12" s="43">
        <f t="shared" si="1181"/>
        <v>483.33333333333331</v>
      </c>
      <c r="HF12" s="48"/>
      <c r="HG12" s="49"/>
      <c r="HH12" s="49">
        <v>1610</v>
      </c>
      <c r="HI12" s="49"/>
      <c r="HJ12" s="49"/>
      <c r="HK12" s="49"/>
      <c r="HL12" s="42">
        <f t="shared" si="1182"/>
        <v>1610</v>
      </c>
      <c r="HM12" s="43">
        <f t="shared" si="1183"/>
        <v>268.33333333333331</v>
      </c>
      <c r="HN12" s="82">
        <v>996</v>
      </c>
      <c r="HO12" s="83"/>
      <c r="HP12" s="83"/>
      <c r="HQ12" s="83">
        <v>600</v>
      </c>
      <c r="HR12" s="83"/>
      <c r="HS12" s="83">
        <v>1228</v>
      </c>
      <c r="HT12" s="42">
        <f t="shared" si="1184"/>
        <v>2824</v>
      </c>
      <c r="HU12" s="43">
        <f t="shared" si="1185"/>
        <v>470.66666666666669</v>
      </c>
      <c r="HV12" s="48"/>
      <c r="HW12" s="49">
        <v>1600</v>
      </c>
      <c r="HX12" s="49"/>
      <c r="HY12" s="49"/>
      <c r="HZ12" s="49"/>
      <c r="IA12" s="49">
        <v>1385</v>
      </c>
      <c r="IB12" s="42">
        <f t="shared" si="1186"/>
        <v>2985</v>
      </c>
      <c r="IC12" s="43">
        <f t="shared" si="1187"/>
        <v>497.5</v>
      </c>
      <c r="ID12" s="48"/>
      <c r="IE12" s="49">
        <v>800</v>
      </c>
      <c r="IF12" s="49"/>
      <c r="IG12" s="49"/>
      <c r="IH12" s="49"/>
      <c r="II12" s="49">
        <v>2359</v>
      </c>
      <c r="IJ12" s="42">
        <f t="shared" si="1188"/>
        <v>3159</v>
      </c>
      <c r="IK12" s="43">
        <f t="shared" si="1189"/>
        <v>526.5</v>
      </c>
      <c r="IL12" s="48"/>
      <c r="IM12" s="49"/>
      <c r="IN12" s="49"/>
      <c r="IO12" s="49"/>
      <c r="IP12" s="49"/>
      <c r="IQ12" s="49">
        <v>1200</v>
      </c>
      <c r="IR12" s="67">
        <f t="shared" si="1190"/>
        <v>1200</v>
      </c>
      <c r="IS12" s="68">
        <f t="shared" si="1191"/>
        <v>200</v>
      </c>
      <c r="IT12" s="48">
        <v>693</v>
      </c>
      <c r="IU12" s="49"/>
      <c r="IV12" s="49">
        <v>401</v>
      </c>
      <c r="IW12" s="49"/>
      <c r="IX12" s="49"/>
      <c r="IY12" s="49">
        <v>790</v>
      </c>
      <c r="IZ12" s="67">
        <f t="shared" si="1192"/>
        <v>1884</v>
      </c>
      <c r="JA12" s="68">
        <f t="shared" si="1193"/>
        <v>314</v>
      </c>
      <c r="JB12" s="48"/>
      <c r="JC12" s="49">
        <v>1185</v>
      </c>
      <c r="JD12" s="49"/>
      <c r="JE12" s="49"/>
      <c r="JF12" s="49">
        <v>975</v>
      </c>
      <c r="JG12" s="49"/>
      <c r="JH12" s="67">
        <f t="shared" si="1194"/>
        <v>2160</v>
      </c>
      <c r="JI12" s="68">
        <f t="shared" si="1195"/>
        <v>360</v>
      </c>
      <c r="JJ12" s="48">
        <v>2176</v>
      </c>
      <c r="JK12" s="49"/>
      <c r="JL12" s="49">
        <v>967</v>
      </c>
      <c r="JM12" s="49"/>
      <c r="JN12" s="49">
        <v>815</v>
      </c>
      <c r="JO12" s="49"/>
      <c r="JP12" s="42">
        <f t="shared" si="1196"/>
        <v>3958</v>
      </c>
      <c r="JQ12" s="43">
        <f t="shared" si="1197"/>
        <v>659.66666666666663</v>
      </c>
      <c r="JR12" s="48"/>
      <c r="JS12" s="49">
        <v>952</v>
      </c>
      <c r="JT12" s="49">
        <v>1600</v>
      </c>
      <c r="JU12" s="49"/>
      <c r="JV12" s="49">
        <v>1600</v>
      </c>
      <c r="JW12" s="49"/>
      <c r="JX12" s="42">
        <f t="shared" si="1198"/>
        <v>4152</v>
      </c>
      <c r="JY12" s="43">
        <f t="shared" si="1199"/>
        <v>692</v>
      </c>
      <c r="JZ12" s="48"/>
      <c r="KA12" s="49">
        <v>1191</v>
      </c>
      <c r="KB12" s="49"/>
      <c r="KC12" s="49"/>
      <c r="KD12" s="49">
        <v>2800</v>
      </c>
      <c r="KE12" s="49"/>
      <c r="KF12" s="42">
        <f t="shared" si="194"/>
        <v>3991</v>
      </c>
      <c r="KG12" s="43">
        <f t="shared" si="195"/>
        <v>665.16666666666663</v>
      </c>
      <c r="KH12" s="48"/>
      <c r="KI12" s="49">
        <v>786</v>
      </c>
      <c r="KJ12" s="49"/>
      <c r="KK12" s="49">
        <v>1200</v>
      </c>
      <c r="KL12" s="49"/>
      <c r="KM12" s="49"/>
      <c r="KN12" s="67">
        <f t="shared" si="196"/>
        <v>1986</v>
      </c>
      <c r="KO12" s="68">
        <f t="shared" si="197"/>
        <v>331</v>
      </c>
      <c r="KP12" s="48"/>
      <c r="KQ12" s="49"/>
      <c r="KR12" s="49">
        <v>2438</v>
      </c>
      <c r="KS12" s="49">
        <v>1575</v>
      </c>
      <c r="KT12" s="49"/>
      <c r="KU12" s="49"/>
      <c r="KV12" s="67">
        <f t="shared" si="198"/>
        <v>4013</v>
      </c>
      <c r="KW12" s="68">
        <f t="shared" si="199"/>
        <v>668.83333333333337</v>
      </c>
      <c r="KX12" s="48"/>
      <c r="KY12" s="49"/>
      <c r="KZ12" s="49"/>
      <c r="LA12" s="49">
        <v>375</v>
      </c>
      <c r="LB12" s="49"/>
      <c r="LC12" s="49">
        <v>2000</v>
      </c>
      <c r="LD12" s="67">
        <f t="shared" si="200"/>
        <v>2375</v>
      </c>
      <c r="LE12" s="68">
        <f t="shared" si="201"/>
        <v>395.83333333333331</v>
      </c>
      <c r="LF12" s="48"/>
      <c r="LG12" s="49"/>
      <c r="LH12" s="49">
        <v>554</v>
      </c>
      <c r="LI12" s="49">
        <v>2300</v>
      </c>
      <c r="LJ12" s="49"/>
      <c r="LK12" s="49"/>
      <c r="LL12" s="67">
        <f t="shared" si="202"/>
        <v>2854</v>
      </c>
      <c r="LM12" s="68">
        <f t="shared" si="203"/>
        <v>475.66666666666669</v>
      </c>
      <c r="LN12" s="48">
        <v>700</v>
      </c>
      <c r="LO12" s="49">
        <v>402</v>
      </c>
      <c r="LP12" s="49"/>
      <c r="LQ12" s="49">
        <v>1927</v>
      </c>
      <c r="LR12" s="49">
        <v>2001</v>
      </c>
      <c r="LS12" s="49"/>
      <c r="LT12" s="67">
        <f t="shared" si="204"/>
        <v>5030</v>
      </c>
      <c r="LU12" s="68">
        <f t="shared" si="205"/>
        <v>838.33333333333337</v>
      </c>
      <c r="LV12" s="48"/>
      <c r="LW12" s="49"/>
      <c r="LX12" s="49"/>
      <c r="LY12" s="49"/>
      <c r="LZ12" s="49">
        <v>789</v>
      </c>
      <c r="MA12" s="49"/>
      <c r="MB12" s="67">
        <f t="shared" si="206"/>
        <v>789</v>
      </c>
      <c r="MC12" s="68">
        <f t="shared" si="207"/>
        <v>131.5</v>
      </c>
      <c r="MD12" s="48">
        <v>573</v>
      </c>
      <c r="ME12" s="49"/>
      <c r="MF12" s="49">
        <v>2015</v>
      </c>
      <c r="MG12" s="49"/>
      <c r="MH12" s="49">
        <v>768</v>
      </c>
      <c r="MI12" s="49"/>
      <c r="MJ12" s="67">
        <f t="shared" si="208"/>
        <v>3356</v>
      </c>
      <c r="MK12" s="68">
        <f t="shared" si="209"/>
        <v>559.33333333333337</v>
      </c>
      <c r="ML12" s="48"/>
      <c r="MM12" s="49"/>
      <c r="MN12" s="49">
        <v>800</v>
      </c>
      <c r="MO12" s="49"/>
      <c r="MP12" s="49"/>
      <c r="MQ12" s="49">
        <v>1986</v>
      </c>
      <c r="MR12" s="67">
        <f t="shared" si="210"/>
        <v>2786</v>
      </c>
      <c r="MS12" s="68">
        <f t="shared" si="211"/>
        <v>464.33333333333331</v>
      </c>
      <c r="MT12" s="48"/>
      <c r="MU12" s="49"/>
      <c r="MV12" s="49">
        <v>796</v>
      </c>
      <c r="MW12" s="49"/>
      <c r="MX12" s="49"/>
      <c r="MY12" s="49"/>
      <c r="MZ12" s="67">
        <f t="shared" si="212"/>
        <v>796</v>
      </c>
      <c r="NA12" s="68">
        <f t="shared" si="213"/>
        <v>132.66666666666666</v>
      </c>
      <c r="NB12" s="48">
        <v>1304</v>
      </c>
      <c r="NC12" s="49"/>
      <c r="ND12" s="49"/>
      <c r="NE12" s="49">
        <v>1213</v>
      </c>
      <c r="NF12" s="49"/>
      <c r="NG12" s="49"/>
      <c r="NH12" s="67">
        <f t="shared" si="214"/>
        <v>2517</v>
      </c>
      <c r="NI12" s="68">
        <f t="shared" si="215"/>
        <v>419.5</v>
      </c>
      <c r="NJ12" s="48">
        <v>2039</v>
      </c>
      <c r="NK12" s="49"/>
      <c r="NL12" s="49">
        <v>400</v>
      </c>
      <c r="NM12" s="49"/>
      <c r="NN12" s="49"/>
      <c r="NO12" s="49">
        <v>2328</v>
      </c>
      <c r="NP12" s="67">
        <f t="shared" si="216"/>
        <v>4767</v>
      </c>
      <c r="NQ12" s="68">
        <f t="shared" si="217"/>
        <v>794.5</v>
      </c>
      <c r="NR12" s="48">
        <v>300</v>
      </c>
      <c r="NS12" s="49"/>
      <c r="NT12" s="49"/>
      <c r="NU12" s="49"/>
      <c r="NV12" s="49"/>
      <c r="NW12" s="49">
        <v>2043</v>
      </c>
      <c r="NX12" s="67">
        <f t="shared" si="218"/>
        <v>2343</v>
      </c>
      <c r="NY12" s="68">
        <f t="shared" si="219"/>
        <v>390.5</v>
      </c>
      <c r="NZ12" s="48"/>
      <c r="OA12" s="49"/>
      <c r="OB12" s="49">
        <v>600</v>
      </c>
      <c r="OC12" s="49"/>
      <c r="OD12" s="49"/>
      <c r="OE12" s="49"/>
      <c r="OF12" s="67">
        <f t="shared" si="220"/>
        <v>600</v>
      </c>
      <c r="OG12" s="68">
        <f t="shared" si="221"/>
        <v>100</v>
      </c>
      <c r="OH12" s="48"/>
      <c r="OI12" s="49"/>
      <c r="OJ12" s="49">
        <v>403</v>
      </c>
      <c r="OK12" s="49"/>
      <c r="OL12" s="49">
        <v>1372</v>
      </c>
      <c r="OM12" s="49">
        <v>221</v>
      </c>
      <c r="ON12" s="67">
        <f t="shared" si="222"/>
        <v>1996</v>
      </c>
      <c r="OO12" s="68">
        <f t="shared" si="223"/>
        <v>332.66666666666669</v>
      </c>
      <c r="OP12" s="48">
        <v>1204</v>
      </c>
      <c r="OQ12" s="49"/>
      <c r="OR12" s="49"/>
      <c r="OS12" s="49"/>
      <c r="OT12" s="49">
        <v>1100</v>
      </c>
      <c r="OU12" s="49"/>
      <c r="OV12" s="67">
        <f t="shared" si="224"/>
        <v>2304</v>
      </c>
      <c r="OW12" s="68">
        <f t="shared" si="225"/>
        <v>384</v>
      </c>
      <c r="OX12" s="48"/>
      <c r="OY12" s="49">
        <v>2065</v>
      </c>
      <c r="OZ12" s="49"/>
      <c r="PA12" s="49">
        <v>1198</v>
      </c>
      <c r="PB12" s="49"/>
      <c r="PC12" s="49">
        <v>783</v>
      </c>
      <c r="PD12" s="67">
        <f t="shared" si="226"/>
        <v>4046</v>
      </c>
      <c r="PE12" s="68">
        <f t="shared" si="227"/>
        <v>674.33333333333337</v>
      </c>
      <c r="PF12" s="48"/>
      <c r="PG12" s="49"/>
      <c r="PH12" s="49">
        <v>800</v>
      </c>
      <c r="PI12" s="49"/>
      <c r="PJ12" s="49"/>
      <c r="PK12" s="49"/>
      <c r="PL12" s="67">
        <f t="shared" si="228"/>
        <v>800</v>
      </c>
      <c r="PM12" s="68">
        <f t="shared" si="229"/>
        <v>133.33333333333334</v>
      </c>
      <c r="PN12" s="48"/>
      <c r="PO12" s="49"/>
      <c r="PP12" s="49">
        <v>1199</v>
      </c>
      <c r="PQ12" s="49">
        <v>769</v>
      </c>
      <c r="PR12" s="49"/>
      <c r="PS12" s="49"/>
      <c r="PT12" s="104">
        <f t="shared" si="230"/>
        <v>1968</v>
      </c>
      <c r="PU12" s="105">
        <f t="shared" si="231"/>
        <v>328</v>
      </c>
      <c r="PV12" s="106"/>
      <c r="PW12" s="107">
        <v>2012</v>
      </c>
      <c r="PX12" s="107"/>
      <c r="PY12" s="107"/>
      <c r="PZ12" s="107"/>
      <c r="QA12" s="107">
        <v>1600</v>
      </c>
      <c r="QB12" s="104">
        <f t="shared" si="232"/>
        <v>3612</v>
      </c>
      <c r="QC12" s="105">
        <f t="shared" si="233"/>
        <v>602</v>
      </c>
      <c r="QD12" s="106"/>
      <c r="QE12" s="107"/>
      <c r="QF12" s="107"/>
      <c r="QG12" s="107">
        <v>1600</v>
      </c>
      <c r="QH12" s="107"/>
      <c r="QI12" s="107"/>
      <c r="QJ12" s="104">
        <f t="shared" si="234"/>
        <v>1600</v>
      </c>
      <c r="QK12" s="105">
        <f t="shared" si="235"/>
        <v>266.66666666666669</v>
      </c>
      <c r="QL12" s="106"/>
      <c r="QM12" s="107">
        <v>1200</v>
      </c>
      <c r="QN12" s="107"/>
      <c r="QO12" s="107">
        <v>1200</v>
      </c>
      <c r="QP12" s="107"/>
      <c r="QQ12" s="107"/>
      <c r="QR12" s="104">
        <f t="shared" si="236"/>
        <v>2400</v>
      </c>
      <c r="QS12" s="105">
        <f t="shared" si="237"/>
        <v>400</v>
      </c>
      <c r="QT12" s="106"/>
      <c r="QU12" s="107">
        <v>1584</v>
      </c>
      <c r="QV12" s="107"/>
      <c r="QW12" s="107"/>
      <c r="QX12" s="107">
        <v>1600</v>
      </c>
      <c r="QY12" s="107"/>
      <c r="QZ12" s="104">
        <f t="shared" si="238"/>
        <v>3184</v>
      </c>
      <c r="RA12" s="105">
        <f t="shared" si="239"/>
        <v>530.66666666666663</v>
      </c>
      <c r="RB12" s="106">
        <v>1135</v>
      </c>
      <c r="RC12" s="107"/>
      <c r="RD12" s="107"/>
      <c r="RE12" s="107">
        <v>292</v>
      </c>
      <c r="RF12" s="107"/>
      <c r="RG12" s="107"/>
      <c r="RH12" s="104">
        <f t="shared" si="240"/>
        <v>1427</v>
      </c>
      <c r="RI12" s="105">
        <f t="shared" si="241"/>
        <v>237.83333333333334</v>
      </c>
      <c r="RJ12" s="106">
        <v>549</v>
      </c>
      <c r="RK12" s="107"/>
      <c r="RL12" s="107"/>
      <c r="RM12" s="107">
        <v>800</v>
      </c>
      <c r="RN12" s="107">
        <v>600</v>
      </c>
      <c r="RO12" s="107"/>
      <c r="RP12" s="104">
        <f t="shared" si="242"/>
        <v>1949</v>
      </c>
      <c r="RQ12" s="105">
        <f t="shared" si="243"/>
        <v>324.83333333333331</v>
      </c>
      <c r="RR12" s="106">
        <v>1664</v>
      </c>
      <c r="RS12" s="107"/>
      <c r="RT12" s="107">
        <v>608</v>
      </c>
      <c r="RU12" s="107">
        <v>1098</v>
      </c>
      <c r="RV12" s="107"/>
      <c r="RW12" s="107"/>
      <c r="RX12" s="104">
        <f t="shared" si="244"/>
        <v>3370</v>
      </c>
      <c r="RY12" s="105">
        <f t="shared" si="245"/>
        <v>561.66666666666663</v>
      </c>
      <c r="RZ12" s="106"/>
      <c r="SA12" s="107"/>
      <c r="SB12" s="107"/>
      <c r="SC12" s="107">
        <v>405</v>
      </c>
      <c r="SD12" s="107"/>
      <c r="SE12" s="107"/>
      <c r="SF12" s="104">
        <f t="shared" si="246"/>
        <v>405</v>
      </c>
      <c r="SG12" s="105">
        <f t="shared" si="247"/>
        <v>67.5</v>
      </c>
      <c r="SH12" s="106">
        <v>300</v>
      </c>
      <c r="SI12" s="107">
        <v>2937</v>
      </c>
      <c r="SJ12" s="107">
        <v>1618</v>
      </c>
      <c r="SK12" s="107"/>
      <c r="SL12" s="107"/>
      <c r="SM12" s="107"/>
      <c r="SN12" s="104">
        <f t="shared" si="248"/>
        <v>4855</v>
      </c>
      <c r="SO12" s="105">
        <f t="shared" si="249"/>
        <v>809.16666666666663</v>
      </c>
      <c r="SP12" s="106">
        <v>400</v>
      </c>
      <c r="SQ12" s="107"/>
      <c r="SR12" s="107">
        <v>600</v>
      </c>
      <c r="SS12" s="107">
        <v>600</v>
      </c>
      <c r="ST12" s="107"/>
      <c r="SU12" s="107"/>
      <c r="SV12" s="104">
        <f t="shared" si="250"/>
        <v>1600</v>
      </c>
      <c r="SW12" s="105">
        <f t="shared" si="251"/>
        <v>266.66666666666669</v>
      </c>
      <c r="SX12" s="106"/>
      <c r="SY12" s="107"/>
      <c r="SZ12" s="107">
        <v>758</v>
      </c>
      <c r="TA12" s="107"/>
      <c r="TB12" s="107"/>
      <c r="TC12" s="107">
        <v>1617</v>
      </c>
      <c r="TD12" s="104">
        <f t="shared" si="252"/>
        <v>2375</v>
      </c>
      <c r="TE12" s="105">
        <f t="shared" si="253"/>
        <v>395.83333333333331</v>
      </c>
      <c r="TF12" s="106"/>
      <c r="TG12" s="107"/>
      <c r="TH12" s="107"/>
      <c r="TI12" s="107"/>
      <c r="TJ12" s="107"/>
      <c r="TK12" s="107">
        <v>809</v>
      </c>
      <c r="TL12" s="104">
        <f t="shared" si="254"/>
        <v>809</v>
      </c>
      <c r="TM12" s="105">
        <f t="shared" si="255"/>
        <v>134.83333333333334</v>
      </c>
      <c r="TN12" s="106"/>
      <c r="TO12" s="107"/>
      <c r="TP12" s="107">
        <v>800</v>
      </c>
      <c r="TQ12" s="107"/>
      <c r="TR12" s="107"/>
      <c r="TS12" s="107">
        <v>1300</v>
      </c>
      <c r="TT12" s="104">
        <f t="shared" si="256"/>
        <v>2100</v>
      </c>
      <c r="TU12" s="105">
        <f t="shared" si="257"/>
        <v>350</v>
      </c>
      <c r="TV12" s="106">
        <v>100</v>
      </c>
      <c r="TW12" s="107"/>
      <c r="TX12" s="107">
        <v>1575</v>
      </c>
      <c r="TY12" s="107"/>
      <c r="TZ12" s="107">
        <v>793</v>
      </c>
      <c r="UA12" s="107"/>
      <c r="UB12" s="104">
        <f t="shared" si="258"/>
        <v>2468</v>
      </c>
      <c r="UC12" s="105">
        <f t="shared" si="259"/>
        <v>411.33333333333331</v>
      </c>
      <c r="UD12" s="106"/>
      <c r="UE12" s="107"/>
      <c r="UF12" s="107">
        <v>400</v>
      </c>
      <c r="UG12" s="107"/>
      <c r="UH12" s="107">
        <v>1000</v>
      </c>
      <c r="UI12" s="107">
        <v>975</v>
      </c>
      <c r="UJ12" s="104">
        <f t="shared" si="260"/>
        <v>2375</v>
      </c>
      <c r="UK12" s="105">
        <f t="shared" si="261"/>
        <v>395.83333333333331</v>
      </c>
      <c r="UL12" s="106"/>
      <c r="UM12" s="107"/>
      <c r="UN12" s="107"/>
      <c r="UO12" s="107">
        <v>400</v>
      </c>
      <c r="UP12" s="107"/>
      <c r="UQ12" s="107"/>
      <c r="UR12" s="107"/>
      <c r="US12" s="104">
        <f t="shared" si="262"/>
        <v>400</v>
      </c>
      <c r="UT12" s="105">
        <f t="shared" si="263"/>
        <v>66.666666666666671</v>
      </c>
      <c r="UU12" s="106">
        <v>2385</v>
      </c>
      <c r="UV12" s="107"/>
      <c r="UW12" s="107"/>
      <c r="UX12" s="107"/>
      <c r="UY12" s="107">
        <v>1200</v>
      </c>
      <c r="UZ12" s="107"/>
      <c r="VA12" s="104">
        <f t="shared" si="264"/>
        <v>3585</v>
      </c>
      <c r="VB12" s="105">
        <f t="shared" si="265"/>
        <v>597.5</v>
      </c>
      <c r="VC12" s="106"/>
      <c r="VD12" s="107"/>
      <c r="VE12" s="107"/>
      <c r="VF12" s="107">
        <v>802</v>
      </c>
      <c r="VG12" s="107"/>
      <c r="VH12" s="107">
        <v>1802</v>
      </c>
      <c r="VI12" s="104">
        <f t="shared" si="266"/>
        <v>2604</v>
      </c>
      <c r="VJ12" s="105">
        <f t="shared" si="267"/>
        <v>434</v>
      </c>
      <c r="VK12" s="106"/>
      <c r="VL12" s="107"/>
      <c r="VM12" s="107"/>
      <c r="VN12" s="107"/>
      <c r="VO12" s="107"/>
      <c r="VP12" s="107">
        <v>901</v>
      </c>
      <c r="VQ12" s="104">
        <f t="shared" si="268"/>
        <v>901</v>
      </c>
      <c r="VR12" s="105">
        <f t="shared" si="269"/>
        <v>150.16666666666666</v>
      </c>
      <c r="VS12" s="106"/>
      <c r="VT12" s="107">
        <v>1400</v>
      </c>
      <c r="VU12" s="107"/>
      <c r="VV12" s="107"/>
      <c r="VW12" s="107">
        <f>150+650</f>
        <v>800</v>
      </c>
      <c r="VX12" s="107"/>
      <c r="VY12" s="104">
        <f t="shared" si="270"/>
        <v>2200</v>
      </c>
      <c r="VZ12" s="105">
        <f t="shared" si="271"/>
        <v>366.66666666666669</v>
      </c>
      <c r="WA12" s="63">
        <v>1216</v>
      </c>
      <c r="WB12" s="64"/>
      <c r="WC12" s="64"/>
      <c r="WD12" s="64"/>
      <c r="WE12" s="64"/>
      <c r="WF12" s="64"/>
      <c r="WG12" s="67">
        <f t="shared" si="272"/>
        <v>1216</v>
      </c>
      <c r="WH12" s="68">
        <f t="shared" si="273"/>
        <v>202.66666666666666</v>
      </c>
      <c r="WI12" s="48">
        <v>1160</v>
      </c>
      <c r="WJ12" s="49"/>
      <c r="WK12" s="49"/>
      <c r="WL12" s="49">
        <v>773</v>
      </c>
      <c r="WM12" s="49">
        <v>800</v>
      </c>
      <c r="WN12" s="49"/>
      <c r="WO12" s="67">
        <f t="shared" si="274"/>
        <v>2733</v>
      </c>
      <c r="WP12" s="68">
        <f t="shared" si="275"/>
        <v>455.5</v>
      </c>
      <c r="WQ12" s="48">
        <v>814</v>
      </c>
      <c r="WR12" s="49"/>
      <c r="WS12" s="49">
        <v>193</v>
      </c>
      <c r="WT12" s="49"/>
      <c r="WU12" s="49"/>
      <c r="WV12" s="49">
        <v>1000</v>
      </c>
      <c r="WW12" s="49">
        <v>400</v>
      </c>
      <c r="WX12" s="67">
        <f t="shared" si="276"/>
        <v>1593</v>
      </c>
      <c r="WY12" s="68">
        <f t="shared" si="277"/>
        <v>265.5</v>
      </c>
      <c r="WZ12" s="48"/>
      <c r="XA12" s="49"/>
      <c r="XB12" s="49"/>
      <c r="XC12" s="49"/>
      <c r="XD12" s="49">
        <v>1200</v>
      </c>
      <c r="XE12" s="49">
        <v>1228</v>
      </c>
      <c r="XF12" s="49"/>
      <c r="XG12" s="67">
        <f t="shared" si="278"/>
        <v>2428</v>
      </c>
      <c r="XH12" s="68">
        <f t="shared" si="279"/>
        <v>404.66666666666669</v>
      </c>
      <c r="XI12" s="106"/>
      <c r="XJ12" s="107">
        <v>779</v>
      </c>
      <c r="XK12" s="107"/>
      <c r="XL12" s="107">
        <v>500</v>
      </c>
      <c r="XM12" s="107">
        <v>299</v>
      </c>
      <c r="XN12" s="107">
        <v>200</v>
      </c>
      <c r="XO12" s="107"/>
      <c r="XP12" s="104">
        <f t="shared" si="280"/>
        <v>1778</v>
      </c>
      <c r="XQ12" s="105">
        <f t="shared" si="281"/>
        <v>296.33333333333331</v>
      </c>
      <c r="XR12" s="48">
        <v>624</v>
      </c>
      <c r="XS12" s="49"/>
      <c r="XT12" s="49"/>
      <c r="XU12" s="49">
        <v>1212</v>
      </c>
      <c r="XV12" s="49"/>
      <c r="XW12" s="49"/>
      <c r="XX12" s="49"/>
      <c r="XY12" s="67">
        <f t="shared" si="282"/>
        <v>1212</v>
      </c>
      <c r="XZ12" s="68">
        <f t="shared" si="283"/>
        <v>202</v>
      </c>
      <c r="YA12" s="48"/>
      <c r="YB12" s="49">
        <v>700</v>
      </c>
      <c r="YC12" s="49">
        <v>294</v>
      </c>
      <c r="YD12" s="49"/>
      <c r="YE12" s="49">
        <v>1605</v>
      </c>
      <c r="YF12" s="49"/>
      <c r="YG12" s="49"/>
      <c r="YH12" s="67">
        <f t="shared" si="284"/>
        <v>2599</v>
      </c>
      <c r="YI12" s="68">
        <f t="shared" si="285"/>
        <v>433.16666666666669</v>
      </c>
      <c r="YJ12" s="180"/>
      <c r="YK12" s="49">
        <v>1281</v>
      </c>
      <c r="YL12" s="49"/>
      <c r="YM12" s="49"/>
      <c r="YN12" s="49"/>
      <c r="YO12" s="49"/>
      <c r="YP12" s="49"/>
      <c r="YQ12" s="67">
        <f t="shared" si="286"/>
        <v>1281</v>
      </c>
      <c r="YR12" s="68">
        <f t="shared" si="287"/>
        <v>213.5</v>
      </c>
      <c r="YS12" s="48"/>
      <c r="YT12" s="49"/>
      <c r="YU12" s="49"/>
      <c r="YV12" s="49"/>
      <c r="YW12" s="49">
        <v>2000</v>
      </c>
      <c r="YX12" s="49"/>
      <c r="YY12" s="67">
        <f t="shared" si="288"/>
        <v>2000</v>
      </c>
      <c r="YZ12" s="68">
        <f t="shared" si="289"/>
        <v>333.33333333333331</v>
      </c>
      <c r="ZA12" s="48"/>
      <c r="ZB12" s="49">
        <v>1202</v>
      </c>
      <c r="ZC12" s="49"/>
      <c r="ZD12" s="49">
        <v>800</v>
      </c>
      <c r="ZE12" s="49"/>
      <c r="ZF12" s="49"/>
      <c r="ZG12" s="67">
        <f t="shared" si="290"/>
        <v>2002</v>
      </c>
      <c r="ZH12" s="68">
        <f t="shared" si="291"/>
        <v>333.66666666666669</v>
      </c>
      <c r="ZI12" s="48">
        <v>1200</v>
      </c>
      <c r="ZJ12" s="49"/>
      <c r="ZK12" s="49"/>
      <c r="ZL12" s="49">
        <v>400</v>
      </c>
      <c r="ZM12" s="24"/>
      <c r="ZN12" s="24">
        <v>402</v>
      </c>
      <c r="ZO12" s="67">
        <f t="shared" si="292"/>
        <v>2002</v>
      </c>
      <c r="ZP12" s="68">
        <f t="shared" si="293"/>
        <v>333.66666666666669</v>
      </c>
      <c r="ZQ12" s="48"/>
      <c r="ZR12" s="49">
        <v>613</v>
      </c>
      <c r="ZS12" s="49">
        <v>600</v>
      </c>
      <c r="ZT12" s="49"/>
      <c r="ZU12" s="49"/>
      <c r="ZV12" s="49">
        <v>802</v>
      </c>
      <c r="ZW12" s="49"/>
      <c r="ZX12" s="67">
        <f t="shared" si="294"/>
        <v>2015</v>
      </c>
      <c r="ZY12" s="68">
        <f t="shared" si="295"/>
        <v>335.83333333333331</v>
      </c>
      <c r="ZZ12" s="48"/>
      <c r="AAA12" s="49"/>
      <c r="AAB12" s="49">
        <v>1181</v>
      </c>
      <c r="AAC12" s="49">
        <v>1200</v>
      </c>
      <c r="AAD12" s="49"/>
      <c r="AAE12" s="49"/>
      <c r="AAF12" s="49">
        <v>1389</v>
      </c>
      <c r="AAG12" s="67">
        <f t="shared" si="296"/>
        <v>3770</v>
      </c>
      <c r="AAH12" s="68">
        <f t="shared" si="297"/>
        <v>628.33333333333337</v>
      </c>
      <c r="AAI12" s="48"/>
      <c r="AAJ12" s="49"/>
      <c r="AAK12" s="49">
        <v>200</v>
      </c>
      <c r="AAL12" s="49"/>
      <c r="AAM12" s="49"/>
      <c r="AAN12" s="49"/>
      <c r="AAO12" s="67">
        <f t="shared" si="298"/>
        <v>200</v>
      </c>
      <c r="AAP12" s="68">
        <f t="shared" si="299"/>
        <v>33.333333333333336</v>
      </c>
      <c r="AAQ12" s="48">
        <v>1611</v>
      </c>
      <c r="AAR12" s="49"/>
      <c r="AAS12" s="49">
        <v>414</v>
      </c>
      <c r="AAT12" s="49">
        <v>1188</v>
      </c>
      <c r="AAU12" s="49"/>
      <c r="AAV12" s="49"/>
      <c r="AAW12" s="67">
        <f t="shared" si="300"/>
        <v>3213</v>
      </c>
      <c r="AAX12" s="68">
        <f t="shared" si="301"/>
        <v>535.5</v>
      </c>
      <c r="AAY12" s="48"/>
      <c r="AAZ12" s="49">
        <v>1000</v>
      </c>
      <c r="ABA12" s="49">
        <v>804</v>
      </c>
      <c r="ABB12" s="49">
        <v>100</v>
      </c>
      <c r="ABC12" s="49"/>
      <c r="ABD12" s="49"/>
      <c r="ABE12" s="67">
        <f t="shared" si="302"/>
        <v>1904</v>
      </c>
      <c r="ABF12" s="68">
        <f t="shared" si="303"/>
        <v>317.33333333333331</v>
      </c>
      <c r="ABG12" s="48">
        <v>397</v>
      </c>
      <c r="ABH12" s="49"/>
      <c r="ABI12" s="49"/>
      <c r="ABJ12" s="49">
        <v>1599</v>
      </c>
      <c r="ABK12" s="49"/>
      <c r="ABL12" s="49">
        <v>572</v>
      </c>
      <c r="ABM12" s="67">
        <f t="shared" si="304"/>
        <v>2568</v>
      </c>
      <c r="ABN12" s="68">
        <f t="shared" si="305"/>
        <v>428</v>
      </c>
      <c r="ABO12" s="48"/>
      <c r="ABP12" s="49"/>
      <c r="ABQ12" s="49">
        <v>2055</v>
      </c>
      <c r="ABR12" s="49"/>
      <c r="ABS12" s="49">
        <v>400</v>
      </c>
      <c r="ABT12" s="49">
        <v>1008</v>
      </c>
      <c r="ABU12" s="67">
        <f t="shared" si="306"/>
        <v>3463</v>
      </c>
      <c r="ABV12" s="68">
        <f t="shared" si="307"/>
        <v>577.16666666666663</v>
      </c>
      <c r="ABW12" s="48">
        <v>996</v>
      </c>
      <c r="ABX12" s="49"/>
      <c r="ABY12" s="49">
        <v>1150</v>
      </c>
      <c r="ABZ12" s="49"/>
      <c r="ACA12" s="49"/>
      <c r="ACB12" s="49"/>
      <c r="ACC12" s="67">
        <f t="shared" si="308"/>
        <v>2146</v>
      </c>
      <c r="ACD12" s="68">
        <f t="shared" si="309"/>
        <v>357.66666666666669</v>
      </c>
      <c r="ACE12" s="48"/>
      <c r="ACF12" s="49"/>
      <c r="ACG12" s="49"/>
      <c r="ACH12" s="49">
        <v>440</v>
      </c>
      <c r="ACI12" s="49"/>
      <c r="ACJ12" s="49"/>
      <c r="ACK12" s="67">
        <f t="shared" si="310"/>
        <v>440</v>
      </c>
      <c r="ACL12" s="68">
        <f t="shared" si="311"/>
        <v>73.333333333333329</v>
      </c>
      <c r="ACM12" s="48">
        <v>880</v>
      </c>
      <c r="ACN12" s="49"/>
      <c r="ACO12" s="49">
        <v>402</v>
      </c>
      <c r="ACP12" s="49"/>
      <c r="ACQ12" s="49"/>
      <c r="ACR12" s="49">
        <v>887</v>
      </c>
      <c r="ACS12" s="67">
        <f t="shared" si="312"/>
        <v>2169</v>
      </c>
      <c r="ACT12" s="68">
        <f t="shared" si="313"/>
        <v>361.5</v>
      </c>
      <c r="ACU12" s="48"/>
      <c r="ACV12" s="49">
        <v>990</v>
      </c>
      <c r="ACW12" s="49"/>
      <c r="ACX12" s="49">
        <v>1316</v>
      </c>
      <c r="ACY12" s="49"/>
      <c r="ACZ12" s="49">
        <v>330</v>
      </c>
      <c r="ADA12" s="67">
        <f t="shared" si="314"/>
        <v>2636</v>
      </c>
      <c r="ADB12" s="68">
        <f t="shared" si="315"/>
        <v>439.33333333333331</v>
      </c>
      <c r="ADC12" s="48">
        <v>170</v>
      </c>
      <c r="ADD12" s="49">
        <v>1270</v>
      </c>
      <c r="ADE12" s="49"/>
      <c r="ADF12" s="49">
        <v>1175</v>
      </c>
      <c r="ADG12" s="49"/>
      <c r="ADH12" s="49"/>
      <c r="ADI12" s="67">
        <f t="shared" si="316"/>
        <v>2615</v>
      </c>
      <c r="ADJ12" s="68">
        <f t="shared" si="317"/>
        <v>435.83333333333331</v>
      </c>
      <c r="ADK12" s="48">
        <v>1542</v>
      </c>
      <c r="ADL12" s="49">
        <v>163</v>
      </c>
      <c r="ADM12" s="49">
        <v>817</v>
      </c>
      <c r="ADN12" s="49"/>
      <c r="ADO12" s="49"/>
      <c r="ADP12" s="49"/>
      <c r="ADQ12" s="67">
        <f t="shared" si="318"/>
        <v>2522</v>
      </c>
      <c r="ADR12" s="68">
        <f t="shared" si="319"/>
        <v>420.33333333333331</v>
      </c>
      <c r="ADS12" s="48"/>
      <c r="ADT12" s="49"/>
      <c r="ADU12" s="49">
        <v>1561</v>
      </c>
      <c r="ADV12" s="49"/>
      <c r="ADW12" s="49"/>
      <c r="ADX12" s="49"/>
      <c r="ADY12" s="67">
        <f t="shared" si="320"/>
        <v>1561</v>
      </c>
      <c r="ADZ12" s="68">
        <f t="shared" si="321"/>
        <v>260.16666666666669</v>
      </c>
      <c r="AEA12" s="48">
        <v>1764</v>
      </c>
      <c r="AEB12" s="49"/>
      <c r="AEC12" s="49">
        <v>1296</v>
      </c>
      <c r="AED12" s="49"/>
      <c r="AEE12" s="49">
        <v>440</v>
      </c>
      <c r="AEF12" s="49"/>
      <c r="AEG12" s="67">
        <f t="shared" si="322"/>
        <v>3500</v>
      </c>
      <c r="AEH12" s="68">
        <f t="shared" si="323"/>
        <v>583.33333333333337</v>
      </c>
      <c r="AEI12" s="48"/>
      <c r="AEJ12" s="49"/>
      <c r="AEK12" s="49"/>
      <c r="AEL12" s="49">
        <v>1747</v>
      </c>
      <c r="AEM12" s="49"/>
      <c r="AEN12" s="49"/>
      <c r="AEO12" s="67">
        <f t="shared" si="324"/>
        <v>1747</v>
      </c>
      <c r="AEP12" s="68">
        <f t="shared" si="325"/>
        <v>291.16666666666669</v>
      </c>
      <c r="AEQ12" s="48">
        <v>660</v>
      </c>
      <c r="AER12" s="49"/>
      <c r="AES12" s="49">
        <v>787</v>
      </c>
      <c r="AET12" s="49"/>
      <c r="AEU12" s="49">
        <v>660</v>
      </c>
      <c r="AEV12" s="49"/>
      <c r="AEW12" s="67">
        <f t="shared" si="326"/>
        <v>2107</v>
      </c>
      <c r="AEX12" s="68">
        <f t="shared" si="327"/>
        <v>351.16666666666669</v>
      </c>
      <c r="AEY12" s="48"/>
      <c r="AEZ12" s="49">
        <v>440</v>
      </c>
      <c r="AFA12" s="49"/>
      <c r="AFB12" s="49"/>
      <c r="AFC12" s="49"/>
      <c r="AFD12" s="49">
        <v>1320</v>
      </c>
      <c r="AFE12" s="67">
        <f t="shared" si="328"/>
        <v>1760</v>
      </c>
      <c r="AFF12" s="68">
        <f t="shared" si="329"/>
        <v>293.33333333333331</v>
      </c>
      <c r="AFG12" s="48"/>
      <c r="AFH12" s="49">
        <v>220</v>
      </c>
      <c r="AFI12" s="49"/>
      <c r="AFJ12" s="49"/>
      <c r="AFK12" s="49">
        <v>1648</v>
      </c>
      <c r="AFL12" s="49"/>
      <c r="AFM12" s="67">
        <f t="shared" si="330"/>
        <v>1868</v>
      </c>
      <c r="AFN12" s="68">
        <f t="shared" si="331"/>
        <v>311.33333333333331</v>
      </c>
      <c r="AFO12" s="48">
        <v>443</v>
      </c>
      <c r="AFP12" s="49">
        <v>440</v>
      </c>
      <c r="AFQ12" s="49"/>
      <c r="AFR12" s="49"/>
      <c r="AFS12" s="49"/>
      <c r="AFT12" s="49">
        <v>898</v>
      </c>
      <c r="AFU12" s="67">
        <f t="shared" si="332"/>
        <v>1781</v>
      </c>
      <c r="AFV12" s="68">
        <f t="shared" si="333"/>
        <v>296.83333333333331</v>
      </c>
      <c r="AFW12" s="48"/>
      <c r="AFX12" s="49"/>
      <c r="AFY12" s="49"/>
      <c r="AFZ12" s="49">
        <v>1448</v>
      </c>
      <c r="AGA12" s="49">
        <v>1172</v>
      </c>
      <c r="AGB12" s="49"/>
      <c r="AGC12" s="67">
        <f t="shared" si="334"/>
        <v>2620</v>
      </c>
      <c r="AGD12" s="68">
        <f t="shared" si="335"/>
        <v>436.66666666666669</v>
      </c>
      <c r="AGE12" s="48">
        <v>430</v>
      </c>
      <c r="AGF12" s="49"/>
      <c r="AGG12" s="49"/>
      <c r="AGH12" s="49"/>
      <c r="AGI12" s="49">
        <v>877</v>
      </c>
      <c r="AGJ12" s="49"/>
      <c r="AGK12" s="67">
        <f t="shared" si="336"/>
        <v>1307</v>
      </c>
      <c r="AGL12" s="68">
        <f t="shared" si="337"/>
        <v>217.83333333333334</v>
      </c>
      <c r="AGM12" s="48"/>
      <c r="AGN12" s="49"/>
      <c r="AGO12" s="49">
        <v>1320</v>
      </c>
      <c r="AGP12" s="49"/>
      <c r="AGQ12" s="49">
        <v>838</v>
      </c>
      <c r="AGR12" s="49"/>
      <c r="AGS12" s="49"/>
      <c r="AGT12" s="67">
        <f t="shared" si="338"/>
        <v>2158</v>
      </c>
      <c r="AGU12" s="68">
        <f t="shared" si="339"/>
        <v>359.66666666666669</v>
      </c>
      <c r="AGV12" s="48">
        <v>440</v>
      </c>
      <c r="AGW12" s="49"/>
      <c r="AGX12" s="49"/>
      <c r="AGY12" s="49"/>
      <c r="AGZ12" s="49"/>
      <c r="AHA12" s="49">
        <v>330</v>
      </c>
      <c r="AHB12" s="67">
        <f t="shared" si="340"/>
        <v>770</v>
      </c>
      <c r="AHC12" s="68">
        <f t="shared" si="341"/>
        <v>26.551724137931036</v>
      </c>
      <c r="AHD12" s="48">
        <v>1101</v>
      </c>
      <c r="AHE12" s="49"/>
      <c r="AHF12" s="49"/>
      <c r="AHG12" s="49">
        <v>548</v>
      </c>
      <c r="AHH12" s="49"/>
      <c r="AHI12" s="49"/>
      <c r="AHJ12" s="67">
        <f t="shared" si="342"/>
        <v>1649</v>
      </c>
      <c r="AHK12" s="68">
        <f t="shared" si="343"/>
        <v>56.862068965517238</v>
      </c>
      <c r="AHL12" s="48"/>
      <c r="AHM12" s="49">
        <v>897</v>
      </c>
      <c r="AHN12" s="49"/>
      <c r="AHO12" s="49">
        <v>1380</v>
      </c>
      <c r="AHP12" s="49"/>
      <c r="AHQ12" s="49"/>
      <c r="AHR12" s="67">
        <f t="shared" si="344"/>
        <v>2277</v>
      </c>
      <c r="AHS12" s="68">
        <f t="shared" si="345"/>
        <v>78.517241379310349</v>
      </c>
      <c r="AHT12" s="48"/>
      <c r="AHU12" s="49"/>
      <c r="AHV12" s="49">
        <v>1682</v>
      </c>
      <c r="AHW12" s="49"/>
      <c r="AHX12" s="49">
        <v>849</v>
      </c>
      <c r="AHY12" s="49">
        <v>440</v>
      </c>
      <c r="AHZ12" s="67">
        <f t="shared" si="346"/>
        <v>2971</v>
      </c>
      <c r="AIA12" s="68">
        <f t="shared" si="347"/>
        <v>102.44827586206897</v>
      </c>
      <c r="AIB12" s="48"/>
      <c r="AIC12" s="49"/>
      <c r="AID12" s="49">
        <v>770</v>
      </c>
      <c r="AIE12" s="49"/>
      <c r="AIF12" s="49"/>
      <c r="AIG12" s="49"/>
      <c r="AIH12" s="67">
        <f t="shared" si="348"/>
        <v>770</v>
      </c>
      <c r="AII12" s="68">
        <f t="shared" si="349"/>
        <v>26.551724137931036</v>
      </c>
      <c r="AIJ12" s="48">
        <v>880</v>
      </c>
      <c r="AIK12" s="49"/>
      <c r="AIL12" s="49"/>
      <c r="AIM12" s="49"/>
      <c r="AIN12" s="49"/>
      <c r="AIO12" s="49">
        <v>228</v>
      </c>
      <c r="AIP12" s="67">
        <f t="shared" si="350"/>
        <v>1108</v>
      </c>
      <c r="AIQ12" s="68">
        <f t="shared" si="351"/>
        <v>38.206896551724135</v>
      </c>
      <c r="AIR12" s="48"/>
      <c r="AIS12" s="49"/>
      <c r="AIT12" s="49">
        <v>1837</v>
      </c>
      <c r="AIU12" s="49">
        <v>2576</v>
      </c>
      <c r="AIV12" s="49"/>
      <c r="AIW12" s="49"/>
      <c r="AIX12" s="67">
        <f t="shared" si="352"/>
        <v>4413</v>
      </c>
      <c r="AIY12" s="68">
        <f t="shared" si="353"/>
        <v>152.17241379310346</v>
      </c>
      <c r="AIZ12" s="48"/>
      <c r="AJA12" s="49"/>
      <c r="AJB12" s="49">
        <v>770</v>
      </c>
      <c r="AJC12" s="49">
        <v>1398</v>
      </c>
      <c r="AJD12" s="49"/>
      <c r="AJE12" s="49"/>
      <c r="AJF12" s="67">
        <f t="shared" si="354"/>
        <v>2168</v>
      </c>
      <c r="AJG12" s="68">
        <f t="shared" si="355"/>
        <v>74.758620689655174</v>
      </c>
      <c r="AJH12" s="48"/>
      <c r="AJI12" s="49"/>
      <c r="AJJ12" s="49"/>
      <c r="AJK12" s="49"/>
      <c r="AJL12" s="49">
        <v>844</v>
      </c>
      <c r="AJM12" s="49"/>
      <c r="AJN12" s="42">
        <f t="shared" si="356"/>
        <v>844</v>
      </c>
      <c r="AJO12" s="43">
        <f t="shared" si="357"/>
        <v>29.103448275862068</v>
      </c>
      <c r="AJP12" s="48">
        <v>900</v>
      </c>
      <c r="AJQ12" s="49"/>
      <c r="AJR12" s="49">
        <v>1760</v>
      </c>
      <c r="AJS12" s="49">
        <v>340</v>
      </c>
      <c r="AJT12" s="49">
        <v>220</v>
      </c>
      <c r="AJU12" s="49">
        <v>549</v>
      </c>
      <c r="AJV12" s="42">
        <f t="shared" si="358"/>
        <v>3769</v>
      </c>
      <c r="AJW12" s="43">
        <f t="shared" si="359"/>
        <v>129.9655172413793</v>
      </c>
      <c r="AJX12" s="48">
        <v>440</v>
      </c>
      <c r="AJY12" s="49"/>
      <c r="AJZ12" s="49"/>
      <c r="AKA12" s="49"/>
      <c r="AKB12" s="49">
        <v>1330</v>
      </c>
      <c r="AKC12" s="49"/>
      <c r="AKD12" s="67">
        <f t="shared" si="360"/>
        <v>1770</v>
      </c>
      <c r="AKE12" s="68">
        <f t="shared" si="361"/>
        <v>61.03448275862069</v>
      </c>
      <c r="AKF12" s="48">
        <v>1252</v>
      </c>
      <c r="AKG12" s="49"/>
      <c r="AKH12" s="49">
        <v>671</v>
      </c>
      <c r="AKI12" s="49"/>
      <c r="AKJ12" s="49"/>
      <c r="AKK12" s="49"/>
      <c r="AKL12" s="67">
        <f t="shared" si="362"/>
        <v>1923</v>
      </c>
      <c r="AKM12" s="184">
        <f t="shared" si="363"/>
        <v>320.5</v>
      </c>
      <c r="AKN12" s="195"/>
      <c r="AKO12" s="49">
        <v>550</v>
      </c>
      <c r="AKP12" s="49">
        <v>1100</v>
      </c>
      <c r="AKQ12" s="49"/>
      <c r="AKR12" s="49"/>
      <c r="AKS12" s="49"/>
      <c r="AKT12" s="67">
        <f t="shared" si="364"/>
        <v>1650</v>
      </c>
      <c r="AKU12" s="184">
        <f t="shared" si="365"/>
        <v>275</v>
      </c>
      <c r="AKV12" s="48">
        <v>880</v>
      </c>
      <c r="AKW12" s="49"/>
      <c r="AKX12" s="49">
        <v>1320</v>
      </c>
      <c r="AKY12" s="49"/>
      <c r="AKZ12" s="49"/>
      <c r="ALA12" s="49"/>
      <c r="ALB12" s="67">
        <f t="shared" si="366"/>
        <v>2200</v>
      </c>
      <c r="ALC12" s="68">
        <f t="shared" si="367"/>
        <v>366.66666666666669</v>
      </c>
      <c r="ALD12" s="48"/>
      <c r="ALE12" s="49">
        <v>770</v>
      </c>
      <c r="ALF12" s="49"/>
      <c r="ALG12" s="49"/>
      <c r="ALH12" s="49">
        <v>880</v>
      </c>
      <c r="ALI12" s="49"/>
      <c r="ALJ12" s="67">
        <f t="shared" si="368"/>
        <v>1650</v>
      </c>
      <c r="ALK12" s="68">
        <f t="shared" si="369"/>
        <v>275</v>
      </c>
      <c r="ALL12" s="48"/>
      <c r="ALM12" s="49">
        <v>440</v>
      </c>
      <c r="ALN12" s="49"/>
      <c r="ALO12" s="49"/>
      <c r="ALP12" s="49">
        <v>853</v>
      </c>
      <c r="ALQ12" s="49">
        <v>880</v>
      </c>
      <c r="ALR12" s="67">
        <f t="shared" si="370"/>
        <v>2173</v>
      </c>
      <c r="ALS12" s="68">
        <f t="shared" si="371"/>
        <v>362.16666666666669</v>
      </c>
      <c r="ALT12" s="48"/>
      <c r="ALU12" s="49"/>
      <c r="ALV12" s="49"/>
      <c r="ALW12" s="49">
        <v>427</v>
      </c>
      <c r="ALX12" s="49"/>
      <c r="ALY12" s="49">
        <v>1100</v>
      </c>
      <c r="ALZ12" s="67">
        <f t="shared" si="372"/>
        <v>1527</v>
      </c>
      <c r="AMA12" s="68">
        <f t="shared" si="373"/>
        <v>254.5</v>
      </c>
      <c r="AMB12" s="48"/>
      <c r="AMC12" s="49"/>
      <c r="AMD12" s="49"/>
      <c r="AME12" s="49"/>
      <c r="AMF12" s="49">
        <v>1014</v>
      </c>
      <c r="AMG12" s="49"/>
      <c r="AMH12" s="67">
        <f t="shared" si="374"/>
        <v>1014</v>
      </c>
      <c r="AMI12" s="68">
        <f t="shared" si="375"/>
        <v>169</v>
      </c>
      <c r="AMJ12" s="48"/>
      <c r="AMK12" s="49"/>
      <c r="AML12" s="49"/>
      <c r="AMM12" s="49"/>
      <c r="AMN12" s="49"/>
      <c r="AMO12" s="49">
        <v>1298</v>
      </c>
      <c r="AMP12" s="67">
        <f t="shared" si="376"/>
        <v>1298</v>
      </c>
      <c r="AMQ12" s="68">
        <f t="shared" si="377"/>
        <v>216.33333333333334</v>
      </c>
      <c r="AMR12" s="48"/>
      <c r="AMS12" s="49"/>
      <c r="AMT12" s="49"/>
      <c r="AMU12" s="49"/>
      <c r="AMV12" s="49">
        <v>1287</v>
      </c>
      <c r="AMW12" s="49">
        <v>861</v>
      </c>
      <c r="AMX12" s="67">
        <f t="shared" si="378"/>
        <v>2148</v>
      </c>
      <c r="AMY12" s="68">
        <f t="shared" si="379"/>
        <v>358</v>
      </c>
      <c r="AMZ12" s="48"/>
      <c r="ANA12" s="49"/>
      <c r="ANB12" s="49"/>
      <c r="ANC12" s="49"/>
      <c r="AND12" s="49"/>
      <c r="ANE12" s="49">
        <v>470</v>
      </c>
      <c r="ANF12" s="67">
        <f t="shared" si="380"/>
        <v>470</v>
      </c>
      <c r="ANG12" s="68">
        <f t="shared" si="381"/>
        <v>78.333333333333329</v>
      </c>
      <c r="ANH12" s="48"/>
      <c r="ANI12" s="49">
        <v>396</v>
      </c>
      <c r="ANJ12" s="49"/>
      <c r="ANK12" s="49"/>
      <c r="ANL12" s="49"/>
      <c r="ANM12" s="49">
        <v>220</v>
      </c>
      <c r="ANN12" s="67">
        <f t="shared" si="382"/>
        <v>616</v>
      </c>
      <c r="ANO12" s="68">
        <f t="shared" si="383"/>
        <v>102.66666666666667</v>
      </c>
      <c r="ANP12" s="48">
        <v>660</v>
      </c>
      <c r="ANQ12" s="49"/>
      <c r="ANR12" s="49">
        <v>420</v>
      </c>
      <c r="ANS12" s="49">
        <v>440</v>
      </c>
      <c r="ANT12" s="49"/>
      <c r="ANU12" s="49"/>
      <c r="ANV12" s="67">
        <f t="shared" si="384"/>
        <v>1520</v>
      </c>
      <c r="ANW12" s="68">
        <f t="shared" si="385"/>
        <v>253.33333333333334</v>
      </c>
      <c r="ANX12" s="82"/>
      <c r="ANY12" s="83">
        <v>1710</v>
      </c>
      <c r="ANZ12" s="83"/>
      <c r="AOA12" s="83"/>
      <c r="AOB12" s="83">
        <v>608</v>
      </c>
      <c r="AOC12" s="83"/>
      <c r="AOD12" s="67">
        <f t="shared" si="386"/>
        <v>2318</v>
      </c>
      <c r="AOE12" s="68">
        <f t="shared" si="387"/>
        <v>386.33333333333331</v>
      </c>
      <c r="AOF12" s="48">
        <v>440</v>
      </c>
      <c r="AOG12" s="49"/>
      <c r="AOH12" s="49">
        <v>550</v>
      </c>
      <c r="AOI12" s="49">
        <v>282</v>
      </c>
      <c r="AOJ12" s="49"/>
      <c r="AOK12" s="49">
        <v>823</v>
      </c>
      <c r="AOL12" s="67">
        <f t="shared" si="388"/>
        <v>2095</v>
      </c>
      <c r="AOM12" s="68">
        <f t="shared" si="389"/>
        <v>349.16666666666669</v>
      </c>
      <c r="AON12" s="48"/>
      <c r="AOO12" s="49">
        <v>1100</v>
      </c>
      <c r="AOP12" s="49"/>
      <c r="AOQ12" s="49">
        <v>1210</v>
      </c>
      <c r="AOR12" s="49"/>
      <c r="AOS12" s="49">
        <v>110</v>
      </c>
      <c r="AOT12" s="67">
        <f t="shared" si="390"/>
        <v>2420</v>
      </c>
      <c r="AOU12" s="68">
        <f t="shared" si="391"/>
        <v>403.33333333333331</v>
      </c>
      <c r="AOV12" s="48"/>
      <c r="AOW12" s="49">
        <v>880</v>
      </c>
      <c r="AOX12" s="49"/>
      <c r="AOY12" s="49">
        <v>1314</v>
      </c>
      <c r="AOZ12" s="49"/>
      <c r="APA12" s="49"/>
      <c r="APB12" s="67">
        <f t="shared" si="392"/>
        <v>2194</v>
      </c>
      <c r="APC12" s="68">
        <f t="shared" si="393"/>
        <v>365.66666666666669</v>
      </c>
      <c r="APD12" s="48"/>
      <c r="APE12" s="49"/>
      <c r="APF12" s="49"/>
      <c r="APG12" s="49"/>
      <c r="APH12" s="49">
        <v>550</v>
      </c>
      <c r="API12" s="49"/>
      <c r="APJ12" s="67">
        <f t="shared" si="394"/>
        <v>550</v>
      </c>
      <c r="APK12" s="68">
        <f t="shared" si="395"/>
        <v>91.666666666666671</v>
      </c>
      <c r="APL12" s="48">
        <v>330</v>
      </c>
      <c r="APM12" s="49"/>
      <c r="APN12" s="49"/>
      <c r="APO12" s="49"/>
      <c r="APP12" s="49"/>
      <c r="APQ12" s="49"/>
      <c r="APR12" s="67">
        <f t="shared" si="396"/>
        <v>330</v>
      </c>
      <c r="APS12" s="68">
        <f t="shared" si="397"/>
        <v>55</v>
      </c>
      <c r="APT12" s="48"/>
      <c r="APU12" s="49"/>
      <c r="APV12" s="49">
        <v>346</v>
      </c>
      <c r="APW12" s="49">
        <v>110</v>
      </c>
      <c r="APX12" s="49"/>
      <c r="APY12" s="49"/>
      <c r="APZ12" s="67">
        <f t="shared" si="398"/>
        <v>456</v>
      </c>
      <c r="AQA12" s="68">
        <f t="shared" si="399"/>
        <v>76</v>
      </c>
      <c r="AQB12" s="48">
        <v>1760</v>
      </c>
      <c r="AQC12" s="49"/>
      <c r="AQD12" s="49"/>
      <c r="AQE12" s="49"/>
      <c r="AQF12" s="49"/>
      <c r="AQG12" s="49">
        <v>1320</v>
      </c>
      <c r="AQH12" s="67">
        <f t="shared" si="400"/>
        <v>3080</v>
      </c>
      <c r="AQI12" s="68">
        <f t="shared" si="401"/>
        <v>513.33333333333337</v>
      </c>
      <c r="AQJ12" s="48"/>
      <c r="AQK12" s="49"/>
      <c r="AQL12" s="49"/>
      <c r="AQM12" s="49">
        <v>487</v>
      </c>
      <c r="AQN12" s="49">
        <v>880</v>
      </c>
      <c r="AQO12" s="49"/>
      <c r="AQP12" s="67">
        <f t="shared" si="402"/>
        <v>1367</v>
      </c>
      <c r="AQQ12" s="68">
        <f t="shared" si="403"/>
        <v>227.83333333333334</v>
      </c>
      <c r="AQR12" s="48"/>
      <c r="AQS12" s="49"/>
      <c r="AQT12" s="49">
        <v>880</v>
      </c>
      <c r="AQU12" s="49"/>
      <c r="AQV12" s="49"/>
      <c r="AQW12" s="49">
        <v>1320</v>
      </c>
      <c r="AQX12" s="67">
        <f t="shared" si="404"/>
        <v>2200</v>
      </c>
      <c r="AQY12" s="68">
        <f t="shared" si="405"/>
        <v>366.66666666666669</v>
      </c>
      <c r="AQZ12" s="48">
        <v>1320</v>
      </c>
      <c r="ARA12" s="49"/>
      <c r="ARB12" s="49"/>
      <c r="ARC12" s="49">
        <v>1100</v>
      </c>
      <c r="ARD12" s="49"/>
      <c r="ARE12" s="49">
        <v>400</v>
      </c>
      <c r="ARF12" s="67">
        <f t="shared" si="406"/>
        <v>2820</v>
      </c>
      <c r="ARG12" s="68">
        <f t="shared" si="407"/>
        <v>470</v>
      </c>
      <c r="ARH12" s="48">
        <v>440</v>
      </c>
      <c r="ARI12" s="49"/>
      <c r="ARJ12" s="49"/>
      <c r="ARK12" s="49"/>
      <c r="ARL12" s="49">
        <v>135</v>
      </c>
      <c r="ARM12" s="49">
        <v>262</v>
      </c>
      <c r="ARN12" s="67">
        <f t="shared" si="408"/>
        <v>837</v>
      </c>
      <c r="ARO12" s="68">
        <f t="shared" si="409"/>
        <v>139.5</v>
      </c>
      <c r="ARP12" s="48"/>
      <c r="ARQ12" s="49"/>
      <c r="ARR12" s="49">
        <v>880</v>
      </c>
      <c r="ARS12" s="49"/>
      <c r="ART12" s="49"/>
      <c r="ARU12" s="49"/>
      <c r="ARV12" s="67">
        <f t="shared" si="410"/>
        <v>880</v>
      </c>
      <c r="ARW12" s="68">
        <f t="shared" si="411"/>
        <v>146.66666666666666</v>
      </c>
      <c r="ARX12" s="48"/>
      <c r="ARY12" s="49">
        <v>1100</v>
      </c>
      <c r="ARZ12" s="49"/>
      <c r="ASA12" s="49"/>
      <c r="ASB12" s="49"/>
      <c r="ASC12" s="49"/>
      <c r="ASD12" s="67">
        <f t="shared" si="412"/>
        <v>1100</v>
      </c>
      <c r="ASE12" s="68">
        <f t="shared" si="413"/>
        <v>183.33333333333334</v>
      </c>
      <c r="ASF12" s="48">
        <v>1210</v>
      </c>
      <c r="ASG12" s="49">
        <v>550</v>
      </c>
      <c r="ASH12" s="49"/>
      <c r="ASI12" s="49"/>
      <c r="ASJ12" s="49"/>
      <c r="ASK12" s="49"/>
      <c r="ASL12" s="67">
        <f t="shared" si="414"/>
        <v>1760</v>
      </c>
      <c r="ASM12" s="68">
        <f t="shared" si="415"/>
        <v>293.33333333333331</v>
      </c>
      <c r="ASN12" s="48">
        <v>696</v>
      </c>
      <c r="ASO12" s="49">
        <v>1089</v>
      </c>
      <c r="ASP12" s="49"/>
      <c r="ASQ12" s="49">
        <v>880</v>
      </c>
      <c r="ASR12" s="49"/>
      <c r="ASS12" s="49"/>
      <c r="AST12" s="67">
        <f t="shared" si="416"/>
        <v>2665</v>
      </c>
      <c r="ASU12" s="68">
        <f t="shared" si="417"/>
        <v>444.16666666666669</v>
      </c>
      <c r="ASV12" s="48"/>
      <c r="ASW12" s="49"/>
      <c r="ASX12" s="49">
        <v>880</v>
      </c>
      <c r="ASY12" s="49"/>
      <c r="ASZ12" s="49"/>
      <c r="ATA12" s="49">
        <v>607</v>
      </c>
      <c r="ATB12" s="67">
        <f t="shared" si="418"/>
        <v>1487</v>
      </c>
      <c r="ATC12" s="68">
        <f t="shared" si="419"/>
        <v>247.83333333333334</v>
      </c>
      <c r="ATD12" s="48"/>
      <c r="ATE12" s="49"/>
      <c r="ATF12" s="49"/>
      <c r="ATG12" s="49"/>
      <c r="ATH12" s="49">
        <v>660</v>
      </c>
      <c r="ATI12" s="49"/>
      <c r="ATJ12" s="67">
        <f t="shared" si="420"/>
        <v>660</v>
      </c>
      <c r="ATK12" s="68">
        <f t="shared" si="421"/>
        <v>110</v>
      </c>
      <c r="ATL12" s="48"/>
      <c r="ATM12" s="49"/>
      <c r="ATN12" s="49">
        <v>880</v>
      </c>
      <c r="ATO12" s="49"/>
      <c r="ATP12" s="49"/>
      <c r="ATQ12" s="49">
        <v>440</v>
      </c>
      <c r="ATR12" s="67">
        <f t="shared" si="422"/>
        <v>1320</v>
      </c>
      <c r="ATS12" s="68">
        <f t="shared" si="423"/>
        <v>220</v>
      </c>
      <c r="ATT12" s="48">
        <v>880</v>
      </c>
      <c r="ATU12" s="49"/>
      <c r="ATV12" s="49">
        <v>880</v>
      </c>
      <c r="ATW12" s="49"/>
      <c r="ATX12" s="49">
        <v>440</v>
      </c>
      <c r="ATY12" s="49"/>
      <c r="ATZ12" s="67">
        <f t="shared" si="424"/>
        <v>2200</v>
      </c>
      <c r="AUA12" s="68">
        <f t="shared" si="425"/>
        <v>366.66666666666669</v>
      </c>
      <c r="AUB12" s="48"/>
      <c r="AUC12" s="49"/>
      <c r="AUD12" s="49">
        <v>440</v>
      </c>
      <c r="AUE12" s="49"/>
      <c r="AUF12" s="49">
        <v>1320</v>
      </c>
      <c r="AUG12" s="49"/>
      <c r="AUH12" s="67">
        <f t="shared" si="426"/>
        <v>1760</v>
      </c>
      <c r="AUI12" s="68">
        <f t="shared" si="427"/>
        <v>293.33333333333331</v>
      </c>
      <c r="AUJ12" s="48"/>
      <c r="AUK12" s="49">
        <v>880</v>
      </c>
      <c r="AUL12" s="49"/>
      <c r="AUM12" s="49"/>
      <c r="AUN12" s="49"/>
      <c r="AUO12" s="49"/>
      <c r="AUP12" s="67">
        <f t="shared" si="428"/>
        <v>880</v>
      </c>
      <c r="AUQ12" s="68">
        <f t="shared" si="429"/>
        <v>146.66666666666666</v>
      </c>
      <c r="AUR12" s="48"/>
      <c r="AUS12" s="49">
        <v>880</v>
      </c>
      <c r="AUT12" s="49"/>
      <c r="AUU12" s="49"/>
      <c r="AUV12" s="49">
        <v>880</v>
      </c>
      <c r="AUW12" s="49"/>
      <c r="AUX12" s="67">
        <f t="shared" si="430"/>
        <v>1760</v>
      </c>
      <c r="AUY12" s="68">
        <f t="shared" si="431"/>
        <v>293.33333333333331</v>
      </c>
      <c r="AUZ12" s="48"/>
      <c r="AVA12" s="49"/>
      <c r="AVB12" s="49">
        <v>880</v>
      </c>
      <c r="AVC12" s="49"/>
      <c r="AVD12" s="49"/>
      <c r="AVE12" s="49">
        <v>550</v>
      </c>
      <c r="AVF12" s="67">
        <f t="shared" si="432"/>
        <v>1430</v>
      </c>
      <c r="AVG12" s="68">
        <f t="shared" si="433"/>
        <v>238.33333333333334</v>
      </c>
      <c r="AVH12" s="48"/>
      <c r="AVI12" s="49"/>
      <c r="AVJ12" s="49">
        <v>1213</v>
      </c>
      <c r="AVK12" s="49"/>
      <c r="AVL12" s="49"/>
      <c r="AVM12" s="49"/>
      <c r="AVN12" s="67">
        <f t="shared" si="434"/>
        <v>1213</v>
      </c>
      <c r="AVO12" s="68">
        <f t="shared" si="435"/>
        <v>202.16666666666666</v>
      </c>
      <c r="AVP12" s="48">
        <v>876</v>
      </c>
      <c r="AVQ12" s="49"/>
      <c r="AVR12" s="49">
        <v>440</v>
      </c>
      <c r="AVS12" s="49"/>
      <c r="AVT12" s="49">
        <v>440</v>
      </c>
      <c r="AVU12" s="49"/>
      <c r="AVV12" s="67">
        <f t="shared" si="436"/>
        <v>1756</v>
      </c>
      <c r="AVW12" s="68">
        <f t="shared" si="437"/>
        <v>292.66666666666669</v>
      </c>
      <c r="AVX12" s="48"/>
      <c r="AVY12" s="49"/>
      <c r="AVZ12" s="49">
        <v>148</v>
      </c>
      <c r="AWA12" s="49"/>
      <c r="AWB12" s="49">
        <v>1321</v>
      </c>
      <c r="AWC12" s="49"/>
      <c r="AWD12" s="67">
        <f t="shared" si="438"/>
        <v>1469</v>
      </c>
      <c r="AWE12" s="68">
        <f t="shared" si="439"/>
        <v>244.83333333333334</v>
      </c>
      <c r="AWF12" s="48">
        <v>880</v>
      </c>
      <c r="AWG12" s="49"/>
      <c r="AWH12" s="49"/>
      <c r="AWI12" s="49">
        <v>440</v>
      </c>
      <c r="AWJ12" s="49"/>
      <c r="AWK12" s="49"/>
      <c r="AWL12" s="67">
        <f t="shared" si="440"/>
        <v>1320</v>
      </c>
      <c r="AWM12" s="68">
        <f t="shared" si="441"/>
        <v>220</v>
      </c>
      <c r="AWN12" s="48"/>
      <c r="AWO12" s="49">
        <v>880</v>
      </c>
      <c r="AWP12" s="49"/>
      <c r="AWQ12" s="49">
        <v>880</v>
      </c>
      <c r="AWR12" s="49"/>
      <c r="AWS12" s="49"/>
      <c r="AWT12" s="42">
        <f t="shared" si="442"/>
        <v>1760</v>
      </c>
      <c r="AWU12" s="43">
        <f t="shared" si="443"/>
        <v>293.33333333333331</v>
      </c>
      <c r="AWV12" s="48">
        <v>220</v>
      </c>
      <c r="AWW12" s="49">
        <v>440</v>
      </c>
      <c r="AWX12" s="49"/>
      <c r="AWY12" s="49"/>
      <c r="AWZ12" s="49">
        <v>990</v>
      </c>
      <c r="AXA12" s="49"/>
      <c r="AXB12" s="42">
        <f t="shared" si="444"/>
        <v>1650</v>
      </c>
      <c r="AXC12" s="43">
        <f t="shared" si="445"/>
        <v>275</v>
      </c>
      <c r="AXD12" s="48">
        <v>1320</v>
      </c>
      <c r="AXE12" s="49"/>
      <c r="AXF12" s="49">
        <v>2</v>
      </c>
      <c r="AXG12" s="49"/>
      <c r="AXH12" s="49"/>
      <c r="AXI12" s="49"/>
      <c r="AXJ12" s="42">
        <f t="shared" si="446"/>
        <v>1322</v>
      </c>
      <c r="AXK12" s="43">
        <f t="shared" si="447"/>
        <v>220.33333333333334</v>
      </c>
      <c r="AXL12" s="48"/>
      <c r="AXM12" s="49">
        <v>880</v>
      </c>
      <c r="AXN12" s="49"/>
      <c r="AXO12" s="49"/>
      <c r="AXP12" s="49">
        <v>1100</v>
      </c>
      <c r="AXQ12" s="49"/>
      <c r="AXR12" s="42">
        <f t="shared" si="448"/>
        <v>1980</v>
      </c>
      <c r="AXS12" s="43">
        <f t="shared" si="449"/>
        <v>330</v>
      </c>
      <c r="AXT12" s="48"/>
      <c r="AXU12" s="49">
        <v>889</v>
      </c>
      <c r="AXV12" s="49">
        <v>880</v>
      </c>
      <c r="AXW12" s="49"/>
      <c r="AXX12" s="49"/>
      <c r="AXY12" s="49"/>
      <c r="AXZ12" s="42">
        <f t="shared" si="450"/>
        <v>1769</v>
      </c>
      <c r="AYA12" s="43">
        <f t="shared" si="451"/>
        <v>294.83333333333331</v>
      </c>
      <c r="AYB12" s="48">
        <v>889</v>
      </c>
      <c r="AYC12" s="49"/>
      <c r="AYD12" s="49"/>
      <c r="AYE12" s="49"/>
      <c r="AYF12" s="49">
        <v>440</v>
      </c>
      <c r="AYG12" s="49">
        <v>440</v>
      </c>
      <c r="AYH12" s="42">
        <f t="shared" si="452"/>
        <v>1769</v>
      </c>
      <c r="AYI12" s="43">
        <f t="shared" si="453"/>
        <v>294.83333333333331</v>
      </c>
      <c r="AYJ12" s="48"/>
      <c r="AYK12" s="49">
        <v>1656</v>
      </c>
      <c r="AYL12" s="49"/>
      <c r="AYM12" s="49"/>
      <c r="AYN12" s="49"/>
      <c r="AYO12" s="49"/>
      <c r="AYP12" s="42">
        <f t="shared" si="454"/>
        <v>1656</v>
      </c>
      <c r="AYQ12" s="43">
        <f t="shared" si="455"/>
        <v>276</v>
      </c>
      <c r="AYR12" s="48"/>
      <c r="AYS12" s="49"/>
      <c r="AYT12" s="49"/>
      <c r="AYU12" s="49"/>
      <c r="AYV12" s="49"/>
      <c r="AYW12" s="49">
        <v>881</v>
      </c>
      <c r="AYX12" s="42">
        <f t="shared" si="456"/>
        <v>881</v>
      </c>
      <c r="AYY12" s="43">
        <f t="shared" si="457"/>
        <v>146.83333333333334</v>
      </c>
      <c r="AYZ12" s="48"/>
      <c r="AZA12" s="49"/>
      <c r="AZB12" s="49">
        <v>929</v>
      </c>
      <c r="AZC12" s="49"/>
      <c r="AZD12" s="49"/>
      <c r="AZE12" s="49"/>
      <c r="AZF12" s="42">
        <f t="shared" si="458"/>
        <v>929</v>
      </c>
      <c r="AZG12" s="43">
        <f t="shared" si="459"/>
        <v>154.83333333333334</v>
      </c>
      <c r="AZH12" s="48"/>
      <c r="AZI12" s="49"/>
      <c r="AZJ12" s="49"/>
      <c r="AZK12" s="49">
        <v>897</v>
      </c>
      <c r="AZL12" s="49"/>
      <c r="AZM12" s="49"/>
      <c r="AZN12" s="42">
        <f t="shared" si="460"/>
        <v>897</v>
      </c>
      <c r="AZO12" s="43">
        <f t="shared" si="461"/>
        <v>149.5</v>
      </c>
      <c r="AZP12" s="48">
        <v>1100</v>
      </c>
      <c r="AZQ12" s="49">
        <v>550</v>
      </c>
      <c r="AZR12" s="49">
        <v>550</v>
      </c>
      <c r="AZS12" s="49">
        <v>461</v>
      </c>
      <c r="AZT12" s="49"/>
      <c r="AZU12" s="49"/>
      <c r="AZV12" s="42">
        <f t="shared" si="462"/>
        <v>2661</v>
      </c>
      <c r="AZW12" s="43">
        <f t="shared" si="463"/>
        <v>443.5</v>
      </c>
      <c r="AZX12" s="82"/>
      <c r="AZY12" s="83"/>
      <c r="AZZ12" s="83">
        <v>453</v>
      </c>
      <c r="BAA12" s="83"/>
      <c r="BAB12" s="83"/>
      <c r="BAC12" s="83"/>
      <c r="BAD12" s="42">
        <f t="shared" si="464"/>
        <v>453</v>
      </c>
      <c r="BAE12" s="43">
        <f t="shared" si="465"/>
        <v>75.5</v>
      </c>
      <c r="BAF12" s="48">
        <v>880</v>
      </c>
      <c r="BAG12" s="49"/>
      <c r="BAH12" s="49"/>
      <c r="BAI12" s="49"/>
      <c r="BAJ12" s="49">
        <v>880</v>
      </c>
      <c r="BAK12" s="49"/>
      <c r="BAL12" s="42">
        <f t="shared" si="466"/>
        <v>1760</v>
      </c>
      <c r="BAM12" s="43">
        <f t="shared" si="467"/>
        <v>293.33333333333331</v>
      </c>
      <c r="BAN12" s="48"/>
      <c r="BAO12" s="49"/>
      <c r="BAP12" s="49"/>
      <c r="BAQ12" s="49"/>
      <c r="BAR12" s="49">
        <v>880</v>
      </c>
      <c r="BAS12" s="49"/>
      <c r="BAT12" s="42">
        <f t="shared" si="468"/>
        <v>880</v>
      </c>
      <c r="BAU12" s="43">
        <f t="shared" si="469"/>
        <v>146.66666666666666</v>
      </c>
      <c r="BAV12" s="48"/>
      <c r="BAW12" s="49"/>
      <c r="BAX12" s="49"/>
      <c r="BAY12" s="49"/>
      <c r="BAZ12" s="49">
        <v>440</v>
      </c>
      <c r="BBA12" s="49"/>
      <c r="BBB12" s="42">
        <f t="shared" si="470"/>
        <v>440</v>
      </c>
      <c r="BBC12" s="43">
        <f t="shared" si="471"/>
        <v>73.333333333333329</v>
      </c>
      <c r="BBD12" s="48">
        <v>364</v>
      </c>
      <c r="BBE12" s="49">
        <v>880</v>
      </c>
      <c r="BBF12" s="49"/>
      <c r="BBG12" s="49"/>
      <c r="BBH12" s="49"/>
      <c r="BBI12" s="49">
        <v>378</v>
      </c>
      <c r="BBJ12" s="42">
        <f t="shared" si="472"/>
        <v>1622</v>
      </c>
      <c r="BBK12" s="43">
        <f t="shared" si="473"/>
        <v>270.33333333333331</v>
      </c>
      <c r="BBL12" s="48">
        <v>440</v>
      </c>
      <c r="BBM12" s="49">
        <v>519</v>
      </c>
      <c r="BBN12" s="49">
        <v>432</v>
      </c>
      <c r="BBO12" s="49"/>
      <c r="BBP12" s="49"/>
      <c r="BBQ12" s="49"/>
      <c r="BBR12" s="42">
        <f t="shared" si="474"/>
        <v>1391</v>
      </c>
      <c r="BBS12" s="43">
        <f t="shared" si="475"/>
        <v>231.83333333333334</v>
      </c>
      <c r="BBT12" s="48"/>
      <c r="BBU12" s="49"/>
      <c r="BBV12" s="49">
        <v>1069</v>
      </c>
      <c r="BBW12" s="49">
        <v>440</v>
      </c>
      <c r="BBX12" s="49"/>
      <c r="BBY12" s="49">
        <v>1055</v>
      </c>
      <c r="BBZ12" s="42">
        <f t="shared" si="476"/>
        <v>2564</v>
      </c>
      <c r="BCA12" s="43">
        <f t="shared" si="477"/>
        <v>427.33333333333331</v>
      </c>
      <c r="BCB12" s="48"/>
      <c r="BCC12" s="49"/>
      <c r="BCD12" s="49"/>
      <c r="BCE12" s="49"/>
      <c r="BCF12" s="49"/>
      <c r="BCG12" s="49"/>
      <c r="BCH12" s="42">
        <f t="shared" si="478"/>
        <v>0</v>
      </c>
      <c r="BCI12" s="43">
        <f t="shared" si="479"/>
        <v>0</v>
      </c>
      <c r="BCJ12" s="48"/>
      <c r="BCK12" s="49">
        <v>330</v>
      </c>
      <c r="BCL12" s="49">
        <v>572</v>
      </c>
      <c r="BCM12" s="49"/>
      <c r="BCN12" s="49"/>
      <c r="BCO12" s="49"/>
      <c r="BCP12" s="42">
        <f t="shared" si="480"/>
        <v>902</v>
      </c>
      <c r="BCQ12" s="43">
        <f t="shared" si="481"/>
        <v>150.33333333333334</v>
      </c>
      <c r="BCR12" s="48"/>
      <c r="BCS12" s="49"/>
      <c r="BCT12" s="49"/>
      <c r="BCU12" s="49">
        <v>445</v>
      </c>
      <c r="BCV12" s="49"/>
      <c r="BCW12" s="49">
        <v>476</v>
      </c>
      <c r="BCX12" s="42">
        <f t="shared" si="482"/>
        <v>921</v>
      </c>
      <c r="BCY12" s="43">
        <f t="shared" si="483"/>
        <v>153.5</v>
      </c>
      <c r="BCZ12" s="48"/>
      <c r="BDA12" s="49">
        <v>440</v>
      </c>
      <c r="BDB12" s="49"/>
      <c r="BDC12" s="49"/>
      <c r="BDD12" s="49"/>
      <c r="BDE12" s="49"/>
      <c r="BDF12" s="42">
        <f t="shared" si="484"/>
        <v>440</v>
      </c>
      <c r="BDG12" s="43">
        <f t="shared" si="485"/>
        <v>73.333333333333329</v>
      </c>
      <c r="BDH12" s="48"/>
      <c r="BDI12" s="49">
        <v>433</v>
      </c>
      <c r="BDJ12" s="49"/>
      <c r="BDK12" s="49"/>
      <c r="BDL12" s="49"/>
      <c r="BDM12" s="49"/>
      <c r="BDN12" s="42">
        <f t="shared" si="486"/>
        <v>433</v>
      </c>
      <c r="BDO12" s="43">
        <f t="shared" si="487"/>
        <v>72.166666666666671</v>
      </c>
      <c r="BDP12" s="48">
        <v>934</v>
      </c>
      <c r="BDQ12" s="49"/>
      <c r="BDR12" s="49"/>
      <c r="BDS12" s="49"/>
      <c r="BDT12" s="49">
        <v>906</v>
      </c>
      <c r="BDU12" s="49">
        <v>872</v>
      </c>
      <c r="BDV12" s="42">
        <f t="shared" si="488"/>
        <v>2712</v>
      </c>
      <c r="BDW12" s="43">
        <f t="shared" si="489"/>
        <v>452</v>
      </c>
      <c r="BDX12" s="48"/>
      <c r="BDY12" s="49"/>
      <c r="BDZ12" s="49"/>
      <c r="BEA12" s="49"/>
      <c r="BEB12" s="49"/>
      <c r="BEC12" s="49"/>
      <c r="BED12" s="42">
        <f t="shared" si="490"/>
        <v>0</v>
      </c>
      <c r="BEE12" s="43">
        <f t="shared" si="491"/>
        <v>0</v>
      </c>
      <c r="BEF12" s="48"/>
      <c r="BEG12" s="49"/>
      <c r="BEH12" s="49">
        <v>440</v>
      </c>
      <c r="BEI12" s="49">
        <v>220</v>
      </c>
      <c r="BEJ12" s="49"/>
      <c r="BEK12" s="49"/>
      <c r="BEL12" s="42">
        <f t="shared" si="492"/>
        <v>660</v>
      </c>
      <c r="BEM12" s="43">
        <f t="shared" si="493"/>
        <v>110</v>
      </c>
      <c r="BEN12" s="48"/>
      <c r="BEO12" s="49">
        <v>440</v>
      </c>
      <c r="BEP12" s="49"/>
      <c r="BEQ12" s="49">
        <v>440</v>
      </c>
      <c r="BER12" s="49"/>
      <c r="BES12" s="49"/>
      <c r="BET12" s="42">
        <f t="shared" si="494"/>
        <v>880</v>
      </c>
      <c r="BEU12" s="43">
        <f t="shared" si="495"/>
        <v>146.66666666666666</v>
      </c>
      <c r="BEV12" s="82"/>
      <c r="BEW12" s="83">
        <v>959</v>
      </c>
      <c r="BEX12" s="83">
        <v>450</v>
      </c>
      <c r="BEY12" s="83">
        <v>220</v>
      </c>
      <c r="BEZ12" s="83"/>
      <c r="BFA12" s="83"/>
      <c r="BFB12" s="42">
        <f t="shared" si="496"/>
        <v>1629</v>
      </c>
      <c r="BFC12" s="43">
        <f t="shared" si="497"/>
        <v>271.5</v>
      </c>
      <c r="BFD12" s="48">
        <v>466</v>
      </c>
      <c r="BFE12" s="49"/>
      <c r="BFF12" s="49">
        <v>227</v>
      </c>
      <c r="BFG12" s="49">
        <v>220</v>
      </c>
      <c r="BFH12" s="49"/>
      <c r="BFI12" s="49">
        <v>440</v>
      </c>
      <c r="BFJ12" s="42">
        <f t="shared" si="498"/>
        <v>1353</v>
      </c>
      <c r="BFK12" s="43">
        <f t="shared" si="499"/>
        <v>225.5</v>
      </c>
      <c r="BFL12" s="48"/>
      <c r="BFM12" s="49"/>
      <c r="BFN12" s="49">
        <v>550</v>
      </c>
      <c r="BFO12" s="49"/>
      <c r="BFP12" s="49"/>
      <c r="BFQ12" s="49"/>
      <c r="BFR12" s="42">
        <f t="shared" si="500"/>
        <v>550</v>
      </c>
      <c r="BFS12" s="43">
        <f t="shared" si="501"/>
        <v>91.666666666666671</v>
      </c>
      <c r="BFT12" s="48">
        <v>488</v>
      </c>
      <c r="BFU12" s="49">
        <v>159</v>
      </c>
      <c r="BFV12" s="49">
        <v>427</v>
      </c>
      <c r="BFW12" s="49">
        <v>217</v>
      </c>
      <c r="BFX12" s="49"/>
      <c r="BFY12" s="49"/>
      <c r="BFZ12" s="42">
        <f t="shared" si="502"/>
        <v>1291</v>
      </c>
      <c r="BGA12" s="43">
        <f t="shared" si="503"/>
        <v>215.16666666666666</v>
      </c>
      <c r="BGB12" s="48">
        <v>433</v>
      </c>
      <c r="BGC12" s="49"/>
      <c r="BGD12" s="49">
        <v>387</v>
      </c>
      <c r="BGE12" s="49"/>
      <c r="BGF12" s="49">
        <v>880</v>
      </c>
      <c r="BGG12" s="49"/>
      <c r="BGH12" s="42">
        <f t="shared" si="504"/>
        <v>1700</v>
      </c>
      <c r="BGI12" s="43">
        <f t="shared" si="505"/>
        <v>283.33333333333331</v>
      </c>
      <c r="BGJ12" s="48"/>
      <c r="BGK12" s="49"/>
      <c r="BGL12" s="49">
        <v>795</v>
      </c>
      <c r="BGM12" s="49"/>
      <c r="BGN12" s="49"/>
      <c r="BGO12" s="49"/>
      <c r="BGP12" s="42">
        <f t="shared" si="506"/>
        <v>795</v>
      </c>
      <c r="BGQ12" s="43">
        <f t="shared" si="507"/>
        <v>132.5</v>
      </c>
      <c r="BGR12" s="48"/>
      <c r="BGS12" s="49"/>
      <c r="BGT12" s="49">
        <v>1362</v>
      </c>
      <c r="BGU12" s="49"/>
      <c r="BGV12" s="49"/>
      <c r="BGW12" s="49"/>
      <c r="BGX12" s="42">
        <f t="shared" si="508"/>
        <v>1362</v>
      </c>
      <c r="BGY12" s="43">
        <f t="shared" si="509"/>
        <v>227</v>
      </c>
      <c r="BGZ12" s="48">
        <v>429</v>
      </c>
      <c r="BHA12" s="49"/>
      <c r="BHB12" s="49"/>
      <c r="BHC12" s="49">
        <v>677</v>
      </c>
      <c r="BHD12" s="49"/>
      <c r="BHE12" s="49">
        <v>440</v>
      </c>
      <c r="BHF12" s="42">
        <f t="shared" si="510"/>
        <v>1546</v>
      </c>
      <c r="BHG12" s="43">
        <f t="shared" si="511"/>
        <v>257.66666666666669</v>
      </c>
      <c r="BHH12" s="63"/>
      <c r="BHI12" s="64">
        <v>440</v>
      </c>
      <c r="BHJ12" s="64"/>
      <c r="BHK12" s="64">
        <v>880</v>
      </c>
      <c r="BHL12" s="64"/>
      <c r="BHM12" s="64"/>
      <c r="BHN12" s="42">
        <f t="shared" si="512"/>
        <v>1320</v>
      </c>
      <c r="BHO12" s="43">
        <f t="shared" si="513"/>
        <v>220</v>
      </c>
      <c r="BHP12" s="48"/>
      <c r="BHQ12" s="49">
        <v>220</v>
      </c>
      <c r="BHR12" s="49"/>
      <c r="BHS12" s="49">
        <v>440</v>
      </c>
      <c r="BHT12" s="49"/>
      <c r="BHU12" s="49">
        <v>998</v>
      </c>
      <c r="BHV12" s="42">
        <f t="shared" si="514"/>
        <v>1658</v>
      </c>
      <c r="BHW12" s="43">
        <f t="shared" si="515"/>
        <v>276.33333333333331</v>
      </c>
      <c r="BHX12" s="48"/>
      <c r="BHY12" s="49"/>
      <c r="BHZ12" s="49"/>
      <c r="BIA12" s="49"/>
      <c r="BIB12" s="49">
        <v>440</v>
      </c>
      <c r="BIC12" s="49">
        <v>402</v>
      </c>
      <c r="BID12" s="42">
        <f t="shared" si="516"/>
        <v>842</v>
      </c>
      <c r="BIE12" s="43">
        <f t="shared" si="517"/>
        <v>140.33333333333334</v>
      </c>
      <c r="BIF12" s="48"/>
      <c r="BIG12" s="49"/>
      <c r="BIH12" s="49"/>
      <c r="BII12" s="49">
        <v>440</v>
      </c>
      <c r="BIJ12" s="49"/>
      <c r="BIK12" s="49"/>
      <c r="BIL12" s="42">
        <f t="shared" si="518"/>
        <v>440</v>
      </c>
      <c r="BIM12" s="43">
        <f t="shared" si="519"/>
        <v>73.333333333333329</v>
      </c>
      <c r="BIN12" s="48">
        <v>957</v>
      </c>
      <c r="BIO12" s="49"/>
      <c r="BIP12" s="49"/>
      <c r="BIQ12" s="49"/>
      <c r="BIR12" s="49">
        <v>882</v>
      </c>
      <c r="BIS12" s="49"/>
      <c r="BIT12" s="42">
        <f t="shared" si="520"/>
        <v>1839</v>
      </c>
      <c r="BIU12" s="43">
        <f t="shared" si="521"/>
        <v>306.5</v>
      </c>
      <c r="BIV12" s="48"/>
      <c r="BIW12" s="49"/>
      <c r="BIX12" s="49">
        <v>452</v>
      </c>
      <c r="BIY12" s="49"/>
      <c r="BIZ12" s="49">
        <v>440</v>
      </c>
      <c r="BJA12" s="49"/>
      <c r="BJB12" s="42">
        <f t="shared" si="522"/>
        <v>892</v>
      </c>
      <c r="BJC12" s="43">
        <f t="shared" si="523"/>
        <v>148.66666666666666</v>
      </c>
      <c r="BJD12" s="48"/>
      <c r="BJE12" s="49"/>
      <c r="BJF12" s="49">
        <v>422</v>
      </c>
      <c r="BJG12" s="49"/>
      <c r="BJH12" s="49"/>
      <c r="BJI12" s="49">
        <v>440</v>
      </c>
      <c r="BJJ12" s="42">
        <f t="shared" si="524"/>
        <v>862</v>
      </c>
      <c r="BJK12" s="43">
        <f t="shared" si="525"/>
        <v>143.66666666666666</v>
      </c>
      <c r="BJL12" s="48"/>
      <c r="BJM12" s="49">
        <v>701</v>
      </c>
      <c r="BJN12" s="49"/>
      <c r="BJO12" s="49"/>
      <c r="BJP12" s="49"/>
      <c r="BJQ12" s="49"/>
      <c r="BJR12" s="42">
        <f t="shared" si="526"/>
        <v>701</v>
      </c>
      <c r="BJS12" s="43">
        <f t="shared" si="527"/>
        <v>116.83333333333333</v>
      </c>
      <c r="BJT12" s="63"/>
      <c r="BJU12" s="64">
        <v>863</v>
      </c>
      <c r="BJV12" s="64"/>
      <c r="BJW12" s="64">
        <v>699</v>
      </c>
      <c r="BJX12" s="64">
        <v>660</v>
      </c>
      <c r="BJY12" s="64"/>
      <c r="BJZ12" s="42">
        <f t="shared" si="528"/>
        <v>2222</v>
      </c>
      <c r="BKA12" s="43">
        <f t="shared" si="529"/>
        <v>444.4</v>
      </c>
      <c r="BKB12" s="48"/>
      <c r="BKC12" s="49"/>
      <c r="BKD12" s="49"/>
      <c r="BKE12" s="49"/>
      <c r="BKF12" s="49"/>
      <c r="BKG12" s="49"/>
      <c r="BKH12" s="67">
        <f t="shared" si="530"/>
        <v>0</v>
      </c>
      <c r="BKI12" s="68">
        <f t="shared" si="531"/>
        <v>0</v>
      </c>
      <c r="BKJ12" s="48">
        <v>439</v>
      </c>
      <c r="BKK12" s="49"/>
      <c r="BKL12" s="49">
        <v>330</v>
      </c>
      <c r="BKM12" s="49">
        <v>83</v>
      </c>
      <c r="BKN12" s="49"/>
      <c r="BKO12" s="49"/>
      <c r="BKP12" s="42">
        <f t="shared" si="532"/>
        <v>852</v>
      </c>
      <c r="BKQ12" s="43">
        <f t="shared" si="533"/>
        <v>142</v>
      </c>
      <c r="BKR12" s="48">
        <v>240</v>
      </c>
      <c r="BKS12" s="49"/>
      <c r="BKT12" s="49">
        <v>444</v>
      </c>
      <c r="BKU12" s="49"/>
      <c r="BKV12" s="49"/>
      <c r="BKW12" s="49"/>
      <c r="BKX12" s="42">
        <f t="shared" si="534"/>
        <v>684</v>
      </c>
      <c r="BKY12" s="43">
        <f t="shared" si="535"/>
        <v>114</v>
      </c>
      <c r="BKZ12" s="48"/>
      <c r="BLA12" s="49">
        <v>880</v>
      </c>
      <c r="BLB12" s="49"/>
      <c r="BLC12" s="49">
        <v>639</v>
      </c>
      <c r="BLD12" s="49"/>
      <c r="BLE12" s="49"/>
      <c r="BLF12" s="42">
        <f t="shared" si="536"/>
        <v>1519</v>
      </c>
      <c r="BLG12" s="43">
        <f t="shared" si="537"/>
        <v>253.16666666666666</v>
      </c>
      <c r="BLH12" s="48"/>
      <c r="BLI12" s="49"/>
      <c r="BLJ12" s="49">
        <v>219</v>
      </c>
      <c r="BLK12" s="49"/>
      <c r="BLL12" s="49"/>
      <c r="BLM12" s="49"/>
      <c r="BLN12" s="42">
        <f t="shared" si="538"/>
        <v>219</v>
      </c>
      <c r="BLO12" s="43">
        <f t="shared" si="539"/>
        <v>36.5</v>
      </c>
      <c r="BLP12" s="48">
        <v>433</v>
      </c>
      <c r="BLQ12" s="49">
        <v>434</v>
      </c>
      <c r="BLR12" s="49"/>
      <c r="BLS12" s="49"/>
      <c r="BLT12" s="49">
        <v>883</v>
      </c>
      <c r="BLU12" s="49"/>
      <c r="BLV12" s="42">
        <f t="shared" si="540"/>
        <v>1750</v>
      </c>
      <c r="BLW12" s="43">
        <f t="shared" si="541"/>
        <v>291.66666666666669</v>
      </c>
      <c r="BLX12" s="63"/>
      <c r="BLY12" s="64"/>
      <c r="BLZ12" s="64"/>
      <c r="BMA12" s="64">
        <v>926</v>
      </c>
      <c r="BMB12" s="64"/>
      <c r="BMC12" s="64">
        <v>221</v>
      </c>
      <c r="BMD12" s="42">
        <f t="shared" si="542"/>
        <v>1147</v>
      </c>
      <c r="BME12" s="43">
        <f t="shared" si="543"/>
        <v>191.16666666666666</v>
      </c>
      <c r="BMF12" s="48"/>
      <c r="BMG12" s="49"/>
      <c r="BMH12" s="49"/>
      <c r="BMI12" s="49">
        <v>440</v>
      </c>
      <c r="BMJ12" s="49"/>
      <c r="BMK12" s="49"/>
      <c r="BML12" s="42">
        <f t="shared" si="544"/>
        <v>440</v>
      </c>
      <c r="BMM12" s="43">
        <f t="shared" si="545"/>
        <v>73.333333333333329</v>
      </c>
      <c r="BMN12" s="63">
        <v>837</v>
      </c>
      <c r="BMO12" s="64">
        <v>220</v>
      </c>
      <c r="BMP12" s="64">
        <v>397</v>
      </c>
      <c r="BMQ12" s="64"/>
      <c r="BMR12" s="64"/>
      <c r="BMS12" s="64">
        <v>330</v>
      </c>
      <c r="BMT12" s="42">
        <f t="shared" si="546"/>
        <v>1784</v>
      </c>
      <c r="BMU12" s="43">
        <f t="shared" si="547"/>
        <v>297.33333333333331</v>
      </c>
      <c r="BMV12" s="48">
        <v>480</v>
      </c>
      <c r="BMW12" s="49"/>
      <c r="BMX12" s="49"/>
      <c r="BMY12" s="49"/>
      <c r="BMZ12" s="49">
        <v>352</v>
      </c>
      <c r="BNA12" s="49"/>
      <c r="BNB12" s="42">
        <f t="shared" si="548"/>
        <v>832</v>
      </c>
      <c r="BNC12" s="43">
        <f t="shared" si="549"/>
        <v>138.66666666666666</v>
      </c>
      <c r="BND12" s="48"/>
      <c r="BNE12" s="49">
        <v>398</v>
      </c>
      <c r="BNF12" s="49">
        <v>880</v>
      </c>
      <c r="BNG12" s="49"/>
      <c r="BNH12" s="49"/>
      <c r="BNI12" s="49"/>
      <c r="BNJ12" s="42">
        <f t="shared" si="550"/>
        <v>1278</v>
      </c>
      <c r="BNK12" s="43">
        <f t="shared" si="551"/>
        <v>213</v>
      </c>
      <c r="BNL12" s="48"/>
      <c r="BNM12" s="49">
        <v>446</v>
      </c>
      <c r="BNN12" s="49">
        <v>440</v>
      </c>
      <c r="BNO12" s="49">
        <v>728</v>
      </c>
      <c r="BNP12" s="49"/>
      <c r="BNQ12" s="49">
        <v>13</v>
      </c>
      <c r="BNR12" s="42">
        <f t="shared" si="552"/>
        <v>1627</v>
      </c>
      <c r="BNS12" s="43">
        <f t="shared" si="553"/>
        <v>271.16666666666669</v>
      </c>
      <c r="BNT12" s="48"/>
      <c r="BNU12" s="49"/>
      <c r="BNV12" s="49"/>
      <c r="BNW12" s="49"/>
      <c r="BNX12" s="49"/>
      <c r="BNY12" s="49"/>
      <c r="BNZ12" s="42">
        <f t="shared" si="554"/>
        <v>0</v>
      </c>
      <c r="BOA12" s="43">
        <f t="shared" si="555"/>
        <v>0</v>
      </c>
      <c r="BOB12" s="48">
        <v>880</v>
      </c>
      <c r="BOC12" s="49"/>
      <c r="BOD12" s="49">
        <v>110</v>
      </c>
      <c r="BOE12" s="49">
        <v>426</v>
      </c>
      <c r="BOF12" s="49">
        <v>441</v>
      </c>
      <c r="BOG12" s="49"/>
      <c r="BOH12" s="42">
        <f t="shared" si="556"/>
        <v>1857</v>
      </c>
      <c r="BOI12" s="43">
        <f t="shared" si="557"/>
        <v>309.5</v>
      </c>
      <c r="BOJ12" s="48"/>
      <c r="BOK12" s="49"/>
      <c r="BOL12" s="49">
        <v>423</v>
      </c>
      <c r="BOM12" s="49"/>
      <c r="BON12" s="49"/>
      <c r="BOO12" s="49">
        <v>525</v>
      </c>
      <c r="BOP12" s="42">
        <f t="shared" si="558"/>
        <v>948</v>
      </c>
      <c r="BOQ12" s="43">
        <f t="shared" si="559"/>
        <v>158</v>
      </c>
      <c r="BOR12" s="48"/>
      <c r="BOS12" s="49">
        <v>438</v>
      </c>
      <c r="BOT12" s="49"/>
      <c r="BOU12" s="49">
        <v>357</v>
      </c>
      <c r="BOV12" s="49">
        <v>904</v>
      </c>
      <c r="BOW12" s="49"/>
      <c r="BOX12" s="42">
        <f t="shared" si="560"/>
        <v>1699</v>
      </c>
      <c r="BOY12" s="43">
        <f t="shared" si="561"/>
        <v>283.16666666666669</v>
      </c>
      <c r="BOZ12" s="63">
        <v>400</v>
      </c>
      <c r="BPA12" s="64"/>
      <c r="BPB12" s="64"/>
      <c r="BPC12" s="64">
        <v>660</v>
      </c>
      <c r="BPD12" s="64">
        <v>440</v>
      </c>
      <c r="BPE12" s="64"/>
      <c r="BPF12" s="42">
        <f t="shared" si="562"/>
        <v>1500</v>
      </c>
      <c r="BPG12" s="43">
        <f t="shared" si="563"/>
        <v>250</v>
      </c>
      <c r="BPH12" s="48"/>
      <c r="BPI12" s="49"/>
      <c r="BPJ12" s="49">
        <v>330</v>
      </c>
      <c r="BPK12" s="49"/>
      <c r="BPL12" s="49"/>
      <c r="BPM12" s="49">
        <v>419</v>
      </c>
      <c r="BPN12" s="42">
        <f t="shared" si="564"/>
        <v>749</v>
      </c>
      <c r="BPO12" s="43">
        <f t="shared" si="565"/>
        <v>124.83333333333333</v>
      </c>
      <c r="BPP12" s="48"/>
      <c r="BPQ12" s="49">
        <v>660</v>
      </c>
      <c r="BPR12" s="49">
        <v>651</v>
      </c>
      <c r="BPS12" s="49"/>
      <c r="BPT12" s="49"/>
      <c r="BPU12" s="49"/>
      <c r="BPV12" s="42">
        <f t="shared" si="566"/>
        <v>1311</v>
      </c>
      <c r="BPW12" s="43">
        <f t="shared" si="567"/>
        <v>218.5</v>
      </c>
      <c r="BPX12" s="48">
        <v>660</v>
      </c>
      <c r="BPY12" s="49"/>
      <c r="BPZ12" s="49"/>
      <c r="BQA12" s="49"/>
      <c r="BQB12" s="49">
        <v>1173</v>
      </c>
      <c r="BQC12" s="49"/>
      <c r="BQD12" s="67">
        <f t="shared" si="568"/>
        <v>1833</v>
      </c>
      <c r="BQE12" s="43">
        <f t="shared" si="569"/>
        <v>305.5</v>
      </c>
      <c r="BQF12" s="63"/>
      <c r="BQG12" s="64">
        <v>604</v>
      </c>
      <c r="BQH12" s="64"/>
      <c r="BQI12" s="64"/>
      <c r="BQJ12" s="64"/>
      <c r="BQK12" s="64"/>
      <c r="BQL12" s="67">
        <f t="shared" si="570"/>
        <v>604</v>
      </c>
      <c r="BQM12" s="43">
        <f t="shared" si="571"/>
        <v>100.66666666666667</v>
      </c>
      <c r="BQN12" s="63">
        <v>1000</v>
      </c>
      <c r="BQO12" s="64"/>
      <c r="BQP12" s="64">
        <v>657</v>
      </c>
      <c r="BQQ12" s="64">
        <v>398</v>
      </c>
      <c r="BQR12" s="64"/>
      <c r="BQS12" s="64"/>
      <c r="BQT12" s="67">
        <f t="shared" si="572"/>
        <v>2055</v>
      </c>
      <c r="BQU12" s="43">
        <f t="shared" si="573"/>
        <v>342.5</v>
      </c>
      <c r="BQV12" s="48"/>
      <c r="BQW12" s="49"/>
      <c r="BQX12" s="49"/>
      <c r="BQY12" s="49"/>
      <c r="BQZ12" s="49"/>
      <c r="BRA12" s="49"/>
      <c r="BRB12" s="67">
        <f t="shared" si="574"/>
        <v>0</v>
      </c>
      <c r="BRC12" s="43">
        <f t="shared" si="575"/>
        <v>0</v>
      </c>
      <c r="BRD12" s="48">
        <v>219</v>
      </c>
      <c r="BRE12" s="49"/>
      <c r="BRF12" s="49">
        <v>220</v>
      </c>
      <c r="BRG12" s="49"/>
      <c r="BRH12" s="49"/>
      <c r="BRI12" s="49">
        <v>804</v>
      </c>
      <c r="BRJ12" s="67">
        <f t="shared" si="576"/>
        <v>1243</v>
      </c>
      <c r="BRK12" s="43">
        <f t="shared" si="577"/>
        <v>207.16666666666666</v>
      </c>
      <c r="BRL12" s="48"/>
      <c r="BRM12" s="49"/>
      <c r="BRN12" s="49">
        <v>618</v>
      </c>
      <c r="BRO12" s="49"/>
      <c r="BRP12" s="49"/>
      <c r="BRQ12" s="49">
        <v>997</v>
      </c>
      <c r="BRR12" s="67">
        <f t="shared" si="578"/>
        <v>1615</v>
      </c>
      <c r="BRS12" s="68">
        <f t="shared" si="579"/>
        <v>269.16666666666669</v>
      </c>
      <c r="BRT12" s="63">
        <v>220</v>
      </c>
      <c r="BRU12" s="64"/>
      <c r="BRV12" s="64"/>
      <c r="BRW12" s="64">
        <v>393</v>
      </c>
      <c r="BRX12" s="64"/>
      <c r="BRY12" s="64"/>
      <c r="BRZ12" s="67">
        <f t="shared" si="580"/>
        <v>613</v>
      </c>
      <c r="BSA12" s="43">
        <f t="shared" si="581"/>
        <v>102.16666666666667</v>
      </c>
      <c r="BSB12" s="63"/>
      <c r="BSC12" s="64">
        <v>800</v>
      </c>
      <c r="BSD12" s="64"/>
      <c r="BSE12" s="64"/>
      <c r="BSF12" s="64">
        <v>439</v>
      </c>
      <c r="BSG12" s="64"/>
      <c r="BSH12" s="67">
        <f t="shared" si="582"/>
        <v>1239</v>
      </c>
      <c r="BSI12" s="43">
        <f t="shared" si="583"/>
        <v>206.5</v>
      </c>
      <c r="BSJ12" s="63">
        <v>217</v>
      </c>
      <c r="BSK12" s="64"/>
      <c r="BSL12" s="64"/>
      <c r="BSM12" s="64"/>
      <c r="BSN12" s="64"/>
      <c r="BSO12" s="64">
        <v>1042</v>
      </c>
      <c r="BSP12" s="67">
        <f t="shared" si="584"/>
        <v>1259</v>
      </c>
      <c r="BSQ12" s="43">
        <f t="shared" si="585"/>
        <v>209.83333333333334</v>
      </c>
      <c r="BSR12" s="63"/>
      <c r="BSS12" s="64">
        <v>217</v>
      </c>
      <c r="BST12" s="64"/>
      <c r="BSU12" s="64">
        <v>110</v>
      </c>
      <c r="BSV12" s="64">
        <v>1261</v>
      </c>
      <c r="BSW12" s="64"/>
      <c r="BSX12" s="67">
        <f t="shared" si="586"/>
        <v>1588</v>
      </c>
      <c r="BSY12" s="43">
        <f t="shared" si="587"/>
        <v>264.66666666666669</v>
      </c>
      <c r="BSZ12" s="63">
        <v>207</v>
      </c>
      <c r="BTA12" s="64">
        <v>1084</v>
      </c>
      <c r="BTB12" s="64"/>
      <c r="BTC12" s="64"/>
      <c r="BTD12" s="64"/>
      <c r="BTE12" s="64">
        <v>770</v>
      </c>
      <c r="BTF12" s="67">
        <f t="shared" si="588"/>
        <v>2061</v>
      </c>
      <c r="BTG12" s="43">
        <f t="shared" si="589"/>
        <v>343.5</v>
      </c>
      <c r="BTH12" s="63">
        <v>56</v>
      </c>
      <c r="BTI12" s="64"/>
      <c r="BTJ12" s="64"/>
      <c r="BTK12" s="64">
        <v>400</v>
      </c>
      <c r="BTL12" s="64"/>
      <c r="BTM12" s="64">
        <v>4</v>
      </c>
      <c r="BTN12" s="67">
        <f t="shared" si="590"/>
        <v>460</v>
      </c>
      <c r="BTO12" s="68">
        <f t="shared" si="591"/>
        <v>76.666666666666671</v>
      </c>
      <c r="BTP12" s="48"/>
      <c r="BTQ12" s="49"/>
      <c r="BTR12" s="49"/>
      <c r="BTS12" s="49"/>
      <c r="BTT12" s="49">
        <v>440</v>
      </c>
      <c r="BTU12" s="49"/>
      <c r="BTV12" s="67">
        <f t="shared" si="592"/>
        <v>440</v>
      </c>
      <c r="BTW12" s="43">
        <f t="shared" si="593"/>
        <v>73.333333333333329</v>
      </c>
      <c r="BTX12" s="63"/>
      <c r="BTY12" s="64">
        <v>880</v>
      </c>
      <c r="BTZ12" s="64"/>
      <c r="BUA12" s="64"/>
      <c r="BUB12" s="64">
        <v>440</v>
      </c>
      <c r="BUC12" s="64"/>
      <c r="BUD12" s="67">
        <f t="shared" si="594"/>
        <v>1320</v>
      </c>
      <c r="BUE12" s="68">
        <f t="shared" si="595"/>
        <v>220</v>
      </c>
      <c r="BUF12" s="48"/>
      <c r="BUG12" s="49">
        <v>563</v>
      </c>
      <c r="BUH12" s="49">
        <v>400</v>
      </c>
      <c r="BUI12" s="49"/>
      <c r="BUJ12" s="49">
        <v>440</v>
      </c>
      <c r="BUK12" s="49">
        <v>440</v>
      </c>
      <c r="BUL12" s="67">
        <f t="shared" si="596"/>
        <v>1843</v>
      </c>
      <c r="BUM12" s="68">
        <f t="shared" si="597"/>
        <v>307.16666666666669</v>
      </c>
      <c r="BUN12" s="63">
        <v>1229</v>
      </c>
      <c r="BUO12" s="64"/>
      <c r="BUP12" s="64"/>
      <c r="BUQ12" s="64"/>
      <c r="BUR12" s="64"/>
      <c r="BUS12" s="64">
        <v>369</v>
      </c>
      <c r="BUT12" s="67">
        <f t="shared" si="598"/>
        <v>1598</v>
      </c>
      <c r="BUU12" s="68">
        <f t="shared" si="599"/>
        <v>266.33333333333331</v>
      </c>
      <c r="BUV12" s="48"/>
      <c r="BUW12" s="49"/>
      <c r="BUX12" s="49"/>
      <c r="BUY12" s="49">
        <v>1101</v>
      </c>
      <c r="BUZ12" s="49">
        <v>900</v>
      </c>
      <c r="BVA12" s="49"/>
      <c r="BVB12" s="67">
        <f t="shared" si="600"/>
        <v>2001</v>
      </c>
      <c r="BVC12" s="68">
        <f t="shared" si="601"/>
        <v>333.5</v>
      </c>
      <c r="BVD12" s="48"/>
      <c r="BVE12" s="49">
        <v>109</v>
      </c>
      <c r="BVF12" s="49"/>
      <c r="BVG12" s="49">
        <v>208</v>
      </c>
      <c r="BVH12" s="49"/>
      <c r="BVI12" s="49"/>
      <c r="BVJ12" s="67">
        <f t="shared" si="602"/>
        <v>317</v>
      </c>
      <c r="BVK12" s="68">
        <f t="shared" si="603"/>
        <v>52.833333333333336</v>
      </c>
      <c r="BVL12" s="48">
        <v>218</v>
      </c>
      <c r="BVM12" s="49"/>
      <c r="BVN12" s="49"/>
      <c r="BVO12" s="49"/>
      <c r="BVP12" s="49">
        <v>881</v>
      </c>
      <c r="BVQ12" s="49"/>
      <c r="BVR12" s="67">
        <f t="shared" si="604"/>
        <v>1099</v>
      </c>
      <c r="BVS12" s="68">
        <f t="shared" si="605"/>
        <v>183.16666666666666</v>
      </c>
      <c r="BVT12" s="48"/>
      <c r="BVU12" s="49">
        <v>1390</v>
      </c>
      <c r="BVV12" s="49">
        <v>438</v>
      </c>
      <c r="BVW12" s="49"/>
      <c r="BVX12" s="49">
        <v>634</v>
      </c>
      <c r="BVY12" s="49">
        <v>110</v>
      </c>
      <c r="BVZ12" s="67">
        <f t="shared" si="606"/>
        <v>2572</v>
      </c>
      <c r="BWA12" s="68">
        <f t="shared" si="607"/>
        <v>428.66666666666669</v>
      </c>
      <c r="BWB12" s="48">
        <v>109</v>
      </c>
      <c r="BWC12" s="49"/>
      <c r="BWD12" s="49"/>
      <c r="BWE12" s="49">
        <v>660</v>
      </c>
      <c r="BWF12" s="49">
        <v>219</v>
      </c>
      <c r="BWG12" s="49"/>
      <c r="BWH12" s="67">
        <f t="shared" si="608"/>
        <v>988</v>
      </c>
      <c r="BWI12" s="68">
        <f t="shared" si="609"/>
        <v>164.66666666666666</v>
      </c>
      <c r="BWJ12" s="48"/>
      <c r="BWK12" s="49"/>
      <c r="BWL12" s="49"/>
      <c r="BWM12" s="49">
        <v>800</v>
      </c>
      <c r="BWN12" s="49"/>
      <c r="BWO12" s="49"/>
      <c r="BWP12" s="67">
        <f t="shared" si="610"/>
        <v>800</v>
      </c>
      <c r="BWQ12" s="68">
        <f t="shared" si="611"/>
        <v>133.33333333333334</v>
      </c>
      <c r="BWR12" s="48"/>
      <c r="BWS12" s="49"/>
      <c r="BWT12" s="49">
        <v>878</v>
      </c>
      <c r="BWU12" s="49">
        <v>439</v>
      </c>
      <c r="BWV12" s="49"/>
      <c r="BWW12" s="49">
        <v>414</v>
      </c>
      <c r="BWX12" s="67">
        <f t="shared" si="612"/>
        <v>1731</v>
      </c>
      <c r="BWY12" s="68">
        <f t="shared" si="613"/>
        <v>288.5</v>
      </c>
      <c r="BWZ12" s="48"/>
      <c r="BXA12" s="49">
        <v>439</v>
      </c>
      <c r="BXB12" s="49"/>
      <c r="BXC12" s="49">
        <v>439</v>
      </c>
      <c r="BXD12" s="49"/>
      <c r="BXE12" s="49">
        <v>440</v>
      </c>
      <c r="BXF12" s="67">
        <f t="shared" si="614"/>
        <v>1318</v>
      </c>
      <c r="BXG12" s="68">
        <f t="shared" si="615"/>
        <v>219.66666666666666</v>
      </c>
      <c r="BXH12" s="48"/>
      <c r="BXI12" s="49">
        <v>395</v>
      </c>
      <c r="BXJ12" s="49"/>
      <c r="BXK12" s="49"/>
      <c r="BXL12" s="49">
        <v>941</v>
      </c>
      <c r="BXM12" s="49"/>
      <c r="BXN12" s="67">
        <f t="shared" si="616"/>
        <v>1336</v>
      </c>
      <c r="BXO12" s="68">
        <f t="shared" si="617"/>
        <v>222.66666666666666</v>
      </c>
      <c r="BXP12" s="63">
        <v>770</v>
      </c>
      <c r="BXQ12" s="64"/>
      <c r="BXR12" s="64">
        <v>440</v>
      </c>
      <c r="BXS12" s="64"/>
      <c r="BXT12" s="64"/>
      <c r="BXU12" s="1">
        <v>592</v>
      </c>
      <c r="BXV12" s="67">
        <f t="shared" si="73"/>
        <v>1210</v>
      </c>
      <c r="BXW12" s="68">
        <f t="shared" si="618"/>
        <v>201.66666666666666</v>
      </c>
      <c r="BXX12" s="48"/>
      <c r="BXY12" s="49">
        <v>153</v>
      </c>
      <c r="BXZ12" s="49"/>
      <c r="BYA12" s="49">
        <v>836</v>
      </c>
      <c r="BYB12" s="49"/>
      <c r="BYC12" s="49"/>
      <c r="BYD12" s="67">
        <f t="shared" si="619"/>
        <v>989</v>
      </c>
      <c r="BYE12" s="68">
        <f t="shared" si="620"/>
        <v>164.83333333333334</v>
      </c>
      <c r="BYF12" s="63">
        <v>440</v>
      </c>
      <c r="BYG12" s="64"/>
      <c r="BYH12" s="64">
        <v>473</v>
      </c>
      <c r="BYI12" s="64"/>
      <c r="BYJ12" s="64">
        <v>358</v>
      </c>
      <c r="BYK12" s="64"/>
      <c r="BYL12" s="67">
        <f t="shared" si="621"/>
        <v>1271</v>
      </c>
      <c r="BYM12" s="68">
        <f t="shared" si="622"/>
        <v>211.83333333333334</v>
      </c>
      <c r="BYN12" s="48"/>
      <c r="BYO12" s="49"/>
      <c r="BYP12" s="49">
        <v>985</v>
      </c>
      <c r="BYQ12" s="49">
        <v>178</v>
      </c>
      <c r="BYR12" s="49">
        <v>1024</v>
      </c>
      <c r="BYS12" s="49"/>
      <c r="BYT12" s="67">
        <f t="shared" si="623"/>
        <v>2187</v>
      </c>
      <c r="BYU12" s="68">
        <f t="shared" si="624"/>
        <v>364.5</v>
      </c>
      <c r="BYV12" s="48"/>
      <c r="BYW12" s="49"/>
      <c r="BYX12" s="49"/>
      <c r="BYY12" s="49"/>
      <c r="BYZ12" s="49">
        <v>802</v>
      </c>
      <c r="BZA12" s="49"/>
      <c r="BZB12" s="67">
        <f t="shared" si="625"/>
        <v>802</v>
      </c>
      <c r="BZC12" s="68">
        <f t="shared" si="626"/>
        <v>133.66666666666666</v>
      </c>
      <c r="BZD12" s="48"/>
      <c r="BZE12" s="49">
        <v>1393</v>
      </c>
      <c r="BZF12" s="49"/>
      <c r="BZG12" s="49">
        <v>433</v>
      </c>
      <c r="BZH12" s="49"/>
      <c r="BZI12" s="49"/>
      <c r="BZJ12" s="67">
        <f t="shared" si="627"/>
        <v>1826</v>
      </c>
      <c r="BZK12" s="68">
        <f t="shared" si="628"/>
        <v>304.33333333333331</v>
      </c>
      <c r="BZL12" s="48">
        <v>328</v>
      </c>
      <c r="BZM12" s="49">
        <v>439</v>
      </c>
      <c r="BZN12" s="49"/>
      <c r="BZO12" s="49">
        <v>220</v>
      </c>
      <c r="BZP12" s="49"/>
      <c r="BZQ12" s="49">
        <v>573</v>
      </c>
      <c r="BZR12" s="67">
        <f t="shared" si="629"/>
        <v>1560</v>
      </c>
      <c r="BZS12" s="68">
        <f t="shared" si="630"/>
        <v>260</v>
      </c>
      <c r="BZT12" s="48"/>
      <c r="BZU12" s="49"/>
      <c r="BZV12" s="49">
        <v>232</v>
      </c>
      <c r="BZW12" s="49"/>
      <c r="BZX12" s="49"/>
      <c r="BZY12" s="49">
        <v>855</v>
      </c>
      <c r="BZZ12" s="67">
        <f t="shared" si="631"/>
        <v>1087</v>
      </c>
      <c r="CAA12" s="68">
        <f t="shared" si="632"/>
        <v>181.16666666666666</v>
      </c>
      <c r="CAB12" s="48"/>
      <c r="CAC12" s="49">
        <v>321</v>
      </c>
      <c r="CAD12" s="49">
        <v>467</v>
      </c>
      <c r="CAE12" s="49"/>
      <c r="CAF12" s="49">
        <v>412</v>
      </c>
      <c r="CAG12" s="49"/>
      <c r="CAH12" s="67">
        <f t="shared" si="633"/>
        <v>1200</v>
      </c>
      <c r="CAI12" s="68">
        <f t="shared" si="634"/>
        <v>200</v>
      </c>
      <c r="CAJ12" s="63">
        <v>422</v>
      </c>
      <c r="CAK12" s="64">
        <v>206</v>
      </c>
      <c r="CAL12" s="64">
        <v>927</v>
      </c>
      <c r="CAM12" s="64"/>
      <c r="CAN12" s="64">
        <v>462</v>
      </c>
      <c r="CAO12" s="64"/>
      <c r="CAP12" s="67">
        <f t="shared" si="635"/>
        <v>2017</v>
      </c>
      <c r="CAQ12" s="68">
        <f t="shared" si="636"/>
        <v>336.16666666666669</v>
      </c>
      <c r="CAR12" s="63">
        <v>439</v>
      </c>
      <c r="CAS12" s="64">
        <v>802</v>
      </c>
      <c r="CAT12" s="64"/>
      <c r="CAU12" s="64">
        <v>220</v>
      </c>
      <c r="CAV12" s="64"/>
      <c r="CAW12" s="64">
        <v>800</v>
      </c>
      <c r="CAX12" s="67">
        <f t="shared" si="637"/>
        <v>2261</v>
      </c>
      <c r="CAY12" s="68">
        <f t="shared" si="638"/>
        <v>376.83333333333331</v>
      </c>
      <c r="CAZ12" s="48">
        <v>440</v>
      </c>
      <c r="CBA12" s="49"/>
      <c r="CBB12" s="49"/>
      <c r="CBC12" s="49">
        <v>880</v>
      </c>
      <c r="CBD12" s="49"/>
      <c r="CBE12" s="49"/>
      <c r="CBF12" s="67">
        <f t="shared" si="639"/>
        <v>1320</v>
      </c>
      <c r="CBG12" s="68">
        <f t="shared" si="640"/>
        <v>220</v>
      </c>
      <c r="CBH12" s="48">
        <v>440</v>
      </c>
      <c r="CBI12" s="49">
        <v>440</v>
      </c>
      <c r="CBJ12" s="49">
        <v>330</v>
      </c>
      <c r="CBK12" s="49"/>
      <c r="CBL12" s="49">
        <v>770</v>
      </c>
      <c r="CBM12" s="49">
        <v>330</v>
      </c>
      <c r="CBN12" s="67">
        <f t="shared" si="641"/>
        <v>2310</v>
      </c>
      <c r="CBO12" s="68">
        <f t="shared" si="642"/>
        <v>385</v>
      </c>
      <c r="CBP12" s="48">
        <v>445</v>
      </c>
      <c r="CBQ12" s="49"/>
      <c r="CBR12" s="49"/>
      <c r="CBS12" s="49">
        <v>1177</v>
      </c>
      <c r="CBT12" s="49"/>
      <c r="CBU12" s="49"/>
      <c r="CBV12" s="67">
        <f t="shared" si="643"/>
        <v>1622</v>
      </c>
      <c r="CBW12" s="68">
        <f t="shared" si="644"/>
        <v>270.33333333333331</v>
      </c>
      <c r="CBX12" s="48"/>
      <c r="CBY12" s="49">
        <v>893</v>
      </c>
      <c r="CBZ12" s="49">
        <v>440</v>
      </c>
      <c r="CCA12" s="49"/>
      <c r="CCB12" s="49"/>
      <c r="CCC12" s="49">
        <v>762</v>
      </c>
      <c r="CCD12" s="67">
        <f t="shared" si="645"/>
        <v>2095</v>
      </c>
      <c r="CCE12" s="68">
        <f t="shared" si="646"/>
        <v>349.16666666666669</v>
      </c>
      <c r="CCF12" s="48">
        <v>221</v>
      </c>
      <c r="CCG12" s="49"/>
      <c r="CCH12" s="49">
        <v>791</v>
      </c>
      <c r="CCI12" s="49"/>
      <c r="CCJ12" s="49">
        <v>990</v>
      </c>
      <c r="CCK12" s="49">
        <v>440</v>
      </c>
      <c r="CCL12" s="67">
        <f t="shared" si="647"/>
        <v>2442</v>
      </c>
      <c r="CCM12" s="68">
        <f t="shared" si="648"/>
        <v>407</v>
      </c>
      <c r="CCN12" s="48"/>
      <c r="CCO12" s="49">
        <v>193</v>
      </c>
      <c r="CCP12" s="49"/>
      <c r="CCQ12" s="49"/>
      <c r="CCR12" s="49">
        <v>553</v>
      </c>
      <c r="CCS12" s="49"/>
      <c r="CCT12" s="67">
        <f t="shared" si="649"/>
        <v>746</v>
      </c>
      <c r="CCU12" s="68">
        <f t="shared" si="650"/>
        <v>124.33333333333333</v>
      </c>
      <c r="CCV12" s="48"/>
      <c r="CCW12" s="49"/>
      <c r="CCX12" s="49"/>
      <c r="CCY12" s="49"/>
      <c r="CCZ12" s="49">
        <v>609</v>
      </c>
      <c r="CDA12" s="49"/>
      <c r="CDB12" s="67">
        <f t="shared" si="651"/>
        <v>609</v>
      </c>
      <c r="CDC12" s="68">
        <f t="shared" si="652"/>
        <v>101.5</v>
      </c>
      <c r="CDD12" s="48">
        <v>392</v>
      </c>
      <c r="CDE12" s="49">
        <v>1229</v>
      </c>
      <c r="CDF12" s="49"/>
      <c r="CDG12" s="49">
        <v>401</v>
      </c>
      <c r="CDH12" s="49">
        <v>481</v>
      </c>
      <c r="CDI12" s="49"/>
      <c r="CDJ12" s="67">
        <f t="shared" si="653"/>
        <v>2503</v>
      </c>
      <c r="CDK12" s="68">
        <f t="shared" si="654"/>
        <v>417.16666666666669</v>
      </c>
      <c r="CDL12" s="48">
        <v>790</v>
      </c>
      <c r="CDM12" s="49"/>
      <c r="CDN12" s="49">
        <v>431</v>
      </c>
      <c r="CDO12" s="49"/>
      <c r="CDP12" s="49">
        <v>660</v>
      </c>
      <c r="CDQ12" s="49">
        <v>460</v>
      </c>
      <c r="CDR12" s="67">
        <f t="shared" si="655"/>
        <v>2341</v>
      </c>
      <c r="CDS12" s="68">
        <f t="shared" si="656"/>
        <v>390.16666666666669</v>
      </c>
      <c r="CDT12" s="48"/>
      <c r="CDU12" s="49">
        <v>663</v>
      </c>
      <c r="CDV12" s="49"/>
      <c r="CDW12" s="49">
        <v>660</v>
      </c>
      <c r="CDX12" s="49"/>
      <c r="CDY12" s="49">
        <v>897</v>
      </c>
      <c r="CDZ12" s="67">
        <f t="shared" si="657"/>
        <v>2220</v>
      </c>
      <c r="CEA12" s="68">
        <f t="shared" si="658"/>
        <v>370</v>
      </c>
      <c r="CEB12" s="48"/>
      <c r="CEC12" s="49">
        <v>444</v>
      </c>
      <c r="CED12" s="49"/>
      <c r="CEE12" s="49">
        <v>784</v>
      </c>
      <c r="CEF12" s="49"/>
      <c r="CEG12" s="49"/>
      <c r="CEH12" s="67">
        <f t="shared" si="659"/>
        <v>1228</v>
      </c>
      <c r="CEI12" s="68">
        <f t="shared" si="660"/>
        <v>204.66666666666666</v>
      </c>
      <c r="CEJ12" s="48"/>
      <c r="CEK12" s="49">
        <v>1802</v>
      </c>
      <c r="CEL12" s="49"/>
      <c r="CEM12" s="49"/>
      <c r="CEN12" s="49"/>
      <c r="CEO12" s="49">
        <v>1210</v>
      </c>
      <c r="CEP12" s="67">
        <f t="shared" si="661"/>
        <v>3012</v>
      </c>
      <c r="CEQ12" s="68">
        <f t="shared" si="662"/>
        <v>502</v>
      </c>
      <c r="CER12" s="48"/>
      <c r="CES12" s="49">
        <v>840</v>
      </c>
      <c r="CET12" s="49"/>
      <c r="CEU12" s="49">
        <v>1249</v>
      </c>
      <c r="CEV12" s="49"/>
      <c r="CEW12" s="49"/>
      <c r="CEX12" s="67">
        <f t="shared" si="663"/>
        <v>2089</v>
      </c>
      <c r="CEY12" s="68">
        <f t="shared" si="664"/>
        <v>348.16666666666669</v>
      </c>
      <c r="CEZ12" s="48"/>
      <c r="CFA12" s="49"/>
      <c r="CFB12" s="49">
        <v>933</v>
      </c>
      <c r="CFC12" s="49"/>
      <c r="CFD12" s="49">
        <v>903</v>
      </c>
      <c r="CFE12" s="49"/>
      <c r="CFF12" s="67">
        <f t="shared" si="665"/>
        <v>1836</v>
      </c>
      <c r="CFG12" s="68">
        <f t="shared" si="666"/>
        <v>306</v>
      </c>
      <c r="CFH12" s="48">
        <v>220</v>
      </c>
      <c r="CFI12" s="49">
        <v>899</v>
      </c>
      <c r="CFJ12" s="49"/>
      <c r="CFK12" s="49"/>
      <c r="CFL12" s="49">
        <v>878</v>
      </c>
      <c r="CFM12" s="49"/>
      <c r="CFN12" s="67">
        <f t="shared" si="667"/>
        <v>1997</v>
      </c>
      <c r="CFO12" s="68">
        <f t="shared" si="668"/>
        <v>332.83333333333331</v>
      </c>
      <c r="CFP12" s="48">
        <v>797</v>
      </c>
      <c r="CFQ12" s="49"/>
      <c r="CFR12" s="49"/>
      <c r="CFS12" s="49"/>
      <c r="CFT12" s="49">
        <v>1294</v>
      </c>
      <c r="CFU12" s="49"/>
      <c r="CFV12" s="67">
        <f t="shared" si="669"/>
        <v>2091</v>
      </c>
      <c r="CFW12" s="68">
        <f t="shared" si="670"/>
        <v>348.5</v>
      </c>
      <c r="CFX12" s="48">
        <v>600</v>
      </c>
      <c r="CFY12" s="49"/>
      <c r="CFZ12" s="49">
        <v>925</v>
      </c>
      <c r="CGA12" s="49"/>
      <c r="CGB12" s="49">
        <v>1588</v>
      </c>
      <c r="CGC12" s="49"/>
      <c r="CGD12" s="67">
        <f t="shared" si="671"/>
        <v>3113</v>
      </c>
      <c r="CGE12" s="68">
        <f t="shared" si="672"/>
        <v>518.83333333333337</v>
      </c>
      <c r="CGF12" s="48"/>
      <c r="CGG12" s="49"/>
      <c r="CGH12" s="49"/>
      <c r="CGI12" s="49"/>
      <c r="CGJ12" s="49"/>
      <c r="CGK12" s="49"/>
      <c r="CGL12" s="67">
        <f t="shared" si="673"/>
        <v>0</v>
      </c>
      <c r="CGM12" s="68">
        <f t="shared" si="674"/>
        <v>0</v>
      </c>
      <c r="CGN12" s="63">
        <v>662</v>
      </c>
      <c r="CGO12" s="64">
        <v>214</v>
      </c>
      <c r="CGP12" s="64"/>
      <c r="CGQ12" s="64">
        <v>913</v>
      </c>
      <c r="CGR12" s="64"/>
      <c r="CGS12" s="64">
        <v>440</v>
      </c>
      <c r="CGT12" s="67">
        <f t="shared" si="675"/>
        <v>2229</v>
      </c>
      <c r="CGU12" s="68">
        <f t="shared" si="676"/>
        <v>371.5</v>
      </c>
      <c r="CGV12" s="48"/>
      <c r="CGW12" s="49"/>
      <c r="CGX12" s="49">
        <v>1032</v>
      </c>
      <c r="CGY12" s="49"/>
      <c r="CGZ12" s="49">
        <v>440</v>
      </c>
      <c r="CHA12" s="49"/>
      <c r="CHB12" s="67">
        <f t="shared" si="677"/>
        <v>1472</v>
      </c>
      <c r="CHC12" s="68">
        <f t="shared" si="678"/>
        <v>245.33333333333334</v>
      </c>
      <c r="CHD12" s="48">
        <v>433</v>
      </c>
      <c r="CHE12" s="49">
        <v>660</v>
      </c>
      <c r="CHF12" s="49">
        <v>840</v>
      </c>
      <c r="CHG12" s="49"/>
      <c r="CHH12" s="49">
        <v>428</v>
      </c>
      <c r="CHI12" s="49"/>
      <c r="CHJ12" s="67">
        <f t="shared" si="679"/>
        <v>2361</v>
      </c>
      <c r="CHK12" s="68">
        <f t="shared" si="680"/>
        <v>393.5</v>
      </c>
      <c r="CHL12" s="63"/>
      <c r="CHM12" s="64"/>
      <c r="CHN12" s="64"/>
      <c r="CHO12" s="64">
        <v>1363</v>
      </c>
      <c r="CHP12" s="64"/>
      <c r="CHQ12" s="64"/>
      <c r="CHR12" s="67">
        <f t="shared" si="681"/>
        <v>1363</v>
      </c>
      <c r="CHS12" s="68">
        <f t="shared" si="682"/>
        <v>227.16666666666666</v>
      </c>
      <c r="CHT12" s="48"/>
      <c r="CHU12" s="49"/>
      <c r="CHV12" s="49"/>
      <c r="CHW12" s="49">
        <v>876</v>
      </c>
      <c r="CHX12" s="49"/>
      <c r="CHY12" s="49">
        <v>1316</v>
      </c>
      <c r="CHZ12" s="67">
        <f t="shared" si="683"/>
        <v>2192</v>
      </c>
      <c r="CIA12" s="68">
        <f t="shared" si="684"/>
        <v>365.33333333333331</v>
      </c>
      <c r="CIB12" s="63">
        <v>1308</v>
      </c>
      <c r="CIC12" s="64"/>
      <c r="CID12" s="64">
        <v>429</v>
      </c>
      <c r="CIE12" s="64">
        <v>660</v>
      </c>
      <c r="CIF12" s="64"/>
      <c r="CIG12" s="64">
        <v>1291</v>
      </c>
      <c r="CIH12" s="67">
        <f t="shared" si="685"/>
        <v>3688</v>
      </c>
      <c r="CII12" s="68">
        <f t="shared" si="686"/>
        <v>614.66666666666663</v>
      </c>
      <c r="CIJ12" s="63">
        <v>439</v>
      </c>
      <c r="CIK12" s="64"/>
      <c r="CIL12" s="64">
        <v>1320</v>
      </c>
      <c r="CIM12" s="64"/>
      <c r="CIN12" s="64"/>
      <c r="CIO12" s="64"/>
      <c r="CIP12" s="67">
        <f t="shared" si="687"/>
        <v>1759</v>
      </c>
      <c r="CIQ12" s="68">
        <f t="shared" si="688"/>
        <v>293.16666666666669</v>
      </c>
      <c r="CIR12" s="48"/>
      <c r="CIS12" s="49"/>
      <c r="CIT12" s="49">
        <v>1039</v>
      </c>
      <c r="CIU12" s="49"/>
      <c r="CIV12" s="49"/>
      <c r="CIW12" s="49"/>
      <c r="CIX12" s="67">
        <f t="shared" si="689"/>
        <v>1039</v>
      </c>
      <c r="CIY12" s="68">
        <f t="shared" si="690"/>
        <v>173.16666666666666</v>
      </c>
      <c r="CIZ12" s="48"/>
      <c r="CJA12" s="49">
        <v>1191</v>
      </c>
      <c r="CJB12" s="49">
        <v>419</v>
      </c>
      <c r="CJC12" s="49"/>
      <c r="CJD12" s="49">
        <v>440</v>
      </c>
      <c r="CJE12" s="49">
        <v>461</v>
      </c>
      <c r="CJF12" s="67">
        <f t="shared" si="691"/>
        <v>2511</v>
      </c>
      <c r="CJG12" s="68">
        <f t="shared" si="1200"/>
        <v>418.5</v>
      </c>
      <c r="CJH12" s="48">
        <v>827</v>
      </c>
      <c r="CJI12" s="49">
        <v>330</v>
      </c>
      <c r="CJJ12" s="49">
        <v>110</v>
      </c>
      <c r="CJK12" s="49"/>
      <c r="CJL12" s="49">
        <v>860</v>
      </c>
      <c r="CJM12" s="49">
        <v>439</v>
      </c>
      <c r="CJN12" s="67">
        <f t="shared" si="692"/>
        <v>2566</v>
      </c>
      <c r="CJO12" s="68">
        <f t="shared" si="693"/>
        <v>427.66666666666669</v>
      </c>
      <c r="CJP12" s="48"/>
      <c r="CJQ12" s="49"/>
      <c r="CJR12" s="49">
        <v>440</v>
      </c>
      <c r="CJS12" s="49"/>
      <c r="CJT12" s="49"/>
      <c r="CJU12" s="49"/>
      <c r="CJV12" s="67">
        <f t="shared" si="694"/>
        <v>440</v>
      </c>
      <c r="CJW12" s="68">
        <f t="shared" si="695"/>
        <v>73.333333333333329</v>
      </c>
      <c r="CJX12" s="48"/>
      <c r="CJY12" s="49">
        <v>420</v>
      </c>
      <c r="CJZ12" s="49"/>
      <c r="CKA12" s="49">
        <v>890</v>
      </c>
      <c r="CKB12" s="49"/>
      <c r="CKC12" s="49">
        <v>489</v>
      </c>
      <c r="CKD12" s="67">
        <f t="shared" si="696"/>
        <v>1799</v>
      </c>
      <c r="CKE12" s="68">
        <f t="shared" si="697"/>
        <v>299.83333333333331</v>
      </c>
      <c r="CKF12" s="63">
        <v>1320</v>
      </c>
      <c r="CKG12" s="64">
        <v>1186</v>
      </c>
      <c r="CKH12" s="64">
        <v>899</v>
      </c>
      <c r="CKI12" s="64"/>
      <c r="CKJ12" s="64">
        <v>884</v>
      </c>
      <c r="CKK12" s="64"/>
      <c r="CKL12" s="67">
        <f t="shared" si="698"/>
        <v>4289</v>
      </c>
      <c r="CKM12" s="68">
        <f t="shared" si="699"/>
        <v>714.83333333333337</v>
      </c>
      <c r="CKN12" s="48"/>
      <c r="CKO12" s="49"/>
      <c r="CKP12" s="49"/>
      <c r="CKQ12" s="49">
        <v>337</v>
      </c>
      <c r="CKR12" s="49"/>
      <c r="CKS12" s="47"/>
      <c r="CKT12" s="67">
        <f t="shared" si="700"/>
        <v>337</v>
      </c>
      <c r="CKU12" s="68">
        <f t="shared" si="701"/>
        <v>56.166666666666664</v>
      </c>
      <c r="CKV12" s="48">
        <v>899</v>
      </c>
      <c r="CKW12" s="49"/>
      <c r="CKX12" s="49"/>
      <c r="CKY12" s="49">
        <v>198</v>
      </c>
      <c r="CKZ12" s="49"/>
      <c r="CLA12" s="49">
        <v>880</v>
      </c>
      <c r="CLB12" s="67">
        <f t="shared" si="702"/>
        <v>1977</v>
      </c>
      <c r="CLC12" s="68">
        <f t="shared" si="703"/>
        <v>329.5</v>
      </c>
      <c r="CLD12" s="48"/>
      <c r="CLE12" s="49">
        <v>327</v>
      </c>
      <c r="CLF12" s="49"/>
      <c r="CLG12" s="49"/>
      <c r="CLH12" s="49">
        <v>577</v>
      </c>
      <c r="CLI12" s="49">
        <v>300</v>
      </c>
      <c r="CLJ12" s="67">
        <f t="shared" si="704"/>
        <v>1204</v>
      </c>
      <c r="CLK12" s="68">
        <f t="shared" si="705"/>
        <v>200.66666666666666</v>
      </c>
      <c r="CLL12" s="48"/>
      <c r="CLM12" s="49"/>
      <c r="CLN12" s="49">
        <v>999</v>
      </c>
      <c r="CLO12" s="49"/>
      <c r="CLP12" s="49"/>
      <c r="CLQ12" s="49">
        <v>1000</v>
      </c>
      <c r="CLR12" s="67">
        <f t="shared" si="706"/>
        <v>1999</v>
      </c>
      <c r="CLS12" s="68">
        <f t="shared" si="707"/>
        <v>333.16666666666669</v>
      </c>
      <c r="CLT12" s="63"/>
      <c r="CLU12" s="64"/>
      <c r="CLV12" s="64"/>
      <c r="CLW12" s="64"/>
      <c r="CLX12" s="64">
        <v>889</v>
      </c>
      <c r="CLY12" s="64"/>
      <c r="CLZ12" s="67">
        <f t="shared" si="708"/>
        <v>889</v>
      </c>
      <c r="CMA12" s="68">
        <f t="shared" si="709"/>
        <v>148.16666666666666</v>
      </c>
      <c r="CMB12" s="48"/>
      <c r="CMC12" s="49">
        <v>944</v>
      </c>
      <c r="CMD12" s="49"/>
      <c r="CME12" s="49">
        <v>453</v>
      </c>
      <c r="CMF12" s="49"/>
      <c r="CMG12" s="49">
        <v>458</v>
      </c>
      <c r="CMH12" s="67">
        <f t="shared" si="710"/>
        <v>1855</v>
      </c>
      <c r="CMI12" s="68">
        <f t="shared" si="711"/>
        <v>309.16666666666669</v>
      </c>
      <c r="CMJ12" s="48">
        <v>885</v>
      </c>
      <c r="CMK12" s="49"/>
      <c r="CML12" s="49"/>
      <c r="CMM12" s="49"/>
      <c r="CMN12" s="49"/>
      <c r="CMO12" s="49">
        <v>439</v>
      </c>
      <c r="CMP12" s="67">
        <f t="shared" si="712"/>
        <v>1324</v>
      </c>
      <c r="CMQ12" s="68">
        <f t="shared" si="713"/>
        <v>220.66666666666666</v>
      </c>
      <c r="CMR12" s="48"/>
      <c r="CMS12" s="49">
        <v>990</v>
      </c>
      <c r="CMT12" s="49"/>
      <c r="CMU12" s="49">
        <v>440</v>
      </c>
      <c r="CMV12" s="49">
        <v>481</v>
      </c>
      <c r="CMW12" s="49">
        <v>328</v>
      </c>
      <c r="CMX12" s="67">
        <f t="shared" si="714"/>
        <v>2239</v>
      </c>
      <c r="CMY12" s="68">
        <f t="shared" si="715"/>
        <v>373.16666666666669</v>
      </c>
      <c r="CMZ12" s="63">
        <v>220</v>
      </c>
      <c r="CNA12" s="64"/>
      <c r="CNB12" s="64"/>
      <c r="CNC12" s="64">
        <v>1311</v>
      </c>
      <c r="CND12" s="64"/>
      <c r="CNE12" s="64"/>
      <c r="CNF12" s="67">
        <f t="shared" si="716"/>
        <v>1531</v>
      </c>
      <c r="CNG12" s="68">
        <f t="shared" si="717"/>
        <v>255.16666666666666</v>
      </c>
      <c r="CNH12" s="48">
        <v>438</v>
      </c>
      <c r="CNI12" s="49"/>
      <c r="CNJ12" s="49">
        <v>1308</v>
      </c>
      <c r="CNK12" s="49"/>
      <c r="CNL12" s="49">
        <v>439</v>
      </c>
      <c r="CNM12" s="49">
        <v>1181</v>
      </c>
      <c r="CNN12" s="67">
        <f t="shared" si="718"/>
        <v>3366</v>
      </c>
      <c r="CNO12" s="68">
        <f t="shared" si="719"/>
        <v>561</v>
      </c>
      <c r="CNP12" s="63"/>
      <c r="CNQ12" s="64"/>
      <c r="CNR12" s="64">
        <v>329</v>
      </c>
      <c r="CNS12" s="64"/>
      <c r="CNT12" s="64">
        <v>887</v>
      </c>
      <c r="CNU12" s="64"/>
      <c r="CNV12" s="67">
        <f t="shared" si="720"/>
        <v>1216</v>
      </c>
      <c r="CNW12" s="68">
        <f t="shared" si="721"/>
        <v>202.66666666666666</v>
      </c>
      <c r="CNX12" s="48">
        <v>438</v>
      </c>
      <c r="CNY12" s="49"/>
      <c r="CNZ12" s="49"/>
      <c r="COA12" s="49"/>
      <c r="COB12" s="49">
        <v>1025</v>
      </c>
      <c r="COC12" s="49"/>
      <c r="COD12" s="67">
        <f t="shared" si="722"/>
        <v>1463</v>
      </c>
      <c r="COE12" s="68">
        <f t="shared" si="723"/>
        <v>243.83333333333334</v>
      </c>
      <c r="COF12" s="48"/>
      <c r="COG12" s="49"/>
      <c r="COH12" s="49"/>
      <c r="COI12" s="49"/>
      <c r="COJ12" s="49">
        <v>1395</v>
      </c>
      <c r="COK12" s="49"/>
      <c r="COL12" s="67">
        <f t="shared" si="724"/>
        <v>1395</v>
      </c>
      <c r="COM12" s="68">
        <f t="shared" si="725"/>
        <v>232.5</v>
      </c>
      <c r="CON12" s="48"/>
      <c r="COO12" s="49"/>
      <c r="COP12" s="49"/>
      <c r="COQ12" s="49">
        <v>1329</v>
      </c>
      <c r="COR12" s="49"/>
      <c r="COS12" s="49">
        <v>528</v>
      </c>
      <c r="COT12" s="67">
        <f t="shared" si="726"/>
        <v>1857</v>
      </c>
      <c r="COU12" s="68">
        <f t="shared" si="727"/>
        <v>309.5</v>
      </c>
      <c r="COV12" s="48">
        <v>439</v>
      </c>
      <c r="COW12" s="49"/>
      <c r="COX12" s="49"/>
      <c r="COY12" s="49">
        <v>218</v>
      </c>
      <c r="COZ12" s="49"/>
      <c r="CPA12" s="49">
        <v>1016</v>
      </c>
      <c r="CPB12" s="67">
        <f t="shared" si="728"/>
        <v>1673</v>
      </c>
      <c r="CPC12" s="68">
        <f t="shared" si="729"/>
        <v>278.83333333333331</v>
      </c>
      <c r="CPD12" s="48">
        <v>0</v>
      </c>
      <c r="CPE12" s="49">
        <v>0</v>
      </c>
      <c r="CPF12" s="49">
        <v>1050</v>
      </c>
      <c r="CPG12" s="49">
        <v>0</v>
      </c>
      <c r="CPH12" s="49">
        <v>0</v>
      </c>
      <c r="CPI12" s="49">
        <v>703</v>
      </c>
      <c r="CPJ12" s="67">
        <f t="shared" si="730"/>
        <v>1753</v>
      </c>
      <c r="CPK12" s="68">
        <f t="shared" si="731"/>
        <v>292.16666666666669</v>
      </c>
      <c r="CPL12" s="48"/>
      <c r="CPM12" s="49">
        <v>0</v>
      </c>
      <c r="CPN12" s="49">
        <v>0</v>
      </c>
      <c r="CPO12" s="49">
        <v>428</v>
      </c>
      <c r="CPP12" s="49">
        <v>0</v>
      </c>
      <c r="CPQ12" s="49">
        <v>0</v>
      </c>
      <c r="CPR12" s="67">
        <f t="shared" si="732"/>
        <v>428</v>
      </c>
      <c r="CPS12" s="68">
        <f t="shared" si="733"/>
        <v>71.333333333333329</v>
      </c>
      <c r="CPT12" s="63">
        <v>872</v>
      </c>
      <c r="CPU12" s="64">
        <v>330</v>
      </c>
      <c r="CPV12" s="64">
        <v>0</v>
      </c>
      <c r="CPW12" s="64">
        <v>0</v>
      </c>
      <c r="CPX12" s="64">
        <v>847</v>
      </c>
      <c r="CPY12" s="64">
        <v>0</v>
      </c>
      <c r="CPZ12" s="67">
        <f t="shared" si="734"/>
        <v>2049</v>
      </c>
      <c r="CQA12" s="68">
        <f t="shared" si="735"/>
        <v>341.5</v>
      </c>
      <c r="CQB12" s="48">
        <v>447</v>
      </c>
      <c r="CQC12" s="49">
        <v>0</v>
      </c>
      <c r="CQD12" s="49">
        <v>0</v>
      </c>
      <c r="CQE12" s="49">
        <v>442</v>
      </c>
      <c r="CQF12" s="49">
        <v>0</v>
      </c>
      <c r="CQG12" s="49">
        <v>954</v>
      </c>
      <c r="CQH12" s="67">
        <f t="shared" si="736"/>
        <v>1843</v>
      </c>
      <c r="CQI12" s="68">
        <f t="shared" si="737"/>
        <v>307.16666666666669</v>
      </c>
      <c r="CQJ12" s="82">
        <v>457</v>
      </c>
      <c r="CQK12" s="83">
        <v>0</v>
      </c>
      <c r="CQL12" s="83">
        <v>456</v>
      </c>
      <c r="CQM12" s="83">
        <v>439</v>
      </c>
      <c r="CQN12" s="83">
        <v>0</v>
      </c>
      <c r="CQO12" s="83"/>
      <c r="CQP12" s="67">
        <f t="shared" si="738"/>
        <v>1352</v>
      </c>
      <c r="CQQ12" s="68">
        <f t="shared" si="739"/>
        <v>225.33333333333334</v>
      </c>
      <c r="CQR12" s="48"/>
      <c r="CQS12" s="49">
        <v>0</v>
      </c>
      <c r="CQT12" s="49">
        <v>1268</v>
      </c>
      <c r="CQU12" s="49">
        <v>0</v>
      </c>
      <c r="CQV12" s="49">
        <v>0</v>
      </c>
      <c r="CQW12" s="49">
        <v>284</v>
      </c>
      <c r="CQX12" s="67">
        <f t="shared" si="740"/>
        <v>1552</v>
      </c>
      <c r="CQY12" s="68">
        <f t="shared" si="741"/>
        <v>258.66666666666669</v>
      </c>
      <c r="CQZ12" s="48">
        <v>0</v>
      </c>
      <c r="CRA12" s="49"/>
      <c r="CRB12" s="49">
        <v>399</v>
      </c>
      <c r="CRC12" s="49"/>
      <c r="CRD12" s="49">
        <v>437</v>
      </c>
      <c r="CRE12" s="49">
        <v>0</v>
      </c>
      <c r="CRF12" s="67">
        <f t="shared" si="742"/>
        <v>836</v>
      </c>
      <c r="CRG12" s="68">
        <f t="shared" si="743"/>
        <v>139.33333333333334</v>
      </c>
      <c r="CRH12" s="48">
        <v>966</v>
      </c>
      <c r="CRI12" s="49">
        <v>0</v>
      </c>
      <c r="CRJ12" s="49">
        <v>443</v>
      </c>
      <c r="CRK12" s="49">
        <v>0</v>
      </c>
      <c r="CRL12" s="49">
        <v>440</v>
      </c>
      <c r="CRM12" s="49">
        <v>0</v>
      </c>
      <c r="CRN12" s="67">
        <f t="shared" si="744"/>
        <v>1849</v>
      </c>
      <c r="CRO12" s="68">
        <f t="shared" si="745"/>
        <v>308.16666666666669</v>
      </c>
      <c r="CRP12" s="48">
        <v>455</v>
      </c>
      <c r="CRQ12" s="49">
        <v>0</v>
      </c>
      <c r="CRR12" s="49">
        <v>550</v>
      </c>
      <c r="CRS12" s="49">
        <v>501</v>
      </c>
      <c r="CRT12" s="49">
        <v>0</v>
      </c>
      <c r="CRU12" s="49">
        <v>0</v>
      </c>
      <c r="CRV12" s="47">
        <f t="shared" si="746"/>
        <v>1506</v>
      </c>
      <c r="CRW12" s="68">
        <f t="shared" si="747"/>
        <v>251</v>
      </c>
      <c r="CRX12" s="63">
        <v>880</v>
      </c>
      <c r="CRY12" s="64">
        <v>0</v>
      </c>
      <c r="CRZ12" s="64">
        <v>0</v>
      </c>
      <c r="CSA12" s="64">
        <v>440</v>
      </c>
      <c r="CSB12" s="64">
        <v>0</v>
      </c>
      <c r="CSC12" s="64">
        <v>1361</v>
      </c>
      <c r="CSD12" s="67">
        <f t="shared" si="748"/>
        <v>2681</v>
      </c>
      <c r="CSE12" s="68">
        <f t="shared" si="749"/>
        <v>446.83333333333331</v>
      </c>
      <c r="CSF12" s="48">
        <v>0</v>
      </c>
      <c r="CSG12" s="49">
        <v>0</v>
      </c>
      <c r="CSH12" s="49">
        <v>0</v>
      </c>
      <c r="CSI12" s="49">
        <v>0</v>
      </c>
      <c r="CSJ12" s="49">
        <v>0</v>
      </c>
      <c r="CSK12" s="49">
        <v>0</v>
      </c>
      <c r="CSL12" s="64">
        <f t="shared" si="750"/>
        <v>0</v>
      </c>
      <c r="CSM12" s="68">
        <f t="shared" si="751"/>
        <v>0</v>
      </c>
      <c r="CSN12" s="48">
        <v>0</v>
      </c>
      <c r="CSO12" s="49">
        <v>881</v>
      </c>
      <c r="CSP12" s="49">
        <v>0</v>
      </c>
      <c r="CSQ12" s="49">
        <v>660</v>
      </c>
      <c r="CSR12" s="49">
        <v>0</v>
      </c>
      <c r="CSS12" s="49">
        <v>0</v>
      </c>
      <c r="CST12" s="64">
        <f t="shared" si="752"/>
        <v>1541</v>
      </c>
      <c r="CSU12" s="68">
        <f t="shared" si="753"/>
        <v>256.83333333333331</v>
      </c>
      <c r="CSV12" s="48">
        <v>441</v>
      </c>
      <c r="CSW12" s="49">
        <v>0</v>
      </c>
      <c r="CSX12" s="49">
        <v>880</v>
      </c>
      <c r="CSY12" s="49">
        <v>0</v>
      </c>
      <c r="CSZ12" s="49"/>
      <c r="CTA12" s="49">
        <v>219</v>
      </c>
      <c r="CTB12" s="64">
        <f t="shared" si="754"/>
        <v>1540</v>
      </c>
      <c r="CTC12" s="68">
        <f t="shared" si="755"/>
        <v>256.66666666666669</v>
      </c>
      <c r="CTD12" s="48">
        <v>0</v>
      </c>
      <c r="CTE12" s="49">
        <v>430</v>
      </c>
      <c r="CTF12" s="49">
        <v>0</v>
      </c>
      <c r="CTG12" s="49">
        <v>389</v>
      </c>
      <c r="CTH12" s="49">
        <v>0</v>
      </c>
      <c r="CTI12" s="49"/>
      <c r="CTJ12" s="64">
        <f t="shared" si="756"/>
        <v>819</v>
      </c>
      <c r="CTK12" s="68">
        <f t="shared" si="757"/>
        <v>136.5</v>
      </c>
      <c r="CTL12" s="48">
        <v>826</v>
      </c>
      <c r="CTM12" s="49">
        <v>0</v>
      </c>
      <c r="CTN12" s="49">
        <v>0</v>
      </c>
      <c r="CTO12" s="49">
        <v>224</v>
      </c>
      <c r="CTP12" s="49">
        <v>0</v>
      </c>
      <c r="CTQ12" s="49"/>
      <c r="CTR12" s="64">
        <f t="shared" si="758"/>
        <v>1050</v>
      </c>
      <c r="CTS12" s="68">
        <f t="shared" si="759"/>
        <v>175</v>
      </c>
      <c r="CTT12" s="48">
        <v>990</v>
      </c>
      <c r="CTU12" s="49">
        <v>175</v>
      </c>
      <c r="CTV12" s="49">
        <v>1463</v>
      </c>
      <c r="CTW12" s="49">
        <v>683</v>
      </c>
      <c r="CTX12" s="49">
        <v>0</v>
      </c>
      <c r="CTY12" s="49"/>
      <c r="CTZ12" s="64">
        <f t="shared" si="760"/>
        <v>3311</v>
      </c>
      <c r="CUA12" s="68">
        <f t="shared" si="761"/>
        <v>551.83333333333337</v>
      </c>
      <c r="CUB12" s="48">
        <v>0</v>
      </c>
      <c r="CUC12" s="49"/>
      <c r="CUD12" s="49"/>
      <c r="CUE12" s="49"/>
      <c r="CUF12" s="49">
        <v>0</v>
      </c>
      <c r="CUG12" s="49">
        <v>849</v>
      </c>
      <c r="CUH12" s="64">
        <f t="shared" si="762"/>
        <v>849</v>
      </c>
      <c r="CUI12" s="68">
        <f t="shared" si="763"/>
        <v>141.5</v>
      </c>
      <c r="CUJ12" s="48">
        <v>0</v>
      </c>
      <c r="CUK12" s="49">
        <v>0</v>
      </c>
      <c r="CUL12" s="49">
        <v>432</v>
      </c>
      <c r="CUM12" s="49">
        <v>0</v>
      </c>
      <c r="CUN12" s="49">
        <v>440</v>
      </c>
      <c r="CUO12" s="49">
        <v>898</v>
      </c>
      <c r="CUP12" s="64">
        <f t="shared" si="764"/>
        <v>1770</v>
      </c>
      <c r="CUQ12" s="68">
        <f t="shared" si="765"/>
        <v>295</v>
      </c>
      <c r="CUR12" s="48">
        <v>0</v>
      </c>
      <c r="CUS12" s="49">
        <v>0</v>
      </c>
      <c r="CUT12" s="49"/>
      <c r="CUU12" s="49">
        <v>438</v>
      </c>
      <c r="CUV12" s="49">
        <v>0</v>
      </c>
      <c r="CUW12" s="49">
        <v>0</v>
      </c>
      <c r="CUX12" s="64">
        <f t="shared" si="766"/>
        <v>438</v>
      </c>
      <c r="CUY12" s="68">
        <f t="shared" si="767"/>
        <v>73</v>
      </c>
      <c r="CUZ12" s="48">
        <v>0</v>
      </c>
      <c r="CVA12" s="49">
        <v>444</v>
      </c>
      <c r="CVB12" s="49">
        <v>449</v>
      </c>
      <c r="CVC12" s="49">
        <v>442</v>
      </c>
      <c r="CVD12" s="49">
        <v>0</v>
      </c>
      <c r="CVE12" s="49">
        <v>220</v>
      </c>
      <c r="CVF12" s="64">
        <f t="shared" si="768"/>
        <v>1555</v>
      </c>
      <c r="CVG12" s="68">
        <f t="shared" si="769"/>
        <v>259.16666666666669</v>
      </c>
      <c r="CVH12" s="48">
        <v>898</v>
      </c>
      <c r="CVI12" s="49">
        <v>0</v>
      </c>
      <c r="CVJ12" s="49">
        <v>440</v>
      </c>
      <c r="CVK12" s="49">
        <v>0</v>
      </c>
      <c r="CVL12" s="49">
        <v>217</v>
      </c>
      <c r="CVM12" s="49">
        <v>329</v>
      </c>
      <c r="CVN12" s="64">
        <f t="shared" si="770"/>
        <v>1884</v>
      </c>
      <c r="CVO12" s="68">
        <f t="shared" si="771"/>
        <v>314</v>
      </c>
      <c r="CVP12" s="48"/>
      <c r="CVQ12" s="49">
        <v>0</v>
      </c>
      <c r="CVR12" s="49">
        <v>0</v>
      </c>
      <c r="CVS12" s="49">
        <v>0</v>
      </c>
      <c r="CVT12" s="49">
        <v>429</v>
      </c>
      <c r="CVU12" s="49">
        <v>0</v>
      </c>
      <c r="CVV12" s="64">
        <f t="shared" si="772"/>
        <v>429</v>
      </c>
      <c r="CVW12" s="68">
        <f t="shared" si="773"/>
        <v>71.5</v>
      </c>
      <c r="CVX12" s="48">
        <v>644</v>
      </c>
      <c r="CVY12" s="49">
        <v>0</v>
      </c>
      <c r="CVZ12" s="49">
        <v>110</v>
      </c>
      <c r="CWA12" s="49">
        <v>757</v>
      </c>
      <c r="CWB12" s="49">
        <v>432</v>
      </c>
      <c r="CWC12" s="49">
        <v>599</v>
      </c>
      <c r="CWD12" s="64">
        <f t="shared" si="774"/>
        <v>2542</v>
      </c>
      <c r="CWE12" s="68">
        <f t="shared" si="775"/>
        <v>423.66666666666669</v>
      </c>
      <c r="CWF12" s="48">
        <v>0</v>
      </c>
      <c r="CWG12" s="49">
        <v>0</v>
      </c>
      <c r="CWH12" s="49">
        <v>0</v>
      </c>
      <c r="CWI12" s="49">
        <v>444</v>
      </c>
      <c r="CWJ12" s="49">
        <v>0</v>
      </c>
      <c r="CWK12" s="49">
        <v>0</v>
      </c>
      <c r="CWL12" s="64">
        <f t="shared" si="776"/>
        <v>444</v>
      </c>
      <c r="CWM12" s="68">
        <f t="shared" si="777"/>
        <v>74</v>
      </c>
      <c r="CWN12" s="48">
        <v>0</v>
      </c>
      <c r="CWO12" s="49">
        <v>991</v>
      </c>
      <c r="CWP12" s="49">
        <v>0</v>
      </c>
      <c r="CWQ12" s="49">
        <v>0</v>
      </c>
      <c r="CWR12" s="49">
        <v>440</v>
      </c>
      <c r="CWS12" s="49">
        <v>0</v>
      </c>
      <c r="CWT12" s="64">
        <f t="shared" si="778"/>
        <v>1431</v>
      </c>
      <c r="CWU12" s="68">
        <f t="shared" si="779"/>
        <v>238.5</v>
      </c>
      <c r="CWV12" s="48">
        <v>0</v>
      </c>
      <c r="CWW12" s="49">
        <v>1061</v>
      </c>
      <c r="CWX12" s="49">
        <v>0</v>
      </c>
      <c r="CWY12" s="49">
        <v>441</v>
      </c>
      <c r="CWZ12" s="49">
        <v>330</v>
      </c>
      <c r="CXA12" s="49">
        <v>110</v>
      </c>
      <c r="CXB12" s="127">
        <f t="shared" si="780"/>
        <v>1942</v>
      </c>
      <c r="CXC12" s="43">
        <f t="shared" si="781"/>
        <v>323.66666666666669</v>
      </c>
      <c r="CXD12" s="48">
        <v>0</v>
      </c>
      <c r="CXE12" s="49">
        <v>441</v>
      </c>
      <c r="CXF12" s="49">
        <v>0</v>
      </c>
      <c r="CXG12" s="49">
        <v>0</v>
      </c>
      <c r="CXH12" s="49">
        <v>802</v>
      </c>
      <c r="CXI12" s="49">
        <v>0</v>
      </c>
      <c r="CXJ12" s="127">
        <f t="shared" si="782"/>
        <v>1243</v>
      </c>
      <c r="CXK12" s="43">
        <f t="shared" si="783"/>
        <v>207.16666666666666</v>
      </c>
      <c r="CXL12" s="48">
        <v>860</v>
      </c>
      <c r="CXM12" s="49">
        <v>217</v>
      </c>
      <c r="CXN12" s="49">
        <v>330</v>
      </c>
      <c r="CXO12" s="49">
        <v>0</v>
      </c>
      <c r="CXP12" s="49">
        <v>0</v>
      </c>
      <c r="CXQ12" s="49">
        <v>660</v>
      </c>
      <c r="CXR12" s="127">
        <f t="shared" si="784"/>
        <v>2067</v>
      </c>
      <c r="CXS12" s="43">
        <f t="shared" si="785"/>
        <v>344.5</v>
      </c>
      <c r="CXT12" s="48">
        <v>461</v>
      </c>
      <c r="CXU12" s="49">
        <v>331</v>
      </c>
      <c r="CXV12" s="49">
        <v>0</v>
      </c>
      <c r="CXW12" s="49">
        <v>0</v>
      </c>
      <c r="CXX12" s="49">
        <v>330</v>
      </c>
      <c r="CXY12" s="49">
        <v>875</v>
      </c>
      <c r="CXZ12" s="127">
        <f t="shared" si="786"/>
        <v>1997</v>
      </c>
      <c r="CYA12" s="43">
        <f t="shared" si="787"/>
        <v>332.83333333333331</v>
      </c>
      <c r="CYB12" s="48">
        <v>221</v>
      </c>
      <c r="CYC12" s="49">
        <v>727</v>
      </c>
      <c r="CYD12" s="49">
        <v>0</v>
      </c>
      <c r="CYE12" s="49">
        <v>0</v>
      </c>
      <c r="CYF12" s="49">
        <v>597</v>
      </c>
      <c r="CYG12" s="49">
        <v>200</v>
      </c>
      <c r="CYH12" s="127">
        <f t="shared" si="788"/>
        <v>1745</v>
      </c>
      <c r="CYI12" s="43">
        <f t="shared" si="789"/>
        <v>290.83333333333331</v>
      </c>
      <c r="CYJ12" s="48"/>
      <c r="CYK12" s="49">
        <v>0</v>
      </c>
      <c r="CYL12" s="49">
        <v>110</v>
      </c>
      <c r="CYM12" s="49">
        <v>0</v>
      </c>
      <c r="CYN12" s="49">
        <v>342</v>
      </c>
      <c r="CYO12" s="49">
        <v>439</v>
      </c>
      <c r="CYP12" s="127">
        <f t="shared" si="790"/>
        <v>891</v>
      </c>
      <c r="CYQ12" s="43">
        <f t="shared" si="791"/>
        <v>148.5</v>
      </c>
      <c r="CYR12" s="48">
        <v>438</v>
      </c>
      <c r="CYS12" s="49">
        <v>0</v>
      </c>
      <c r="CYT12" s="49">
        <v>441</v>
      </c>
      <c r="CYU12" s="49">
        <v>0</v>
      </c>
      <c r="CYV12" s="49">
        <v>0</v>
      </c>
      <c r="CYW12" s="49">
        <v>659</v>
      </c>
      <c r="CYX12" s="127">
        <f t="shared" si="792"/>
        <v>1538</v>
      </c>
      <c r="CYY12" s="43">
        <f t="shared" si="793"/>
        <v>256.33333333333331</v>
      </c>
      <c r="CYZ12" s="48">
        <v>439</v>
      </c>
      <c r="CZA12" s="49">
        <v>0</v>
      </c>
      <c r="CZB12" s="49">
        <v>0</v>
      </c>
      <c r="CZC12" s="49">
        <v>441</v>
      </c>
      <c r="CZD12" s="49"/>
      <c r="CZE12" s="49">
        <v>0</v>
      </c>
      <c r="CZF12" s="127">
        <f t="shared" si="794"/>
        <v>880</v>
      </c>
      <c r="CZG12" s="43">
        <f t="shared" si="795"/>
        <v>176</v>
      </c>
      <c r="CZH12" s="48">
        <v>332</v>
      </c>
      <c r="CZI12" s="49">
        <v>110</v>
      </c>
      <c r="CZJ12" s="49">
        <v>439</v>
      </c>
      <c r="CZK12" s="49">
        <v>0</v>
      </c>
      <c r="CZL12" s="49">
        <v>443</v>
      </c>
      <c r="CZM12" s="49">
        <v>660</v>
      </c>
      <c r="CZN12" s="127">
        <f t="shared" si="796"/>
        <v>1984</v>
      </c>
      <c r="CZO12" s="43">
        <f t="shared" si="797"/>
        <v>330.66666666666669</v>
      </c>
      <c r="CZP12" s="48">
        <v>0</v>
      </c>
      <c r="CZQ12" s="49"/>
      <c r="CZR12" s="49"/>
      <c r="CZS12" s="49">
        <v>442</v>
      </c>
      <c r="CZT12" s="49">
        <v>0</v>
      </c>
      <c r="CZU12" s="49">
        <v>1114</v>
      </c>
      <c r="CZV12" s="127">
        <f t="shared" si="798"/>
        <v>1556</v>
      </c>
      <c r="CZW12" s="43">
        <f t="shared" si="799"/>
        <v>259.33333333333331</v>
      </c>
      <c r="CZX12" s="48">
        <v>0</v>
      </c>
      <c r="CZY12" s="49">
        <v>0</v>
      </c>
      <c r="CZZ12" s="49">
        <v>220</v>
      </c>
      <c r="DAA12" s="49">
        <v>615</v>
      </c>
      <c r="DAB12" s="49">
        <v>0</v>
      </c>
      <c r="DAC12" s="49">
        <v>963</v>
      </c>
      <c r="DAD12" s="64">
        <f t="shared" si="800"/>
        <v>1798</v>
      </c>
      <c r="DAE12" s="68">
        <f t="shared" si="801"/>
        <v>299.66666666666669</v>
      </c>
      <c r="DAF12" s="48">
        <v>0</v>
      </c>
      <c r="DAG12" s="49">
        <v>0</v>
      </c>
      <c r="DAH12" s="49">
        <v>220</v>
      </c>
      <c r="DAI12" s="49">
        <v>110</v>
      </c>
      <c r="DAJ12" s="49">
        <v>551</v>
      </c>
      <c r="DAK12" s="49">
        <v>660</v>
      </c>
      <c r="DAL12" s="64">
        <f t="shared" si="802"/>
        <v>1541</v>
      </c>
      <c r="DAM12" s="68">
        <f t="shared" si="803"/>
        <v>256.83333333333331</v>
      </c>
      <c r="DAN12" s="48">
        <v>0</v>
      </c>
      <c r="DAO12" s="49">
        <v>0</v>
      </c>
      <c r="DAP12" s="49">
        <v>0</v>
      </c>
      <c r="DAQ12" s="49">
        <v>0</v>
      </c>
      <c r="DAR12" s="49">
        <v>699</v>
      </c>
      <c r="DAS12" s="49"/>
      <c r="DAT12" s="64">
        <f t="shared" si="804"/>
        <v>699</v>
      </c>
      <c r="DAU12" s="68">
        <f t="shared" si="805"/>
        <v>116.5</v>
      </c>
      <c r="DAV12" s="48">
        <v>0</v>
      </c>
      <c r="DAW12" s="49">
        <v>0</v>
      </c>
      <c r="DAX12" s="49">
        <v>0</v>
      </c>
      <c r="DAY12" s="49">
        <v>655</v>
      </c>
      <c r="DAZ12" s="49">
        <v>659</v>
      </c>
      <c r="DBA12" s="49">
        <v>0</v>
      </c>
      <c r="DBB12" s="64">
        <f t="shared" si="806"/>
        <v>1314</v>
      </c>
      <c r="DBC12" s="68">
        <f t="shared" si="807"/>
        <v>219</v>
      </c>
      <c r="DBD12" s="48">
        <v>0</v>
      </c>
      <c r="DBE12" s="49">
        <v>0</v>
      </c>
      <c r="DBF12" s="49">
        <v>330</v>
      </c>
      <c r="DBG12" s="49">
        <v>0</v>
      </c>
      <c r="DBH12" s="49">
        <v>660</v>
      </c>
      <c r="DBI12" s="49">
        <v>343</v>
      </c>
      <c r="DBJ12" s="64">
        <f t="shared" si="808"/>
        <v>1333</v>
      </c>
      <c r="DBK12" s="68">
        <f t="shared" si="809"/>
        <v>222.16666666666666</v>
      </c>
      <c r="DBL12" s="48">
        <v>0</v>
      </c>
      <c r="DBM12" s="49"/>
      <c r="DBN12" s="49">
        <v>0</v>
      </c>
      <c r="DBO12" s="49">
        <v>0</v>
      </c>
      <c r="DBP12" s="49">
        <v>440</v>
      </c>
      <c r="DBQ12" s="49">
        <v>0</v>
      </c>
      <c r="DBR12" s="64">
        <f t="shared" si="810"/>
        <v>440</v>
      </c>
      <c r="DBS12" s="68">
        <f t="shared" si="811"/>
        <v>73.333333333333329</v>
      </c>
      <c r="DBT12" s="48">
        <v>223</v>
      </c>
      <c r="DBU12" s="49"/>
      <c r="DBV12" s="49"/>
      <c r="DBW12" s="49">
        <v>868</v>
      </c>
      <c r="DBX12" s="49">
        <v>330</v>
      </c>
      <c r="DBY12" s="49"/>
      <c r="DBZ12" s="64">
        <f t="shared" si="812"/>
        <v>1421</v>
      </c>
      <c r="DCA12" s="68">
        <f t="shared" si="813"/>
        <v>284.2</v>
      </c>
      <c r="DCB12" s="48"/>
      <c r="DCC12" s="49">
        <v>330</v>
      </c>
      <c r="DCD12" s="49"/>
      <c r="DCE12" s="49"/>
      <c r="DCF12" s="49">
        <v>900</v>
      </c>
      <c r="DCG12" s="49">
        <v>0</v>
      </c>
      <c r="DCH12" s="64">
        <f t="shared" si="814"/>
        <v>1230</v>
      </c>
      <c r="DCI12" s="68">
        <f t="shared" si="815"/>
        <v>205</v>
      </c>
      <c r="DCJ12" s="48">
        <v>661</v>
      </c>
      <c r="DCK12" s="49">
        <v>445</v>
      </c>
      <c r="DCL12" s="49">
        <v>0</v>
      </c>
      <c r="DCM12" s="49">
        <v>0</v>
      </c>
      <c r="DCN12" s="49">
        <v>0</v>
      </c>
      <c r="DCO12" s="49">
        <v>332</v>
      </c>
      <c r="DCP12" s="64">
        <f t="shared" si="816"/>
        <v>1438</v>
      </c>
      <c r="DCQ12" s="68">
        <f t="shared" si="817"/>
        <v>239.66666666666666</v>
      </c>
      <c r="DCR12" s="48">
        <v>0</v>
      </c>
      <c r="DCS12" s="49">
        <v>900</v>
      </c>
      <c r="DCT12" s="49">
        <v>0</v>
      </c>
      <c r="DCU12" s="49">
        <v>220</v>
      </c>
      <c r="DCV12" s="49">
        <v>0</v>
      </c>
      <c r="DCW12" s="49">
        <v>38</v>
      </c>
      <c r="DCX12" s="64">
        <f t="shared" si="818"/>
        <v>1158</v>
      </c>
      <c r="DCY12" s="68">
        <f t="shared" si="819"/>
        <v>193</v>
      </c>
      <c r="DCZ12" s="48">
        <v>0</v>
      </c>
      <c r="DDA12" s="49">
        <v>884</v>
      </c>
      <c r="DDB12" s="49">
        <v>0</v>
      </c>
      <c r="DDC12" s="49">
        <v>549</v>
      </c>
      <c r="DDD12" s="49"/>
      <c r="DDE12" s="49">
        <v>0</v>
      </c>
      <c r="DDF12" s="64">
        <f t="shared" si="820"/>
        <v>1433</v>
      </c>
      <c r="DDG12" s="68">
        <f t="shared" si="821"/>
        <v>238.83333333333334</v>
      </c>
      <c r="DDH12" s="48">
        <v>220</v>
      </c>
      <c r="DDI12" s="49">
        <v>0</v>
      </c>
      <c r="DDJ12" s="49">
        <v>0</v>
      </c>
      <c r="DDK12" s="49">
        <v>0</v>
      </c>
      <c r="DDL12" s="49">
        <v>963</v>
      </c>
      <c r="DDM12" s="49">
        <v>441</v>
      </c>
      <c r="DDN12" s="127">
        <f t="shared" si="822"/>
        <v>1624</v>
      </c>
      <c r="DDO12" s="43">
        <f t="shared" si="823"/>
        <v>270.66666666666669</v>
      </c>
      <c r="DDP12" s="48">
        <v>225</v>
      </c>
      <c r="DDQ12" s="49">
        <v>0</v>
      </c>
      <c r="DDR12" s="49">
        <v>448</v>
      </c>
      <c r="DDS12" s="49"/>
      <c r="DDT12" s="49">
        <v>0</v>
      </c>
      <c r="DDU12" s="49">
        <v>0</v>
      </c>
      <c r="DDV12" s="127">
        <f t="shared" si="824"/>
        <v>673</v>
      </c>
      <c r="DDW12" s="43">
        <f t="shared" si="825"/>
        <v>112.16666666666667</v>
      </c>
      <c r="DDX12" s="48">
        <v>0</v>
      </c>
      <c r="DDY12" s="49">
        <v>0</v>
      </c>
      <c r="DDZ12" s="49">
        <v>812</v>
      </c>
      <c r="DEA12" s="49">
        <v>0</v>
      </c>
      <c r="DEB12" s="49">
        <v>454</v>
      </c>
      <c r="DEC12" s="49">
        <v>0</v>
      </c>
      <c r="DED12" s="127">
        <f t="shared" si="826"/>
        <v>1266</v>
      </c>
      <c r="DEE12" s="43">
        <f t="shared" si="827"/>
        <v>211</v>
      </c>
      <c r="DEF12" s="48">
        <v>682</v>
      </c>
      <c r="DEG12" s="49">
        <v>0</v>
      </c>
      <c r="DEH12" s="49"/>
      <c r="DEI12" s="49">
        <v>488</v>
      </c>
      <c r="DEJ12" s="49">
        <v>226</v>
      </c>
      <c r="DEK12" s="49">
        <v>227</v>
      </c>
      <c r="DEL12" s="127">
        <f t="shared" si="828"/>
        <v>1623</v>
      </c>
      <c r="DEM12" s="43">
        <f t="shared" si="829"/>
        <v>270.5</v>
      </c>
      <c r="DEN12" s="48">
        <v>227</v>
      </c>
      <c r="DEO12" s="49">
        <v>0</v>
      </c>
      <c r="DEP12" s="49">
        <v>1050</v>
      </c>
      <c r="DEQ12" s="49">
        <v>0</v>
      </c>
      <c r="DER12" s="49">
        <v>454</v>
      </c>
      <c r="DES12" s="49">
        <v>0</v>
      </c>
      <c r="DET12" s="127">
        <f t="shared" si="830"/>
        <v>1731</v>
      </c>
      <c r="DEU12" s="43">
        <f t="shared" si="831"/>
        <v>288.5</v>
      </c>
      <c r="DEV12" s="48">
        <v>0</v>
      </c>
      <c r="DEW12" s="49"/>
      <c r="DEX12" s="49">
        <v>882</v>
      </c>
      <c r="DEY12" s="49">
        <v>0</v>
      </c>
      <c r="DEZ12" s="49">
        <v>216</v>
      </c>
      <c r="DFA12" s="49">
        <v>0</v>
      </c>
      <c r="DFB12" s="127">
        <f t="shared" si="832"/>
        <v>1098</v>
      </c>
      <c r="DFC12" s="43">
        <f t="shared" si="833"/>
        <v>183</v>
      </c>
      <c r="DFD12" s="48">
        <v>660</v>
      </c>
      <c r="DFE12" s="49">
        <v>0</v>
      </c>
      <c r="DFF12" s="49">
        <v>0</v>
      </c>
      <c r="DFG12" s="49">
        <v>443</v>
      </c>
      <c r="DFH12" s="49">
        <v>683</v>
      </c>
      <c r="DFI12" s="49"/>
      <c r="DFJ12" s="127">
        <f t="shared" si="834"/>
        <v>1786</v>
      </c>
      <c r="DFK12" s="43">
        <f t="shared" si="835"/>
        <v>297.66666666666669</v>
      </c>
      <c r="DFL12" s="63"/>
      <c r="DFM12" s="64">
        <v>0</v>
      </c>
      <c r="DFN12" s="64">
        <v>0</v>
      </c>
      <c r="DFO12" s="64">
        <v>0</v>
      </c>
      <c r="DFP12" s="64">
        <v>0</v>
      </c>
      <c r="DFQ12" s="64">
        <v>1128</v>
      </c>
      <c r="DFR12" s="64">
        <f t="shared" si="836"/>
        <v>1128</v>
      </c>
      <c r="DFS12" s="68">
        <f t="shared" si="837"/>
        <v>188</v>
      </c>
      <c r="DFT12" s="48">
        <v>0</v>
      </c>
      <c r="DFU12" s="49">
        <v>0</v>
      </c>
      <c r="DFV12" s="49">
        <v>0</v>
      </c>
      <c r="DFW12" s="49">
        <v>640</v>
      </c>
      <c r="DFX12" s="49"/>
      <c r="DFY12" s="49">
        <v>442</v>
      </c>
      <c r="DFZ12" s="127">
        <f t="shared" si="838"/>
        <v>1082</v>
      </c>
      <c r="DGA12" s="43">
        <f t="shared" si="839"/>
        <v>180.33333333333334</v>
      </c>
      <c r="DGB12" s="48">
        <v>0</v>
      </c>
      <c r="DGC12" s="49">
        <v>331</v>
      </c>
      <c r="DGD12" s="49">
        <v>0</v>
      </c>
      <c r="DGE12" s="49">
        <v>900</v>
      </c>
      <c r="DGF12" s="49">
        <v>0</v>
      </c>
      <c r="DGG12" s="49">
        <v>0</v>
      </c>
      <c r="DGH12" s="127">
        <f t="shared" si="840"/>
        <v>1231</v>
      </c>
      <c r="DGI12" s="43">
        <f t="shared" si="841"/>
        <v>205.16666666666666</v>
      </c>
      <c r="DGJ12" s="48">
        <v>221</v>
      </c>
      <c r="DGK12" s="49">
        <v>0</v>
      </c>
      <c r="DGL12" s="49">
        <v>257</v>
      </c>
      <c r="DGM12" s="49">
        <v>0</v>
      </c>
      <c r="DGN12" s="49">
        <v>876</v>
      </c>
      <c r="DGO12" s="49"/>
      <c r="DGP12" s="64">
        <f t="shared" si="842"/>
        <v>1354</v>
      </c>
      <c r="DGQ12" s="68">
        <f t="shared" si="843"/>
        <v>225.66666666666666</v>
      </c>
      <c r="DGR12" s="48">
        <v>0</v>
      </c>
      <c r="DGS12" s="49">
        <v>438</v>
      </c>
      <c r="DGT12" s="49">
        <v>0</v>
      </c>
      <c r="DGU12" s="49">
        <v>0</v>
      </c>
      <c r="DGV12" s="49">
        <v>900</v>
      </c>
      <c r="DGW12" s="49"/>
      <c r="DGX12" s="64">
        <f t="shared" si="844"/>
        <v>1338</v>
      </c>
      <c r="DGY12" s="68">
        <f t="shared" si="845"/>
        <v>223</v>
      </c>
      <c r="DGZ12" s="48">
        <v>0</v>
      </c>
      <c r="DHA12" s="49">
        <v>899</v>
      </c>
      <c r="DHB12" s="49">
        <v>0</v>
      </c>
      <c r="DHC12" s="49">
        <v>0</v>
      </c>
      <c r="DHD12" s="49">
        <v>660</v>
      </c>
      <c r="DHE12" s="49">
        <v>0</v>
      </c>
      <c r="DHF12" s="64">
        <f t="shared" si="846"/>
        <v>1559</v>
      </c>
      <c r="DHG12" s="68">
        <f t="shared" si="847"/>
        <v>259.83333333333331</v>
      </c>
      <c r="DHH12" s="63"/>
      <c r="DHI12" s="64">
        <v>0</v>
      </c>
      <c r="DHJ12" s="64">
        <v>0</v>
      </c>
      <c r="DHK12" s="64">
        <v>649</v>
      </c>
      <c r="DHL12" s="64">
        <v>0</v>
      </c>
      <c r="DHM12" s="64">
        <v>221</v>
      </c>
      <c r="DHN12" s="64">
        <f t="shared" si="848"/>
        <v>870</v>
      </c>
      <c r="DHO12" s="68">
        <f t="shared" si="849"/>
        <v>145</v>
      </c>
      <c r="DHP12" s="48">
        <v>659</v>
      </c>
      <c r="DHQ12" s="49">
        <v>0</v>
      </c>
      <c r="DHR12" s="49">
        <v>0</v>
      </c>
      <c r="DHS12" s="49">
        <v>0</v>
      </c>
      <c r="DHT12" s="49">
        <v>220</v>
      </c>
      <c r="DHU12" s="49">
        <v>888</v>
      </c>
      <c r="DHV12" s="64">
        <f t="shared" si="850"/>
        <v>1767</v>
      </c>
      <c r="DHW12" s="68">
        <f t="shared" si="851"/>
        <v>294.5</v>
      </c>
      <c r="DHX12" s="48">
        <v>0</v>
      </c>
      <c r="DHY12" s="49"/>
      <c r="DHZ12" s="49">
        <v>407</v>
      </c>
      <c r="DIA12" s="49">
        <v>0</v>
      </c>
      <c r="DIB12" s="49">
        <v>447</v>
      </c>
      <c r="DIC12" s="49">
        <v>223</v>
      </c>
      <c r="DID12" s="64">
        <f t="shared" si="852"/>
        <v>1077</v>
      </c>
      <c r="DIE12" s="68">
        <f t="shared" si="853"/>
        <v>179.5</v>
      </c>
      <c r="DIF12" s="48">
        <v>219</v>
      </c>
      <c r="DIG12" s="49">
        <v>220</v>
      </c>
      <c r="DIH12" s="49">
        <v>0</v>
      </c>
      <c r="DII12" s="49">
        <v>0</v>
      </c>
      <c r="DIJ12" s="49">
        <v>0</v>
      </c>
      <c r="DIK12" s="49"/>
      <c r="DIL12" s="64">
        <f t="shared" si="854"/>
        <v>439</v>
      </c>
      <c r="DIM12" s="68">
        <f t="shared" si="855"/>
        <v>73.166666666666671</v>
      </c>
      <c r="DIN12" s="48">
        <v>500</v>
      </c>
      <c r="DIO12" s="49"/>
      <c r="DIP12" s="49">
        <v>0</v>
      </c>
      <c r="DIQ12" s="49">
        <v>0</v>
      </c>
      <c r="DIR12" s="49">
        <v>441</v>
      </c>
      <c r="DIS12" s="49">
        <v>0</v>
      </c>
      <c r="DIT12" s="64">
        <f t="shared" si="856"/>
        <v>941</v>
      </c>
      <c r="DIU12" s="68">
        <f t="shared" si="857"/>
        <v>156.83333333333334</v>
      </c>
      <c r="DIV12" s="48">
        <f>SUMIF(SUMPK!$B:$B,$B:$B,SUMPK!$O:$O)</f>
        <v>330</v>
      </c>
      <c r="DIW12" s="49">
        <v>661</v>
      </c>
      <c r="DIX12" s="49">
        <v>0</v>
      </c>
      <c r="DIY12" s="49">
        <v>0</v>
      </c>
      <c r="DIZ12" s="49">
        <v>441</v>
      </c>
      <c r="DJA12" s="49">
        <v>0</v>
      </c>
      <c r="DJB12" s="64">
        <f t="shared" si="858"/>
        <v>1432</v>
      </c>
      <c r="DJC12" s="68">
        <f t="shared" si="859"/>
        <v>238.66666666666666</v>
      </c>
      <c r="DJD12" s="48">
        <v>200</v>
      </c>
      <c r="DJE12" s="49">
        <v>309</v>
      </c>
      <c r="DJF12" s="49">
        <v>331</v>
      </c>
      <c r="DJG12" s="49">
        <v>0</v>
      </c>
      <c r="DJH12" s="49">
        <v>222</v>
      </c>
      <c r="DJI12" s="49"/>
      <c r="DJJ12" s="64">
        <f t="shared" si="860"/>
        <v>1062</v>
      </c>
      <c r="DJK12" s="68">
        <f t="shared" si="861"/>
        <v>177</v>
      </c>
      <c r="DJL12" s="48">
        <v>0</v>
      </c>
      <c r="DJM12" s="49">
        <v>439</v>
      </c>
      <c r="DJN12" s="49">
        <v>193</v>
      </c>
      <c r="DJO12" s="49">
        <v>223</v>
      </c>
      <c r="DJP12" s="49">
        <v>222</v>
      </c>
      <c r="DJQ12" s="49">
        <v>331</v>
      </c>
      <c r="DJR12" s="64">
        <f t="shared" si="862"/>
        <v>1408</v>
      </c>
      <c r="DJS12" s="68">
        <f t="shared" si="863"/>
        <v>234.66666666666666</v>
      </c>
      <c r="DJT12" s="48"/>
      <c r="DJU12" s="49">
        <v>0</v>
      </c>
      <c r="DJV12" s="49">
        <v>806</v>
      </c>
      <c r="DJW12" s="49">
        <v>0</v>
      </c>
      <c r="DJX12" s="49">
        <v>0</v>
      </c>
      <c r="DJY12" s="49">
        <v>0</v>
      </c>
      <c r="DJZ12" s="64">
        <f t="shared" si="864"/>
        <v>806</v>
      </c>
      <c r="DKA12" s="68">
        <f t="shared" si="865"/>
        <v>134.33333333333334</v>
      </c>
      <c r="DKB12" s="48">
        <v>0</v>
      </c>
      <c r="DKC12" s="49">
        <v>880</v>
      </c>
      <c r="DKD12" s="49">
        <v>550</v>
      </c>
      <c r="DKE12" s="49">
        <v>110</v>
      </c>
      <c r="DKF12" s="49">
        <v>0</v>
      </c>
      <c r="DKG12" s="49">
        <v>429</v>
      </c>
      <c r="DKH12" s="64">
        <f t="shared" si="866"/>
        <v>1969</v>
      </c>
      <c r="DKI12" s="68">
        <f t="shared" si="867"/>
        <v>328.16666666666669</v>
      </c>
      <c r="DKJ12" s="48"/>
      <c r="DKK12" s="49">
        <v>0</v>
      </c>
      <c r="DKL12" s="49">
        <v>881</v>
      </c>
      <c r="DKM12" s="49">
        <v>110</v>
      </c>
      <c r="DKN12" s="49">
        <v>220</v>
      </c>
      <c r="DKO12" s="49">
        <v>0</v>
      </c>
      <c r="DKP12" s="64">
        <f t="shared" si="868"/>
        <v>1211</v>
      </c>
      <c r="DKQ12" s="68">
        <f t="shared" si="869"/>
        <v>201.83333333333334</v>
      </c>
      <c r="DKR12" s="48">
        <v>960</v>
      </c>
      <c r="DKS12" s="49">
        <v>0</v>
      </c>
      <c r="DKT12" s="49">
        <v>0</v>
      </c>
      <c r="DKU12" s="49">
        <v>325</v>
      </c>
      <c r="DKV12" s="49">
        <v>0</v>
      </c>
      <c r="DKW12" s="49">
        <v>0</v>
      </c>
      <c r="DKX12" s="64">
        <f t="shared" si="870"/>
        <v>1285</v>
      </c>
      <c r="DKY12" s="68">
        <f t="shared" si="871"/>
        <v>214.16666666666666</v>
      </c>
      <c r="DKZ12" s="48">
        <v>0</v>
      </c>
      <c r="DLA12" s="49">
        <v>944</v>
      </c>
      <c r="DLB12" s="49">
        <v>109</v>
      </c>
      <c r="DLC12" s="49">
        <v>0</v>
      </c>
      <c r="DLD12" s="49">
        <v>0</v>
      </c>
      <c r="DLE12" s="49">
        <v>0</v>
      </c>
      <c r="DLF12" s="64">
        <f t="shared" si="872"/>
        <v>1053</v>
      </c>
      <c r="DLG12" s="68">
        <f t="shared" si="873"/>
        <v>175.5</v>
      </c>
      <c r="DLH12" s="48"/>
      <c r="DLI12" s="49">
        <v>902</v>
      </c>
      <c r="DLJ12" s="49">
        <v>0</v>
      </c>
      <c r="DLK12" s="49">
        <f>SUMIF(SUMPK!$B:$B,$B:$B,SUMPK!$O:$O)</f>
        <v>330</v>
      </c>
      <c r="DLL12" s="49"/>
      <c r="DLM12" s="49">
        <v>440</v>
      </c>
      <c r="DLN12" s="64">
        <f t="shared" si="874"/>
        <v>1672</v>
      </c>
      <c r="DLO12" s="68">
        <f t="shared" si="875"/>
        <v>278.66666666666669</v>
      </c>
      <c r="DLP12" s="48">
        <v>0</v>
      </c>
      <c r="DLR12" s="49">
        <v>641</v>
      </c>
      <c r="DLS12" s="49">
        <v>220</v>
      </c>
      <c r="DLT12" s="49">
        <v>218</v>
      </c>
      <c r="DLU12" s="49">
        <v>0</v>
      </c>
      <c r="DLV12" s="64">
        <f t="shared" si="876"/>
        <v>1079</v>
      </c>
      <c r="DLW12" s="68">
        <f t="shared" si="877"/>
        <v>179.83333333333334</v>
      </c>
      <c r="DLX12" s="48">
        <v>224</v>
      </c>
      <c r="DLY12" s="49">
        <v>579</v>
      </c>
      <c r="DLZ12" s="49">
        <v>0</v>
      </c>
      <c r="DMA12" s="49">
        <v>540</v>
      </c>
      <c r="DMB12" s="49">
        <v>224</v>
      </c>
      <c r="DMC12" s="49"/>
      <c r="DMD12" s="64">
        <f t="shared" si="878"/>
        <v>1567</v>
      </c>
      <c r="DME12" s="68">
        <f t="shared" si="879"/>
        <v>261.16666666666669</v>
      </c>
      <c r="DMF12" s="48"/>
      <c r="DMG12" s="49">
        <v>222</v>
      </c>
      <c r="DMH12" s="49"/>
      <c r="DMI12" s="49">
        <v>227</v>
      </c>
      <c r="DMJ12" s="49">
        <v>0</v>
      </c>
      <c r="DMK12" s="49">
        <v>0</v>
      </c>
      <c r="DML12" s="64">
        <f t="shared" si="880"/>
        <v>449</v>
      </c>
      <c r="DMM12" s="68">
        <f t="shared" si="881"/>
        <v>74.833333333333329</v>
      </c>
      <c r="DMN12" s="48">
        <v>952</v>
      </c>
      <c r="DMO12" s="49">
        <v>0</v>
      </c>
      <c r="DMP12" s="49">
        <v>0</v>
      </c>
      <c r="DMQ12" s="49">
        <v>992</v>
      </c>
      <c r="DMR12" s="49">
        <v>0</v>
      </c>
      <c r="DMS12" s="49">
        <v>0</v>
      </c>
      <c r="DMT12" s="64">
        <f t="shared" si="882"/>
        <v>1944</v>
      </c>
      <c r="DMU12" s="68">
        <f t="shared" si="883"/>
        <v>324</v>
      </c>
      <c r="DMV12" s="48">
        <v>332</v>
      </c>
      <c r="DMW12" s="49">
        <v>220</v>
      </c>
      <c r="DMX12" s="49">
        <v>544</v>
      </c>
      <c r="DMY12" s="49">
        <v>0</v>
      </c>
      <c r="DMZ12" s="49">
        <v>678</v>
      </c>
      <c r="DNA12" s="49">
        <v>0</v>
      </c>
      <c r="DNB12" s="64">
        <f t="shared" si="884"/>
        <v>1774</v>
      </c>
      <c r="DNC12" s="68">
        <f t="shared" si="885"/>
        <v>295.66666666666669</v>
      </c>
      <c r="DND12" s="48">
        <v>221</v>
      </c>
      <c r="DNE12" s="49">
        <v>330</v>
      </c>
      <c r="DNF12" s="49"/>
      <c r="DNG12" s="49"/>
      <c r="DNH12" s="49">
        <v>660</v>
      </c>
      <c r="DNI12" s="49">
        <v>440</v>
      </c>
      <c r="DNJ12" s="64">
        <f t="shared" si="886"/>
        <v>1651</v>
      </c>
      <c r="DNK12" s="68">
        <f t="shared" si="887"/>
        <v>275.16666666666669</v>
      </c>
      <c r="DNL12" s="48"/>
      <c r="DNM12" s="49"/>
      <c r="DNN12" s="49">
        <v>0</v>
      </c>
      <c r="DNO12" s="49">
        <v>0</v>
      </c>
      <c r="DNP12" s="49">
        <v>434</v>
      </c>
      <c r="DNQ12" s="49">
        <v>441</v>
      </c>
      <c r="DNR12" s="64">
        <f t="shared" si="888"/>
        <v>875</v>
      </c>
      <c r="DNS12" s="68">
        <f t="shared" si="889"/>
        <v>145.83333333333334</v>
      </c>
      <c r="DNT12" s="48"/>
      <c r="DNU12" s="49">
        <v>0</v>
      </c>
      <c r="DNV12" s="49">
        <v>1083</v>
      </c>
      <c r="DNW12" s="49"/>
      <c r="DNX12" s="49">
        <v>220</v>
      </c>
      <c r="DNY12" s="49">
        <v>221</v>
      </c>
      <c r="DNZ12" s="64">
        <f t="shared" si="890"/>
        <v>1524</v>
      </c>
      <c r="DOA12" s="68">
        <f t="shared" si="891"/>
        <v>254</v>
      </c>
      <c r="DOB12" s="48">
        <v>0</v>
      </c>
      <c r="DOC12" s="49"/>
      <c r="DOD12" s="49">
        <v>219</v>
      </c>
      <c r="DOE12" s="49">
        <v>220</v>
      </c>
      <c r="DOF12" s="49">
        <v>0</v>
      </c>
      <c r="DOG12" s="49">
        <v>1209</v>
      </c>
      <c r="DOH12" s="64">
        <f t="shared" si="892"/>
        <v>1648</v>
      </c>
      <c r="DOI12" s="68">
        <f t="shared" si="893"/>
        <v>274.66666666666669</v>
      </c>
      <c r="DOJ12" s="48">
        <v>0</v>
      </c>
      <c r="DOK12" s="49">
        <v>0</v>
      </c>
      <c r="DOL12" s="49"/>
      <c r="DOM12" s="49">
        <v>0</v>
      </c>
      <c r="DON12" s="49">
        <v>0</v>
      </c>
      <c r="DOO12" s="49">
        <v>1000</v>
      </c>
      <c r="DOP12" s="64">
        <f t="shared" si="894"/>
        <v>1000</v>
      </c>
      <c r="DOQ12" s="68">
        <f t="shared" si="895"/>
        <v>166.66666666666666</v>
      </c>
      <c r="DOR12" s="48">
        <v>0</v>
      </c>
      <c r="DOS12" s="49">
        <v>0</v>
      </c>
      <c r="DOT12" s="49"/>
      <c r="DOU12" s="49">
        <v>0</v>
      </c>
      <c r="DOV12" s="49"/>
      <c r="DOW12" s="49">
        <v>0</v>
      </c>
      <c r="DOX12" s="64">
        <f t="shared" si="896"/>
        <v>0</v>
      </c>
      <c r="DOY12" s="68">
        <f t="shared" si="897"/>
        <v>0</v>
      </c>
      <c r="DOZ12" s="48"/>
      <c r="DPA12" s="49">
        <v>0</v>
      </c>
      <c r="DPB12" s="49">
        <v>441</v>
      </c>
      <c r="DPC12" s="49">
        <v>220</v>
      </c>
      <c r="DPD12" s="49">
        <v>0</v>
      </c>
      <c r="DPE12" s="49">
        <v>1235</v>
      </c>
      <c r="DPF12" s="64">
        <f t="shared" si="898"/>
        <v>1896</v>
      </c>
      <c r="DPG12" s="68">
        <f t="shared" si="899"/>
        <v>316</v>
      </c>
      <c r="DPH12" s="48">
        <v>0</v>
      </c>
      <c r="DPI12" s="49">
        <v>0</v>
      </c>
      <c r="DPJ12" s="49">
        <v>0</v>
      </c>
      <c r="DPK12" s="49">
        <v>0</v>
      </c>
      <c r="DPL12" s="49">
        <v>0</v>
      </c>
      <c r="DPM12" s="49">
        <v>0</v>
      </c>
      <c r="DPN12" s="64">
        <f t="shared" si="900"/>
        <v>0</v>
      </c>
      <c r="DPO12" s="68">
        <f t="shared" si="901"/>
        <v>0</v>
      </c>
      <c r="DPP12" s="48">
        <v>0</v>
      </c>
      <c r="DPQ12" s="49">
        <v>799</v>
      </c>
      <c r="DPR12" s="49">
        <v>0</v>
      </c>
      <c r="DPS12" s="49">
        <v>0</v>
      </c>
      <c r="DPT12" s="49">
        <v>0</v>
      </c>
      <c r="DPU12" s="49">
        <v>907</v>
      </c>
      <c r="DPV12" s="491">
        <f t="shared" si="902"/>
        <v>1706</v>
      </c>
      <c r="DPW12" s="492">
        <f t="shared" si="903"/>
        <v>284.33333333333331</v>
      </c>
      <c r="DPX12" s="48">
        <v>0</v>
      </c>
      <c r="DPY12" s="49">
        <v>0</v>
      </c>
      <c r="DPZ12" s="49">
        <v>0</v>
      </c>
      <c r="DQA12" s="49">
        <v>549</v>
      </c>
      <c r="DQB12" s="49">
        <v>0</v>
      </c>
      <c r="DQC12" s="49"/>
      <c r="DQD12" s="491">
        <f t="shared" si="904"/>
        <v>549</v>
      </c>
      <c r="DQE12" s="492">
        <f t="shared" si="905"/>
        <v>91.5</v>
      </c>
      <c r="DQF12" s="48">
        <v>0</v>
      </c>
      <c r="DQG12" s="49">
        <v>0</v>
      </c>
      <c r="DQH12" s="49">
        <v>610</v>
      </c>
      <c r="DQI12" s="49"/>
      <c r="DQJ12" s="49">
        <v>0</v>
      </c>
      <c r="DQK12" s="49">
        <v>1003</v>
      </c>
      <c r="DQL12" s="489">
        <f t="shared" si="906"/>
        <v>1613</v>
      </c>
      <c r="DQM12" s="492">
        <f t="shared" si="907"/>
        <v>268.83333333333331</v>
      </c>
      <c r="DQN12" s="48">
        <v>0</v>
      </c>
      <c r="DQO12" s="49">
        <v>0</v>
      </c>
      <c r="DQP12" s="49">
        <v>48</v>
      </c>
      <c r="DQQ12" s="49">
        <v>0</v>
      </c>
      <c r="DQR12" s="49">
        <v>0</v>
      </c>
      <c r="DQS12" s="49">
        <v>222</v>
      </c>
      <c r="DQT12" s="64">
        <f t="shared" si="908"/>
        <v>270</v>
      </c>
      <c r="DQU12" s="68">
        <f t="shared" si="909"/>
        <v>45</v>
      </c>
      <c r="DQV12" s="48">
        <v>0</v>
      </c>
      <c r="DQW12" s="49">
        <v>441</v>
      </c>
      <c r="DQX12" s="49">
        <v>219</v>
      </c>
      <c r="DQY12" s="49">
        <v>443</v>
      </c>
      <c r="DQZ12" s="49">
        <v>0</v>
      </c>
      <c r="DRA12" s="49">
        <v>443</v>
      </c>
      <c r="DRB12" s="491">
        <f t="shared" si="910"/>
        <v>1546</v>
      </c>
      <c r="DRC12" s="492">
        <f t="shared" si="911"/>
        <v>257.66666666666669</v>
      </c>
      <c r="DRD12" s="48">
        <v>0</v>
      </c>
      <c r="DRE12" s="49">
        <v>220</v>
      </c>
      <c r="DRF12" s="49">
        <v>0</v>
      </c>
      <c r="DRG12" s="49">
        <v>0</v>
      </c>
      <c r="DRH12" s="49">
        <v>438</v>
      </c>
      <c r="DRI12" s="49"/>
      <c r="DRJ12" s="491">
        <f t="shared" si="912"/>
        <v>658</v>
      </c>
      <c r="DRK12" s="492">
        <f t="shared" si="913"/>
        <v>109.66666666666667</v>
      </c>
      <c r="DRL12" s="48"/>
      <c r="DRM12" s="49">
        <v>0</v>
      </c>
      <c r="DRN12" s="49"/>
      <c r="DRO12" s="49">
        <v>897</v>
      </c>
      <c r="DRP12" s="49">
        <v>0</v>
      </c>
      <c r="DRQ12" s="49">
        <v>0</v>
      </c>
      <c r="DRR12" s="64">
        <f t="shared" si="914"/>
        <v>897</v>
      </c>
      <c r="DRS12" s="68">
        <f t="shared" si="915"/>
        <v>149.5</v>
      </c>
      <c r="DRT12" s="48">
        <v>0</v>
      </c>
      <c r="DRU12" s="49">
        <v>219</v>
      </c>
      <c r="DRV12" s="49">
        <v>0</v>
      </c>
      <c r="DRW12" s="49">
        <v>955</v>
      </c>
      <c r="DRX12" s="49">
        <v>0</v>
      </c>
      <c r="DRY12" s="49"/>
      <c r="DRZ12" s="491">
        <f t="shared" si="916"/>
        <v>1174</v>
      </c>
      <c r="DSA12" s="68">
        <f t="shared" si="917"/>
        <v>195.66666666666666</v>
      </c>
      <c r="DSB12" s="82">
        <v>228</v>
      </c>
      <c r="DSC12" s="83">
        <v>0</v>
      </c>
      <c r="DSD12" s="83">
        <v>0</v>
      </c>
      <c r="DSE12" s="83"/>
      <c r="DSF12" s="83"/>
      <c r="DSG12" s="83">
        <v>0</v>
      </c>
      <c r="DSH12" s="64">
        <f t="shared" si="918"/>
        <v>228</v>
      </c>
      <c r="DSI12" s="68">
        <f t="shared" si="919"/>
        <v>38</v>
      </c>
      <c r="DSJ12" s="48">
        <v>668</v>
      </c>
      <c r="DSK12" s="49">
        <v>874</v>
      </c>
      <c r="DSL12" s="49">
        <v>0</v>
      </c>
      <c r="DSM12" s="49">
        <v>525</v>
      </c>
      <c r="DSN12" s="49">
        <v>0</v>
      </c>
      <c r="DSO12" s="49">
        <v>658</v>
      </c>
      <c r="DSP12" s="64">
        <f t="shared" si="920"/>
        <v>2725</v>
      </c>
      <c r="DSQ12" s="68">
        <f t="shared" si="921"/>
        <v>454.16666666666669</v>
      </c>
      <c r="DSR12" s="48">
        <v>0</v>
      </c>
      <c r="DSS12" s="49">
        <v>0</v>
      </c>
      <c r="DST12" s="49">
        <v>0</v>
      </c>
      <c r="DSU12" s="49">
        <v>6</v>
      </c>
      <c r="DSV12" s="49">
        <v>880</v>
      </c>
      <c r="DSW12" s="49">
        <v>218</v>
      </c>
      <c r="DSX12" s="64">
        <f t="shared" si="922"/>
        <v>1104</v>
      </c>
      <c r="DSY12" s="68">
        <f t="shared" si="923"/>
        <v>184</v>
      </c>
      <c r="DSZ12" s="48">
        <v>0</v>
      </c>
      <c r="DTA12" s="49"/>
      <c r="DTB12" s="49">
        <v>0</v>
      </c>
      <c r="DTC12" s="49">
        <v>658</v>
      </c>
      <c r="DTD12" s="49">
        <v>331</v>
      </c>
      <c r="DTE12" s="49">
        <v>0</v>
      </c>
      <c r="DTF12" s="64">
        <f t="shared" si="924"/>
        <v>989</v>
      </c>
      <c r="DTG12" s="68">
        <f t="shared" si="925"/>
        <v>164.83333333333334</v>
      </c>
      <c r="DTH12" s="48"/>
      <c r="DTI12" s="49">
        <v>0</v>
      </c>
      <c r="DTJ12" s="49">
        <v>0</v>
      </c>
      <c r="DTK12" s="49">
        <v>0</v>
      </c>
      <c r="DTL12" s="49">
        <v>746</v>
      </c>
      <c r="DTM12" s="49">
        <v>111</v>
      </c>
      <c r="DTN12" s="64">
        <f t="shared" si="926"/>
        <v>857</v>
      </c>
      <c r="DTO12" s="68">
        <f t="shared" si="927"/>
        <v>142.83333333333334</v>
      </c>
      <c r="DTP12" s="48">
        <v>881</v>
      </c>
      <c r="DTQ12" s="49">
        <v>0</v>
      </c>
      <c r="DTR12" s="49"/>
      <c r="DTS12" s="49">
        <v>0</v>
      </c>
      <c r="DTT12" s="49">
        <v>330</v>
      </c>
      <c r="DTU12" s="49">
        <v>0</v>
      </c>
      <c r="DTV12" s="64">
        <f t="shared" si="928"/>
        <v>1211</v>
      </c>
      <c r="DTW12" s="68">
        <f t="shared" si="929"/>
        <v>201.83333333333334</v>
      </c>
      <c r="DTX12" s="48">
        <v>884</v>
      </c>
      <c r="DTY12" s="49">
        <v>222</v>
      </c>
      <c r="DTZ12" s="49"/>
      <c r="DUA12" s="49">
        <v>0</v>
      </c>
      <c r="DUB12" s="49">
        <v>0</v>
      </c>
      <c r="DUC12" s="49">
        <v>110</v>
      </c>
      <c r="DUD12" s="64">
        <f t="shared" si="930"/>
        <v>1216</v>
      </c>
      <c r="DUE12" s="68">
        <f t="shared" si="931"/>
        <v>202.66666666666666</v>
      </c>
      <c r="DUF12" s="48">
        <v>0</v>
      </c>
      <c r="DUG12" s="49">
        <v>0</v>
      </c>
      <c r="DUH12" s="49">
        <v>220</v>
      </c>
      <c r="DUI12" s="49">
        <v>442</v>
      </c>
      <c r="DUJ12" s="49">
        <v>0</v>
      </c>
      <c r="DUK12" s="49">
        <v>481</v>
      </c>
      <c r="DUL12" s="64">
        <f t="shared" si="932"/>
        <v>1143</v>
      </c>
      <c r="DUM12" s="68">
        <f t="shared" si="933"/>
        <v>190.5</v>
      </c>
      <c r="DUN12" s="48"/>
      <c r="DUO12" s="49">
        <v>0</v>
      </c>
      <c r="DUP12" s="49">
        <v>600</v>
      </c>
      <c r="DUQ12" s="49">
        <v>333</v>
      </c>
      <c r="DUR12" s="49"/>
      <c r="DUS12" s="49">
        <v>0</v>
      </c>
      <c r="DUT12" s="64">
        <f t="shared" si="934"/>
        <v>933</v>
      </c>
      <c r="DUU12" s="184">
        <f t="shared" si="935"/>
        <v>155.5</v>
      </c>
      <c r="DUV12" s="48"/>
      <c r="DUW12" s="49">
        <v>881</v>
      </c>
      <c r="DUX12" s="49">
        <v>0</v>
      </c>
      <c r="DUY12" s="49">
        <v>0</v>
      </c>
      <c r="DUZ12" s="49">
        <v>440</v>
      </c>
      <c r="DVA12" s="49">
        <v>158</v>
      </c>
      <c r="DVB12" s="64">
        <f t="shared" si="936"/>
        <v>1479</v>
      </c>
      <c r="DVC12" s="68">
        <f t="shared" si="937"/>
        <v>246.5</v>
      </c>
      <c r="DVD12" s="48">
        <v>339</v>
      </c>
      <c r="DVE12" s="49">
        <v>217</v>
      </c>
      <c r="DVF12" s="49">
        <v>0</v>
      </c>
      <c r="DVG12" s="49">
        <v>0</v>
      </c>
      <c r="DVH12" s="49">
        <v>225</v>
      </c>
      <c r="DVI12" s="49"/>
      <c r="DVJ12" s="64">
        <f t="shared" si="938"/>
        <v>781</v>
      </c>
      <c r="DVK12" s="68">
        <f t="shared" si="939"/>
        <v>130.16666666666666</v>
      </c>
      <c r="DVL12" s="48">
        <v>0</v>
      </c>
      <c r="DVM12" s="49">
        <v>0</v>
      </c>
      <c r="DVN12" s="49">
        <v>0</v>
      </c>
      <c r="DVO12" s="49">
        <v>0</v>
      </c>
      <c r="DVP12" s="49">
        <v>910</v>
      </c>
      <c r="DVQ12" s="49"/>
      <c r="DVR12" s="64">
        <f t="shared" si="940"/>
        <v>910</v>
      </c>
      <c r="DVS12" s="68">
        <f t="shared" si="941"/>
        <v>151.66666666666666</v>
      </c>
      <c r="DVT12" s="48"/>
      <c r="DVU12" s="49">
        <v>456</v>
      </c>
      <c r="DVV12" s="49">
        <v>0</v>
      </c>
      <c r="DVW12" s="49">
        <v>459</v>
      </c>
      <c r="DVX12" s="49"/>
      <c r="DVY12" s="49">
        <v>0</v>
      </c>
      <c r="DVZ12" s="64">
        <f t="shared" si="942"/>
        <v>915</v>
      </c>
      <c r="DWA12" s="68">
        <f t="shared" si="943"/>
        <v>152.5</v>
      </c>
      <c r="DWB12" s="48"/>
      <c r="DWC12" s="49">
        <v>0</v>
      </c>
      <c r="DWD12" s="49">
        <v>330</v>
      </c>
      <c r="DWE12" s="49">
        <v>0</v>
      </c>
      <c r="DWF12" s="49">
        <v>435</v>
      </c>
      <c r="DWG12" s="49">
        <v>0</v>
      </c>
      <c r="DWH12" s="64">
        <f t="shared" si="944"/>
        <v>765</v>
      </c>
      <c r="DWI12" s="68">
        <f t="shared" si="945"/>
        <v>127.5</v>
      </c>
      <c r="DWJ12" s="48">
        <v>583</v>
      </c>
      <c r="DWK12" s="49"/>
      <c r="DWL12" s="49">
        <v>0</v>
      </c>
      <c r="DWM12" s="49">
        <v>0</v>
      </c>
      <c r="DWN12" s="49">
        <v>0</v>
      </c>
      <c r="DWO12" s="49">
        <v>556</v>
      </c>
      <c r="DWP12" s="64">
        <f t="shared" si="946"/>
        <v>1139</v>
      </c>
      <c r="DWQ12" s="68">
        <f t="shared" si="947"/>
        <v>189.83333333333334</v>
      </c>
      <c r="DWR12" s="48"/>
      <c r="DWS12" s="49"/>
      <c r="DWT12" s="49">
        <v>220</v>
      </c>
      <c r="DWU12" s="49">
        <v>0</v>
      </c>
      <c r="DWV12" s="49">
        <v>880</v>
      </c>
      <c r="DWW12" s="49">
        <v>440</v>
      </c>
      <c r="DWX12" s="64">
        <f t="shared" si="948"/>
        <v>1540</v>
      </c>
      <c r="DWY12" s="68">
        <f t="shared" si="1201"/>
        <v>256.66666666666669</v>
      </c>
      <c r="DWZ12" s="48">
        <v>0</v>
      </c>
      <c r="DXA12" s="49">
        <v>624</v>
      </c>
      <c r="DXB12" s="49">
        <v>0</v>
      </c>
      <c r="DXC12" s="49">
        <v>220</v>
      </c>
      <c r="DXD12" s="49">
        <v>0</v>
      </c>
      <c r="DXE12" s="49">
        <v>459</v>
      </c>
      <c r="DXF12" s="64">
        <f t="shared" si="949"/>
        <v>1303</v>
      </c>
      <c r="DXG12" s="68">
        <f t="shared" si="950"/>
        <v>217.16666666666666</v>
      </c>
      <c r="DXH12" s="48">
        <v>0</v>
      </c>
      <c r="DXI12" s="49">
        <v>0</v>
      </c>
      <c r="DXJ12" s="49">
        <v>550</v>
      </c>
      <c r="DXK12" s="49">
        <v>0</v>
      </c>
      <c r="DXL12" s="49">
        <v>440</v>
      </c>
      <c r="DXM12" s="49">
        <v>0</v>
      </c>
      <c r="DXN12" s="64">
        <f t="shared" si="951"/>
        <v>990</v>
      </c>
      <c r="DXO12" s="68">
        <f t="shared" si="952"/>
        <v>165</v>
      </c>
      <c r="DXP12" s="48">
        <v>0</v>
      </c>
      <c r="DXQ12" s="49">
        <v>0</v>
      </c>
      <c r="DXR12" s="49">
        <v>894</v>
      </c>
      <c r="DXS12" s="49">
        <v>0</v>
      </c>
      <c r="DXT12" s="49"/>
      <c r="DXU12" s="49"/>
      <c r="DXV12" s="64">
        <f t="shared" si="953"/>
        <v>894</v>
      </c>
      <c r="DXW12" s="68">
        <f t="shared" si="954"/>
        <v>149</v>
      </c>
      <c r="DXX12" s="48">
        <v>0</v>
      </c>
      <c r="DXY12" s="49">
        <v>223</v>
      </c>
      <c r="DXZ12" s="49">
        <v>442</v>
      </c>
      <c r="DYA12" s="49">
        <v>0</v>
      </c>
      <c r="DYB12" s="49">
        <v>0</v>
      </c>
      <c r="DYC12" s="49">
        <v>719</v>
      </c>
      <c r="DYD12" s="64">
        <f t="shared" si="955"/>
        <v>1384</v>
      </c>
      <c r="DYE12" s="68">
        <f t="shared" si="956"/>
        <v>230.66666666666666</v>
      </c>
      <c r="DYF12" s="48"/>
      <c r="DYG12" s="49">
        <v>0</v>
      </c>
      <c r="DYH12" s="49">
        <v>454</v>
      </c>
      <c r="DYI12" s="49">
        <v>0</v>
      </c>
      <c r="DYJ12" s="49">
        <v>0</v>
      </c>
      <c r="DYK12" s="49"/>
      <c r="DYL12" s="64">
        <f t="shared" si="957"/>
        <v>454</v>
      </c>
      <c r="DYM12" s="68">
        <f t="shared" si="958"/>
        <v>75.666666666666671</v>
      </c>
      <c r="DYN12" s="48">
        <v>453</v>
      </c>
      <c r="DYO12" s="49">
        <v>0</v>
      </c>
      <c r="DYP12" s="49">
        <v>0</v>
      </c>
      <c r="DYQ12" s="49">
        <v>220</v>
      </c>
      <c r="DYR12" s="49">
        <v>447</v>
      </c>
      <c r="DYS12" s="49">
        <v>0</v>
      </c>
      <c r="DYT12" s="64">
        <f t="shared" si="959"/>
        <v>1120</v>
      </c>
      <c r="DYU12" s="68">
        <f t="shared" si="960"/>
        <v>186.66666666666666</v>
      </c>
      <c r="DYV12" s="48">
        <v>227</v>
      </c>
      <c r="DYW12" s="49">
        <v>440</v>
      </c>
      <c r="DYX12" s="49">
        <v>0</v>
      </c>
      <c r="DYY12" s="49">
        <v>219</v>
      </c>
      <c r="DYZ12" s="49">
        <v>220</v>
      </c>
      <c r="DZA12" s="49">
        <v>0</v>
      </c>
      <c r="DZB12" s="64">
        <f t="shared" si="961"/>
        <v>1106</v>
      </c>
      <c r="DZC12" s="68">
        <f t="shared" si="962"/>
        <v>184.33333333333334</v>
      </c>
      <c r="DZD12" s="48">
        <v>0</v>
      </c>
      <c r="DZE12" s="49">
        <v>841</v>
      </c>
      <c r="DZF12" s="49">
        <v>0</v>
      </c>
      <c r="DZG12" s="49"/>
      <c r="DZH12" s="49">
        <f>SUMIF(SUMPK!$B:$B,$B:$B,SUMPK!$O:$O)</f>
        <v>330</v>
      </c>
      <c r="DZI12" s="49"/>
      <c r="DZJ12" s="64">
        <f t="shared" si="963"/>
        <v>1171</v>
      </c>
      <c r="DZK12" s="68">
        <f t="shared" si="964"/>
        <v>195.16666666666666</v>
      </c>
      <c r="DZL12" s="48">
        <v>0</v>
      </c>
      <c r="DZM12" s="49">
        <v>0</v>
      </c>
      <c r="DZN12" s="49"/>
      <c r="DZO12" s="49">
        <v>440</v>
      </c>
      <c r="DZP12" s="49"/>
      <c r="DZQ12" s="49"/>
      <c r="DZR12" s="64">
        <f t="shared" si="965"/>
        <v>440</v>
      </c>
      <c r="DZS12" s="68">
        <f t="shared" si="966"/>
        <v>73.333333333333329</v>
      </c>
      <c r="DZT12" s="48">
        <v>440</v>
      </c>
      <c r="DZU12" s="49">
        <v>440</v>
      </c>
      <c r="DZV12" s="49">
        <v>330</v>
      </c>
      <c r="DZW12" s="49">
        <v>0</v>
      </c>
      <c r="DZX12" s="49">
        <v>0</v>
      </c>
      <c r="DZY12" s="49"/>
      <c r="DZZ12" s="64">
        <f t="shared" si="967"/>
        <v>1210</v>
      </c>
      <c r="EAA12" s="68">
        <f t="shared" si="968"/>
        <v>201.66666666666666</v>
      </c>
      <c r="EAB12" s="48"/>
      <c r="EAC12" s="49">
        <v>1197</v>
      </c>
      <c r="EAD12" s="49"/>
      <c r="EAE12" s="49"/>
      <c r="EAF12" s="49">
        <v>220</v>
      </c>
      <c r="EAG12" s="49">
        <v>0</v>
      </c>
      <c r="EAH12" s="64">
        <f t="shared" si="969"/>
        <v>1417</v>
      </c>
      <c r="EAI12" s="68">
        <f t="shared" si="970"/>
        <v>236.16666666666666</v>
      </c>
      <c r="EAJ12" s="48">
        <v>220</v>
      </c>
      <c r="EAK12" s="49">
        <v>0</v>
      </c>
      <c r="EAL12" s="49">
        <v>0</v>
      </c>
      <c r="EAM12" s="49">
        <v>0</v>
      </c>
      <c r="EAN12" s="49">
        <v>805</v>
      </c>
      <c r="EAO12" s="49">
        <v>18</v>
      </c>
      <c r="EAP12" s="64">
        <f t="shared" si="971"/>
        <v>1043</v>
      </c>
      <c r="EAQ12" s="68">
        <f t="shared" si="1202"/>
        <v>173.83333333333334</v>
      </c>
      <c r="EAR12" s="48">
        <v>399</v>
      </c>
      <c r="EAS12" s="49">
        <v>443</v>
      </c>
      <c r="EAT12" s="49">
        <v>440</v>
      </c>
      <c r="EAU12" s="49">
        <v>0</v>
      </c>
      <c r="EAV12" s="49">
        <v>0</v>
      </c>
      <c r="EAW12" s="49"/>
      <c r="EAX12" s="64">
        <f t="shared" si="972"/>
        <v>1282</v>
      </c>
      <c r="EAY12" s="68">
        <f t="shared" si="973"/>
        <v>213.66666666666666</v>
      </c>
      <c r="EAZ12" s="48"/>
      <c r="EBA12" s="49">
        <v>0</v>
      </c>
      <c r="EBB12" s="49">
        <v>0</v>
      </c>
      <c r="EBC12" s="49"/>
      <c r="EBD12" s="49">
        <v>881</v>
      </c>
      <c r="EBE12" s="49">
        <v>0</v>
      </c>
      <c r="EBF12" s="64">
        <f t="shared" si="974"/>
        <v>881</v>
      </c>
      <c r="EBG12" s="68">
        <f t="shared" si="975"/>
        <v>146.83333333333334</v>
      </c>
      <c r="EBH12" s="48"/>
      <c r="EBI12" s="49">
        <v>437</v>
      </c>
      <c r="EBJ12" s="49">
        <v>0</v>
      </c>
      <c r="EBK12" s="49"/>
      <c r="EBL12" s="49">
        <v>0</v>
      </c>
      <c r="EBM12" s="49">
        <v>0</v>
      </c>
      <c r="EBN12" s="64">
        <f t="shared" si="976"/>
        <v>437</v>
      </c>
      <c r="EBO12" s="68">
        <f t="shared" si="1131"/>
        <v>72.833333333333329</v>
      </c>
      <c r="EBP12" s="48">
        <v>881</v>
      </c>
      <c r="EBQ12" s="49">
        <v>1328</v>
      </c>
      <c r="EBR12" s="49"/>
      <c r="EBS12" s="49">
        <v>0</v>
      </c>
      <c r="EBT12" s="49">
        <v>0</v>
      </c>
      <c r="EBU12" s="49">
        <v>0</v>
      </c>
      <c r="EBV12" s="64">
        <f t="shared" si="977"/>
        <v>2209</v>
      </c>
      <c r="EBW12" s="68">
        <f t="shared" si="978"/>
        <v>368.16666666666669</v>
      </c>
      <c r="EBX12" s="48">
        <v>0</v>
      </c>
      <c r="EBY12" s="49">
        <v>0</v>
      </c>
      <c r="EBZ12" s="49">
        <v>0</v>
      </c>
      <c r="ECA12" s="49">
        <v>0</v>
      </c>
      <c r="ECB12" s="49">
        <v>0</v>
      </c>
      <c r="ECC12" s="49">
        <v>0</v>
      </c>
      <c r="ECD12" s="64">
        <f t="shared" si="979"/>
        <v>0</v>
      </c>
      <c r="ECE12" s="68">
        <f t="shared" si="980"/>
        <v>0</v>
      </c>
      <c r="ECF12" s="48">
        <v>0</v>
      </c>
      <c r="ECG12" s="49">
        <v>849</v>
      </c>
      <c r="ECH12" s="49">
        <v>234</v>
      </c>
      <c r="ECI12" s="49"/>
      <c r="ECJ12" s="49">
        <v>0</v>
      </c>
      <c r="ECK12" s="49">
        <v>0</v>
      </c>
      <c r="ECL12" s="64">
        <f t="shared" si="981"/>
        <v>1083</v>
      </c>
      <c r="ECM12" s="68">
        <f t="shared" si="982"/>
        <v>180.5</v>
      </c>
      <c r="ECN12" s="48">
        <v>0</v>
      </c>
      <c r="ECO12" s="49">
        <v>660</v>
      </c>
      <c r="ECP12" s="49">
        <v>0</v>
      </c>
      <c r="ECQ12" s="49"/>
      <c r="ECR12" s="49"/>
      <c r="ECS12" s="49">
        <v>440</v>
      </c>
      <c r="ECT12" s="64">
        <f t="shared" si="983"/>
        <v>1100</v>
      </c>
      <c r="ECU12" s="68">
        <f t="shared" si="984"/>
        <v>183.33333333333334</v>
      </c>
      <c r="ECV12" s="48">
        <v>220</v>
      </c>
      <c r="ECW12" s="49">
        <v>0</v>
      </c>
      <c r="ECX12" s="49">
        <v>402</v>
      </c>
      <c r="ECY12" s="49">
        <v>220</v>
      </c>
      <c r="ECZ12" s="49"/>
      <c r="EDA12" s="49">
        <v>178</v>
      </c>
      <c r="EDB12" s="64">
        <f t="shared" si="985"/>
        <v>1020</v>
      </c>
      <c r="EDC12" s="68">
        <f t="shared" si="986"/>
        <v>170</v>
      </c>
      <c r="EDD12" s="48">
        <v>0</v>
      </c>
      <c r="EDE12" s="49">
        <v>220</v>
      </c>
      <c r="EDF12" s="49">
        <v>0</v>
      </c>
      <c r="EDG12" s="49">
        <v>440</v>
      </c>
      <c r="EDH12" s="49"/>
      <c r="EDI12" s="49">
        <v>220</v>
      </c>
      <c r="EDJ12" s="64">
        <f t="shared" si="987"/>
        <v>880</v>
      </c>
      <c r="EDK12" s="68">
        <f t="shared" si="988"/>
        <v>146.66666666666666</v>
      </c>
      <c r="EDL12" s="48">
        <v>0</v>
      </c>
      <c r="EDM12" s="49">
        <v>221</v>
      </c>
      <c r="EDN12" s="49">
        <v>0</v>
      </c>
      <c r="EDO12" s="49">
        <f>SUMIF(SUMPK!$B:$B,$B:$B,SUMPK!$O:$O)</f>
        <v>330</v>
      </c>
      <c r="EDP12" s="49">
        <v>440</v>
      </c>
      <c r="EDQ12" s="49">
        <v>0</v>
      </c>
      <c r="EDR12" s="64">
        <f t="shared" si="989"/>
        <v>991</v>
      </c>
      <c r="EDS12" s="184">
        <f t="shared" si="990"/>
        <v>165.16666666666666</v>
      </c>
      <c r="EDT12" s="195">
        <v>440</v>
      </c>
      <c r="EDU12" s="49">
        <v>0</v>
      </c>
      <c r="EDV12" s="49">
        <v>220</v>
      </c>
      <c r="EDW12" s="49">
        <v>220</v>
      </c>
      <c r="EDX12" s="49"/>
      <c r="EDY12" s="49"/>
      <c r="EDZ12" s="64">
        <f t="shared" si="991"/>
        <v>880</v>
      </c>
      <c r="EEA12" s="184">
        <f t="shared" si="992"/>
        <v>146.66666666666666</v>
      </c>
      <c r="EEB12" s="48">
        <v>219</v>
      </c>
      <c r="EEC12" s="49">
        <v>440</v>
      </c>
      <c r="EED12" s="49">
        <v>0</v>
      </c>
      <c r="EEE12" s="49">
        <v>0</v>
      </c>
      <c r="EEF12" s="49">
        <v>440</v>
      </c>
      <c r="EEG12" s="49"/>
      <c r="EEH12" s="64">
        <f t="shared" si="993"/>
        <v>1099</v>
      </c>
      <c r="EEI12" s="68">
        <f t="shared" si="994"/>
        <v>183.16666666666666</v>
      </c>
      <c r="EEJ12" s="48">
        <v>221</v>
      </c>
      <c r="EEK12" s="49">
        <v>660</v>
      </c>
      <c r="EEL12" s="49">
        <v>0</v>
      </c>
      <c r="EEM12" s="49"/>
      <c r="EEN12" s="49"/>
      <c r="EEO12" s="49">
        <v>0</v>
      </c>
      <c r="EEP12" s="64">
        <f t="shared" si="995"/>
        <v>881</v>
      </c>
      <c r="EEQ12" s="68">
        <f t="shared" si="996"/>
        <v>146.83333333333334</v>
      </c>
      <c r="EER12" s="48">
        <v>329</v>
      </c>
      <c r="EES12" s="49">
        <v>802</v>
      </c>
      <c r="EET12" s="49"/>
      <c r="EEU12" s="49">
        <v>0</v>
      </c>
      <c r="EEV12" s="49">
        <v>0</v>
      </c>
      <c r="EEW12" s="49"/>
      <c r="EEX12" s="64">
        <f t="shared" si="997"/>
        <v>1131</v>
      </c>
      <c r="EEY12" s="68">
        <f t="shared" si="998"/>
        <v>188.5</v>
      </c>
      <c r="EEZ12" s="48">
        <v>439</v>
      </c>
      <c r="EFA12" s="49">
        <v>0</v>
      </c>
      <c r="EFB12" s="49">
        <v>600</v>
      </c>
      <c r="EFC12" s="49">
        <v>0</v>
      </c>
      <c r="EFD12" s="49">
        <v>220</v>
      </c>
      <c r="EFE12" s="49">
        <v>0</v>
      </c>
      <c r="EFF12" s="64">
        <f t="shared" si="999"/>
        <v>1259</v>
      </c>
      <c r="EFG12" s="68">
        <f t="shared" si="1000"/>
        <v>209.83333333333334</v>
      </c>
      <c r="EFH12" s="48"/>
      <c r="EFI12" s="49">
        <v>0</v>
      </c>
      <c r="EFJ12" s="49">
        <v>439</v>
      </c>
      <c r="EFK12" s="49">
        <v>0</v>
      </c>
      <c r="EFL12" s="49">
        <v>440</v>
      </c>
      <c r="EFM12" s="49">
        <v>0</v>
      </c>
      <c r="EFN12" s="64">
        <f t="shared" si="1001"/>
        <v>879</v>
      </c>
      <c r="EFO12" s="68">
        <f t="shared" si="1002"/>
        <v>146.5</v>
      </c>
      <c r="EFP12" s="48">
        <v>600</v>
      </c>
      <c r="EFQ12" s="49"/>
      <c r="EFR12" s="49"/>
      <c r="EFS12" s="49">
        <v>219</v>
      </c>
      <c r="EFT12" s="49">
        <v>0</v>
      </c>
      <c r="EFU12" s="49"/>
      <c r="EFV12" s="64">
        <f t="shared" si="1003"/>
        <v>819</v>
      </c>
      <c r="EFW12" s="68">
        <f t="shared" si="1004"/>
        <v>136.5</v>
      </c>
      <c r="EFX12" s="48">
        <v>179</v>
      </c>
      <c r="EFY12" s="49">
        <v>659</v>
      </c>
      <c r="EFZ12" s="49">
        <v>0</v>
      </c>
      <c r="EGA12" s="49">
        <v>0</v>
      </c>
      <c r="EGB12" s="49">
        <v>0</v>
      </c>
      <c r="EGC12" s="49">
        <v>0</v>
      </c>
      <c r="EGD12" s="64">
        <f t="shared" si="1005"/>
        <v>838</v>
      </c>
      <c r="EGE12" s="68">
        <f t="shared" si="1006"/>
        <v>139.66666666666666</v>
      </c>
      <c r="EGF12" s="48">
        <v>440</v>
      </c>
      <c r="EGG12" s="49">
        <v>0</v>
      </c>
      <c r="EGH12" s="49"/>
      <c r="EGI12" s="49">
        <v>0</v>
      </c>
      <c r="EGJ12" s="49">
        <v>440</v>
      </c>
      <c r="EGK12" s="49">
        <v>0</v>
      </c>
      <c r="EGL12" s="64">
        <f t="shared" si="1007"/>
        <v>880</v>
      </c>
      <c r="EGM12" s="68">
        <f t="shared" si="1008"/>
        <v>146.66666666666666</v>
      </c>
      <c r="EGN12" s="48">
        <v>111</v>
      </c>
      <c r="EGO12" s="49">
        <v>0</v>
      </c>
      <c r="EGP12" s="49"/>
      <c r="EGQ12" s="49">
        <v>220</v>
      </c>
      <c r="EGR12" s="49"/>
      <c r="EGS12" s="49">
        <v>234</v>
      </c>
      <c r="EGT12" s="64">
        <f t="shared" si="1009"/>
        <v>565</v>
      </c>
      <c r="EGU12" s="68">
        <f t="shared" si="1203"/>
        <v>94.166666666666671</v>
      </c>
      <c r="EGV12" s="48">
        <v>0</v>
      </c>
      <c r="EGW12" s="49">
        <v>0</v>
      </c>
      <c r="EGX12" s="49"/>
      <c r="EGY12" s="49">
        <v>440</v>
      </c>
      <c r="EGZ12" s="49">
        <v>0</v>
      </c>
      <c r="EHA12" s="49"/>
      <c r="EHB12" s="64">
        <f t="shared" si="1010"/>
        <v>440</v>
      </c>
      <c r="EHC12" s="68">
        <f t="shared" si="1011"/>
        <v>73.333333333333329</v>
      </c>
      <c r="EHD12" s="48">
        <v>0</v>
      </c>
      <c r="EHE12" s="49">
        <v>459</v>
      </c>
      <c r="EHF12" s="49"/>
      <c r="EHG12" s="49">
        <v>0</v>
      </c>
      <c r="EHH12" s="49">
        <v>442</v>
      </c>
      <c r="EHI12" s="49">
        <v>0</v>
      </c>
      <c r="EHJ12" s="64">
        <f t="shared" si="1012"/>
        <v>901</v>
      </c>
      <c r="EHK12" s="68">
        <f t="shared" si="1013"/>
        <v>150.16666666666666</v>
      </c>
      <c r="EHL12" s="48">
        <v>442</v>
      </c>
      <c r="EHM12" s="49">
        <v>0</v>
      </c>
      <c r="EHN12" s="49">
        <v>0</v>
      </c>
      <c r="EHO12" s="49"/>
      <c r="EHP12" s="49">
        <v>0</v>
      </c>
      <c r="EHQ12" s="49">
        <v>222</v>
      </c>
      <c r="EHR12" s="64">
        <f t="shared" si="1014"/>
        <v>664</v>
      </c>
      <c r="EHS12" s="68">
        <f t="shared" si="1015"/>
        <v>110.66666666666667</v>
      </c>
      <c r="EHT12" s="48">
        <v>0</v>
      </c>
      <c r="EHU12" s="49"/>
      <c r="EHV12" s="49"/>
      <c r="EHW12" s="49">
        <v>578</v>
      </c>
      <c r="EHX12" s="49"/>
      <c r="EHY12" s="49">
        <v>0</v>
      </c>
      <c r="EHZ12" s="64">
        <f t="shared" si="1016"/>
        <v>578</v>
      </c>
      <c r="EIA12" s="68">
        <f t="shared" si="1017"/>
        <v>96.333333333333329</v>
      </c>
      <c r="EIB12" s="48"/>
      <c r="EIC12" s="49"/>
      <c r="EID12" s="49">
        <v>442</v>
      </c>
      <c r="EIE12" s="49">
        <v>426</v>
      </c>
      <c r="EIF12" s="49">
        <v>0</v>
      </c>
      <c r="EIG12" s="49">
        <v>220</v>
      </c>
      <c r="EIH12" s="64">
        <f t="shared" si="1018"/>
        <v>1088</v>
      </c>
      <c r="EII12" s="68">
        <f t="shared" si="1019"/>
        <v>181.33333333333334</v>
      </c>
      <c r="EIJ12" s="48">
        <v>0</v>
      </c>
      <c r="EIK12" s="49">
        <v>221</v>
      </c>
      <c r="EIL12" s="49"/>
      <c r="EIM12" s="49">
        <v>0</v>
      </c>
      <c r="EIN12" s="49">
        <v>280</v>
      </c>
      <c r="EIO12" s="49">
        <v>621</v>
      </c>
      <c r="EIP12" s="64">
        <f t="shared" si="1020"/>
        <v>1122</v>
      </c>
      <c r="EIQ12" s="68">
        <f t="shared" si="1021"/>
        <v>187</v>
      </c>
      <c r="EIR12" s="48">
        <v>0</v>
      </c>
      <c r="EIS12" s="49">
        <v>220</v>
      </c>
      <c r="EIT12" s="49">
        <v>0</v>
      </c>
      <c r="EIU12" s="49">
        <v>0</v>
      </c>
      <c r="EIV12" s="49">
        <v>0</v>
      </c>
      <c r="EIW12" s="49"/>
      <c r="EIX12" s="64">
        <f t="shared" si="1022"/>
        <v>220</v>
      </c>
      <c r="EIY12" s="68">
        <f t="shared" si="1023"/>
        <v>36.666666666666664</v>
      </c>
      <c r="EIZ12" s="48">
        <v>720</v>
      </c>
      <c r="EJA12" s="49">
        <v>0</v>
      </c>
      <c r="EJB12" s="49">
        <v>881</v>
      </c>
      <c r="EJC12" s="49">
        <v>0</v>
      </c>
      <c r="EJD12" s="49">
        <v>0</v>
      </c>
      <c r="EJE12" s="49">
        <v>0</v>
      </c>
      <c r="EJF12" s="64">
        <f t="shared" si="1024"/>
        <v>1601</v>
      </c>
      <c r="EJG12" s="68">
        <f t="shared" si="1025"/>
        <v>266.83333333333331</v>
      </c>
      <c r="EJH12" s="48">
        <v>0</v>
      </c>
      <c r="EJI12" s="49">
        <v>0</v>
      </c>
      <c r="EJJ12" s="49">
        <v>220</v>
      </c>
      <c r="EJK12" s="49">
        <v>0</v>
      </c>
      <c r="EJL12" s="49"/>
      <c r="EJM12" s="49"/>
      <c r="EJN12" s="64">
        <f t="shared" si="1026"/>
        <v>220</v>
      </c>
      <c r="EJO12" s="68">
        <f t="shared" si="1027"/>
        <v>36.666666666666664</v>
      </c>
      <c r="EJP12" s="48">
        <v>592</v>
      </c>
      <c r="EJQ12" s="49">
        <v>0</v>
      </c>
      <c r="EJR12" s="49">
        <v>220</v>
      </c>
      <c r="EJS12" s="49">
        <v>330</v>
      </c>
      <c r="EJT12" s="49">
        <v>220</v>
      </c>
      <c r="EJU12" s="49">
        <v>0</v>
      </c>
      <c r="EJV12" s="64">
        <f t="shared" si="1028"/>
        <v>1362</v>
      </c>
      <c r="EJW12" s="68">
        <f t="shared" si="1029"/>
        <v>227</v>
      </c>
      <c r="EJX12" s="48">
        <v>0</v>
      </c>
      <c r="EJY12" s="49">
        <v>439</v>
      </c>
      <c r="EJZ12" s="49">
        <v>210</v>
      </c>
      <c r="EKA12" s="49">
        <v>0</v>
      </c>
      <c r="EKB12" s="49">
        <v>220</v>
      </c>
      <c r="EKC12" s="49"/>
      <c r="EKD12" s="64">
        <f t="shared" si="1030"/>
        <v>869</v>
      </c>
      <c r="EKE12" s="68">
        <f t="shared" si="1031"/>
        <v>144.83333333333334</v>
      </c>
      <c r="EKF12" s="48">
        <v>0</v>
      </c>
      <c r="EKG12" s="49">
        <v>0</v>
      </c>
      <c r="EKH12" s="49">
        <v>441</v>
      </c>
      <c r="EKI12" s="49"/>
      <c r="EKJ12" s="49">
        <v>0</v>
      </c>
      <c r="EKK12" s="49">
        <v>438</v>
      </c>
      <c r="EKL12" s="64">
        <f t="shared" si="1032"/>
        <v>879</v>
      </c>
      <c r="EKM12" s="68">
        <f t="shared" si="1033"/>
        <v>146.5</v>
      </c>
      <c r="EKN12" s="48"/>
      <c r="EKO12" s="49">
        <v>0</v>
      </c>
      <c r="EKP12" s="49">
        <v>0</v>
      </c>
      <c r="EKQ12" s="49">
        <v>0</v>
      </c>
      <c r="EKR12" s="49">
        <v>869</v>
      </c>
      <c r="EKS12" s="49">
        <v>0</v>
      </c>
      <c r="EKT12" s="64">
        <f t="shared" si="1034"/>
        <v>869</v>
      </c>
      <c r="EKU12" s="184">
        <f t="shared" si="1035"/>
        <v>144.83333333333334</v>
      </c>
      <c r="EKV12" s="665"/>
      <c r="EKW12" s="195">
        <v>0</v>
      </c>
      <c r="EKX12" s="49">
        <v>0</v>
      </c>
      <c r="EKY12" s="49">
        <v>658</v>
      </c>
      <c r="EKZ12" s="49">
        <v>0</v>
      </c>
      <c r="ELA12" s="49"/>
      <c r="ELB12" s="49">
        <v>0</v>
      </c>
      <c r="ELC12" s="64">
        <f t="shared" si="1036"/>
        <v>658</v>
      </c>
      <c r="ELD12" s="211">
        <f t="shared" si="1037"/>
        <v>109.66666666666667</v>
      </c>
      <c r="ELE12" s="195">
        <v>330</v>
      </c>
      <c r="ELF12" s="49">
        <v>232</v>
      </c>
      <c r="ELG12" s="49">
        <v>220</v>
      </c>
      <c r="ELH12" s="49">
        <v>200</v>
      </c>
      <c r="ELI12" s="49">
        <v>0</v>
      </c>
      <c r="ELJ12" s="49">
        <v>0</v>
      </c>
      <c r="ELK12" s="64">
        <f t="shared" si="1038"/>
        <v>982</v>
      </c>
      <c r="ELL12" s="211">
        <f t="shared" si="1039"/>
        <v>163.66666666666666</v>
      </c>
      <c r="ELM12" s="195">
        <v>659</v>
      </c>
      <c r="ELN12" s="49">
        <v>0</v>
      </c>
      <c r="ELO12" s="49">
        <v>223</v>
      </c>
      <c r="ELP12" s="49"/>
      <c r="ELQ12" s="49">
        <v>0</v>
      </c>
      <c r="ELR12" s="49">
        <v>0</v>
      </c>
      <c r="ELS12" s="64">
        <f t="shared" si="1040"/>
        <v>882</v>
      </c>
      <c r="ELT12" s="211">
        <f t="shared" si="1041"/>
        <v>147</v>
      </c>
      <c r="ELU12" s="195">
        <v>597</v>
      </c>
      <c r="ELV12" s="49">
        <v>0</v>
      </c>
      <c r="ELW12" s="49">
        <v>220</v>
      </c>
      <c r="ELX12" s="49">
        <v>0</v>
      </c>
      <c r="ELY12" s="49"/>
      <c r="ELZ12" s="49">
        <v>595</v>
      </c>
      <c r="EMA12" s="64">
        <f t="shared" si="1042"/>
        <v>1412</v>
      </c>
      <c r="EMB12" s="211">
        <f t="shared" si="1043"/>
        <v>235.33333333333334</v>
      </c>
      <c r="EMC12" s="195"/>
      <c r="EMD12" s="49">
        <v>0</v>
      </c>
      <c r="EME12" s="49">
        <v>420</v>
      </c>
      <c r="EMF12" s="49">
        <v>0</v>
      </c>
      <c r="EMG12" s="49">
        <v>0</v>
      </c>
      <c r="EMH12" s="49">
        <v>600</v>
      </c>
      <c r="EMI12" s="64">
        <f t="shared" si="1044"/>
        <v>1020</v>
      </c>
      <c r="EMJ12" s="211">
        <f t="shared" si="1045"/>
        <v>170</v>
      </c>
      <c r="EMK12" s="195">
        <v>220</v>
      </c>
      <c r="EML12" s="49"/>
      <c r="EMM12" s="49">
        <v>0</v>
      </c>
      <c r="EMN12" s="49">
        <v>110</v>
      </c>
      <c r="EMO12" s="49">
        <v>0</v>
      </c>
      <c r="EMP12" s="49">
        <v>327</v>
      </c>
      <c r="EMQ12" s="64">
        <f t="shared" si="1046"/>
        <v>657</v>
      </c>
      <c r="EMR12" s="211">
        <f t="shared" si="1047"/>
        <v>109.5</v>
      </c>
      <c r="EMS12" s="195">
        <v>440</v>
      </c>
      <c r="EMT12" s="49">
        <v>450</v>
      </c>
      <c r="EMU12" s="49">
        <v>600</v>
      </c>
      <c r="EMV12" s="49">
        <v>0</v>
      </c>
      <c r="EMW12" s="49">
        <v>880</v>
      </c>
      <c r="EMX12" s="49">
        <v>0</v>
      </c>
      <c r="EMY12" s="64">
        <f t="shared" si="1048"/>
        <v>2370</v>
      </c>
      <c r="EMZ12" s="211">
        <f t="shared" si="1049"/>
        <v>395</v>
      </c>
      <c r="ENA12" s="195">
        <v>219</v>
      </c>
      <c r="ENB12" s="49">
        <v>0</v>
      </c>
      <c r="ENC12" s="49">
        <v>393</v>
      </c>
      <c r="END12" s="49">
        <v>0</v>
      </c>
      <c r="ENE12" s="49"/>
      <c r="ENF12" s="49">
        <v>0</v>
      </c>
      <c r="ENG12" s="64">
        <f t="shared" si="1050"/>
        <v>612</v>
      </c>
      <c r="ENH12" s="211">
        <f t="shared" si="1051"/>
        <v>102</v>
      </c>
      <c r="ENI12" s="195">
        <v>403</v>
      </c>
      <c r="ENJ12" s="49"/>
      <c r="ENK12" s="49">
        <v>434</v>
      </c>
      <c r="ENL12" s="49">
        <v>0</v>
      </c>
      <c r="ENM12" s="49">
        <v>440</v>
      </c>
      <c r="ENN12" s="49">
        <v>197</v>
      </c>
      <c r="ENO12" s="64">
        <f t="shared" si="1052"/>
        <v>1474</v>
      </c>
      <c r="ENP12" s="211">
        <f t="shared" si="1053"/>
        <v>245.66666666666666</v>
      </c>
      <c r="ENQ12" s="195">
        <v>220</v>
      </c>
      <c r="ENR12" s="49">
        <v>220</v>
      </c>
      <c r="ENS12" s="49">
        <v>0</v>
      </c>
      <c r="ENT12" s="49">
        <v>0</v>
      </c>
      <c r="ENU12" s="49">
        <v>440</v>
      </c>
      <c r="ENV12" s="49">
        <v>0</v>
      </c>
      <c r="ENW12" s="64">
        <f t="shared" si="1054"/>
        <v>880</v>
      </c>
      <c r="ENX12" s="211">
        <f t="shared" si="1055"/>
        <v>146.66666666666666</v>
      </c>
      <c r="ENY12" s="195">
        <v>432</v>
      </c>
      <c r="ENZ12" s="49">
        <v>0</v>
      </c>
      <c r="EOA12" s="49">
        <v>739</v>
      </c>
      <c r="EOB12" s="49">
        <v>0</v>
      </c>
      <c r="EOC12" s="49">
        <v>0</v>
      </c>
      <c r="EOD12" s="49">
        <v>0</v>
      </c>
      <c r="EOE12" s="64">
        <f t="shared" si="1056"/>
        <v>1171</v>
      </c>
      <c r="EOF12" s="211">
        <f t="shared" si="1057"/>
        <v>195.16666666666666</v>
      </c>
      <c r="EOG12" s="195">
        <v>605</v>
      </c>
      <c r="EOH12" s="360">
        <f>SUMIF(SUMPK!$B:$B,$B:$B,SUMPK!$O:$O)</f>
        <v>330</v>
      </c>
      <c r="EOI12" s="49">
        <v>221</v>
      </c>
      <c r="EOJ12" s="49">
        <v>333</v>
      </c>
      <c r="EOK12" s="49">
        <v>0</v>
      </c>
      <c r="EOL12" s="49">
        <v>110</v>
      </c>
      <c r="EOM12" s="64">
        <f t="shared" si="1058"/>
        <v>1599</v>
      </c>
      <c r="EON12" s="211">
        <f t="shared" si="1059"/>
        <v>266.5</v>
      </c>
      <c r="EOO12" s="195">
        <v>109</v>
      </c>
      <c r="EOP12" s="49">
        <v>325</v>
      </c>
      <c r="EOQ12" s="49">
        <v>0</v>
      </c>
      <c r="EOR12" s="49">
        <v>108</v>
      </c>
      <c r="EOS12" s="49">
        <v>0</v>
      </c>
      <c r="EOT12" s="49">
        <v>343</v>
      </c>
      <c r="EOU12" s="64">
        <f t="shared" si="1060"/>
        <v>885</v>
      </c>
      <c r="EOV12" s="211">
        <f t="shared" si="1061"/>
        <v>147.5</v>
      </c>
      <c r="EOW12" s="195">
        <v>109</v>
      </c>
      <c r="EOX12" s="49">
        <v>612</v>
      </c>
      <c r="EOY12" s="49">
        <v>220</v>
      </c>
      <c r="EOZ12" s="49">
        <v>0</v>
      </c>
      <c r="EPA12" s="49">
        <v>0</v>
      </c>
      <c r="EPB12" s="49">
        <v>0</v>
      </c>
      <c r="EPC12" s="64">
        <f t="shared" si="1062"/>
        <v>941</v>
      </c>
      <c r="EPD12" s="211">
        <f t="shared" si="1063"/>
        <v>156.83333333333334</v>
      </c>
      <c r="EPE12" s="195">
        <v>873</v>
      </c>
      <c r="EPF12" s="49">
        <f>SUMIF(SUMPK!$B:$B,$B:$B,SUMPK!$O:$O)</f>
        <v>330</v>
      </c>
      <c r="EPG12" s="49">
        <v>0</v>
      </c>
      <c r="EPH12" s="49">
        <v>0</v>
      </c>
      <c r="EPI12" s="49">
        <v>0</v>
      </c>
      <c r="EPJ12" s="49">
        <v>220</v>
      </c>
      <c r="EPK12" s="64">
        <f t="shared" si="1064"/>
        <v>1423</v>
      </c>
      <c r="EPL12" s="211">
        <f t="shared" si="1065"/>
        <v>237.16666666666666</v>
      </c>
      <c r="EPM12" s="195"/>
      <c r="EPN12" s="49">
        <v>0</v>
      </c>
      <c r="EPO12" s="49">
        <v>428</v>
      </c>
      <c r="EPP12" s="49">
        <v>0</v>
      </c>
      <c r="EPQ12" s="49">
        <v>0</v>
      </c>
      <c r="EPR12" s="49">
        <v>0</v>
      </c>
      <c r="EPS12" s="64">
        <f t="shared" si="1066"/>
        <v>428</v>
      </c>
      <c r="EPT12" s="211">
        <f t="shared" si="1067"/>
        <v>71.333333333333329</v>
      </c>
      <c r="EPU12" s="195">
        <v>0</v>
      </c>
      <c r="EPV12" s="49">
        <v>330</v>
      </c>
      <c r="EPW12" s="49"/>
      <c r="EPX12" s="49">
        <v>0</v>
      </c>
      <c r="EPY12" s="49">
        <v>0</v>
      </c>
      <c r="EPZ12" s="49">
        <v>656</v>
      </c>
      <c r="EQA12" s="64">
        <f t="shared" si="1068"/>
        <v>986</v>
      </c>
      <c r="EQB12" s="211">
        <f t="shared" si="1069"/>
        <v>164.33333333333334</v>
      </c>
      <c r="EQC12" s="195">
        <v>0</v>
      </c>
      <c r="EQD12" s="49">
        <v>359</v>
      </c>
      <c r="EQE12" s="49">
        <v>220</v>
      </c>
      <c r="EQF12" s="49">
        <v>0</v>
      </c>
      <c r="EQG12" s="49">
        <v>332</v>
      </c>
      <c r="EQH12" s="49">
        <v>0</v>
      </c>
      <c r="EQI12" s="64">
        <f t="shared" si="1070"/>
        <v>911</v>
      </c>
      <c r="EQJ12" s="211">
        <f t="shared" si="1071"/>
        <v>151.83333333333334</v>
      </c>
      <c r="EQK12" s="195"/>
      <c r="EQL12" s="49">
        <v>440</v>
      </c>
      <c r="EQM12" s="49">
        <v>0</v>
      </c>
      <c r="EQN12" s="49">
        <v>440</v>
      </c>
      <c r="EQO12" s="49">
        <v>0</v>
      </c>
      <c r="EQP12" s="49">
        <v>0</v>
      </c>
      <c r="EQQ12" s="64">
        <f t="shared" si="1072"/>
        <v>880</v>
      </c>
      <c r="EQR12" s="211">
        <f t="shared" si="1073"/>
        <v>146.66666666666666</v>
      </c>
      <c r="EQS12" s="195">
        <v>0</v>
      </c>
      <c r="EQT12" s="49">
        <v>545</v>
      </c>
      <c r="EQU12" s="49">
        <v>666</v>
      </c>
      <c r="EQV12" s="49"/>
      <c r="EQW12" s="49">
        <v>0</v>
      </c>
      <c r="EQX12" s="49">
        <v>0</v>
      </c>
      <c r="EQY12" s="64">
        <f t="shared" si="1074"/>
        <v>1211</v>
      </c>
      <c r="EQZ12" s="211">
        <f t="shared" si="1075"/>
        <v>201.83333333333334</v>
      </c>
      <c r="ERA12" s="195">
        <v>0</v>
      </c>
      <c r="ERB12" s="49">
        <v>1460</v>
      </c>
      <c r="ERC12" s="49">
        <v>0</v>
      </c>
      <c r="ERD12" s="49">
        <v>0</v>
      </c>
      <c r="ERE12" s="49">
        <v>0</v>
      </c>
      <c r="ERF12" s="49"/>
      <c r="ERG12" s="64">
        <f t="shared" si="1076"/>
        <v>1460</v>
      </c>
      <c r="ERH12" s="211">
        <f t="shared" si="1077"/>
        <v>243.33333333333334</v>
      </c>
      <c r="ERI12" s="195">
        <v>0</v>
      </c>
      <c r="ERJ12" s="49">
        <v>451</v>
      </c>
      <c r="ERK12" s="49"/>
      <c r="ERL12" s="49">
        <v>224</v>
      </c>
      <c r="ERM12" s="49">
        <v>0</v>
      </c>
      <c r="ERN12" s="49">
        <v>202</v>
      </c>
      <c r="ERO12" s="64">
        <f t="shared" si="1078"/>
        <v>877</v>
      </c>
      <c r="ERP12" s="211">
        <f t="shared" si="1079"/>
        <v>146.16666666666666</v>
      </c>
      <c r="ERQ12" s="195"/>
      <c r="ERR12" s="49">
        <v>227</v>
      </c>
      <c r="ERS12" s="49">
        <v>0</v>
      </c>
      <c r="ERT12" s="49">
        <v>335</v>
      </c>
      <c r="ERU12" s="49">
        <v>0</v>
      </c>
      <c r="ERV12" s="49">
        <v>0</v>
      </c>
      <c r="ERW12" s="64">
        <f t="shared" si="1080"/>
        <v>562</v>
      </c>
      <c r="ERX12" s="211">
        <f t="shared" si="1081"/>
        <v>93.666666666666671</v>
      </c>
      <c r="ERY12" s="195">
        <v>452</v>
      </c>
      <c r="ERZ12" s="49">
        <v>455</v>
      </c>
      <c r="ESA12" s="49">
        <v>0</v>
      </c>
      <c r="ESB12" s="49"/>
      <c r="ESC12" s="49">
        <v>0</v>
      </c>
      <c r="ESD12" s="49">
        <v>0</v>
      </c>
      <c r="ESE12" s="64">
        <f t="shared" si="1082"/>
        <v>907</v>
      </c>
      <c r="ESF12" s="211">
        <f t="shared" si="1083"/>
        <v>151.16666666666666</v>
      </c>
      <c r="ESG12" s="195">
        <v>0</v>
      </c>
      <c r="ESH12" s="49">
        <v>220</v>
      </c>
      <c r="ESI12" s="49">
        <v>205</v>
      </c>
      <c r="ESJ12" s="49">
        <v>465</v>
      </c>
      <c r="ESK12" s="49"/>
      <c r="ESL12" s="49">
        <v>15</v>
      </c>
      <c r="ESM12" s="64">
        <f t="shared" si="1084"/>
        <v>905</v>
      </c>
      <c r="ESN12" s="211">
        <f t="shared" si="1085"/>
        <v>150.83333333333334</v>
      </c>
      <c r="ESO12" s="458">
        <v>0</v>
      </c>
      <c r="ESP12" s="83"/>
      <c r="ESQ12" s="83">
        <v>0</v>
      </c>
      <c r="ESR12" s="83">
        <v>738</v>
      </c>
      <c r="ESS12" s="83"/>
      <c r="EST12" s="83">
        <v>0</v>
      </c>
      <c r="ESU12" s="64">
        <f t="shared" si="1086"/>
        <v>738</v>
      </c>
      <c r="ESV12" s="211">
        <f t="shared" si="1087"/>
        <v>123</v>
      </c>
      <c r="ESW12" s="195"/>
      <c r="ESX12" s="49"/>
      <c r="ESY12" s="49"/>
      <c r="ESZ12" s="49">
        <v>0</v>
      </c>
      <c r="ETA12" s="49">
        <v>898</v>
      </c>
      <c r="ETB12" s="49">
        <v>0</v>
      </c>
      <c r="ETC12" s="808">
        <f t="shared" si="1088"/>
        <v>898</v>
      </c>
      <c r="ETD12" s="211">
        <f t="shared" si="1089"/>
        <v>149.66666666666666</v>
      </c>
      <c r="ETE12" s="195">
        <v>0</v>
      </c>
      <c r="ETF12" s="49">
        <v>0</v>
      </c>
      <c r="ETG12" s="49">
        <v>651</v>
      </c>
      <c r="ETH12" s="49">
        <v>0</v>
      </c>
      <c r="ETI12" s="49"/>
      <c r="ETJ12" s="49">
        <v>0</v>
      </c>
      <c r="ETK12" s="808">
        <f t="shared" si="1090"/>
        <v>651</v>
      </c>
      <c r="ETL12" s="211">
        <f t="shared" si="1091"/>
        <v>108.5</v>
      </c>
      <c r="ETM12" s="814"/>
      <c r="ETN12" s="815">
        <v>438</v>
      </c>
      <c r="ETO12" s="815">
        <v>220</v>
      </c>
      <c r="ETP12" s="815">
        <v>220</v>
      </c>
      <c r="ETQ12" s="815">
        <v>0</v>
      </c>
      <c r="ETR12" s="815">
        <v>220</v>
      </c>
      <c r="ETS12" s="808">
        <f t="shared" si="1092"/>
        <v>1098</v>
      </c>
      <c r="ETT12" s="211">
        <f t="shared" si="1093"/>
        <v>183</v>
      </c>
      <c r="ETU12" s="458">
        <v>0</v>
      </c>
      <c r="ETV12" s="83">
        <v>0</v>
      </c>
      <c r="ETW12" s="83">
        <v>328</v>
      </c>
      <c r="ETX12" s="83">
        <v>0</v>
      </c>
      <c r="ETY12" s="83">
        <v>0</v>
      </c>
      <c r="ETZ12" s="83">
        <v>0</v>
      </c>
      <c r="EUA12" s="808">
        <f t="shared" si="1094"/>
        <v>328</v>
      </c>
      <c r="EUB12" s="211">
        <f t="shared" si="1095"/>
        <v>54.666666666666664</v>
      </c>
      <c r="EUC12" s="458">
        <v>463</v>
      </c>
      <c r="EUD12" s="83">
        <v>328</v>
      </c>
      <c r="EUE12" s="83"/>
      <c r="EUF12" s="83">
        <v>0</v>
      </c>
      <c r="EUG12" s="83">
        <v>439</v>
      </c>
      <c r="EUH12" s="83">
        <v>440</v>
      </c>
      <c r="EUI12" s="808">
        <f t="shared" si="1096"/>
        <v>1670</v>
      </c>
      <c r="EUJ12" s="211">
        <f t="shared" si="1097"/>
        <v>278.33333333333331</v>
      </c>
      <c r="EUK12" s="195"/>
      <c r="EUL12" s="49">
        <v>0</v>
      </c>
      <c r="EUM12" s="49">
        <v>0</v>
      </c>
      <c r="EUN12" s="49">
        <f>SUMIF(SUMPK!$B:$B,$B:$B,SUMPK!$O:$O)</f>
        <v>330</v>
      </c>
      <c r="EUO12" s="49">
        <v>590</v>
      </c>
      <c r="EUP12" s="49">
        <v>0</v>
      </c>
      <c r="EUQ12" s="808">
        <f t="shared" si="1098"/>
        <v>920</v>
      </c>
      <c r="EUR12" s="211">
        <f t="shared" si="1099"/>
        <v>153.33333333333334</v>
      </c>
      <c r="EUS12" s="195">
        <v>0</v>
      </c>
      <c r="EUT12" s="49">
        <v>0</v>
      </c>
      <c r="EUU12" s="49">
        <v>220</v>
      </c>
      <c r="EUV12" s="49">
        <v>0</v>
      </c>
      <c r="EUW12" s="49">
        <v>443</v>
      </c>
      <c r="EUX12" s="49">
        <v>0</v>
      </c>
      <c r="EUY12" s="808">
        <f t="shared" si="1100"/>
        <v>663</v>
      </c>
      <c r="EUZ12" s="211">
        <f t="shared" si="1101"/>
        <v>110.5</v>
      </c>
      <c r="EVA12" s="195">
        <v>219</v>
      </c>
      <c r="EVB12" s="49"/>
      <c r="EVC12" s="49"/>
      <c r="EVD12" s="49">
        <v>107</v>
      </c>
      <c r="EVE12" s="49">
        <v>682</v>
      </c>
      <c r="EVF12" s="49">
        <v>0</v>
      </c>
      <c r="EVG12" s="808">
        <f t="shared" si="1102"/>
        <v>1008</v>
      </c>
      <c r="EVH12" s="211">
        <f t="shared" si="1103"/>
        <v>168</v>
      </c>
      <c r="EVI12" s="195">
        <v>440</v>
      </c>
      <c r="EVJ12" s="49">
        <v>0</v>
      </c>
      <c r="EVK12" s="49">
        <v>0</v>
      </c>
      <c r="EVL12" s="49">
        <v>220</v>
      </c>
      <c r="EVM12" s="49"/>
      <c r="EVN12" s="49">
        <v>0</v>
      </c>
      <c r="EVO12" s="808">
        <f t="shared" si="1104"/>
        <v>660</v>
      </c>
      <c r="EVP12" s="211">
        <f t="shared" si="1105"/>
        <v>110</v>
      </c>
      <c r="EVQ12" s="195">
        <v>330</v>
      </c>
      <c r="EVR12" s="49">
        <v>0</v>
      </c>
      <c r="EVS12" s="49">
        <v>600</v>
      </c>
      <c r="EVT12" s="49"/>
      <c r="EVU12" s="49">
        <v>0</v>
      </c>
      <c r="EVV12" s="49">
        <v>600</v>
      </c>
      <c r="EVW12" s="808">
        <f t="shared" si="1106"/>
        <v>1530</v>
      </c>
      <c r="EVX12" s="211">
        <f t="shared" si="1107"/>
        <v>255</v>
      </c>
      <c r="EVY12" s="195">
        <v>0</v>
      </c>
      <c r="EVZ12" s="49">
        <v>0</v>
      </c>
      <c r="EWA12" s="49"/>
      <c r="EWB12" s="49">
        <v>0</v>
      </c>
      <c r="EWC12" s="49">
        <v>402</v>
      </c>
      <c r="EWD12" s="49">
        <v>220</v>
      </c>
      <c r="EWE12" s="808">
        <f t="shared" si="1108"/>
        <v>622</v>
      </c>
      <c r="EWF12" s="211">
        <f t="shared" si="1109"/>
        <v>103.66666666666667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0</v>
      </c>
      <c r="EWM12" s="808">
        <f t="shared" si="1110"/>
        <v>0</v>
      </c>
      <c r="EWN12" s="211">
        <f t="shared" si="175"/>
        <v>0</v>
      </c>
      <c r="EWO12" s="195">
        <v>0</v>
      </c>
      <c r="EWP12" s="49">
        <v>0</v>
      </c>
      <c r="EWQ12" s="49">
        <v>0</v>
      </c>
      <c r="EWR12" s="49">
        <v>599</v>
      </c>
      <c r="EWS12" s="49">
        <v>0</v>
      </c>
      <c r="EWT12" s="49">
        <v>0</v>
      </c>
      <c r="EWU12" s="808">
        <f t="shared" si="1111"/>
        <v>599</v>
      </c>
      <c r="EWV12" s="211">
        <f t="shared" si="1112"/>
        <v>99.833333333333329</v>
      </c>
      <c r="EWW12" s="195"/>
      <c r="EWX12" s="49"/>
      <c r="EWY12" s="49">
        <v>359</v>
      </c>
      <c r="EWZ12" s="49">
        <v>0</v>
      </c>
      <c r="EXA12" s="49">
        <v>0</v>
      </c>
      <c r="EXB12" s="49"/>
      <c r="EXC12" s="808">
        <f t="shared" si="1113"/>
        <v>359</v>
      </c>
      <c r="EXD12" s="211">
        <f t="shared" si="1114"/>
        <v>59.833333333333336</v>
      </c>
      <c r="EXE12" s="195">
        <v>441</v>
      </c>
      <c r="EXF12" s="49">
        <v>0</v>
      </c>
      <c r="EXG12" s="49"/>
      <c r="EXH12" s="49">
        <v>439</v>
      </c>
      <c r="EXI12" s="49">
        <v>0</v>
      </c>
      <c r="EXJ12" s="49">
        <v>0</v>
      </c>
      <c r="EXK12" s="808">
        <f t="shared" si="1115"/>
        <v>880</v>
      </c>
      <c r="EXL12" s="211">
        <f t="shared" si="1116"/>
        <v>146.66666666666666</v>
      </c>
      <c r="EXM12" s="458">
        <v>0</v>
      </c>
      <c r="EXN12" s="83">
        <v>0</v>
      </c>
      <c r="EXO12" s="83"/>
      <c r="EXP12" s="83">
        <v>0</v>
      </c>
      <c r="EXQ12" s="83"/>
      <c r="EXR12" s="83">
        <v>563</v>
      </c>
      <c r="EXS12" s="808">
        <f t="shared" si="1117"/>
        <v>563</v>
      </c>
      <c r="EXT12" s="211">
        <f t="shared" si="1118"/>
        <v>93.833333333333329</v>
      </c>
      <c r="EXU12" s="195">
        <v>0</v>
      </c>
      <c r="EXV12" s="49"/>
      <c r="EXW12" s="49"/>
      <c r="EXX12" s="49">
        <v>0</v>
      </c>
      <c r="EXY12" s="49"/>
      <c r="EXZ12" s="49">
        <v>0</v>
      </c>
      <c r="EYA12" s="808">
        <f t="shared" si="1119"/>
        <v>0</v>
      </c>
      <c r="EYB12" s="211">
        <f t="shared" si="1120"/>
        <v>0</v>
      </c>
      <c r="EYC12" s="195">
        <v>548</v>
      </c>
      <c r="EYD12" s="49"/>
      <c r="EYE12" s="49">
        <v>453</v>
      </c>
      <c r="EYF12" s="49">
        <v>0</v>
      </c>
      <c r="EYG12" s="49">
        <v>0</v>
      </c>
      <c r="EYH12" s="49">
        <v>438</v>
      </c>
      <c r="EYI12" s="808">
        <f t="shared" si="1121"/>
        <v>1439</v>
      </c>
      <c r="EYJ12" s="211">
        <f t="shared" si="1122"/>
        <v>239.83333333333334</v>
      </c>
      <c r="EYK12" s="195">
        <v>448</v>
      </c>
      <c r="EYL12" s="49">
        <v>0</v>
      </c>
      <c r="EYM12" s="49">
        <v>0</v>
      </c>
      <c r="EYN12" s="49">
        <v>431</v>
      </c>
      <c r="EYO12" s="49">
        <v>0</v>
      </c>
      <c r="EYP12" s="49">
        <v>0</v>
      </c>
      <c r="EYQ12" s="808">
        <f t="shared" si="1123"/>
        <v>879</v>
      </c>
      <c r="EYR12" s="211">
        <f t="shared" si="1124"/>
        <v>146.5</v>
      </c>
      <c r="EYS12" s="195">
        <v>0</v>
      </c>
      <c r="EYT12" s="49">
        <v>0</v>
      </c>
      <c r="EYU12" s="49">
        <v>952</v>
      </c>
      <c r="EYV12" s="49"/>
      <c r="EYW12" s="49"/>
      <c r="EYX12" s="49"/>
      <c r="EYY12" s="872">
        <f t="shared" si="1125"/>
        <v>952</v>
      </c>
      <c r="EYZ12" s="873">
        <f t="shared" si="1126"/>
        <v>158.66666666666666</v>
      </c>
      <c r="EZA12" s="195">
        <v>0</v>
      </c>
      <c r="EZB12" s="49">
        <v>0</v>
      </c>
      <c r="EZC12" s="49">
        <v>332</v>
      </c>
      <c r="EZD12" s="49">
        <v>220</v>
      </c>
      <c r="EZE12" s="49"/>
      <c r="EZF12" s="49">
        <v>0</v>
      </c>
      <c r="EZG12" s="872">
        <f t="shared" si="1127"/>
        <v>552</v>
      </c>
      <c r="EZH12" s="873">
        <f t="shared" si="1128"/>
        <v>92</v>
      </c>
      <c r="EZI12" s="195"/>
      <c r="EZJ12" s="49">
        <v>346</v>
      </c>
      <c r="EZK12" s="49">
        <v>443</v>
      </c>
      <c r="EZL12" s="49"/>
      <c r="EZM12" s="49"/>
      <c r="EZN12" s="49"/>
      <c r="EZO12" s="872">
        <f t="shared" si="1129"/>
        <v>789</v>
      </c>
      <c r="EZP12" s="873">
        <f t="shared" si="1130"/>
        <v>131.5</v>
      </c>
    </row>
    <row r="13" spans="1:4072" s="8" customFormat="1" ht="15" customHeight="1" x14ac:dyDescent="0.2">
      <c r="A13" s="301">
        <v>7</v>
      </c>
      <c r="B13" s="21" t="s">
        <v>119</v>
      </c>
      <c r="C13" s="275" t="s">
        <v>120</v>
      </c>
      <c r="D13" s="21">
        <v>25</v>
      </c>
      <c r="E13" s="24"/>
      <c r="F13" s="24">
        <v>4203</v>
      </c>
      <c r="G13" s="24"/>
      <c r="H13" s="24"/>
      <c r="I13" s="360"/>
      <c r="J13" s="360">
        <f>SUMIF(SUMPK!$B:$B,$B:$B,SUMPK!$O:$O)</f>
        <v>219</v>
      </c>
      <c r="K13" s="24">
        <f t="shared" si="186"/>
        <v>0</v>
      </c>
      <c r="L13" s="24">
        <f>F13+H13-J13</f>
        <v>3984</v>
      </c>
      <c r="M13" s="24">
        <f t="shared" si="188"/>
        <v>3984</v>
      </c>
      <c r="N13" s="15">
        <v>73.333333333333329</v>
      </c>
      <c r="O13" s="276">
        <f t="shared" si="189"/>
        <v>54.327272727272728</v>
      </c>
      <c r="P13" s="712">
        <v>180.83333333333334</v>
      </c>
      <c r="Q13" s="276">
        <f t="shared" si="190"/>
        <v>132.18801843317971</v>
      </c>
      <c r="R13" s="277">
        <f t="shared" si="191"/>
        <v>169.23076923076923</v>
      </c>
      <c r="S13" s="222">
        <v>4400</v>
      </c>
      <c r="T13" s="276">
        <f t="shared" si="192"/>
        <v>23.541818181818183</v>
      </c>
      <c r="U13" s="303"/>
      <c r="V13" s="302">
        <f t="shared" si="193"/>
        <v>23.541818181818183</v>
      </c>
      <c r="W13" s="304">
        <f>F13/(E13+F13)</f>
        <v>1</v>
      </c>
      <c r="X13" s="305"/>
      <c r="Y13" s="280"/>
      <c r="Z13" s="280"/>
      <c r="AA13" s="280"/>
      <c r="AB13" s="280"/>
      <c r="AC13" s="662">
        <v>18</v>
      </c>
      <c r="AD13" s="649"/>
      <c r="AE13" s="49"/>
      <c r="AF13" s="49"/>
      <c r="AG13" s="49"/>
      <c r="AH13" s="49"/>
      <c r="AI13" s="49"/>
      <c r="AJ13" s="42"/>
      <c r="AK13" s="43"/>
      <c r="AL13" s="48"/>
      <c r="AM13" s="49"/>
      <c r="AN13" s="49"/>
      <c r="AO13" s="49"/>
      <c r="AP13" s="49"/>
      <c r="AQ13" s="49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48"/>
      <c r="CI13" s="49"/>
      <c r="CJ13" s="49"/>
      <c r="CK13" s="49"/>
      <c r="CL13" s="49"/>
      <c r="CM13" s="49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48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67"/>
      <c r="IS13" s="68"/>
      <c r="IT13" s="48"/>
      <c r="IU13" s="49"/>
      <c r="IV13" s="49"/>
      <c r="IW13" s="49"/>
      <c r="IX13" s="49"/>
      <c r="IY13" s="49"/>
      <c r="IZ13" s="67"/>
      <c r="JA13" s="68"/>
      <c r="JB13" s="48"/>
      <c r="JC13" s="49"/>
      <c r="JD13" s="49"/>
      <c r="JE13" s="49"/>
      <c r="JF13" s="49"/>
      <c r="JG13" s="49"/>
      <c r="JH13" s="67"/>
      <c r="JI13" s="68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67"/>
      <c r="KO13" s="68"/>
      <c r="KP13" s="48"/>
      <c r="KQ13" s="49"/>
      <c r="KR13" s="49"/>
      <c r="KS13" s="49"/>
      <c r="KT13" s="49"/>
      <c r="KU13" s="49"/>
      <c r="KV13" s="67"/>
      <c r="KW13" s="68"/>
      <c r="KX13" s="48"/>
      <c r="KY13" s="49"/>
      <c r="KZ13" s="49"/>
      <c r="LA13" s="49"/>
      <c r="LB13" s="49"/>
      <c r="LC13" s="49"/>
      <c r="LD13" s="67"/>
      <c r="LE13" s="68"/>
      <c r="LF13" s="48"/>
      <c r="LG13" s="49"/>
      <c r="LH13" s="49"/>
      <c r="LI13" s="49"/>
      <c r="LJ13" s="49"/>
      <c r="LK13" s="49"/>
      <c r="LL13" s="67"/>
      <c r="LM13" s="68"/>
      <c r="LN13" s="48"/>
      <c r="LO13" s="49"/>
      <c r="LP13" s="49"/>
      <c r="LQ13" s="49"/>
      <c r="LR13" s="49"/>
      <c r="LS13" s="49"/>
      <c r="LT13" s="67"/>
      <c r="LU13" s="68"/>
      <c r="LV13" s="48"/>
      <c r="LW13" s="49"/>
      <c r="LX13" s="49"/>
      <c r="LY13" s="49"/>
      <c r="LZ13" s="49"/>
      <c r="MA13" s="49"/>
      <c r="MB13" s="67"/>
      <c r="MC13" s="68"/>
      <c r="MD13" s="48"/>
      <c r="ME13" s="49"/>
      <c r="MF13" s="49"/>
      <c r="MG13" s="49"/>
      <c r="MH13" s="49"/>
      <c r="MI13" s="49"/>
      <c r="MJ13" s="67"/>
      <c r="MK13" s="68"/>
      <c r="ML13" s="48"/>
      <c r="MM13" s="49"/>
      <c r="MN13" s="49"/>
      <c r="MO13" s="49"/>
      <c r="MP13" s="49"/>
      <c r="MQ13" s="49"/>
      <c r="MR13" s="67"/>
      <c r="MS13" s="68"/>
      <c r="MT13" s="48"/>
      <c r="MU13" s="49"/>
      <c r="MV13" s="49"/>
      <c r="MW13" s="49"/>
      <c r="MX13" s="49"/>
      <c r="MY13" s="49"/>
      <c r="MZ13" s="67"/>
      <c r="NA13" s="68"/>
      <c r="NB13" s="48"/>
      <c r="NC13" s="49"/>
      <c r="ND13" s="49"/>
      <c r="NE13" s="49"/>
      <c r="NF13" s="49"/>
      <c r="NG13" s="49"/>
      <c r="NH13" s="67"/>
      <c r="NI13" s="68"/>
      <c r="NJ13" s="48"/>
      <c r="NK13" s="49"/>
      <c r="NL13" s="49"/>
      <c r="NM13" s="49"/>
      <c r="NN13" s="49"/>
      <c r="NO13" s="49"/>
      <c r="NP13" s="67"/>
      <c r="NQ13" s="68"/>
      <c r="NR13" s="48"/>
      <c r="NS13" s="49"/>
      <c r="NT13" s="49"/>
      <c r="NU13" s="49"/>
      <c r="NV13" s="49"/>
      <c r="NW13" s="49"/>
      <c r="NX13" s="67"/>
      <c r="NY13" s="68"/>
      <c r="NZ13" s="48"/>
      <c r="OA13" s="49"/>
      <c r="OB13" s="49"/>
      <c r="OC13" s="49"/>
      <c r="OD13" s="49"/>
      <c r="OE13" s="49"/>
      <c r="OF13" s="67"/>
      <c r="OG13" s="68"/>
      <c r="OH13" s="48"/>
      <c r="OI13" s="49"/>
      <c r="OJ13" s="49"/>
      <c r="OK13" s="49"/>
      <c r="OL13" s="49"/>
      <c r="OM13" s="49"/>
      <c r="ON13" s="67"/>
      <c r="OO13" s="68"/>
      <c r="OP13" s="48"/>
      <c r="OQ13" s="49"/>
      <c r="OR13" s="49"/>
      <c r="OS13" s="49"/>
      <c r="OT13" s="49"/>
      <c r="OU13" s="49"/>
      <c r="OV13" s="67"/>
      <c r="OW13" s="68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104"/>
      <c r="PU13" s="105"/>
      <c r="PV13" s="106"/>
      <c r="PW13" s="107"/>
      <c r="PX13" s="107"/>
      <c r="PY13" s="107"/>
      <c r="PZ13" s="107"/>
      <c r="QA13" s="107"/>
      <c r="QB13" s="104"/>
      <c r="QC13" s="105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106"/>
      <c r="QU13" s="107"/>
      <c r="QV13" s="107"/>
      <c r="QW13" s="107"/>
      <c r="QX13" s="107"/>
      <c r="QY13" s="107"/>
      <c r="QZ13" s="104"/>
      <c r="RA13" s="105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106"/>
      <c r="TO13" s="107"/>
      <c r="TP13" s="107"/>
      <c r="TQ13" s="107"/>
      <c r="TR13" s="107"/>
      <c r="TS13" s="107"/>
      <c r="TT13" s="104"/>
      <c r="TU13" s="105"/>
      <c r="TV13" s="106"/>
      <c r="TW13" s="107"/>
      <c r="TX13" s="107"/>
      <c r="TY13" s="107"/>
      <c r="TZ13" s="107"/>
      <c r="UA13" s="107"/>
      <c r="UB13" s="104"/>
      <c r="UC13" s="105"/>
      <c r="UD13" s="106"/>
      <c r="UE13" s="107"/>
      <c r="UF13" s="107"/>
      <c r="UG13" s="107"/>
      <c r="UH13" s="107"/>
      <c r="UI13" s="107"/>
      <c r="UJ13" s="104"/>
      <c r="UK13" s="105"/>
      <c r="UL13" s="106"/>
      <c r="UM13" s="107"/>
      <c r="UN13" s="107"/>
      <c r="UO13" s="107"/>
      <c r="UP13" s="107"/>
      <c r="UQ13" s="107"/>
      <c r="UR13" s="107"/>
      <c r="US13" s="104"/>
      <c r="UT13" s="105"/>
      <c r="UU13" s="106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106"/>
      <c r="VT13" s="107"/>
      <c r="VU13" s="107"/>
      <c r="VV13" s="107"/>
      <c r="VW13" s="107"/>
      <c r="VX13" s="107"/>
      <c r="VY13" s="104"/>
      <c r="VZ13" s="105"/>
      <c r="WA13" s="63"/>
      <c r="WB13" s="64"/>
      <c r="WC13" s="64"/>
      <c r="WD13" s="64"/>
      <c r="WE13" s="64"/>
      <c r="WF13" s="64"/>
      <c r="WG13" s="67"/>
      <c r="WH13" s="68"/>
      <c r="WI13" s="48"/>
      <c r="WJ13" s="49"/>
      <c r="WK13" s="49"/>
      <c r="WL13" s="49"/>
      <c r="WM13" s="49"/>
      <c r="WN13" s="49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106"/>
      <c r="XJ13" s="107"/>
      <c r="XK13" s="107"/>
      <c r="XL13" s="107"/>
      <c r="XM13" s="107"/>
      <c r="XN13" s="107"/>
      <c r="XO13" s="107"/>
      <c r="XP13" s="104"/>
      <c r="XQ13" s="105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180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67"/>
      <c r="YZ13" s="68"/>
      <c r="ZA13" s="48"/>
      <c r="ZB13" s="49"/>
      <c r="ZC13" s="49"/>
      <c r="ZD13" s="49"/>
      <c r="ZE13" s="49"/>
      <c r="ZF13" s="49"/>
      <c r="ZG13" s="67"/>
      <c r="ZH13" s="68"/>
      <c r="ZI13" s="48"/>
      <c r="ZJ13" s="49"/>
      <c r="ZK13" s="49"/>
      <c r="ZL13" s="49"/>
      <c r="ZM13" s="24"/>
      <c r="ZN13" s="24"/>
      <c r="ZO13" s="67"/>
      <c r="ZP13" s="68"/>
      <c r="ZQ13" s="48"/>
      <c r="ZR13" s="49"/>
      <c r="ZS13" s="49"/>
      <c r="ZT13" s="49"/>
      <c r="ZU13" s="49"/>
      <c r="ZV13" s="49"/>
      <c r="ZW13" s="49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67"/>
      <c r="AAP13" s="68"/>
      <c r="AAQ13" s="48"/>
      <c r="AAR13" s="49"/>
      <c r="AAS13" s="49"/>
      <c r="AAT13" s="49"/>
      <c r="AAU13" s="49"/>
      <c r="AAV13" s="49"/>
      <c r="AAW13" s="67"/>
      <c r="AAX13" s="68"/>
      <c r="AAY13" s="48"/>
      <c r="AAZ13" s="49"/>
      <c r="ABA13" s="49"/>
      <c r="ABB13" s="49"/>
      <c r="ABC13" s="49"/>
      <c r="ABD13" s="49"/>
      <c r="ABE13" s="67"/>
      <c r="ABF13" s="68"/>
      <c r="ABG13" s="48"/>
      <c r="ABH13" s="49"/>
      <c r="ABI13" s="49"/>
      <c r="ABJ13" s="49"/>
      <c r="ABK13" s="49"/>
      <c r="ABL13" s="49"/>
      <c r="ABM13" s="67"/>
      <c r="ABN13" s="68"/>
      <c r="ABO13" s="48"/>
      <c r="ABP13" s="49"/>
      <c r="ABQ13" s="49"/>
      <c r="ABR13" s="49"/>
      <c r="ABS13" s="49"/>
      <c r="ABT13" s="49"/>
      <c r="ABU13" s="67"/>
      <c r="ABV13" s="68"/>
      <c r="ABW13" s="48"/>
      <c r="ABX13" s="49"/>
      <c r="ABY13" s="49"/>
      <c r="ABZ13" s="49"/>
      <c r="ACA13" s="49"/>
      <c r="ACB13" s="49"/>
      <c r="ACC13" s="67"/>
      <c r="ACD13" s="68"/>
      <c r="ACE13" s="48"/>
      <c r="ACF13" s="49"/>
      <c r="ACG13" s="49"/>
      <c r="ACH13" s="49"/>
      <c r="ACI13" s="49"/>
      <c r="ACJ13" s="49"/>
      <c r="ACK13" s="67"/>
      <c r="ACL13" s="68"/>
      <c r="ACM13" s="48"/>
      <c r="ACN13" s="49"/>
      <c r="ACO13" s="49"/>
      <c r="ACP13" s="49"/>
      <c r="ACQ13" s="49"/>
      <c r="ACR13" s="49"/>
      <c r="ACS13" s="67"/>
      <c r="ACT13" s="68"/>
      <c r="ACU13" s="48"/>
      <c r="ACV13" s="49"/>
      <c r="ACW13" s="49"/>
      <c r="ACX13" s="49"/>
      <c r="ACY13" s="49"/>
      <c r="ACZ13" s="49"/>
      <c r="ADA13" s="67"/>
      <c r="ADB13" s="68"/>
      <c r="ADC13" s="48"/>
      <c r="ADD13" s="49"/>
      <c r="ADE13" s="49"/>
      <c r="ADF13" s="49"/>
      <c r="ADG13" s="49"/>
      <c r="ADH13" s="49"/>
      <c r="ADI13" s="67"/>
      <c r="ADJ13" s="68"/>
      <c r="ADK13" s="48"/>
      <c r="ADL13" s="49"/>
      <c r="ADM13" s="49"/>
      <c r="ADN13" s="49"/>
      <c r="ADO13" s="49"/>
      <c r="ADP13" s="49"/>
      <c r="ADQ13" s="67"/>
      <c r="ADR13" s="68"/>
      <c r="ADS13" s="48"/>
      <c r="ADT13" s="49"/>
      <c r="ADU13" s="49"/>
      <c r="ADV13" s="49"/>
      <c r="ADW13" s="49"/>
      <c r="ADX13" s="49"/>
      <c r="ADY13" s="67"/>
      <c r="ADZ13" s="68"/>
      <c r="AEA13" s="48"/>
      <c r="AEB13" s="49"/>
      <c r="AEC13" s="49"/>
      <c r="AED13" s="49"/>
      <c r="AEE13" s="49"/>
      <c r="AEF13" s="49"/>
      <c r="AEG13" s="67"/>
      <c r="AEH13" s="68"/>
      <c r="AEI13" s="48"/>
      <c r="AEJ13" s="49"/>
      <c r="AEK13" s="49"/>
      <c r="AEL13" s="49"/>
      <c r="AEM13" s="49"/>
      <c r="AEN13" s="49"/>
      <c r="AEO13" s="67"/>
      <c r="AEP13" s="68"/>
      <c r="AEQ13" s="48"/>
      <c r="AER13" s="49"/>
      <c r="AES13" s="49"/>
      <c r="AET13" s="49"/>
      <c r="AEU13" s="49"/>
      <c r="AEV13" s="49"/>
      <c r="AEW13" s="67"/>
      <c r="AEX13" s="68"/>
      <c r="AEY13" s="48"/>
      <c r="AEZ13" s="49"/>
      <c r="AFA13" s="49"/>
      <c r="AFB13" s="49"/>
      <c r="AFC13" s="49"/>
      <c r="AFD13" s="49"/>
      <c r="AFE13" s="67"/>
      <c r="AFF13" s="68"/>
      <c r="AFG13" s="48"/>
      <c r="AFH13" s="49"/>
      <c r="AFI13" s="49"/>
      <c r="AFJ13" s="49"/>
      <c r="AFK13" s="49"/>
      <c r="AFL13" s="49"/>
      <c r="AFM13" s="67"/>
      <c r="AFN13" s="68"/>
      <c r="AFO13" s="48"/>
      <c r="AFP13" s="49"/>
      <c r="AFQ13" s="49"/>
      <c r="AFR13" s="49"/>
      <c r="AFS13" s="49"/>
      <c r="AFT13" s="49"/>
      <c r="AFU13" s="67"/>
      <c r="AFV13" s="68"/>
      <c r="AFW13" s="48"/>
      <c r="AFX13" s="49"/>
      <c r="AFY13" s="49"/>
      <c r="AFZ13" s="49"/>
      <c r="AGA13" s="49"/>
      <c r="AGB13" s="49"/>
      <c r="AGC13" s="67"/>
      <c r="AGD13" s="68"/>
      <c r="AGE13" s="48"/>
      <c r="AGF13" s="49"/>
      <c r="AGG13" s="49"/>
      <c r="AGH13" s="49"/>
      <c r="AGI13" s="49"/>
      <c r="AGJ13" s="49"/>
      <c r="AGK13" s="67"/>
      <c r="AGL13" s="68"/>
      <c r="AGM13" s="48"/>
      <c r="AGN13" s="49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67"/>
      <c r="AHC13" s="68"/>
      <c r="AHD13" s="48"/>
      <c r="AHE13" s="49"/>
      <c r="AHF13" s="49"/>
      <c r="AHG13" s="49"/>
      <c r="AHH13" s="49"/>
      <c r="AHI13" s="49"/>
      <c r="AHJ13" s="67"/>
      <c r="AHK13" s="68"/>
      <c r="AHL13" s="48"/>
      <c r="AHM13" s="49"/>
      <c r="AHN13" s="49"/>
      <c r="AHO13" s="49"/>
      <c r="AHP13" s="49"/>
      <c r="AHQ13" s="49"/>
      <c r="AHR13" s="67"/>
      <c r="AHS13" s="68"/>
      <c r="AHT13" s="48"/>
      <c r="AHU13" s="49"/>
      <c r="AHV13" s="49"/>
      <c r="AHW13" s="49"/>
      <c r="AHX13" s="49"/>
      <c r="AHY13" s="49"/>
      <c r="AHZ13" s="67"/>
      <c r="AIA13" s="68"/>
      <c r="AIB13" s="48"/>
      <c r="AIC13" s="49"/>
      <c r="AID13" s="49"/>
      <c r="AIE13" s="49"/>
      <c r="AIF13" s="49"/>
      <c r="AIG13" s="49"/>
      <c r="AIH13" s="67"/>
      <c r="AII13" s="68"/>
      <c r="AIJ13" s="48"/>
      <c r="AIK13" s="49"/>
      <c r="AIL13" s="49"/>
      <c r="AIM13" s="49"/>
      <c r="AIN13" s="49"/>
      <c r="AIO13" s="49"/>
      <c r="AIP13" s="67"/>
      <c r="AIQ13" s="68"/>
      <c r="AIR13" s="48"/>
      <c r="AIS13" s="49"/>
      <c r="AIT13" s="49"/>
      <c r="AIU13" s="49"/>
      <c r="AIV13" s="49"/>
      <c r="AIW13" s="49"/>
      <c r="AIX13" s="67"/>
      <c r="AIY13" s="68"/>
      <c r="AIZ13" s="48"/>
      <c r="AJA13" s="49"/>
      <c r="AJB13" s="49"/>
      <c r="AJC13" s="49"/>
      <c r="AJD13" s="49"/>
      <c r="AJE13" s="49"/>
      <c r="AJF13" s="67"/>
      <c r="AJG13" s="68"/>
      <c r="AJH13" s="48"/>
      <c r="AJI13" s="49"/>
      <c r="AJJ13" s="49"/>
      <c r="AJK13" s="49"/>
      <c r="AJL13" s="49"/>
      <c r="AJM13" s="49"/>
      <c r="AJN13" s="42"/>
      <c r="AJO13" s="43"/>
      <c r="AJP13" s="48"/>
      <c r="AJQ13" s="49"/>
      <c r="AJR13" s="49"/>
      <c r="AJS13" s="49"/>
      <c r="AJT13" s="49"/>
      <c r="AJU13" s="49"/>
      <c r="AJV13" s="42"/>
      <c r="AJW13" s="43"/>
      <c r="AJX13" s="48"/>
      <c r="AJY13" s="49"/>
      <c r="AJZ13" s="49"/>
      <c r="AKA13" s="49"/>
      <c r="AKB13" s="49"/>
      <c r="AKC13" s="49"/>
      <c r="AKD13" s="67"/>
      <c r="AKE13" s="68"/>
      <c r="AKF13" s="48"/>
      <c r="AKG13" s="49"/>
      <c r="AKH13" s="49"/>
      <c r="AKI13" s="49"/>
      <c r="AKJ13" s="49"/>
      <c r="AKK13" s="49"/>
      <c r="AKL13" s="67"/>
      <c r="AKM13" s="184"/>
      <c r="AKN13" s="195"/>
      <c r="AKO13" s="49"/>
      <c r="AKP13" s="49"/>
      <c r="AKQ13" s="49"/>
      <c r="AKR13" s="49"/>
      <c r="AKS13" s="49"/>
      <c r="AKT13" s="67"/>
      <c r="AKU13" s="184"/>
      <c r="AKV13" s="48"/>
      <c r="AKW13" s="49"/>
      <c r="AKX13" s="49"/>
      <c r="AKY13" s="49"/>
      <c r="AKZ13" s="49"/>
      <c r="ALA13" s="49"/>
      <c r="ALB13" s="67"/>
      <c r="ALC13" s="68"/>
      <c r="ALD13" s="48"/>
      <c r="ALE13" s="49"/>
      <c r="ALF13" s="49"/>
      <c r="ALG13" s="49"/>
      <c r="ALH13" s="49"/>
      <c r="ALI13" s="49"/>
      <c r="ALJ13" s="67"/>
      <c r="ALK13" s="68"/>
      <c r="ALL13" s="48"/>
      <c r="ALM13" s="49"/>
      <c r="ALN13" s="49"/>
      <c r="ALO13" s="49"/>
      <c r="ALP13" s="49"/>
      <c r="ALQ13" s="49"/>
      <c r="ALR13" s="67"/>
      <c r="ALS13" s="68"/>
      <c r="ALT13" s="48"/>
      <c r="ALU13" s="49"/>
      <c r="ALV13" s="49"/>
      <c r="ALW13" s="49"/>
      <c r="ALX13" s="49"/>
      <c r="ALY13" s="49"/>
      <c r="ALZ13" s="67"/>
      <c r="AMA13" s="68"/>
      <c r="AMB13" s="48"/>
      <c r="AMC13" s="49"/>
      <c r="AMD13" s="49"/>
      <c r="AME13" s="49"/>
      <c r="AMF13" s="49"/>
      <c r="AMG13" s="49"/>
      <c r="AMH13" s="67"/>
      <c r="AMI13" s="68"/>
      <c r="AMJ13" s="48"/>
      <c r="AMK13" s="49"/>
      <c r="AML13" s="49"/>
      <c r="AMM13" s="49"/>
      <c r="AMN13" s="49"/>
      <c r="AMO13" s="49"/>
      <c r="AMP13" s="67"/>
      <c r="AMQ13" s="68"/>
      <c r="AMR13" s="48"/>
      <c r="AMS13" s="49"/>
      <c r="AMT13" s="49"/>
      <c r="AMU13" s="49"/>
      <c r="AMV13" s="49"/>
      <c r="AMW13" s="49"/>
      <c r="AMX13" s="67"/>
      <c r="AMY13" s="68"/>
      <c r="AMZ13" s="48"/>
      <c r="ANA13" s="49"/>
      <c r="ANB13" s="49"/>
      <c r="ANC13" s="49"/>
      <c r="AND13" s="49"/>
      <c r="ANE13" s="49"/>
      <c r="ANF13" s="67"/>
      <c r="ANG13" s="68"/>
      <c r="ANH13" s="48"/>
      <c r="ANI13" s="49"/>
      <c r="ANJ13" s="49"/>
      <c r="ANK13" s="49"/>
      <c r="ANL13" s="49"/>
      <c r="ANM13" s="49"/>
      <c r="ANN13" s="67"/>
      <c r="ANO13" s="68"/>
      <c r="ANP13" s="48"/>
      <c r="ANQ13" s="49"/>
      <c r="ANR13" s="49"/>
      <c r="ANS13" s="49"/>
      <c r="ANT13" s="49"/>
      <c r="ANU13" s="49"/>
      <c r="ANV13" s="67"/>
      <c r="ANW13" s="68"/>
      <c r="ANX13" s="82"/>
      <c r="ANY13" s="83"/>
      <c r="ANZ13" s="83"/>
      <c r="AOA13" s="83"/>
      <c r="AOB13" s="83"/>
      <c r="AOC13" s="83"/>
      <c r="AOD13" s="67"/>
      <c r="AOE13" s="68"/>
      <c r="AOF13" s="48"/>
      <c r="AOG13" s="49"/>
      <c r="AOH13" s="49"/>
      <c r="AOI13" s="49"/>
      <c r="AOJ13" s="49"/>
      <c r="AOK13" s="49"/>
      <c r="AOL13" s="67"/>
      <c r="AOM13" s="68"/>
      <c r="AON13" s="48"/>
      <c r="AOO13" s="49"/>
      <c r="AOP13" s="49"/>
      <c r="AOQ13" s="49"/>
      <c r="AOR13" s="49"/>
      <c r="AOS13" s="49"/>
      <c r="AOT13" s="67"/>
      <c r="AOU13" s="68"/>
      <c r="AOV13" s="48"/>
      <c r="AOW13" s="49"/>
      <c r="AOX13" s="49"/>
      <c r="AOY13" s="49"/>
      <c r="AOZ13" s="49"/>
      <c r="APA13" s="49"/>
      <c r="APB13" s="67"/>
      <c r="APC13" s="68"/>
      <c r="APD13" s="48"/>
      <c r="APE13" s="49"/>
      <c r="APF13" s="49"/>
      <c r="APG13" s="49"/>
      <c r="APH13" s="49"/>
      <c r="API13" s="49"/>
      <c r="APJ13" s="67"/>
      <c r="APK13" s="68"/>
      <c r="APL13" s="48"/>
      <c r="APM13" s="49"/>
      <c r="APN13" s="49"/>
      <c r="APO13" s="49"/>
      <c r="APP13" s="49"/>
      <c r="APQ13" s="49"/>
      <c r="APR13" s="67"/>
      <c r="APS13" s="68"/>
      <c r="APT13" s="48"/>
      <c r="APU13" s="49"/>
      <c r="APV13" s="49"/>
      <c r="APW13" s="49"/>
      <c r="APX13" s="49"/>
      <c r="APY13" s="49"/>
      <c r="APZ13" s="67"/>
      <c r="AQA13" s="68"/>
      <c r="AQB13" s="48"/>
      <c r="AQC13" s="49"/>
      <c r="AQD13" s="49"/>
      <c r="AQE13" s="49"/>
      <c r="AQF13" s="49"/>
      <c r="AQG13" s="49"/>
      <c r="AQH13" s="67"/>
      <c r="AQI13" s="68"/>
      <c r="AQJ13" s="48"/>
      <c r="AQK13" s="49"/>
      <c r="AQL13" s="49"/>
      <c r="AQM13" s="49"/>
      <c r="AQN13" s="49"/>
      <c r="AQO13" s="49"/>
      <c r="AQP13" s="67"/>
      <c r="AQQ13" s="68"/>
      <c r="AQR13" s="48"/>
      <c r="AQS13" s="49"/>
      <c r="AQT13" s="49"/>
      <c r="AQU13" s="49"/>
      <c r="AQV13" s="49"/>
      <c r="AQW13" s="49"/>
      <c r="AQX13" s="67"/>
      <c r="AQY13" s="68"/>
      <c r="AQZ13" s="48"/>
      <c r="ARA13" s="49"/>
      <c r="ARB13" s="49"/>
      <c r="ARC13" s="49"/>
      <c r="ARD13" s="49"/>
      <c r="ARE13" s="49"/>
      <c r="ARF13" s="67"/>
      <c r="ARG13" s="68"/>
      <c r="ARH13" s="48"/>
      <c r="ARI13" s="49"/>
      <c r="ARJ13" s="49"/>
      <c r="ARK13" s="49"/>
      <c r="ARL13" s="49"/>
      <c r="ARM13" s="49"/>
      <c r="ARN13" s="67"/>
      <c r="ARO13" s="68"/>
      <c r="ARP13" s="48"/>
      <c r="ARQ13" s="49"/>
      <c r="ARR13" s="49"/>
      <c r="ARS13" s="49"/>
      <c r="ART13" s="49"/>
      <c r="ARU13" s="49"/>
      <c r="ARV13" s="67"/>
      <c r="ARW13" s="68"/>
      <c r="ARX13" s="48"/>
      <c r="ARY13" s="49"/>
      <c r="ARZ13" s="49"/>
      <c r="ASA13" s="49"/>
      <c r="ASB13" s="49"/>
      <c r="ASC13" s="49"/>
      <c r="ASD13" s="67"/>
      <c r="ASE13" s="68"/>
      <c r="ASF13" s="48"/>
      <c r="ASG13" s="49"/>
      <c r="ASH13" s="49"/>
      <c r="ASI13" s="49"/>
      <c r="ASJ13" s="49"/>
      <c r="ASK13" s="49"/>
      <c r="ASL13" s="67"/>
      <c r="ASM13" s="68"/>
      <c r="ASN13" s="48"/>
      <c r="ASO13" s="49"/>
      <c r="ASP13" s="49"/>
      <c r="ASQ13" s="49"/>
      <c r="ASR13" s="49"/>
      <c r="ASS13" s="49"/>
      <c r="AST13" s="67"/>
      <c r="ASU13" s="68"/>
      <c r="ASV13" s="48"/>
      <c r="ASW13" s="49"/>
      <c r="ASX13" s="49"/>
      <c r="ASY13" s="49"/>
      <c r="ASZ13" s="49"/>
      <c r="ATA13" s="49"/>
      <c r="ATB13" s="67"/>
      <c r="ATC13" s="68"/>
      <c r="ATD13" s="48"/>
      <c r="ATE13" s="49"/>
      <c r="ATF13" s="49"/>
      <c r="ATG13" s="49"/>
      <c r="ATH13" s="49"/>
      <c r="ATI13" s="49"/>
      <c r="ATJ13" s="67"/>
      <c r="ATK13" s="68"/>
      <c r="ATL13" s="48"/>
      <c r="ATM13" s="49"/>
      <c r="ATN13" s="49"/>
      <c r="ATO13" s="49"/>
      <c r="ATP13" s="49"/>
      <c r="ATQ13" s="49"/>
      <c r="ATR13" s="67"/>
      <c r="ATS13" s="68"/>
      <c r="ATT13" s="48"/>
      <c r="ATU13" s="49"/>
      <c r="ATV13" s="49"/>
      <c r="ATW13" s="49"/>
      <c r="ATX13" s="49"/>
      <c r="ATY13" s="49"/>
      <c r="ATZ13" s="67"/>
      <c r="AUA13" s="68"/>
      <c r="AUB13" s="48"/>
      <c r="AUC13" s="49"/>
      <c r="AUD13" s="49"/>
      <c r="AUE13" s="49"/>
      <c r="AUF13" s="49"/>
      <c r="AUG13" s="49"/>
      <c r="AUH13" s="67"/>
      <c r="AUI13" s="68"/>
      <c r="AUJ13" s="48"/>
      <c r="AUK13" s="49"/>
      <c r="AUL13" s="49"/>
      <c r="AUM13" s="49"/>
      <c r="AUN13" s="49"/>
      <c r="AUO13" s="49"/>
      <c r="AUP13" s="67"/>
      <c r="AUQ13" s="68"/>
      <c r="AUR13" s="48"/>
      <c r="AUS13" s="49"/>
      <c r="AUT13" s="49"/>
      <c r="AUU13" s="49"/>
      <c r="AUV13" s="49"/>
      <c r="AUW13" s="49"/>
      <c r="AUX13" s="67"/>
      <c r="AUY13" s="68"/>
      <c r="AUZ13" s="48"/>
      <c r="AVA13" s="49"/>
      <c r="AVB13" s="49"/>
      <c r="AVC13" s="49"/>
      <c r="AVD13" s="49"/>
      <c r="AVE13" s="49"/>
      <c r="AVF13" s="67"/>
      <c r="AVG13" s="68"/>
      <c r="AVH13" s="48"/>
      <c r="AVI13" s="49"/>
      <c r="AVJ13" s="49"/>
      <c r="AVK13" s="49"/>
      <c r="AVL13" s="49"/>
      <c r="AVM13" s="49"/>
      <c r="AVN13" s="67"/>
      <c r="AVO13" s="68"/>
      <c r="AVP13" s="48"/>
      <c r="AVQ13" s="49"/>
      <c r="AVR13" s="49"/>
      <c r="AVS13" s="49"/>
      <c r="AVT13" s="49"/>
      <c r="AVU13" s="49"/>
      <c r="AVV13" s="67"/>
      <c r="AVW13" s="68"/>
      <c r="AVX13" s="48"/>
      <c r="AVY13" s="49"/>
      <c r="AVZ13" s="49"/>
      <c r="AWA13" s="49"/>
      <c r="AWB13" s="49"/>
      <c r="AWC13" s="49"/>
      <c r="AWD13" s="67"/>
      <c r="AWE13" s="68"/>
      <c r="AWF13" s="48"/>
      <c r="AWG13" s="49"/>
      <c r="AWH13" s="49"/>
      <c r="AWI13" s="49"/>
      <c r="AWJ13" s="49"/>
      <c r="AWK13" s="49"/>
      <c r="AWL13" s="67"/>
      <c r="AWM13" s="68"/>
      <c r="AWN13" s="48"/>
      <c r="AWO13" s="49"/>
      <c r="AWP13" s="49"/>
      <c r="AWQ13" s="49"/>
      <c r="AWR13" s="49"/>
      <c r="AWS13" s="49"/>
      <c r="AWT13" s="42"/>
      <c r="AWU13" s="43"/>
      <c r="AWV13" s="48"/>
      <c r="AWW13" s="49"/>
      <c r="AWX13" s="49"/>
      <c r="AWY13" s="49"/>
      <c r="AWZ13" s="49"/>
      <c r="AXA13" s="49"/>
      <c r="AXB13" s="42"/>
      <c r="AXC13" s="43"/>
      <c r="AXD13" s="48"/>
      <c r="AXE13" s="49"/>
      <c r="AXF13" s="49"/>
      <c r="AXG13" s="49"/>
      <c r="AXH13" s="49"/>
      <c r="AXI13" s="49"/>
      <c r="AXJ13" s="42"/>
      <c r="AXK13" s="43"/>
      <c r="AXL13" s="48"/>
      <c r="AXM13" s="49"/>
      <c r="AXN13" s="49"/>
      <c r="AXO13" s="49"/>
      <c r="AXP13" s="49"/>
      <c r="AXQ13" s="49"/>
      <c r="AXR13" s="42"/>
      <c r="AXS13" s="43"/>
      <c r="AXT13" s="48"/>
      <c r="AXU13" s="49"/>
      <c r="AXV13" s="49"/>
      <c r="AXW13" s="49"/>
      <c r="AXX13" s="49"/>
      <c r="AXY13" s="49"/>
      <c r="AXZ13" s="42"/>
      <c r="AYA13" s="43"/>
      <c r="AYB13" s="48"/>
      <c r="AYC13" s="49"/>
      <c r="AYD13" s="49"/>
      <c r="AYE13" s="49"/>
      <c r="AYF13" s="49"/>
      <c r="AYG13" s="49"/>
      <c r="AYH13" s="42"/>
      <c r="AYI13" s="43"/>
      <c r="AYJ13" s="48"/>
      <c r="AYK13" s="49"/>
      <c r="AYL13" s="49"/>
      <c r="AYM13" s="49"/>
      <c r="AYN13" s="49"/>
      <c r="AYO13" s="49"/>
      <c r="AYP13" s="42"/>
      <c r="AYQ13" s="43"/>
      <c r="AYR13" s="48"/>
      <c r="AYS13" s="49"/>
      <c r="AYT13" s="49"/>
      <c r="AYU13" s="49"/>
      <c r="AYV13" s="49"/>
      <c r="AYW13" s="49"/>
      <c r="AYX13" s="42"/>
      <c r="AYY13" s="43"/>
      <c r="AYZ13" s="48"/>
      <c r="AZA13" s="49"/>
      <c r="AZB13" s="49"/>
      <c r="AZC13" s="49"/>
      <c r="AZD13" s="49"/>
      <c r="AZE13" s="49"/>
      <c r="AZF13" s="42"/>
      <c r="AZG13" s="43"/>
      <c r="AZH13" s="48"/>
      <c r="AZI13" s="49"/>
      <c r="AZJ13" s="49"/>
      <c r="AZK13" s="49"/>
      <c r="AZL13" s="49"/>
      <c r="AZM13" s="49"/>
      <c r="AZN13" s="42"/>
      <c r="AZO13" s="43"/>
      <c r="AZP13" s="48"/>
      <c r="AZQ13" s="49"/>
      <c r="AZR13" s="49"/>
      <c r="AZS13" s="49"/>
      <c r="AZT13" s="49"/>
      <c r="AZU13" s="49"/>
      <c r="AZV13" s="42"/>
      <c r="AZW13" s="43"/>
      <c r="AZX13" s="82"/>
      <c r="AZY13" s="83"/>
      <c r="AZZ13" s="83"/>
      <c r="BAA13" s="83"/>
      <c r="BAB13" s="83"/>
      <c r="BAC13" s="83"/>
      <c r="BAD13" s="42"/>
      <c r="BAE13" s="43"/>
      <c r="BAF13" s="48"/>
      <c r="BAG13" s="49"/>
      <c r="BAH13" s="49"/>
      <c r="BAI13" s="49"/>
      <c r="BAJ13" s="49"/>
      <c r="BAK13" s="49"/>
      <c r="BAL13" s="42"/>
      <c r="BAM13" s="43"/>
      <c r="BAN13" s="48"/>
      <c r="BAO13" s="49"/>
      <c r="BAP13" s="49"/>
      <c r="BAQ13" s="49"/>
      <c r="BAR13" s="49"/>
      <c r="BAS13" s="49"/>
      <c r="BAT13" s="42"/>
      <c r="BAU13" s="43"/>
      <c r="BAV13" s="48"/>
      <c r="BAW13" s="49"/>
      <c r="BAX13" s="49"/>
      <c r="BAY13" s="49"/>
      <c r="BAZ13" s="49"/>
      <c r="BBA13" s="49"/>
      <c r="BBB13" s="42"/>
      <c r="BBC13" s="43"/>
      <c r="BBD13" s="48"/>
      <c r="BBE13" s="49"/>
      <c r="BBF13" s="49"/>
      <c r="BBG13" s="49"/>
      <c r="BBH13" s="49"/>
      <c r="BBI13" s="49"/>
      <c r="BBJ13" s="42"/>
      <c r="BBK13" s="43"/>
      <c r="BBL13" s="48"/>
      <c r="BBM13" s="49"/>
      <c r="BBN13" s="49"/>
      <c r="BBO13" s="49"/>
      <c r="BBP13" s="49"/>
      <c r="BBQ13" s="49"/>
      <c r="BBR13" s="42"/>
      <c r="BBS13" s="43"/>
      <c r="BBT13" s="48"/>
      <c r="BBU13" s="49"/>
      <c r="BBV13" s="49"/>
      <c r="BBW13" s="49"/>
      <c r="BBX13" s="49"/>
      <c r="BBY13" s="49"/>
      <c r="BBZ13" s="42"/>
      <c r="BCA13" s="43"/>
      <c r="BCB13" s="48"/>
      <c r="BCC13" s="49"/>
      <c r="BCD13" s="49"/>
      <c r="BCE13" s="49"/>
      <c r="BCF13" s="49"/>
      <c r="BCG13" s="49"/>
      <c r="BCH13" s="42"/>
      <c r="BCI13" s="43"/>
      <c r="BCJ13" s="48"/>
      <c r="BCK13" s="49"/>
      <c r="BCL13" s="49"/>
      <c r="BCM13" s="49"/>
      <c r="BCN13" s="49"/>
      <c r="BCO13" s="49"/>
      <c r="BCP13" s="42"/>
      <c r="BCQ13" s="43"/>
      <c r="BCR13" s="48"/>
      <c r="BCS13" s="49"/>
      <c r="BCT13" s="49"/>
      <c r="BCU13" s="49"/>
      <c r="BCV13" s="49"/>
      <c r="BCW13" s="49"/>
      <c r="BCX13" s="42"/>
      <c r="BCY13" s="43"/>
      <c r="BCZ13" s="48"/>
      <c r="BDA13" s="49"/>
      <c r="BDB13" s="49"/>
      <c r="BDC13" s="49"/>
      <c r="BDD13" s="49"/>
      <c r="BDE13" s="49"/>
      <c r="BDF13" s="42"/>
      <c r="BDG13" s="43"/>
      <c r="BDH13" s="48"/>
      <c r="BDI13" s="49"/>
      <c r="BDJ13" s="49"/>
      <c r="BDK13" s="49"/>
      <c r="BDL13" s="49"/>
      <c r="BDM13" s="49"/>
      <c r="BDN13" s="42"/>
      <c r="BDO13" s="43"/>
      <c r="BDP13" s="48"/>
      <c r="BDQ13" s="49"/>
      <c r="BDR13" s="49"/>
      <c r="BDS13" s="49"/>
      <c r="BDT13" s="49"/>
      <c r="BDU13" s="49"/>
      <c r="BDV13" s="42"/>
      <c r="BDW13" s="43"/>
      <c r="BDX13" s="48"/>
      <c r="BDY13" s="49"/>
      <c r="BDZ13" s="49"/>
      <c r="BEA13" s="49"/>
      <c r="BEB13" s="49"/>
      <c r="BEC13" s="49"/>
      <c r="BED13" s="42"/>
      <c r="BEE13" s="43"/>
      <c r="BEF13" s="48"/>
      <c r="BEG13" s="49"/>
      <c r="BEH13" s="49"/>
      <c r="BEI13" s="49"/>
      <c r="BEJ13" s="49"/>
      <c r="BEK13" s="49"/>
      <c r="BEL13" s="42"/>
      <c r="BEM13" s="43"/>
      <c r="BEN13" s="48"/>
      <c r="BEO13" s="49"/>
      <c r="BEP13" s="49"/>
      <c r="BEQ13" s="49"/>
      <c r="BER13" s="49"/>
      <c r="BES13" s="49"/>
      <c r="BET13" s="42"/>
      <c r="BEU13" s="43"/>
      <c r="BEV13" s="82"/>
      <c r="BEW13" s="83"/>
      <c r="BEX13" s="83"/>
      <c r="BEY13" s="83"/>
      <c r="BEZ13" s="83"/>
      <c r="BFA13" s="83"/>
      <c r="BFB13" s="42"/>
      <c r="BFC13" s="43"/>
      <c r="BFD13" s="48"/>
      <c r="BFE13" s="49"/>
      <c r="BFF13" s="49"/>
      <c r="BFG13" s="49"/>
      <c r="BFH13" s="49"/>
      <c r="BFI13" s="49"/>
      <c r="BFJ13" s="42"/>
      <c r="BFK13" s="43"/>
      <c r="BFL13" s="48"/>
      <c r="BFM13" s="49"/>
      <c r="BFN13" s="49"/>
      <c r="BFO13" s="49"/>
      <c r="BFP13" s="49"/>
      <c r="BFQ13" s="49"/>
      <c r="BFR13" s="42"/>
      <c r="BFS13" s="43"/>
      <c r="BFT13" s="48"/>
      <c r="BFU13" s="49"/>
      <c r="BFV13" s="49"/>
      <c r="BFW13" s="49"/>
      <c r="BFX13" s="49"/>
      <c r="BFY13" s="49"/>
      <c r="BFZ13" s="42"/>
      <c r="BGA13" s="43"/>
      <c r="BGB13" s="48"/>
      <c r="BGC13" s="49"/>
      <c r="BGD13" s="49"/>
      <c r="BGE13" s="49"/>
      <c r="BGF13" s="49"/>
      <c r="BGG13" s="49"/>
      <c r="BGH13" s="42">
        <f t="shared" si="504"/>
        <v>0</v>
      </c>
      <c r="BGI13" s="43">
        <f t="shared" si="505"/>
        <v>0</v>
      </c>
      <c r="BGJ13" s="48"/>
      <c r="BGK13" s="49"/>
      <c r="BGL13" s="49"/>
      <c r="BGM13" s="49"/>
      <c r="BGN13" s="49"/>
      <c r="BGO13" s="49"/>
      <c r="BGP13" s="42">
        <f t="shared" si="506"/>
        <v>0</v>
      </c>
      <c r="BGQ13" s="43">
        <f t="shared" si="507"/>
        <v>0</v>
      </c>
      <c r="BGR13" s="48"/>
      <c r="BGS13" s="49"/>
      <c r="BGT13" s="49"/>
      <c r="BGU13" s="49"/>
      <c r="BGV13" s="49"/>
      <c r="BGW13" s="49"/>
      <c r="BGX13" s="42">
        <f t="shared" si="508"/>
        <v>0</v>
      </c>
      <c r="BGY13" s="43">
        <f t="shared" si="509"/>
        <v>0</v>
      </c>
      <c r="BGZ13" s="48"/>
      <c r="BHA13" s="49"/>
      <c r="BHB13" s="49"/>
      <c r="BHC13" s="49"/>
      <c r="BHD13" s="49"/>
      <c r="BHE13" s="49"/>
      <c r="BHF13" s="42">
        <f t="shared" si="510"/>
        <v>0</v>
      </c>
      <c r="BHG13" s="43">
        <f t="shared" si="511"/>
        <v>0</v>
      </c>
      <c r="BHH13" s="63"/>
      <c r="BHI13" s="64"/>
      <c r="BHJ13" s="64"/>
      <c r="BHK13" s="64"/>
      <c r="BHL13" s="64"/>
      <c r="BHM13" s="64"/>
      <c r="BHN13" s="42">
        <f t="shared" si="512"/>
        <v>0</v>
      </c>
      <c r="BHO13" s="43">
        <f t="shared" si="513"/>
        <v>0</v>
      </c>
      <c r="BHP13" s="48"/>
      <c r="BHQ13" s="49"/>
      <c r="BHR13" s="49">
        <v>801</v>
      </c>
      <c r="BHS13" s="49"/>
      <c r="BHT13" s="49"/>
      <c r="BHU13" s="49"/>
      <c r="BHV13" s="42">
        <f t="shared" si="514"/>
        <v>801</v>
      </c>
      <c r="BHW13" s="43">
        <f t="shared" si="515"/>
        <v>133.5</v>
      </c>
      <c r="BHX13" s="48"/>
      <c r="BHY13" s="49"/>
      <c r="BHZ13" s="49"/>
      <c r="BIA13" s="49"/>
      <c r="BIB13" s="49"/>
      <c r="BIC13" s="49"/>
      <c r="BID13" s="42">
        <f t="shared" si="516"/>
        <v>0</v>
      </c>
      <c r="BIE13" s="43">
        <f t="shared" si="517"/>
        <v>0</v>
      </c>
      <c r="BIF13" s="48"/>
      <c r="BIG13" s="49"/>
      <c r="BIH13" s="49"/>
      <c r="BII13" s="49"/>
      <c r="BIJ13" s="49"/>
      <c r="BIK13" s="49"/>
      <c r="BIL13" s="42">
        <f t="shared" si="518"/>
        <v>0</v>
      </c>
      <c r="BIM13" s="43">
        <f t="shared" si="519"/>
        <v>0</v>
      </c>
      <c r="BIN13" s="48"/>
      <c r="BIO13" s="49"/>
      <c r="BIP13" s="49"/>
      <c r="BIQ13" s="49"/>
      <c r="BIR13" s="49"/>
      <c r="BIS13" s="49"/>
      <c r="BIT13" s="42">
        <f t="shared" si="520"/>
        <v>0</v>
      </c>
      <c r="BIU13" s="43">
        <f t="shared" si="521"/>
        <v>0</v>
      </c>
      <c r="BIV13" s="48">
        <v>102</v>
      </c>
      <c r="BIW13" s="49"/>
      <c r="BIX13" s="49"/>
      <c r="BIY13" s="49"/>
      <c r="BIZ13" s="49"/>
      <c r="BJA13" s="49"/>
      <c r="BJB13" s="42">
        <f t="shared" si="522"/>
        <v>102</v>
      </c>
      <c r="BJC13" s="43">
        <f t="shared" si="523"/>
        <v>17</v>
      </c>
      <c r="BJD13" s="48"/>
      <c r="BJE13" s="49"/>
      <c r="BJF13" s="49">
        <v>200</v>
      </c>
      <c r="BJG13" s="49"/>
      <c r="BJH13" s="49"/>
      <c r="BJI13" s="49"/>
      <c r="BJJ13" s="42">
        <f t="shared" si="524"/>
        <v>200</v>
      </c>
      <c r="BJK13" s="43">
        <f t="shared" si="525"/>
        <v>33.333333333333336</v>
      </c>
      <c r="BJL13" s="48"/>
      <c r="BJM13" s="49"/>
      <c r="BJN13" s="49"/>
      <c r="BJO13" s="49"/>
      <c r="BJP13" s="49"/>
      <c r="BJQ13" s="49"/>
      <c r="BJR13" s="42">
        <f t="shared" si="526"/>
        <v>0</v>
      </c>
      <c r="BJS13" s="43">
        <f t="shared" si="527"/>
        <v>0</v>
      </c>
      <c r="BJT13" s="63">
        <v>200</v>
      </c>
      <c r="BJU13" s="64"/>
      <c r="BJV13" s="64"/>
      <c r="BJW13" s="64"/>
      <c r="BJX13" s="64"/>
      <c r="BJY13" s="64"/>
      <c r="BJZ13" s="42">
        <f t="shared" si="528"/>
        <v>200</v>
      </c>
      <c r="BKA13" s="43">
        <f t="shared" si="529"/>
        <v>40</v>
      </c>
      <c r="BKB13" s="48"/>
      <c r="BKC13" s="49"/>
      <c r="BKD13" s="49"/>
      <c r="BKE13" s="49"/>
      <c r="BKF13" s="49">
        <v>198</v>
      </c>
      <c r="BKG13" s="49"/>
      <c r="BKH13" s="67">
        <f t="shared" si="530"/>
        <v>198</v>
      </c>
      <c r="BKI13" s="68">
        <f t="shared" si="531"/>
        <v>33</v>
      </c>
      <c r="BKJ13" s="48"/>
      <c r="BKK13" s="49"/>
      <c r="BKL13" s="49"/>
      <c r="BKM13" s="49"/>
      <c r="BKN13" s="49"/>
      <c r="BKO13" s="49"/>
      <c r="BKP13" s="42">
        <f t="shared" si="532"/>
        <v>0</v>
      </c>
      <c r="BKQ13" s="43">
        <f t="shared" si="533"/>
        <v>0</v>
      </c>
      <c r="BKR13" s="48"/>
      <c r="BKS13" s="49"/>
      <c r="BKT13" s="49">
        <v>179</v>
      </c>
      <c r="BKU13" s="49"/>
      <c r="BKV13" s="49"/>
      <c r="BKW13" s="49"/>
      <c r="BKX13" s="42">
        <f t="shared" si="534"/>
        <v>179</v>
      </c>
      <c r="BKY13" s="43">
        <f t="shared" si="535"/>
        <v>29.833333333333332</v>
      </c>
      <c r="BKZ13" s="48"/>
      <c r="BLA13" s="49"/>
      <c r="BLB13" s="49"/>
      <c r="BLC13" s="49"/>
      <c r="BLD13" s="49"/>
      <c r="BLE13" s="49">
        <v>200</v>
      </c>
      <c r="BLF13" s="42">
        <f t="shared" si="536"/>
        <v>200</v>
      </c>
      <c r="BLG13" s="43">
        <f t="shared" si="537"/>
        <v>33.333333333333336</v>
      </c>
      <c r="BLH13" s="48">
        <v>199</v>
      </c>
      <c r="BLI13" s="49"/>
      <c r="BLJ13" s="49"/>
      <c r="BLK13" s="49"/>
      <c r="BLL13" s="49"/>
      <c r="BLM13" s="49"/>
      <c r="BLN13" s="42">
        <f t="shared" si="538"/>
        <v>199</v>
      </c>
      <c r="BLO13" s="43">
        <f t="shared" si="539"/>
        <v>33.166666666666664</v>
      </c>
      <c r="BLP13" s="48"/>
      <c r="BLQ13" s="49">
        <v>200</v>
      </c>
      <c r="BLR13" s="49"/>
      <c r="BLS13" s="49"/>
      <c r="BLT13" s="49"/>
      <c r="BLU13" s="49"/>
      <c r="BLV13" s="42">
        <f t="shared" si="540"/>
        <v>200</v>
      </c>
      <c r="BLW13" s="43">
        <f t="shared" si="541"/>
        <v>33.333333333333336</v>
      </c>
      <c r="BLX13" s="63"/>
      <c r="BLY13" s="64"/>
      <c r="BLZ13" s="64">
        <v>202</v>
      </c>
      <c r="BMA13" s="64"/>
      <c r="BMB13" s="64"/>
      <c r="BMC13" s="64"/>
      <c r="BMD13" s="42">
        <f t="shared" si="542"/>
        <v>202</v>
      </c>
      <c r="BME13" s="43">
        <f t="shared" si="543"/>
        <v>33.666666666666664</v>
      </c>
      <c r="BMF13" s="48"/>
      <c r="BMG13" s="49"/>
      <c r="BMH13" s="49"/>
      <c r="BMI13" s="49">
        <v>200</v>
      </c>
      <c r="BMJ13" s="49"/>
      <c r="BMK13" s="49"/>
      <c r="BML13" s="42">
        <f t="shared" si="544"/>
        <v>200</v>
      </c>
      <c r="BMM13" s="43">
        <f t="shared" si="545"/>
        <v>33.333333333333336</v>
      </c>
      <c r="BMN13" s="63"/>
      <c r="BMO13" s="64"/>
      <c r="BMP13" s="64"/>
      <c r="BMQ13" s="64"/>
      <c r="BMR13" s="64"/>
      <c r="BMS13" s="64"/>
      <c r="BMT13" s="42">
        <f t="shared" si="546"/>
        <v>0</v>
      </c>
      <c r="BMU13" s="43">
        <f t="shared" si="547"/>
        <v>0</v>
      </c>
      <c r="BMV13" s="48">
        <v>200</v>
      </c>
      <c r="BMW13" s="49"/>
      <c r="BMX13" s="49"/>
      <c r="BMY13" s="49"/>
      <c r="BMZ13" s="49"/>
      <c r="BNA13" s="49"/>
      <c r="BNB13" s="42">
        <f t="shared" si="548"/>
        <v>200</v>
      </c>
      <c r="BNC13" s="43">
        <f t="shared" si="549"/>
        <v>33.333333333333336</v>
      </c>
      <c r="BND13" s="48"/>
      <c r="BNE13" s="49"/>
      <c r="BNF13" s="49"/>
      <c r="BNG13" s="49"/>
      <c r="BNH13" s="49"/>
      <c r="BNI13" s="49">
        <v>220</v>
      </c>
      <c r="BNJ13" s="42">
        <f t="shared" si="550"/>
        <v>220</v>
      </c>
      <c r="BNK13" s="43">
        <f t="shared" si="551"/>
        <v>36.666666666666664</v>
      </c>
      <c r="BNL13" s="48"/>
      <c r="BNM13" s="49"/>
      <c r="BNN13" s="49"/>
      <c r="BNO13" s="49"/>
      <c r="BNP13" s="49"/>
      <c r="BNQ13" s="49"/>
      <c r="BNR13" s="42">
        <f t="shared" si="552"/>
        <v>0</v>
      </c>
      <c r="BNS13" s="43">
        <f t="shared" si="553"/>
        <v>0</v>
      </c>
      <c r="BNT13" s="48"/>
      <c r="BNU13" s="49">
        <v>200</v>
      </c>
      <c r="BNV13" s="49"/>
      <c r="BNW13" s="49"/>
      <c r="BNX13" s="49"/>
      <c r="BNY13" s="49"/>
      <c r="BNZ13" s="42">
        <f t="shared" si="554"/>
        <v>200</v>
      </c>
      <c r="BOA13" s="43">
        <f t="shared" si="555"/>
        <v>33.333333333333336</v>
      </c>
      <c r="BOB13" s="48"/>
      <c r="BOC13" s="49">
        <v>200</v>
      </c>
      <c r="BOD13" s="49"/>
      <c r="BOE13" s="49"/>
      <c r="BOF13" s="49"/>
      <c r="BOG13" s="49"/>
      <c r="BOH13" s="42">
        <f t="shared" si="556"/>
        <v>200</v>
      </c>
      <c r="BOI13" s="43">
        <f t="shared" si="557"/>
        <v>33.333333333333336</v>
      </c>
      <c r="BOJ13" s="48"/>
      <c r="BOK13" s="49"/>
      <c r="BOL13" s="49"/>
      <c r="BOM13" s="49"/>
      <c r="BON13" s="49"/>
      <c r="BOO13" s="49"/>
      <c r="BOP13" s="42">
        <f t="shared" si="558"/>
        <v>0</v>
      </c>
      <c r="BOQ13" s="43">
        <f t="shared" si="559"/>
        <v>0</v>
      </c>
      <c r="BOR13" s="48"/>
      <c r="BOS13" s="49"/>
      <c r="BOT13" s="49"/>
      <c r="BOU13" s="49">
        <v>200</v>
      </c>
      <c r="BOV13" s="49"/>
      <c r="BOW13" s="49"/>
      <c r="BOX13" s="42">
        <f t="shared" si="560"/>
        <v>200</v>
      </c>
      <c r="BOY13" s="43">
        <f t="shared" si="561"/>
        <v>33.333333333333336</v>
      </c>
      <c r="BOZ13" s="63"/>
      <c r="BPA13" s="64"/>
      <c r="BPB13" s="64"/>
      <c r="BPC13" s="64"/>
      <c r="BPD13" s="64"/>
      <c r="BPE13" s="64"/>
      <c r="BPF13" s="42">
        <f t="shared" si="562"/>
        <v>0</v>
      </c>
      <c r="BPG13" s="43">
        <f t="shared" si="563"/>
        <v>0</v>
      </c>
      <c r="BPH13" s="48"/>
      <c r="BPI13" s="49">
        <v>313</v>
      </c>
      <c r="BPJ13" s="49"/>
      <c r="BPK13" s="49"/>
      <c r="BPL13" s="49"/>
      <c r="BPM13" s="49"/>
      <c r="BPN13" s="42">
        <f t="shared" si="564"/>
        <v>313</v>
      </c>
      <c r="BPO13" s="43">
        <f t="shared" si="565"/>
        <v>52.166666666666664</v>
      </c>
      <c r="BPP13" s="48">
        <v>200</v>
      </c>
      <c r="BPQ13" s="49"/>
      <c r="BPR13" s="49"/>
      <c r="BPS13" s="49"/>
      <c r="BPT13" s="49"/>
      <c r="BPU13" s="49"/>
      <c r="BPV13" s="42">
        <f t="shared" si="566"/>
        <v>200</v>
      </c>
      <c r="BPW13" s="43">
        <f t="shared" si="567"/>
        <v>33.333333333333336</v>
      </c>
      <c r="BPX13" s="48"/>
      <c r="BPY13" s="49"/>
      <c r="BPZ13" s="49">
        <v>321</v>
      </c>
      <c r="BQA13" s="49"/>
      <c r="BQB13" s="49"/>
      <c r="BQC13" s="49"/>
      <c r="BQD13" s="67">
        <f t="shared" si="568"/>
        <v>321</v>
      </c>
      <c r="BQE13" s="43">
        <f t="shared" si="569"/>
        <v>53.5</v>
      </c>
      <c r="BQF13" s="63">
        <v>479</v>
      </c>
      <c r="BQG13" s="64"/>
      <c r="BQH13" s="64"/>
      <c r="BQI13" s="64">
        <v>440</v>
      </c>
      <c r="BQJ13" s="64"/>
      <c r="BQK13" s="64">
        <v>321</v>
      </c>
      <c r="BQL13" s="67">
        <f t="shared" si="570"/>
        <v>1240</v>
      </c>
      <c r="BQM13" s="43">
        <f t="shared" si="571"/>
        <v>206.66666666666666</v>
      </c>
      <c r="BQN13" s="63"/>
      <c r="BQO13" s="64"/>
      <c r="BQP13" s="64">
        <v>399</v>
      </c>
      <c r="BQQ13" s="64"/>
      <c r="BQR13" s="64"/>
      <c r="BQS13" s="64">
        <v>330</v>
      </c>
      <c r="BQT13" s="67">
        <f t="shared" si="572"/>
        <v>729</v>
      </c>
      <c r="BQU13" s="43">
        <f t="shared" si="573"/>
        <v>121.5</v>
      </c>
      <c r="BQV13" s="48"/>
      <c r="BQW13" s="49"/>
      <c r="BQX13" s="49"/>
      <c r="BQY13" s="49">
        <v>320</v>
      </c>
      <c r="BQZ13" s="49"/>
      <c r="BRA13" s="49"/>
      <c r="BRB13" s="67">
        <f t="shared" si="574"/>
        <v>320</v>
      </c>
      <c r="BRC13" s="43">
        <f t="shared" si="575"/>
        <v>53.333333333333336</v>
      </c>
      <c r="BRD13" s="48"/>
      <c r="BRE13" s="49"/>
      <c r="BRF13" s="49"/>
      <c r="BRG13" s="49">
        <v>602</v>
      </c>
      <c r="BRH13" s="49"/>
      <c r="BRI13" s="49"/>
      <c r="BRJ13" s="67">
        <f t="shared" si="576"/>
        <v>602</v>
      </c>
      <c r="BRK13" s="43">
        <f t="shared" si="577"/>
        <v>100.33333333333333</v>
      </c>
      <c r="BRL13" s="48">
        <v>700</v>
      </c>
      <c r="BRM13" s="49"/>
      <c r="BRN13" s="49"/>
      <c r="BRO13" s="49"/>
      <c r="BRP13" s="49"/>
      <c r="BRQ13" s="49"/>
      <c r="BRR13" s="67">
        <f t="shared" si="578"/>
        <v>700</v>
      </c>
      <c r="BRS13" s="68">
        <f t="shared" si="579"/>
        <v>116.66666666666667</v>
      </c>
      <c r="BRT13" s="63">
        <v>200</v>
      </c>
      <c r="BRU13" s="64"/>
      <c r="BRV13" s="64"/>
      <c r="BRW13" s="64"/>
      <c r="BRX13" s="64"/>
      <c r="BRY13" s="64"/>
      <c r="BRZ13" s="67">
        <f t="shared" si="580"/>
        <v>200</v>
      </c>
      <c r="BSA13" s="43">
        <f t="shared" si="581"/>
        <v>33.333333333333336</v>
      </c>
      <c r="BSB13" s="63">
        <v>200</v>
      </c>
      <c r="BSC13" s="64">
        <v>200</v>
      </c>
      <c r="BSD13" s="64"/>
      <c r="BSE13" s="64"/>
      <c r="BSF13" s="64"/>
      <c r="BSG13" s="64">
        <v>400</v>
      </c>
      <c r="BSH13" s="67">
        <f t="shared" si="582"/>
        <v>800</v>
      </c>
      <c r="BSI13" s="43">
        <f t="shared" si="583"/>
        <v>133.33333333333334</v>
      </c>
      <c r="BSJ13" s="63"/>
      <c r="BSK13" s="64"/>
      <c r="BSL13" s="64"/>
      <c r="BSM13" s="64"/>
      <c r="BSN13" s="64"/>
      <c r="BSO13" s="64"/>
      <c r="BSP13" s="67">
        <f t="shared" si="584"/>
        <v>0</v>
      </c>
      <c r="BSQ13" s="43">
        <f t="shared" si="585"/>
        <v>0</v>
      </c>
      <c r="BSR13" s="63"/>
      <c r="BSS13" s="64">
        <v>200</v>
      </c>
      <c r="BST13" s="64"/>
      <c r="BSU13" s="64"/>
      <c r="BSV13" s="64"/>
      <c r="BSW13" s="64">
        <v>477</v>
      </c>
      <c r="BSX13" s="67">
        <f t="shared" si="586"/>
        <v>677</v>
      </c>
      <c r="BSY13" s="43">
        <f t="shared" si="587"/>
        <v>112.83333333333333</v>
      </c>
      <c r="BSZ13" s="63"/>
      <c r="BTA13" s="64"/>
      <c r="BTB13" s="64"/>
      <c r="BTC13" s="64"/>
      <c r="BTD13" s="64"/>
      <c r="BTE13" s="64"/>
      <c r="BTF13" s="67">
        <f t="shared" si="588"/>
        <v>0</v>
      </c>
      <c r="BTG13" s="43">
        <f t="shared" si="589"/>
        <v>0</v>
      </c>
      <c r="BTH13" s="63">
        <v>1004</v>
      </c>
      <c r="BTI13" s="64">
        <v>1</v>
      </c>
      <c r="BTJ13" s="64"/>
      <c r="BTK13" s="64"/>
      <c r="BTL13" s="64"/>
      <c r="BTM13" s="64"/>
      <c r="BTN13" s="67">
        <f t="shared" si="590"/>
        <v>1005</v>
      </c>
      <c r="BTO13" s="68">
        <f t="shared" si="591"/>
        <v>167.5</v>
      </c>
      <c r="BTP13" s="48"/>
      <c r="BTQ13" s="49">
        <v>400</v>
      </c>
      <c r="BTR13" s="49"/>
      <c r="BTS13" s="49"/>
      <c r="BTT13" s="49"/>
      <c r="BTU13" s="49"/>
      <c r="BTV13" s="67">
        <f t="shared" si="592"/>
        <v>400</v>
      </c>
      <c r="BTW13" s="43">
        <f t="shared" si="593"/>
        <v>66.666666666666671</v>
      </c>
      <c r="BTX13" s="63">
        <v>401</v>
      </c>
      <c r="BTY13" s="64"/>
      <c r="BTZ13" s="64"/>
      <c r="BUA13" s="64"/>
      <c r="BUB13" s="64"/>
      <c r="BUC13" s="64">
        <v>400</v>
      </c>
      <c r="BUD13" s="67">
        <f t="shared" si="594"/>
        <v>801</v>
      </c>
      <c r="BUE13" s="68">
        <f t="shared" si="595"/>
        <v>133.5</v>
      </c>
      <c r="BUF13" s="48"/>
      <c r="BUG13" s="49">
        <v>401</v>
      </c>
      <c r="BUH13" s="49"/>
      <c r="BUI13" s="49"/>
      <c r="BUJ13" s="49"/>
      <c r="BUK13" s="49">
        <v>601</v>
      </c>
      <c r="BUL13" s="67">
        <f t="shared" si="596"/>
        <v>1002</v>
      </c>
      <c r="BUM13" s="68">
        <f t="shared" si="597"/>
        <v>167</v>
      </c>
      <c r="BUN13" s="63"/>
      <c r="BUO13" s="64"/>
      <c r="BUP13" s="64"/>
      <c r="BUQ13" s="64">
        <v>547</v>
      </c>
      <c r="BUR13" s="64"/>
      <c r="BUS13" s="64"/>
      <c r="BUT13" s="67">
        <f t="shared" si="598"/>
        <v>547</v>
      </c>
      <c r="BUU13" s="68">
        <f t="shared" si="599"/>
        <v>91.166666666666671</v>
      </c>
      <c r="BUV13" s="48"/>
      <c r="BUW13" s="49"/>
      <c r="BUX13" s="49"/>
      <c r="BUY13" s="49"/>
      <c r="BUZ13" s="49">
        <f>225+74</f>
        <v>299</v>
      </c>
      <c r="BVA13" s="49"/>
      <c r="BVB13" s="67">
        <f t="shared" si="600"/>
        <v>299</v>
      </c>
      <c r="BVC13" s="68">
        <f t="shared" si="601"/>
        <v>49.833333333333336</v>
      </c>
      <c r="BVD13" s="48"/>
      <c r="BVE13" s="49"/>
      <c r="BVF13" s="49">
        <v>676</v>
      </c>
      <c r="BVG13" s="49"/>
      <c r="BVH13" s="49"/>
      <c r="BVI13" s="49"/>
      <c r="BVJ13" s="67">
        <f t="shared" si="602"/>
        <v>676</v>
      </c>
      <c r="BVK13" s="68">
        <f t="shared" si="603"/>
        <v>112.66666666666667</v>
      </c>
      <c r="BVL13" s="48"/>
      <c r="BVM13" s="49"/>
      <c r="BVN13" s="49"/>
      <c r="BVO13" s="49"/>
      <c r="BVP13" s="49"/>
      <c r="BVQ13" s="49">
        <v>602</v>
      </c>
      <c r="BVR13" s="67">
        <f t="shared" si="604"/>
        <v>602</v>
      </c>
      <c r="BVS13" s="68">
        <f t="shared" si="605"/>
        <v>100.33333333333333</v>
      </c>
      <c r="BVT13" s="48"/>
      <c r="BVU13" s="49"/>
      <c r="BVV13" s="49"/>
      <c r="BVW13" s="49"/>
      <c r="BVX13" s="49"/>
      <c r="BVY13" s="49">
        <v>600</v>
      </c>
      <c r="BVZ13" s="67">
        <f t="shared" si="606"/>
        <v>600</v>
      </c>
      <c r="BWA13" s="68">
        <f t="shared" si="607"/>
        <v>100</v>
      </c>
      <c r="BWB13" s="48"/>
      <c r="BWC13" s="49"/>
      <c r="BWD13" s="49"/>
      <c r="BWE13" s="49"/>
      <c r="BWF13" s="49"/>
      <c r="BWG13" s="49"/>
      <c r="BWH13" s="67">
        <f t="shared" si="608"/>
        <v>0</v>
      </c>
      <c r="BWI13" s="68">
        <f t="shared" si="609"/>
        <v>0</v>
      </c>
      <c r="BWJ13" s="48"/>
      <c r="BWK13" s="49"/>
      <c r="BWL13" s="49">
        <v>1076</v>
      </c>
      <c r="BWM13" s="49"/>
      <c r="BWN13" s="49"/>
      <c r="BWO13" s="49"/>
      <c r="BWP13" s="67">
        <f t="shared" si="610"/>
        <v>1076</v>
      </c>
      <c r="BWQ13" s="68">
        <f t="shared" si="611"/>
        <v>179.33333333333334</v>
      </c>
      <c r="BWR13" s="48"/>
      <c r="BWS13" s="49"/>
      <c r="BWT13" s="49"/>
      <c r="BWU13" s="49">
        <v>101</v>
      </c>
      <c r="BWV13" s="49"/>
      <c r="BWW13" s="49"/>
      <c r="BWX13" s="67">
        <f t="shared" si="612"/>
        <v>101</v>
      </c>
      <c r="BWY13" s="68">
        <f t="shared" si="613"/>
        <v>16.833333333333332</v>
      </c>
      <c r="BWZ13" s="48"/>
      <c r="BXA13" s="49"/>
      <c r="BXB13" s="49"/>
      <c r="BXC13" s="49">
        <v>240</v>
      </c>
      <c r="BXD13" s="49"/>
      <c r="BXE13" s="49"/>
      <c r="BXF13" s="67">
        <f t="shared" si="614"/>
        <v>240</v>
      </c>
      <c r="BXG13" s="68">
        <f t="shared" si="615"/>
        <v>40</v>
      </c>
      <c r="BXH13" s="48"/>
      <c r="BXI13" s="49"/>
      <c r="BXJ13" s="49">
        <v>25</v>
      </c>
      <c r="BXK13" s="49">
        <v>398</v>
      </c>
      <c r="BXL13" s="49"/>
      <c r="BXM13" s="49">
        <v>410</v>
      </c>
      <c r="BXN13" s="67">
        <f t="shared" si="616"/>
        <v>833</v>
      </c>
      <c r="BXO13" s="68">
        <f t="shared" si="617"/>
        <v>138.83333333333334</v>
      </c>
      <c r="BXP13" s="63"/>
      <c r="BXQ13" s="64"/>
      <c r="BXR13" s="64"/>
      <c r="BXS13" s="64">
        <v>198</v>
      </c>
      <c r="BXT13" s="64"/>
      <c r="BXU13" s="1"/>
      <c r="BXV13" s="67">
        <f t="shared" si="73"/>
        <v>198</v>
      </c>
      <c r="BXW13" s="68">
        <f t="shared" si="618"/>
        <v>33</v>
      </c>
      <c r="BXX13" s="48">
        <v>100</v>
      </c>
      <c r="BXY13" s="49"/>
      <c r="BXZ13" s="49"/>
      <c r="BYA13" s="49"/>
      <c r="BYB13" s="49"/>
      <c r="BYC13" s="49"/>
      <c r="BYD13" s="67">
        <f t="shared" si="619"/>
        <v>100</v>
      </c>
      <c r="BYE13" s="68">
        <f t="shared" si="620"/>
        <v>16.666666666666668</v>
      </c>
      <c r="BYF13" s="63">
        <v>322</v>
      </c>
      <c r="BYG13" s="64"/>
      <c r="BYH13" s="64">
        <v>208</v>
      </c>
      <c r="BYI13" s="64"/>
      <c r="BYJ13" s="64"/>
      <c r="BYK13" s="64"/>
      <c r="BYL13" s="67">
        <f t="shared" si="621"/>
        <v>530</v>
      </c>
      <c r="BYM13" s="68">
        <f t="shared" si="622"/>
        <v>88.333333333333329</v>
      </c>
      <c r="BYN13" s="48"/>
      <c r="BYO13" s="49"/>
      <c r="BYP13" s="49">
        <v>196</v>
      </c>
      <c r="BYQ13" s="49">
        <v>207</v>
      </c>
      <c r="BYR13" s="49"/>
      <c r="BYS13" s="49"/>
      <c r="BYT13" s="67">
        <f t="shared" si="623"/>
        <v>403</v>
      </c>
      <c r="BYU13" s="68">
        <f t="shared" si="624"/>
        <v>67.166666666666671</v>
      </c>
      <c r="BYV13" s="48"/>
      <c r="BYW13" s="49"/>
      <c r="BYX13" s="49"/>
      <c r="BYY13" s="49"/>
      <c r="BYZ13" s="49"/>
      <c r="BZA13" s="49">
        <v>412</v>
      </c>
      <c r="BZB13" s="67">
        <f t="shared" si="625"/>
        <v>412</v>
      </c>
      <c r="BZC13" s="68">
        <f t="shared" si="626"/>
        <v>68.666666666666671</v>
      </c>
      <c r="BZD13" s="48"/>
      <c r="BZE13" s="49"/>
      <c r="BZF13" s="49"/>
      <c r="BZG13" s="49"/>
      <c r="BZH13" s="49"/>
      <c r="BZI13" s="49"/>
      <c r="BZJ13" s="67">
        <f t="shared" si="627"/>
        <v>0</v>
      </c>
      <c r="BZK13" s="68">
        <f t="shared" si="628"/>
        <v>0</v>
      </c>
      <c r="BZL13" s="48"/>
      <c r="BZM13" s="49">
        <v>200</v>
      </c>
      <c r="BZN13" s="49"/>
      <c r="BZO13" s="49"/>
      <c r="BZP13" s="49"/>
      <c r="BZQ13" s="49"/>
      <c r="BZR13" s="67">
        <f t="shared" si="629"/>
        <v>200</v>
      </c>
      <c r="BZS13" s="68">
        <f t="shared" si="630"/>
        <v>33.333333333333336</v>
      </c>
      <c r="BZT13" s="48"/>
      <c r="BZU13" s="49"/>
      <c r="BZV13" s="49"/>
      <c r="BZW13" s="49"/>
      <c r="BZX13" s="49"/>
      <c r="BZY13" s="49"/>
      <c r="BZZ13" s="67">
        <f t="shared" si="631"/>
        <v>0</v>
      </c>
      <c r="CAA13" s="68">
        <f t="shared" si="632"/>
        <v>0</v>
      </c>
      <c r="CAB13" s="48"/>
      <c r="CAC13" s="49"/>
      <c r="CAD13" s="49">
        <v>400</v>
      </c>
      <c r="CAE13" s="49"/>
      <c r="CAF13" s="49"/>
      <c r="CAG13" s="49"/>
      <c r="CAH13" s="67">
        <f t="shared" si="633"/>
        <v>400</v>
      </c>
      <c r="CAI13" s="68">
        <f t="shared" si="634"/>
        <v>66.666666666666671</v>
      </c>
      <c r="CAJ13" s="63">
        <v>110</v>
      </c>
      <c r="CAK13" s="64"/>
      <c r="CAL13" s="64">
        <v>402</v>
      </c>
      <c r="CAM13" s="64"/>
      <c r="CAN13" s="64"/>
      <c r="CAO13" s="64"/>
      <c r="CAP13" s="67">
        <f t="shared" si="635"/>
        <v>512</v>
      </c>
      <c r="CAQ13" s="68">
        <f t="shared" si="636"/>
        <v>85.333333333333329</v>
      </c>
      <c r="CAR13" s="63"/>
      <c r="CAS13" s="64"/>
      <c r="CAT13" s="64"/>
      <c r="CAU13" s="64"/>
      <c r="CAV13" s="64"/>
      <c r="CAW13" s="64">
        <v>200</v>
      </c>
      <c r="CAX13" s="67">
        <f t="shared" si="637"/>
        <v>200</v>
      </c>
      <c r="CAY13" s="68">
        <f t="shared" si="638"/>
        <v>33.333333333333336</v>
      </c>
      <c r="CAZ13" s="48"/>
      <c r="CBA13" s="49"/>
      <c r="CBB13" s="49">
        <v>210</v>
      </c>
      <c r="CBC13" s="49"/>
      <c r="CBD13" s="49"/>
      <c r="CBE13" s="49"/>
      <c r="CBF13" s="67">
        <f t="shared" si="639"/>
        <v>210</v>
      </c>
      <c r="CBG13" s="68">
        <f t="shared" si="640"/>
        <v>35</v>
      </c>
      <c r="CBH13" s="48"/>
      <c r="CBI13" s="49">
        <v>100</v>
      </c>
      <c r="CBJ13" s="49"/>
      <c r="CBK13" s="49"/>
      <c r="CBL13" s="49">
        <v>291</v>
      </c>
      <c r="CBM13" s="49"/>
      <c r="CBN13" s="67">
        <f t="shared" si="641"/>
        <v>391</v>
      </c>
      <c r="CBO13" s="68">
        <f t="shared" si="642"/>
        <v>65.166666666666671</v>
      </c>
      <c r="CBP13" s="48">
        <v>301</v>
      </c>
      <c r="CBQ13" s="49"/>
      <c r="CBR13" s="49"/>
      <c r="CBS13" s="49"/>
      <c r="CBT13" s="49">
        <v>330</v>
      </c>
      <c r="CBU13" s="49"/>
      <c r="CBV13" s="67">
        <f t="shared" si="643"/>
        <v>631</v>
      </c>
      <c r="CBW13" s="68">
        <f t="shared" si="644"/>
        <v>105.16666666666667</v>
      </c>
      <c r="CBX13" s="48"/>
      <c r="CBY13" s="49"/>
      <c r="CBZ13" s="49"/>
      <c r="CCA13" s="49">
        <v>110</v>
      </c>
      <c r="CCB13" s="49"/>
      <c r="CCC13" s="49"/>
      <c r="CCD13" s="67">
        <f t="shared" si="645"/>
        <v>110</v>
      </c>
      <c r="CCE13" s="68">
        <f t="shared" si="646"/>
        <v>18.333333333333332</v>
      </c>
      <c r="CCF13" s="48"/>
      <c r="CCG13" s="49"/>
      <c r="CCH13" s="49"/>
      <c r="CCI13" s="49">
        <v>100</v>
      </c>
      <c r="CCJ13" s="49"/>
      <c r="CCK13" s="49">
        <v>199</v>
      </c>
      <c r="CCL13" s="67">
        <f t="shared" si="647"/>
        <v>299</v>
      </c>
      <c r="CCM13" s="68">
        <f t="shared" si="648"/>
        <v>49.833333333333336</v>
      </c>
      <c r="CCN13" s="48"/>
      <c r="CCO13" s="49"/>
      <c r="CCP13" s="49"/>
      <c r="CCQ13" s="49"/>
      <c r="CCR13" s="49"/>
      <c r="CCS13" s="49"/>
      <c r="CCT13" s="67">
        <f t="shared" si="649"/>
        <v>0</v>
      </c>
      <c r="CCU13" s="68">
        <f t="shared" si="650"/>
        <v>0</v>
      </c>
      <c r="CCV13" s="48">
        <v>210</v>
      </c>
      <c r="CCW13" s="49"/>
      <c r="CCX13" s="49"/>
      <c r="CCY13" s="49"/>
      <c r="CCZ13" s="49"/>
      <c r="CDA13" s="49"/>
      <c r="CDB13" s="67">
        <f t="shared" si="651"/>
        <v>210</v>
      </c>
      <c r="CDC13" s="68">
        <f t="shared" si="652"/>
        <v>35</v>
      </c>
      <c r="CDD13" s="48"/>
      <c r="CDE13" s="49"/>
      <c r="CDF13" s="49"/>
      <c r="CDG13" s="49"/>
      <c r="CDH13" s="49">
        <v>433</v>
      </c>
      <c r="CDI13" s="49"/>
      <c r="CDJ13" s="67">
        <f t="shared" si="653"/>
        <v>433</v>
      </c>
      <c r="CDK13" s="68">
        <f t="shared" si="654"/>
        <v>72.166666666666671</v>
      </c>
      <c r="CDL13" s="48"/>
      <c r="CDM13" s="49"/>
      <c r="CDN13" s="49">
        <v>399</v>
      </c>
      <c r="CDO13" s="49">
        <v>200</v>
      </c>
      <c r="CDP13" s="49">
        <v>398</v>
      </c>
      <c r="CDQ13" s="49"/>
      <c r="CDR13" s="67">
        <f t="shared" si="655"/>
        <v>997</v>
      </c>
      <c r="CDS13" s="68">
        <f t="shared" si="656"/>
        <v>166.16666666666666</v>
      </c>
      <c r="CDT13" s="48"/>
      <c r="CDU13" s="49">
        <v>198</v>
      </c>
      <c r="CDV13" s="49">
        <v>500</v>
      </c>
      <c r="CDW13" s="49"/>
      <c r="CDX13" s="49"/>
      <c r="CDY13" s="49">
        <v>161</v>
      </c>
      <c r="CDZ13" s="67">
        <f t="shared" si="657"/>
        <v>859</v>
      </c>
      <c r="CEA13" s="68">
        <f t="shared" si="658"/>
        <v>143.16666666666666</v>
      </c>
      <c r="CEB13" s="48"/>
      <c r="CEC13" s="49"/>
      <c r="CED13" s="49">
        <v>400</v>
      </c>
      <c r="CEE13" s="49"/>
      <c r="CEF13" s="49"/>
      <c r="CEG13" s="49">
        <v>219</v>
      </c>
      <c r="CEH13" s="67">
        <f t="shared" si="659"/>
        <v>619</v>
      </c>
      <c r="CEI13" s="68">
        <f t="shared" si="660"/>
        <v>103.16666666666667</v>
      </c>
      <c r="CEJ13" s="48"/>
      <c r="CEK13" s="49">
        <v>399</v>
      </c>
      <c r="CEL13" s="49">
        <v>523</v>
      </c>
      <c r="CEM13" s="49"/>
      <c r="CEN13" s="49"/>
      <c r="CEO13" s="49"/>
      <c r="CEP13" s="67">
        <f t="shared" si="661"/>
        <v>922</v>
      </c>
      <c r="CEQ13" s="68">
        <f t="shared" si="662"/>
        <v>153.66666666666666</v>
      </c>
      <c r="CER13" s="48"/>
      <c r="CES13" s="49">
        <v>602</v>
      </c>
      <c r="CET13" s="49"/>
      <c r="CEU13" s="49"/>
      <c r="CEV13" s="49"/>
      <c r="CEW13" s="49">
        <v>700</v>
      </c>
      <c r="CEX13" s="67">
        <f t="shared" si="663"/>
        <v>1302</v>
      </c>
      <c r="CEY13" s="68">
        <f t="shared" si="664"/>
        <v>217</v>
      </c>
      <c r="CEZ13" s="48"/>
      <c r="CFA13" s="49">
        <v>468</v>
      </c>
      <c r="CFB13" s="49"/>
      <c r="CFC13" s="49"/>
      <c r="CFD13" s="49"/>
      <c r="CFE13" s="49">
        <v>617</v>
      </c>
      <c r="CFF13" s="67">
        <f t="shared" si="665"/>
        <v>1085</v>
      </c>
      <c r="CFG13" s="68">
        <f t="shared" si="666"/>
        <v>180.83333333333334</v>
      </c>
      <c r="CFH13" s="48"/>
      <c r="CFI13" s="49"/>
      <c r="CFJ13" s="49"/>
      <c r="CFK13" s="49">
        <v>417</v>
      </c>
      <c r="CFL13" s="49"/>
      <c r="CFM13" s="49">
        <v>384</v>
      </c>
      <c r="CFN13" s="67">
        <f t="shared" si="667"/>
        <v>801</v>
      </c>
      <c r="CFO13" s="68">
        <f t="shared" si="668"/>
        <v>133.5</v>
      </c>
      <c r="CFP13" s="48"/>
      <c r="CFQ13" s="49"/>
      <c r="CFR13" s="49"/>
      <c r="CFS13" s="49"/>
      <c r="CFT13" s="49">
        <v>8</v>
      </c>
      <c r="CFU13" s="49">
        <v>1100</v>
      </c>
      <c r="CFV13" s="67">
        <f t="shared" si="669"/>
        <v>1108</v>
      </c>
      <c r="CFW13" s="68">
        <f t="shared" si="670"/>
        <v>184.66666666666666</v>
      </c>
      <c r="CFX13" s="48"/>
      <c r="CFY13" s="49"/>
      <c r="CFZ13" s="49">
        <v>864</v>
      </c>
      <c r="CGA13" s="49"/>
      <c r="CGB13" s="49"/>
      <c r="CGC13" s="49">
        <v>450</v>
      </c>
      <c r="CGD13" s="67">
        <f t="shared" si="671"/>
        <v>1314</v>
      </c>
      <c r="CGE13" s="68">
        <f t="shared" si="672"/>
        <v>219</v>
      </c>
      <c r="CGF13" s="48"/>
      <c r="CGG13" s="49"/>
      <c r="CGH13" s="49"/>
      <c r="CGI13" s="49">
        <v>1172</v>
      </c>
      <c r="CGJ13" s="49">
        <v>127</v>
      </c>
      <c r="CGK13" s="49"/>
      <c r="CGL13" s="67">
        <f t="shared" si="673"/>
        <v>1299</v>
      </c>
      <c r="CGM13" s="68">
        <f t="shared" si="674"/>
        <v>216.5</v>
      </c>
      <c r="CGN13" s="63">
        <v>901</v>
      </c>
      <c r="CGO13" s="64"/>
      <c r="CGP13" s="64"/>
      <c r="CGQ13" s="64"/>
      <c r="CGR13" s="64"/>
      <c r="CGS13" s="64"/>
      <c r="CGT13" s="67">
        <f t="shared" si="675"/>
        <v>901</v>
      </c>
      <c r="CGU13" s="68">
        <f t="shared" si="676"/>
        <v>150.16666666666666</v>
      </c>
      <c r="CGV13" s="48"/>
      <c r="CGW13" s="49">
        <v>225</v>
      </c>
      <c r="CGX13" s="49"/>
      <c r="CGY13" s="49">
        <v>419</v>
      </c>
      <c r="CGZ13" s="49">
        <v>435</v>
      </c>
      <c r="CHA13" s="49"/>
      <c r="CHB13" s="67">
        <f t="shared" si="677"/>
        <v>1079</v>
      </c>
      <c r="CHC13" s="68">
        <f t="shared" si="678"/>
        <v>179.83333333333334</v>
      </c>
      <c r="CHD13" s="48"/>
      <c r="CHE13" s="49">
        <v>440</v>
      </c>
      <c r="CHF13" s="49"/>
      <c r="CHG13" s="49">
        <v>220</v>
      </c>
      <c r="CHH13" s="49"/>
      <c r="CHI13" s="49">
        <v>1160</v>
      </c>
      <c r="CHJ13" s="67">
        <f t="shared" si="679"/>
        <v>1820</v>
      </c>
      <c r="CHK13" s="68">
        <f t="shared" si="680"/>
        <v>303.33333333333331</v>
      </c>
      <c r="CHL13" s="63"/>
      <c r="CHM13" s="64"/>
      <c r="CHN13" s="64"/>
      <c r="CHO13" s="64"/>
      <c r="CHP13" s="64"/>
      <c r="CHQ13" s="64">
        <v>400</v>
      </c>
      <c r="CHR13" s="67">
        <f t="shared" si="681"/>
        <v>400</v>
      </c>
      <c r="CHS13" s="68">
        <f t="shared" si="682"/>
        <v>66.666666666666671</v>
      </c>
      <c r="CHT13" s="48">
        <v>400</v>
      </c>
      <c r="CHU13" s="49"/>
      <c r="CHV13" s="49"/>
      <c r="CHW13" s="49"/>
      <c r="CHX13" s="49">
        <v>440</v>
      </c>
      <c r="CHY13" s="49">
        <v>869</v>
      </c>
      <c r="CHZ13" s="67">
        <f t="shared" si="683"/>
        <v>1709</v>
      </c>
      <c r="CIA13" s="68">
        <f t="shared" si="684"/>
        <v>284.83333333333331</v>
      </c>
      <c r="CIB13" s="63">
        <v>440</v>
      </c>
      <c r="CIC13" s="64"/>
      <c r="CID13" s="64">
        <v>220</v>
      </c>
      <c r="CIE13" s="64"/>
      <c r="CIF13" s="64">
        <v>439</v>
      </c>
      <c r="CIG13" s="64"/>
      <c r="CIH13" s="67">
        <f t="shared" si="685"/>
        <v>1099</v>
      </c>
      <c r="CII13" s="68">
        <f t="shared" si="686"/>
        <v>183.16666666666666</v>
      </c>
      <c r="CIJ13" s="63"/>
      <c r="CIK13" s="64">
        <v>439</v>
      </c>
      <c r="CIL13" s="64"/>
      <c r="CIM13" s="64"/>
      <c r="CIN13" s="64"/>
      <c r="CIO13" s="64"/>
      <c r="CIP13" s="67">
        <f t="shared" si="687"/>
        <v>439</v>
      </c>
      <c r="CIQ13" s="68">
        <f t="shared" si="688"/>
        <v>73.166666666666671</v>
      </c>
      <c r="CIR13" s="48"/>
      <c r="CIS13" s="49"/>
      <c r="CIT13" s="49">
        <v>435</v>
      </c>
      <c r="CIU13" s="49">
        <v>417</v>
      </c>
      <c r="CIV13" s="49">
        <v>437</v>
      </c>
      <c r="CIW13" s="49"/>
      <c r="CIX13" s="67">
        <f t="shared" si="689"/>
        <v>1289</v>
      </c>
      <c r="CIY13" s="68">
        <f t="shared" si="690"/>
        <v>214.83333333333334</v>
      </c>
      <c r="CIZ13" s="48">
        <v>220</v>
      </c>
      <c r="CJA13" s="49"/>
      <c r="CJB13" s="49">
        <v>952</v>
      </c>
      <c r="CJC13" s="49"/>
      <c r="CJD13" s="49">
        <v>886</v>
      </c>
      <c r="CJE13" s="49"/>
      <c r="CJF13" s="67">
        <f t="shared" si="691"/>
        <v>2058</v>
      </c>
      <c r="CJG13" s="68">
        <f t="shared" si="1200"/>
        <v>343</v>
      </c>
      <c r="CJH13" s="48">
        <v>220</v>
      </c>
      <c r="CJI13" s="49"/>
      <c r="CJJ13" s="49"/>
      <c r="CJK13" s="49"/>
      <c r="CJL13" s="49">
        <v>552</v>
      </c>
      <c r="CJM13" s="49">
        <v>629</v>
      </c>
      <c r="CJN13" s="67">
        <f t="shared" si="692"/>
        <v>1401</v>
      </c>
      <c r="CJO13" s="68">
        <f t="shared" si="693"/>
        <v>233.5</v>
      </c>
      <c r="CJP13" s="48"/>
      <c r="CJQ13" s="49"/>
      <c r="CJR13" s="49"/>
      <c r="CJS13" s="49"/>
      <c r="CJT13" s="49"/>
      <c r="CJU13" s="49"/>
      <c r="CJV13" s="67">
        <f t="shared" si="694"/>
        <v>0</v>
      </c>
      <c r="CJW13" s="68">
        <f t="shared" si="695"/>
        <v>0</v>
      </c>
      <c r="CJX13" s="48"/>
      <c r="CJY13" s="49">
        <v>440</v>
      </c>
      <c r="CJZ13" s="49"/>
      <c r="CKA13" s="49">
        <v>329</v>
      </c>
      <c r="CKB13" s="49">
        <v>220</v>
      </c>
      <c r="CKC13" s="49"/>
      <c r="CKD13" s="67">
        <f t="shared" si="696"/>
        <v>989</v>
      </c>
      <c r="CKE13" s="68">
        <f t="shared" si="697"/>
        <v>164.83333333333334</v>
      </c>
      <c r="CKF13" s="63">
        <v>1279</v>
      </c>
      <c r="CKG13" s="64"/>
      <c r="CKH13" s="64"/>
      <c r="CKI13" s="64">
        <v>972</v>
      </c>
      <c r="CKJ13" s="64"/>
      <c r="CKK13" s="64">
        <v>439</v>
      </c>
      <c r="CKL13" s="67">
        <f t="shared" si="698"/>
        <v>2690</v>
      </c>
      <c r="CKM13" s="68">
        <f t="shared" si="699"/>
        <v>448.33333333333331</v>
      </c>
      <c r="CKN13" s="48"/>
      <c r="CKO13" s="49"/>
      <c r="CKP13" s="49"/>
      <c r="CKQ13" s="49"/>
      <c r="CKR13" s="49">
        <v>219</v>
      </c>
      <c r="CKS13" s="47"/>
      <c r="CKT13" s="67">
        <f t="shared" si="700"/>
        <v>219</v>
      </c>
      <c r="CKU13" s="68">
        <f t="shared" si="701"/>
        <v>36.5</v>
      </c>
      <c r="CKV13" s="48"/>
      <c r="CKW13" s="49"/>
      <c r="CKX13" s="49">
        <v>330</v>
      </c>
      <c r="CKY13" s="49"/>
      <c r="CKZ13" s="49"/>
      <c r="CLA13" s="49">
        <v>332</v>
      </c>
      <c r="CLB13" s="67">
        <f t="shared" si="702"/>
        <v>662</v>
      </c>
      <c r="CLC13" s="68">
        <f t="shared" si="703"/>
        <v>110.33333333333333</v>
      </c>
      <c r="CLD13" s="48"/>
      <c r="CLE13" s="49"/>
      <c r="CLF13" s="49"/>
      <c r="CLG13" s="49">
        <v>678</v>
      </c>
      <c r="CLH13" s="49"/>
      <c r="CLI13" s="49">
        <v>534</v>
      </c>
      <c r="CLJ13" s="67">
        <f t="shared" si="704"/>
        <v>1212</v>
      </c>
      <c r="CLK13" s="68">
        <f t="shared" si="705"/>
        <v>202</v>
      </c>
      <c r="CLL13" s="48"/>
      <c r="CLM13" s="49"/>
      <c r="CLN13" s="49"/>
      <c r="CLO13" s="49"/>
      <c r="CLP13" s="49"/>
      <c r="CLQ13" s="49">
        <v>461</v>
      </c>
      <c r="CLR13" s="67">
        <f t="shared" si="706"/>
        <v>461</v>
      </c>
      <c r="CLS13" s="68">
        <f t="shared" si="707"/>
        <v>76.833333333333329</v>
      </c>
      <c r="CLT13" s="63"/>
      <c r="CLU13" s="64"/>
      <c r="CLV13" s="64">
        <v>437</v>
      </c>
      <c r="CLW13" s="64"/>
      <c r="CLX13" s="64"/>
      <c r="CLY13" s="64">
        <v>440</v>
      </c>
      <c r="CLZ13" s="67">
        <f t="shared" si="708"/>
        <v>877</v>
      </c>
      <c r="CMA13" s="68">
        <f t="shared" si="709"/>
        <v>146.16666666666666</v>
      </c>
      <c r="CMB13" s="48"/>
      <c r="CMC13" s="49">
        <v>451</v>
      </c>
      <c r="CMD13" s="49"/>
      <c r="CME13" s="49"/>
      <c r="CMF13" s="49">
        <v>660</v>
      </c>
      <c r="CMG13" s="49"/>
      <c r="CMH13" s="67">
        <f t="shared" si="710"/>
        <v>1111</v>
      </c>
      <c r="CMI13" s="68">
        <f t="shared" si="711"/>
        <v>185.16666666666666</v>
      </c>
      <c r="CMJ13" s="48"/>
      <c r="CMK13" s="49">
        <v>330</v>
      </c>
      <c r="CML13" s="49">
        <v>343</v>
      </c>
      <c r="CMM13" s="49"/>
      <c r="CMN13" s="49"/>
      <c r="CMO13" s="49"/>
      <c r="CMP13" s="67">
        <f t="shared" si="712"/>
        <v>673</v>
      </c>
      <c r="CMQ13" s="68">
        <f t="shared" si="713"/>
        <v>112.16666666666667</v>
      </c>
      <c r="CMR13" s="48"/>
      <c r="CMS13" s="49">
        <v>439</v>
      </c>
      <c r="CMT13" s="49">
        <v>329</v>
      </c>
      <c r="CMU13" s="49"/>
      <c r="CMV13" s="49"/>
      <c r="CMW13" s="49">
        <v>648</v>
      </c>
      <c r="CMX13" s="67">
        <f t="shared" si="714"/>
        <v>1416</v>
      </c>
      <c r="CMY13" s="68">
        <f t="shared" si="715"/>
        <v>236</v>
      </c>
      <c r="CMZ13" s="63"/>
      <c r="CNA13" s="64"/>
      <c r="CNB13" s="64">
        <v>660</v>
      </c>
      <c r="CNC13" s="64"/>
      <c r="CND13" s="64"/>
      <c r="CNE13" s="64">
        <v>926</v>
      </c>
      <c r="CNF13" s="67">
        <f t="shared" si="716"/>
        <v>1586</v>
      </c>
      <c r="CNG13" s="68">
        <f t="shared" si="717"/>
        <v>264.33333333333331</v>
      </c>
      <c r="CNH13" s="48"/>
      <c r="CNI13" s="49">
        <v>220</v>
      </c>
      <c r="CNJ13" s="49">
        <v>112</v>
      </c>
      <c r="CNK13" s="49"/>
      <c r="CNL13" s="49"/>
      <c r="CNM13" s="49">
        <v>881</v>
      </c>
      <c r="CNN13" s="67">
        <f t="shared" si="718"/>
        <v>1213</v>
      </c>
      <c r="CNO13" s="68">
        <f t="shared" si="719"/>
        <v>202.16666666666666</v>
      </c>
      <c r="CNP13" s="63"/>
      <c r="CNQ13" s="64">
        <v>219</v>
      </c>
      <c r="CNR13" s="64"/>
      <c r="CNS13" s="64"/>
      <c r="CNT13" s="64">
        <v>878</v>
      </c>
      <c r="CNU13" s="64"/>
      <c r="CNV13" s="67">
        <f t="shared" si="720"/>
        <v>1097</v>
      </c>
      <c r="CNW13" s="68">
        <f t="shared" si="721"/>
        <v>182.83333333333334</v>
      </c>
      <c r="CNX13" s="48"/>
      <c r="CNY13" s="49"/>
      <c r="CNZ13" s="49"/>
      <c r="COA13" s="49">
        <v>440</v>
      </c>
      <c r="COB13" s="49"/>
      <c r="COC13" s="49">
        <v>220</v>
      </c>
      <c r="COD13" s="67">
        <f t="shared" si="722"/>
        <v>660</v>
      </c>
      <c r="COE13" s="68">
        <f t="shared" si="723"/>
        <v>110</v>
      </c>
      <c r="COF13" s="48"/>
      <c r="COG13" s="49"/>
      <c r="COH13" s="49"/>
      <c r="COI13" s="49">
        <v>220</v>
      </c>
      <c r="COJ13" s="49">
        <v>223</v>
      </c>
      <c r="COK13" s="49">
        <v>441</v>
      </c>
      <c r="COL13" s="67">
        <f t="shared" si="724"/>
        <v>884</v>
      </c>
      <c r="COM13" s="68">
        <f t="shared" si="725"/>
        <v>147.33333333333334</v>
      </c>
      <c r="CON13" s="48"/>
      <c r="COO13" s="49"/>
      <c r="COP13" s="49">
        <v>885</v>
      </c>
      <c r="COQ13" s="49"/>
      <c r="COR13" s="49"/>
      <c r="COS13" s="49"/>
      <c r="COT13" s="67">
        <f t="shared" si="726"/>
        <v>885</v>
      </c>
      <c r="COU13" s="68">
        <f t="shared" si="727"/>
        <v>147.5</v>
      </c>
      <c r="COV13" s="48">
        <v>775</v>
      </c>
      <c r="COW13" s="49"/>
      <c r="COX13" s="49">
        <v>217</v>
      </c>
      <c r="COY13" s="49"/>
      <c r="COZ13" s="49"/>
      <c r="CPA13" s="49">
        <v>0</v>
      </c>
      <c r="CPB13" s="67">
        <f t="shared" si="728"/>
        <v>992</v>
      </c>
      <c r="CPC13" s="68">
        <f t="shared" si="729"/>
        <v>165.33333333333334</v>
      </c>
      <c r="CPD13" s="48">
        <v>0</v>
      </c>
      <c r="CPE13" s="49">
        <v>0</v>
      </c>
      <c r="CPF13" s="49">
        <v>636</v>
      </c>
      <c r="CPG13" s="49">
        <v>0</v>
      </c>
      <c r="CPH13" s="49">
        <v>0</v>
      </c>
      <c r="CPI13" s="49">
        <v>0</v>
      </c>
      <c r="CPJ13" s="67">
        <f t="shared" si="730"/>
        <v>636</v>
      </c>
      <c r="CPK13" s="68">
        <f t="shared" si="731"/>
        <v>106</v>
      </c>
      <c r="CPL13" s="48"/>
      <c r="CPM13" s="49">
        <v>797</v>
      </c>
      <c r="CPN13" s="49">
        <v>0</v>
      </c>
      <c r="CPO13" s="49">
        <v>0</v>
      </c>
      <c r="CPP13" s="49">
        <v>0</v>
      </c>
      <c r="CPQ13" s="49">
        <v>220</v>
      </c>
      <c r="CPR13" s="67">
        <f t="shared" si="732"/>
        <v>1017</v>
      </c>
      <c r="CPS13" s="68">
        <f t="shared" si="733"/>
        <v>169.5</v>
      </c>
      <c r="CPT13" s="63">
        <v>0</v>
      </c>
      <c r="CPU13" s="64">
        <v>880</v>
      </c>
      <c r="CPV13" s="64">
        <v>0</v>
      </c>
      <c r="CPW13" s="64">
        <v>220</v>
      </c>
      <c r="CPX13" s="64">
        <v>0</v>
      </c>
      <c r="CPY13" s="64">
        <v>0</v>
      </c>
      <c r="CPZ13" s="67">
        <f t="shared" si="734"/>
        <v>1100</v>
      </c>
      <c r="CQA13" s="68">
        <f t="shared" si="735"/>
        <v>183.33333333333334</v>
      </c>
      <c r="CQB13" s="48">
        <v>0</v>
      </c>
      <c r="CQC13" s="49">
        <v>220</v>
      </c>
      <c r="CQD13" s="49">
        <v>330</v>
      </c>
      <c r="CQE13" s="49">
        <v>440</v>
      </c>
      <c r="CQF13" s="49">
        <v>0</v>
      </c>
      <c r="CQG13" s="49">
        <v>433</v>
      </c>
      <c r="CQH13" s="67">
        <f t="shared" si="736"/>
        <v>1423</v>
      </c>
      <c r="CQI13" s="68">
        <f t="shared" si="737"/>
        <v>237.16666666666666</v>
      </c>
      <c r="CQJ13" s="82">
        <v>0</v>
      </c>
      <c r="CQK13" s="83">
        <v>441</v>
      </c>
      <c r="CQL13" s="83">
        <v>0</v>
      </c>
      <c r="CQM13" s="83">
        <v>0</v>
      </c>
      <c r="CQN13" s="83">
        <v>0</v>
      </c>
      <c r="CQO13" s="83"/>
      <c r="CQP13" s="67">
        <f t="shared" si="738"/>
        <v>441</v>
      </c>
      <c r="CQQ13" s="68">
        <f t="shared" si="739"/>
        <v>73.5</v>
      </c>
      <c r="CQR13" s="48"/>
      <c r="CQS13" s="49">
        <v>675</v>
      </c>
      <c r="CQT13" s="49">
        <v>0</v>
      </c>
      <c r="CQU13" s="49">
        <v>250</v>
      </c>
      <c r="CQV13" s="49">
        <v>0</v>
      </c>
      <c r="CQW13" s="49">
        <v>218</v>
      </c>
      <c r="CQX13" s="67">
        <f t="shared" si="740"/>
        <v>1143</v>
      </c>
      <c r="CQY13" s="68">
        <f t="shared" si="741"/>
        <v>190.5</v>
      </c>
      <c r="CQZ13" s="48">
        <v>0</v>
      </c>
      <c r="CRA13" s="49"/>
      <c r="CRB13" s="49">
        <v>0</v>
      </c>
      <c r="CRC13" s="49"/>
      <c r="CRD13" s="49">
        <v>220</v>
      </c>
      <c r="CRE13" s="49">
        <v>1129</v>
      </c>
      <c r="CRF13" s="67">
        <f t="shared" si="742"/>
        <v>1349</v>
      </c>
      <c r="CRG13" s="68">
        <f t="shared" si="743"/>
        <v>224.83333333333334</v>
      </c>
      <c r="CRH13" s="48">
        <v>0</v>
      </c>
      <c r="CRI13" s="49">
        <v>0</v>
      </c>
      <c r="CRJ13" s="49">
        <v>437</v>
      </c>
      <c r="CRK13" s="49">
        <v>457</v>
      </c>
      <c r="CRL13" s="49">
        <v>0</v>
      </c>
      <c r="CRM13" s="49">
        <v>0</v>
      </c>
      <c r="CRN13" s="67">
        <f t="shared" si="744"/>
        <v>894</v>
      </c>
      <c r="CRO13" s="68">
        <f t="shared" si="745"/>
        <v>149</v>
      </c>
      <c r="CRP13" s="48">
        <v>0</v>
      </c>
      <c r="CRQ13" s="49">
        <v>0</v>
      </c>
      <c r="CRR13" s="49">
        <v>0</v>
      </c>
      <c r="CRS13" s="49">
        <v>0</v>
      </c>
      <c r="CRT13" s="49">
        <v>0</v>
      </c>
      <c r="CRU13" s="49">
        <v>0</v>
      </c>
      <c r="CRV13" s="47">
        <f t="shared" si="746"/>
        <v>0</v>
      </c>
      <c r="CRW13" s="68">
        <f t="shared" si="747"/>
        <v>0</v>
      </c>
      <c r="CRX13" s="63">
        <v>660</v>
      </c>
      <c r="CRY13" s="64">
        <v>0</v>
      </c>
      <c r="CRZ13" s="64">
        <v>220</v>
      </c>
      <c r="CSA13" s="64">
        <v>0</v>
      </c>
      <c r="CSB13" s="64">
        <v>0</v>
      </c>
      <c r="CSC13" s="64">
        <v>0</v>
      </c>
      <c r="CSD13" s="67">
        <f t="shared" si="748"/>
        <v>880</v>
      </c>
      <c r="CSE13" s="68">
        <f t="shared" si="749"/>
        <v>146.66666666666666</v>
      </c>
      <c r="CSF13" s="48">
        <v>690</v>
      </c>
      <c r="CSG13" s="49">
        <v>0</v>
      </c>
      <c r="CSH13" s="49">
        <v>0</v>
      </c>
      <c r="CSI13" s="49">
        <v>0</v>
      </c>
      <c r="CSJ13" s="49">
        <v>0</v>
      </c>
      <c r="CSK13" s="49">
        <v>400</v>
      </c>
      <c r="CSL13" s="64">
        <f t="shared" si="750"/>
        <v>1090</v>
      </c>
      <c r="CSM13" s="68">
        <f t="shared" si="751"/>
        <v>181.66666666666666</v>
      </c>
      <c r="CSN13" s="48">
        <v>543</v>
      </c>
      <c r="CSO13" s="49">
        <v>0</v>
      </c>
      <c r="CSP13" s="49">
        <v>0</v>
      </c>
      <c r="CSQ13" s="49">
        <v>0</v>
      </c>
      <c r="CSR13" s="49">
        <v>0</v>
      </c>
      <c r="CSS13" s="49">
        <v>880</v>
      </c>
      <c r="CST13" s="64">
        <f t="shared" si="752"/>
        <v>1423</v>
      </c>
      <c r="CSU13" s="68">
        <f t="shared" si="753"/>
        <v>237.16666666666666</v>
      </c>
      <c r="CSV13" s="48">
        <v>0</v>
      </c>
      <c r="CSW13" s="49">
        <v>0</v>
      </c>
      <c r="CSX13" s="49">
        <v>219</v>
      </c>
      <c r="CSY13" s="49">
        <v>0</v>
      </c>
      <c r="CSZ13" s="49"/>
      <c r="CTA13" s="49">
        <v>0</v>
      </c>
      <c r="CTB13" s="64">
        <f t="shared" si="754"/>
        <v>219</v>
      </c>
      <c r="CTC13" s="68">
        <f t="shared" si="755"/>
        <v>36.5</v>
      </c>
      <c r="CTD13" s="48">
        <v>0</v>
      </c>
      <c r="CTE13" s="49">
        <v>0</v>
      </c>
      <c r="CTF13" s="49">
        <v>0</v>
      </c>
      <c r="CTG13" s="49">
        <v>1000</v>
      </c>
      <c r="CTH13" s="49">
        <v>0</v>
      </c>
      <c r="CTI13" s="49"/>
      <c r="CTJ13" s="64">
        <f t="shared" si="756"/>
        <v>1000</v>
      </c>
      <c r="CTK13" s="68">
        <f t="shared" si="757"/>
        <v>166.66666666666666</v>
      </c>
      <c r="CTL13" s="48">
        <v>0</v>
      </c>
      <c r="CTM13" s="49">
        <v>0</v>
      </c>
      <c r="CTN13" s="49">
        <v>0</v>
      </c>
      <c r="CTO13" s="49">
        <v>441</v>
      </c>
      <c r="CTP13" s="49">
        <v>0</v>
      </c>
      <c r="CTQ13" s="49"/>
      <c r="CTR13" s="64">
        <f t="shared" si="758"/>
        <v>441</v>
      </c>
      <c r="CTS13" s="68">
        <f t="shared" si="759"/>
        <v>73.5</v>
      </c>
      <c r="CTT13" s="48">
        <v>221</v>
      </c>
      <c r="CTU13" s="49">
        <v>0</v>
      </c>
      <c r="CTV13" s="49">
        <v>330</v>
      </c>
      <c r="CTW13" s="49">
        <v>200</v>
      </c>
      <c r="CTX13" s="49">
        <v>219</v>
      </c>
      <c r="CTY13" s="49">
        <v>219</v>
      </c>
      <c r="CTZ13" s="64">
        <f t="shared" si="760"/>
        <v>1189</v>
      </c>
      <c r="CUA13" s="68">
        <f t="shared" si="761"/>
        <v>198.16666666666666</v>
      </c>
      <c r="CUB13" s="48"/>
      <c r="CUC13" s="49">
        <v>0</v>
      </c>
      <c r="CUD13" s="49"/>
      <c r="CUE13" s="49">
        <v>440</v>
      </c>
      <c r="CUF13" s="49"/>
      <c r="CUG13" s="49"/>
      <c r="CUH13" s="64">
        <f t="shared" si="762"/>
        <v>440</v>
      </c>
      <c r="CUI13" s="68">
        <f t="shared" si="763"/>
        <v>73.333333333333329</v>
      </c>
      <c r="CUJ13" s="48">
        <v>0</v>
      </c>
      <c r="CUK13" s="49">
        <v>0</v>
      </c>
      <c r="CUL13" s="49">
        <v>220</v>
      </c>
      <c r="CUM13" s="49">
        <v>641</v>
      </c>
      <c r="CUN13" s="49">
        <v>330</v>
      </c>
      <c r="CUO13" s="49">
        <v>0</v>
      </c>
      <c r="CUP13" s="64">
        <f t="shared" si="764"/>
        <v>1191</v>
      </c>
      <c r="CUQ13" s="68">
        <f t="shared" si="765"/>
        <v>198.5</v>
      </c>
      <c r="CUR13" s="48">
        <v>220</v>
      </c>
      <c r="CUS13" s="49">
        <v>0</v>
      </c>
      <c r="CUT13" s="49"/>
      <c r="CUU13" s="49">
        <v>0</v>
      </c>
      <c r="CUV13" s="49">
        <v>329</v>
      </c>
      <c r="CUW13" s="49">
        <v>222</v>
      </c>
      <c r="CUX13" s="64">
        <f t="shared" si="766"/>
        <v>771</v>
      </c>
      <c r="CUY13" s="68">
        <f t="shared" si="767"/>
        <v>128.5</v>
      </c>
      <c r="CUZ13" s="48">
        <v>219</v>
      </c>
      <c r="CVA13" s="49">
        <v>0</v>
      </c>
      <c r="CVB13" s="49">
        <v>0</v>
      </c>
      <c r="CVC13" s="49">
        <v>219</v>
      </c>
      <c r="CVD13" s="49">
        <v>0</v>
      </c>
      <c r="CVE13" s="49">
        <v>0</v>
      </c>
      <c r="CVF13" s="64">
        <f t="shared" si="768"/>
        <v>438</v>
      </c>
      <c r="CVG13" s="68">
        <f t="shared" si="769"/>
        <v>73</v>
      </c>
      <c r="CVH13" s="48">
        <v>220</v>
      </c>
      <c r="CVI13" s="49">
        <v>0</v>
      </c>
      <c r="CVJ13" s="49">
        <v>0</v>
      </c>
      <c r="CVK13" s="49">
        <v>0</v>
      </c>
      <c r="CVL13" s="49">
        <v>578</v>
      </c>
      <c r="CVM13" s="49">
        <v>0</v>
      </c>
      <c r="CVN13" s="64">
        <f t="shared" si="770"/>
        <v>798</v>
      </c>
      <c r="CVO13" s="68">
        <f t="shared" si="771"/>
        <v>133</v>
      </c>
      <c r="CVP13" s="48"/>
      <c r="CVQ13" s="49">
        <v>608</v>
      </c>
      <c r="CVR13" s="49">
        <v>0</v>
      </c>
      <c r="CVS13" s="49">
        <v>0</v>
      </c>
      <c r="CVT13" s="49">
        <v>0</v>
      </c>
      <c r="CVU13" s="49">
        <v>0</v>
      </c>
      <c r="CVV13" s="64">
        <f t="shared" si="772"/>
        <v>608</v>
      </c>
      <c r="CVW13" s="68">
        <f t="shared" si="773"/>
        <v>101.33333333333333</v>
      </c>
      <c r="CVX13" s="48">
        <v>412</v>
      </c>
      <c r="CVY13" s="49">
        <v>441</v>
      </c>
      <c r="CVZ13" s="49">
        <v>0</v>
      </c>
      <c r="CWA13" s="49">
        <v>330</v>
      </c>
      <c r="CWB13" s="49">
        <v>328</v>
      </c>
      <c r="CWC13" s="49">
        <v>110</v>
      </c>
      <c r="CWD13" s="64">
        <f t="shared" si="774"/>
        <v>1621</v>
      </c>
      <c r="CWE13" s="68">
        <f t="shared" si="775"/>
        <v>270.16666666666669</v>
      </c>
      <c r="CWF13" s="48">
        <v>0</v>
      </c>
      <c r="CWG13" s="49">
        <v>0</v>
      </c>
      <c r="CWH13" s="49">
        <v>0</v>
      </c>
      <c r="CWI13" s="49">
        <v>332</v>
      </c>
      <c r="CWJ13" s="49">
        <v>0</v>
      </c>
      <c r="CWK13" s="49">
        <v>220</v>
      </c>
      <c r="CWL13" s="64">
        <f t="shared" si="776"/>
        <v>552</v>
      </c>
      <c r="CWM13" s="68">
        <f t="shared" si="777"/>
        <v>92</v>
      </c>
      <c r="CWN13" s="48">
        <v>0</v>
      </c>
      <c r="CWO13" s="49">
        <v>0</v>
      </c>
      <c r="CWP13" s="49">
        <v>800</v>
      </c>
      <c r="CWQ13" s="49">
        <v>0</v>
      </c>
      <c r="CWR13" s="49">
        <v>220</v>
      </c>
      <c r="CWS13" s="49">
        <v>220</v>
      </c>
      <c r="CWT13" s="64">
        <f t="shared" si="778"/>
        <v>1240</v>
      </c>
      <c r="CWU13" s="68">
        <f t="shared" si="779"/>
        <v>206.66666666666666</v>
      </c>
      <c r="CWV13" s="48">
        <v>0</v>
      </c>
      <c r="CWW13" s="49">
        <v>330</v>
      </c>
      <c r="CWX13" s="49">
        <v>0</v>
      </c>
      <c r="CWY13" s="49">
        <v>0</v>
      </c>
      <c r="CWZ13" s="49">
        <v>0</v>
      </c>
      <c r="CXA13" s="49">
        <v>0</v>
      </c>
      <c r="CXB13" s="127">
        <f t="shared" si="780"/>
        <v>330</v>
      </c>
      <c r="CXC13" s="43">
        <f t="shared" si="781"/>
        <v>55</v>
      </c>
      <c r="CXD13" s="48">
        <v>0</v>
      </c>
      <c r="CXE13" s="49">
        <v>0</v>
      </c>
      <c r="CXF13" s="49">
        <v>0</v>
      </c>
      <c r="CXG13" s="49">
        <v>210</v>
      </c>
      <c r="CXH13" s="49">
        <v>0</v>
      </c>
      <c r="CXI13" s="49">
        <v>0</v>
      </c>
      <c r="CXJ13" s="127">
        <f t="shared" si="782"/>
        <v>210</v>
      </c>
      <c r="CXK13" s="43">
        <f t="shared" si="783"/>
        <v>35</v>
      </c>
      <c r="CXL13" s="48">
        <v>330</v>
      </c>
      <c r="CXM13" s="49">
        <v>0</v>
      </c>
      <c r="CXN13" s="49">
        <v>440</v>
      </c>
      <c r="CXO13" s="49">
        <v>0</v>
      </c>
      <c r="CXP13" s="49">
        <v>0</v>
      </c>
      <c r="CXQ13" s="49">
        <v>217</v>
      </c>
      <c r="CXR13" s="127">
        <f t="shared" si="784"/>
        <v>987</v>
      </c>
      <c r="CXS13" s="43">
        <f t="shared" si="785"/>
        <v>164.5</v>
      </c>
      <c r="CXT13" s="48">
        <v>0</v>
      </c>
      <c r="CXU13" s="49">
        <v>0</v>
      </c>
      <c r="CXV13" s="49">
        <v>440</v>
      </c>
      <c r="CXW13" s="49">
        <v>0</v>
      </c>
      <c r="CXX13" s="49">
        <v>0</v>
      </c>
      <c r="CXY13" s="49">
        <v>324</v>
      </c>
      <c r="CXZ13" s="127">
        <f t="shared" si="786"/>
        <v>764</v>
      </c>
      <c r="CYA13" s="43">
        <f t="shared" si="787"/>
        <v>127.33333333333333</v>
      </c>
      <c r="CYB13" s="48">
        <v>0</v>
      </c>
      <c r="CYC13" s="49">
        <v>330</v>
      </c>
      <c r="CYD13" s="49">
        <v>0</v>
      </c>
      <c r="CYE13" s="49">
        <v>0</v>
      </c>
      <c r="CYF13" s="49">
        <v>0</v>
      </c>
      <c r="CYG13" s="49">
        <v>628</v>
      </c>
      <c r="CYH13" s="127">
        <f t="shared" si="788"/>
        <v>958</v>
      </c>
      <c r="CYI13" s="43">
        <f t="shared" si="789"/>
        <v>159.66666666666666</v>
      </c>
      <c r="CYJ13" s="48"/>
      <c r="CYK13" s="49">
        <v>0</v>
      </c>
      <c r="CYL13" s="49">
        <v>0</v>
      </c>
      <c r="CYM13" s="49">
        <v>0</v>
      </c>
      <c r="CYN13" s="49">
        <v>799</v>
      </c>
      <c r="CYO13" s="49">
        <v>0</v>
      </c>
      <c r="CYP13" s="127">
        <f t="shared" si="790"/>
        <v>799</v>
      </c>
      <c r="CYQ13" s="43">
        <f t="shared" si="791"/>
        <v>133.16666666666666</v>
      </c>
      <c r="CYR13" s="48">
        <v>0</v>
      </c>
      <c r="CYS13" s="49">
        <v>0</v>
      </c>
      <c r="CYT13" s="49">
        <v>0</v>
      </c>
      <c r="CYU13" s="49">
        <v>220</v>
      </c>
      <c r="CYV13" s="49">
        <v>0</v>
      </c>
      <c r="CYW13" s="49">
        <v>0</v>
      </c>
      <c r="CYX13" s="127">
        <f t="shared" si="792"/>
        <v>220</v>
      </c>
      <c r="CYY13" s="43">
        <f t="shared" si="793"/>
        <v>36.666666666666664</v>
      </c>
      <c r="CYZ13" s="48">
        <v>0</v>
      </c>
      <c r="CZA13" s="49">
        <v>440</v>
      </c>
      <c r="CZB13" s="49">
        <v>0</v>
      </c>
      <c r="CZC13" s="49">
        <v>644</v>
      </c>
      <c r="CZD13" s="49"/>
      <c r="CZE13" s="49">
        <v>0</v>
      </c>
      <c r="CZF13" s="127">
        <f t="shared" si="794"/>
        <v>1084</v>
      </c>
      <c r="CZG13" s="43">
        <f t="shared" si="795"/>
        <v>216.8</v>
      </c>
      <c r="CZH13" s="48">
        <v>0</v>
      </c>
      <c r="CZI13" s="49">
        <v>220</v>
      </c>
      <c r="CZJ13" s="49">
        <v>0</v>
      </c>
      <c r="CZK13" s="49">
        <v>440</v>
      </c>
      <c r="CZL13" s="49">
        <v>0</v>
      </c>
      <c r="CZM13" s="49">
        <v>220</v>
      </c>
      <c r="CZN13" s="127">
        <f t="shared" si="796"/>
        <v>880</v>
      </c>
      <c r="CZO13" s="43">
        <f t="shared" si="797"/>
        <v>146.66666666666666</v>
      </c>
      <c r="CZP13" s="48">
        <v>0</v>
      </c>
      <c r="CZQ13" s="49"/>
      <c r="CZR13" s="49"/>
      <c r="CZS13" s="49">
        <v>0</v>
      </c>
      <c r="CZT13" s="49">
        <v>440</v>
      </c>
      <c r="CZU13" s="49">
        <v>0</v>
      </c>
      <c r="CZV13" s="127">
        <f t="shared" si="798"/>
        <v>440</v>
      </c>
      <c r="CZW13" s="43">
        <f t="shared" si="799"/>
        <v>73.333333333333329</v>
      </c>
      <c r="CZX13" s="48">
        <v>657</v>
      </c>
      <c r="CZY13" s="49">
        <v>0</v>
      </c>
      <c r="CZZ13" s="49">
        <v>0</v>
      </c>
      <c r="DAA13" s="49">
        <v>330</v>
      </c>
      <c r="DAB13" s="49">
        <v>220</v>
      </c>
      <c r="DAC13" s="49">
        <v>0</v>
      </c>
      <c r="DAD13" s="64">
        <f t="shared" si="800"/>
        <v>1207</v>
      </c>
      <c r="DAE13" s="68">
        <f t="shared" si="801"/>
        <v>201.16666666666666</v>
      </c>
      <c r="DAF13" s="48">
        <v>0</v>
      </c>
      <c r="DAG13" s="49">
        <v>0</v>
      </c>
      <c r="DAH13" s="49">
        <v>440</v>
      </c>
      <c r="DAI13" s="49">
        <v>0</v>
      </c>
      <c r="DAJ13" s="49">
        <v>0</v>
      </c>
      <c r="DAK13" s="49">
        <v>4</v>
      </c>
      <c r="DAL13" s="64">
        <f t="shared" si="802"/>
        <v>444</v>
      </c>
      <c r="DAM13" s="68">
        <f t="shared" si="803"/>
        <v>74</v>
      </c>
      <c r="DAN13" s="48">
        <v>220</v>
      </c>
      <c r="DAO13" s="49">
        <v>0</v>
      </c>
      <c r="DAP13" s="49">
        <v>0</v>
      </c>
      <c r="DAQ13" s="49">
        <v>212</v>
      </c>
      <c r="DAR13" s="49">
        <v>0</v>
      </c>
      <c r="DAS13" s="49"/>
      <c r="DAT13" s="64">
        <f t="shared" si="804"/>
        <v>432</v>
      </c>
      <c r="DAU13" s="68">
        <f t="shared" si="805"/>
        <v>72</v>
      </c>
      <c r="DAV13" s="48">
        <v>0</v>
      </c>
      <c r="DAW13" s="49">
        <v>660</v>
      </c>
      <c r="DAX13" s="49">
        <v>0</v>
      </c>
      <c r="DAY13" s="49">
        <v>0</v>
      </c>
      <c r="DAZ13" s="49">
        <v>0</v>
      </c>
      <c r="DBA13" s="49">
        <v>220</v>
      </c>
      <c r="DBB13" s="64">
        <f t="shared" si="806"/>
        <v>880</v>
      </c>
      <c r="DBC13" s="68">
        <f t="shared" si="807"/>
        <v>146.66666666666666</v>
      </c>
      <c r="DBD13" s="48">
        <v>0</v>
      </c>
      <c r="DBE13" s="49">
        <v>0</v>
      </c>
      <c r="DBF13" s="49">
        <v>661</v>
      </c>
      <c r="DBG13" s="49">
        <v>0</v>
      </c>
      <c r="DBH13" s="49">
        <v>220</v>
      </c>
      <c r="DBI13" s="49">
        <v>0</v>
      </c>
      <c r="DBJ13" s="64">
        <f t="shared" si="808"/>
        <v>881</v>
      </c>
      <c r="DBK13" s="68">
        <f t="shared" si="809"/>
        <v>146.83333333333334</v>
      </c>
      <c r="DBL13" s="48">
        <v>0</v>
      </c>
      <c r="DBM13" s="49"/>
      <c r="DBN13" s="49">
        <v>0</v>
      </c>
      <c r="DBO13" s="49">
        <v>0</v>
      </c>
      <c r="DBP13" s="49">
        <v>418</v>
      </c>
      <c r="DBQ13" s="49">
        <v>0</v>
      </c>
      <c r="DBR13" s="64">
        <f t="shared" si="810"/>
        <v>418</v>
      </c>
      <c r="DBS13" s="68">
        <f t="shared" si="811"/>
        <v>69.666666666666671</v>
      </c>
      <c r="DBT13" s="48">
        <v>440</v>
      </c>
      <c r="DBU13" s="49"/>
      <c r="DBV13" s="49"/>
      <c r="DBW13" s="49">
        <v>220</v>
      </c>
      <c r="DBX13" s="49"/>
      <c r="DBY13" s="49">
        <v>330</v>
      </c>
      <c r="DBZ13" s="64">
        <f t="shared" si="812"/>
        <v>990</v>
      </c>
      <c r="DCA13" s="68">
        <f t="shared" si="813"/>
        <v>198</v>
      </c>
      <c r="DCB13" s="48"/>
      <c r="DCC13" s="49"/>
      <c r="DCD13" s="49"/>
      <c r="DCE13" s="49"/>
      <c r="DCF13" s="49"/>
      <c r="DCG13" s="49">
        <f>529+131</f>
        <v>660</v>
      </c>
      <c r="DCH13" s="64">
        <f t="shared" si="814"/>
        <v>660</v>
      </c>
      <c r="DCI13" s="68">
        <f t="shared" si="815"/>
        <v>110</v>
      </c>
      <c r="DCJ13" s="48">
        <v>220</v>
      </c>
      <c r="DCK13" s="49">
        <v>0</v>
      </c>
      <c r="DCL13" s="49">
        <v>0</v>
      </c>
      <c r="DCM13" s="49">
        <v>0</v>
      </c>
      <c r="DCN13" s="49">
        <v>110</v>
      </c>
      <c r="DCO13" s="49">
        <v>331</v>
      </c>
      <c r="DCP13" s="64">
        <f t="shared" si="816"/>
        <v>661</v>
      </c>
      <c r="DCQ13" s="68">
        <f t="shared" si="817"/>
        <v>110.16666666666667</v>
      </c>
      <c r="DCR13" s="48">
        <v>442</v>
      </c>
      <c r="DCS13" s="49">
        <v>0</v>
      </c>
      <c r="DCT13" s="49">
        <v>0</v>
      </c>
      <c r="DCU13" s="49">
        <v>433</v>
      </c>
      <c r="DCV13" s="49">
        <v>0</v>
      </c>
      <c r="DCW13" s="49">
        <v>0</v>
      </c>
      <c r="DCX13" s="64">
        <f t="shared" si="818"/>
        <v>875</v>
      </c>
      <c r="DCY13" s="68">
        <f t="shared" si="819"/>
        <v>145.83333333333334</v>
      </c>
      <c r="DCZ13" s="48">
        <v>331</v>
      </c>
      <c r="DDA13" s="49">
        <v>0</v>
      </c>
      <c r="DDB13" s="49">
        <v>0</v>
      </c>
      <c r="DDC13" s="49">
        <v>219</v>
      </c>
      <c r="DDD13" s="49"/>
      <c r="DDE13" s="49">
        <v>110</v>
      </c>
      <c r="DDF13" s="64">
        <f t="shared" si="820"/>
        <v>660</v>
      </c>
      <c r="DDG13" s="68">
        <f t="shared" si="821"/>
        <v>110</v>
      </c>
      <c r="DDH13" s="48">
        <v>0</v>
      </c>
      <c r="DDI13" s="49">
        <v>0</v>
      </c>
      <c r="DDJ13" s="49">
        <v>0</v>
      </c>
      <c r="DDK13" s="49">
        <v>0</v>
      </c>
      <c r="DDL13" s="49">
        <v>769</v>
      </c>
      <c r="DDM13" s="49">
        <v>0</v>
      </c>
      <c r="DDN13" s="127">
        <f t="shared" si="822"/>
        <v>769</v>
      </c>
      <c r="DDO13" s="43">
        <f t="shared" si="823"/>
        <v>128.16666666666666</v>
      </c>
      <c r="DDP13" s="48">
        <v>0</v>
      </c>
      <c r="DDQ13" s="49">
        <v>220</v>
      </c>
      <c r="DDR13" s="49">
        <v>0</v>
      </c>
      <c r="DDS13" s="49"/>
      <c r="DDT13" s="49">
        <v>0</v>
      </c>
      <c r="DDU13" s="49">
        <v>110</v>
      </c>
      <c r="DDV13" s="127">
        <f t="shared" si="824"/>
        <v>330</v>
      </c>
      <c r="DDW13" s="43">
        <f t="shared" si="825"/>
        <v>55</v>
      </c>
      <c r="DDX13" s="48">
        <v>0</v>
      </c>
      <c r="DDY13" s="49">
        <v>0</v>
      </c>
      <c r="DDZ13" s="49">
        <v>552</v>
      </c>
      <c r="DEA13" s="49">
        <v>0</v>
      </c>
      <c r="DEB13" s="49">
        <v>0</v>
      </c>
      <c r="DEC13" s="49">
        <v>770</v>
      </c>
      <c r="DED13" s="127">
        <f t="shared" si="826"/>
        <v>1322</v>
      </c>
      <c r="DEE13" s="43">
        <f t="shared" si="827"/>
        <v>220.33333333333334</v>
      </c>
      <c r="DEF13" s="48">
        <v>0</v>
      </c>
      <c r="DEG13" s="49">
        <v>0</v>
      </c>
      <c r="DEH13" s="49"/>
      <c r="DEI13" s="49">
        <v>0</v>
      </c>
      <c r="DEJ13" s="49">
        <v>0</v>
      </c>
      <c r="DEK13" s="49">
        <v>221</v>
      </c>
      <c r="DEL13" s="127">
        <f t="shared" si="828"/>
        <v>221</v>
      </c>
      <c r="DEM13" s="43">
        <f t="shared" si="829"/>
        <v>36.833333333333336</v>
      </c>
      <c r="DEN13" s="48">
        <v>0</v>
      </c>
      <c r="DEO13" s="49">
        <v>0</v>
      </c>
      <c r="DEP13" s="49">
        <v>0</v>
      </c>
      <c r="DEQ13" s="49">
        <v>661</v>
      </c>
      <c r="DER13" s="49"/>
      <c r="DES13" s="49">
        <v>0</v>
      </c>
      <c r="DET13" s="127">
        <f t="shared" si="830"/>
        <v>661</v>
      </c>
      <c r="DEU13" s="43">
        <f t="shared" si="831"/>
        <v>110.16666666666667</v>
      </c>
      <c r="DEV13" s="48">
        <v>0</v>
      </c>
      <c r="DEW13" s="49"/>
      <c r="DEX13" s="49">
        <v>657</v>
      </c>
      <c r="DEY13" s="49">
        <v>439</v>
      </c>
      <c r="DEZ13" s="49">
        <v>0</v>
      </c>
      <c r="DFA13" s="49">
        <v>0</v>
      </c>
      <c r="DFB13" s="127">
        <f t="shared" si="832"/>
        <v>1096</v>
      </c>
      <c r="DFC13" s="43">
        <f t="shared" si="833"/>
        <v>182.66666666666666</v>
      </c>
      <c r="DFD13" s="48">
        <v>0</v>
      </c>
      <c r="DFE13" s="49">
        <v>0</v>
      </c>
      <c r="DFF13" s="49">
        <v>799</v>
      </c>
      <c r="DFG13" s="49">
        <v>220</v>
      </c>
      <c r="DFH13" s="49">
        <v>0</v>
      </c>
      <c r="DFI13" s="49"/>
      <c r="DFJ13" s="127">
        <f t="shared" si="834"/>
        <v>1019</v>
      </c>
      <c r="DFK13" s="43">
        <f t="shared" si="835"/>
        <v>169.83333333333334</v>
      </c>
      <c r="DFL13" s="63"/>
      <c r="DFM13" s="64">
        <v>0</v>
      </c>
      <c r="DFN13" s="64">
        <v>0</v>
      </c>
      <c r="DFO13" s="64">
        <v>0</v>
      </c>
      <c r="DFP13" s="64">
        <v>441</v>
      </c>
      <c r="DFQ13" s="64">
        <v>439</v>
      </c>
      <c r="DFR13" s="64">
        <f t="shared" si="836"/>
        <v>880</v>
      </c>
      <c r="DFS13" s="68">
        <f t="shared" si="837"/>
        <v>146.66666666666666</v>
      </c>
      <c r="DFT13" s="48">
        <v>0</v>
      </c>
      <c r="DFU13" s="49">
        <v>0</v>
      </c>
      <c r="DFV13" s="49">
        <v>451</v>
      </c>
      <c r="DFW13" s="49">
        <v>0</v>
      </c>
      <c r="DFX13" s="49"/>
      <c r="DFY13" s="49">
        <v>461</v>
      </c>
      <c r="DFZ13" s="127">
        <f t="shared" si="838"/>
        <v>912</v>
      </c>
      <c r="DGA13" s="43">
        <f t="shared" si="839"/>
        <v>152</v>
      </c>
      <c r="DGB13" s="48">
        <v>0</v>
      </c>
      <c r="DGC13" s="49">
        <v>0</v>
      </c>
      <c r="DGD13" s="49">
        <v>0</v>
      </c>
      <c r="DGE13" s="49"/>
      <c r="DGF13" s="49">
        <v>683</v>
      </c>
      <c r="DGG13" s="49">
        <v>0</v>
      </c>
      <c r="DGH13" s="127">
        <f t="shared" si="840"/>
        <v>683</v>
      </c>
      <c r="DGI13" s="43">
        <f t="shared" si="841"/>
        <v>113.83333333333333</v>
      </c>
      <c r="DGJ13" s="48">
        <v>0</v>
      </c>
      <c r="DGK13" s="49">
        <v>0</v>
      </c>
      <c r="DGL13" s="49">
        <v>0</v>
      </c>
      <c r="DGM13" s="49">
        <v>678</v>
      </c>
      <c r="DGN13" s="49">
        <v>0</v>
      </c>
      <c r="DGO13" s="49"/>
      <c r="DGP13" s="64">
        <f t="shared" si="842"/>
        <v>678</v>
      </c>
      <c r="DGQ13" s="68">
        <f t="shared" si="843"/>
        <v>113</v>
      </c>
      <c r="DGR13" s="48">
        <v>0</v>
      </c>
      <c r="DGS13" s="49">
        <v>441</v>
      </c>
      <c r="DGT13" s="49">
        <v>0</v>
      </c>
      <c r="DGU13" s="49">
        <v>220</v>
      </c>
      <c r="DGV13" s="49">
        <v>0</v>
      </c>
      <c r="DGW13" s="49"/>
      <c r="DGX13" s="64">
        <f t="shared" si="844"/>
        <v>661</v>
      </c>
      <c r="DGY13" s="68">
        <f t="shared" si="845"/>
        <v>110.16666666666667</v>
      </c>
      <c r="DGZ13" s="48">
        <v>550</v>
      </c>
      <c r="DHA13" s="49">
        <v>0</v>
      </c>
      <c r="DHB13" s="49">
        <v>220</v>
      </c>
      <c r="DHC13" s="49">
        <v>0</v>
      </c>
      <c r="DHD13" s="49">
        <v>219</v>
      </c>
      <c r="DHE13" s="49">
        <v>0</v>
      </c>
      <c r="DHF13" s="64">
        <f t="shared" si="846"/>
        <v>989</v>
      </c>
      <c r="DHG13" s="68">
        <f t="shared" si="847"/>
        <v>164.83333333333334</v>
      </c>
      <c r="DHH13" s="63"/>
      <c r="DHI13" s="64">
        <v>220</v>
      </c>
      <c r="DHJ13" s="64">
        <v>0</v>
      </c>
      <c r="DHK13" s="64">
        <v>0</v>
      </c>
      <c r="DHL13" s="64">
        <v>214</v>
      </c>
      <c r="DHM13" s="64">
        <v>0</v>
      </c>
      <c r="DHN13" s="64">
        <f t="shared" si="848"/>
        <v>434</v>
      </c>
      <c r="DHO13" s="68">
        <f t="shared" si="849"/>
        <v>72.333333333333329</v>
      </c>
      <c r="DHP13" s="48">
        <v>0</v>
      </c>
      <c r="DHQ13" s="49">
        <v>412</v>
      </c>
      <c r="DHR13" s="49">
        <v>0</v>
      </c>
      <c r="DHS13" s="49">
        <v>0</v>
      </c>
      <c r="DHT13" s="49">
        <v>220</v>
      </c>
      <c r="DHU13" s="49">
        <v>0</v>
      </c>
      <c r="DHV13" s="64">
        <f t="shared" si="850"/>
        <v>632</v>
      </c>
      <c r="DHW13" s="68">
        <f t="shared" si="851"/>
        <v>105.33333333333333</v>
      </c>
      <c r="DHX13" s="48">
        <v>0</v>
      </c>
      <c r="DHY13" s="49"/>
      <c r="DHZ13" s="49">
        <v>441</v>
      </c>
      <c r="DIA13" s="49">
        <v>110</v>
      </c>
      <c r="DIB13" s="49">
        <v>0</v>
      </c>
      <c r="DIC13" s="49">
        <v>110</v>
      </c>
      <c r="DID13" s="64">
        <f t="shared" si="852"/>
        <v>661</v>
      </c>
      <c r="DIE13" s="68">
        <f t="shared" si="853"/>
        <v>110.16666666666667</v>
      </c>
      <c r="DIF13" s="48"/>
      <c r="DIG13" s="49">
        <v>0</v>
      </c>
      <c r="DIH13" s="49">
        <v>0</v>
      </c>
      <c r="DII13" s="49">
        <v>0</v>
      </c>
      <c r="DIJ13" s="49">
        <v>660</v>
      </c>
      <c r="DIK13" s="49"/>
      <c r="DIL13" s="64">
        <f t="shared" si="854"/>
        <v>660</v>
      </c>
      <c r="DIM13" s="68">
        <f t="shared" si="855"/>
        <v>110</v>
      </c>
      <c r="DIN13" s="48">
        <v>660</v>
      </c>
      <c r="DIO13" s="49"/>
      <c r="DIP13" s="49">
        <v>0</v>
      </c>
      <c r="DIQ13" s="49">
        <v>0</v>
      </c>
      <c r="DIR13" s="49">
        <v>0</v>
      </c>
      <c r="DIS13" s="49">
        <v>0</v>
      </c>
      <c r="DIT13" s="64">
        <f t="shared" si="856"/>
        <v>660</v>
      </c>
      <c r="DIU13" s="68">
        <f t="shared" si="857"/>
        <v>110</v>
      </c>
      <c r="DIV13" s="48">
        <f>SUMIF(SUMPK!$B:$B,$B:$B,SUMPK!$O:$O)</f>
        <v>219</v>
      </c>
      <c r="DIW13" s="49">
        <v>0</v>
      </c>
      <c r="DIX13" s="49">
        <v>0</v>
      </c>
      <c r="DIY13" s="49">
        <v>110</v>
      </c>
      <c r="DIZ13" s="49">
        <v>0</v>
      </c>
      <c r="DJA13" s="49">
        <v>0</v>
      </c>
      <c r="DJB13" s="64">
        <f t="shared" si="858"/>
        <v>329</v>
      </c>
      <c r="DJC13" s="68">
        <f t="shared" si="859"/>
        <v>54.833333333333336</v>
      </c>
      <c r="DJD13" s="48">
        <v>221</v>
      </c>
      <c r="DJE13" s="49">
        <v>110</v>
      </c>
      <c r="DJF13" s="49">
        <v>0</v>
      </c>
      <c r="DJG13" s="49">
        <v>440</v>
      </c>
      <c r="DJH13" s="49">
        <v>0</v>
      </c>
      <c r="DJI13" s="49"/>
      <c r="DJJ13" s="64">
        <f t="shared" si="860"/>
        <v>771</v>
      </c>
      <c r="DJK13" s="68">
        <f t="shared" si="861"/>
        <v>128.5</v>
      </c>
      <c r="DJL13" s="48">
        <v>201</v>
      </c>
      <c r="DJM13" s="49">
        <v>0</v>
      </c>
      <c r="DJN13" s="49">
        <v>0</v>
      </c>
      <c r="DJO13" s="49">
        <v>771</v>
      </c>
      <c r="DJP13" s="49">
        <v>0</v>
      </c>
      <c r="DJQ13" s="49">
        <v>0</v>
      </c>
      <c r="DJR13" s="64">
        <f t="shared" si="862"/>
        <v>972</v>
      </c>
      <c r="DJS13" s="68">
        <f t="shared" si="863"/>
        <v>162</v>
      </c>
      <c r="DJT13" s="48"/>
      <c r="DJU13" s="49">
        <v>331</v>
      </c>
      <c r="DJV13" s="49">
        <v>0</v>
      </c>
      <c r="DJW13" s="49">
        <v>221</v>
      </c>
      <c r="DJX13" s="49">
        <v>0</v>
      </c>
      <c r="DJY13" s="49">
        <v>0</v>
      </c>
      <c r="DJZ13" s="64">
        <f t="shared" si="864"/>
        <v>552</v>
      </c>
      <c r="DKA13" s="68">
        <f t="shared" si="865"/>
        <v>92</v>
      </c>
      <c r="DKB13" s="48">
        <v>0</v>
      </c>
      <c r="DKC13" s="49">
        <v>880</v>
      </c>
      <c r="DKD13" s="49">
        <v>0</v>
      </c>
      <c r="DKE13" s="49">
        <v>0</v>
      </c>
      <c r="DKF13" s="49">
        <v>110</v>
      </c>
      <c r="DKG13" s="49">
        <v>0</v>
      </c>
      <c r="DKH13" s="64">
        <f t="shared" si="866"/>
        <v>990</v>
      </c>
      <c r="DKI13" s="68">
        <f t="shared" si="867"/>
        <v>165</v>
      </c>
      <c r="DKJ13" s="48"/>
      <c r="DKK13" s="49">
        <v>0</v>
      </c>
      <c r="DKL13" s="49">
        <v>220</v>
      </c>
      <c r="DKM13" s="49">
        <v>0</v>
      </c>
      <c r="DKN13" s="49">
        <v>0</v>
      </c>
      <c r="DKO13" s="49">
        <v>550</v>
      </c>
      <c r="DKP13" s="64">
        <f t="shared" si="868"/>
        <v>770</v>
      </c>
      <c r="DKQ13" s="68">
        <f t="shared" si="869"/>
        <v>128.33333333333334</v>
      </c>
      <c r="DKR13" s="48">
        <v>0</v>
      </c>
      <c r="DKS13" s="49">
        <v>615</v>
      </c>
      <c r="DKT13" s="49">
        <v>0</v>
      </c>
      <c r="DKU13" s="49">
        <v>0</v>
      </c>
      <c r="DKV13" s="49">
        <v>0</v>
      </c>
      <c r="DKW13" s="49">
        <v>0</v>
      </c>
      <c r="DKX13" s="64">
        <f t="shared" si="870"/>
        <v>615</v>
      </c>
      <c r="DKY13" s="68">
        <f t="shared" si="871"/>
        <v>102.5</v>
      </c>
      <c r="DKZ13" s="48">
        <v>151</v>
      </c>
      <c r="DLA13" s="49">
        <v>440</v>
      </c>
      <c r="DLB13" s="49">
        <v>0</v>
      </c>
      <c r="DLC13" s="49">
        <v>110</v>
      </c>
      <c r="DLD13" s="49">
        <v>110</v>
      </c>
      <c r="DLE13" s="49">
        <v>771</v>
      </c>
      <c r="DLF13" s="64">
        <f t="shared" si="872"/>
        <v>1582</v>
      </c>
      <c r="DLG13" s="68">
        <f t="shared" si="873"/>
        <v>263.66666666666669</v>
      </c>
      <c r="DLH13" s="48"/>
      <c r="DLI13" s="49">
        <v>0</v>
      </c>
      <c r="DLJ13" s="49">
        <v>0</v>
      </c>
      <c r="DLK13" s="49">
        <f>SUMIF(SUMPK!$B:$B,$B:$B,SUMPK!$O:$O)</f>
        <v>219</v>
      </c>
      <c r="DLL13" s="49"/>
      <c r="DLM13" s="49">
        <v>878</v>
      </c>
      <c r="DLN13" s="64">
        <f t="shared" si="874"/>
        <v>1097</v>
      </c>
      <c r="DLO13" s="68">
        <f t="shared" si="875"/>
        <v>182.83333333333334</v>
      </c>
      <c r="DLP13" s="48">
        <v>0</v>
      </c>
      <c r="DLR13" s="49">
        <v>0</v>
      </c>
      <c r="DLS13" s="49">
        <v>661</v>
      </c>
      <c r="DLT13" s="49">
        <v>0</v>
      </c>
      <c r="DLU13" s="49">
        <v>0</v>
      </c>
      <c r="DLV13" s="64">
        <f t="shared" si="876"/>
        <v>661</v>
      </c>
      <c r="DLW13" s="68">
        <f t="shared" si="877"/>
        <v>110.16666666666667</v>
      </c>
      <c r="DLX13" s="48">
        <v>0</v>
      </c>
      <c r="DLY13" s="49">
        <v>220</v>
      </c>
      <c r="DLZ13" s="49">
        <v>221</v>
      </c>
      <c r="DMA13" s="49">
        <v>0</v>
      </c>
      <c r="DMB13" s="49">
        <v>881</v>
      </c>
      <c r="DMC13" s="49"/>
      <c r="DMD13" s="64">
        <f t="shared" si="878"/>
        <v>1322</v>
      </c>
      <c r="DME13" s="68">
        <f t="shared" si="879"/>
        <v>220.33333333333334</v>
      </c>
      <c r="DMF13" s="48"/>
      <c r="DMG13" s="49">
        <v>0</v>
      </c>
      <c r="DMH13" s="49"/>
      <c r="DMI13" s="49">
        <v>220</v>
      </c>
      <c r="DMJ13" s="49">
        <v>0</v>
      </c>
      <c r="DMK13" s="49">
        <v>0</v>
      </c>
      <c r="DML13" s="64">
        <f t="shared" si="880"/>
        <v>220</v>
      </c>
      <c r="DMM13" s="68">
        <f t="shared" si="881"/>
        <v>36.666666666666664</v>
      </c>
      <c r="DMN13" s="48">
        <v>0</v>
      </c>
      <c r="DMO13" s="49">
        <v>661</v>
      </c>
      <c r="DMP13" s="49">
        <v>0</v>
      </c>
      <c r="DMQ13" s="49">
        <v>0</v>
      </c>
      <c r="DMR13" s="49">
        <v>0</v>
      </c>
      <c r="DMS13" s="49">
        <v>801</v>
      </c>
      <c r="DMT13" s="64">
        <f t="shared" si="882"/>
        <v>1462</v>
      </c>
      <c r="DMU13" s="68">
        <f t="shared" si="883"/>
        <v>243.66666666666666</v>
      </c>
      <c r="DMV13" s="48">
        <v>0</v>
      </c>
      <c r="DMW13" s="49">
        <v>0</v>
      </c>
      <c r="DMX13" s="49">
        <v>0</v>
      </c>
      <c r="DMY13" s="49">
        <v>332</v>
      </c>
      <c r="DMZ13" s="49">
        <v>0</v>
      </c>
      <c r="DNA13" s="49">
        <v>441</v>
      </c>
      <c r="DNB13" s="64">
        <f t="shared" si="884"/>
        <v>773</v>
      </c>
      <c r="DNC13" s="68">
        <f t="shared" si="885"/>
        <v>128.83333333333334</v>
      </c>
      <c r="DND13" s="48"/>
      <c r="DNE13" s="49">
        <v>440</v>
      </c>
      <c r="DNF13" s="49"/>
      <c r="DNG13" s="49"/>
      <c r="DNH13" s="49">
        <v>0</v>
      </c>
      <c r="DNI13" s="49">
        <v>330</v>
      </c>
      <c r="DNJ13" s="64">
        <f t="shared" si="886"/>
        <v>770</v>
      </c>
      <c r="DNK13" s="68">
        <f t="shared" si="887"/>
        <v>128.33333333333334</v>
      </c>
      <c r="DNL13" s="48"/>
      <c r="DNM13" s="49"/>
      <c r="DNN13" s="49">
        <v>0</v>
      </c>
      <c r="DNO13" s="49">
        <v>0</v>
      </c>
      <c r="DNP13" s="49">
        <v>768</v>
      </c>
      <c r="DNQ13" s="49">
        <v>0</v>
      </c>
      <c r="DNR13" s="64">
        <f t="shared" si="888"/>
        <v>768</v>
      </c>
      <c r="DNS13" s="68">
        <f t="shared" si="889"/>
        <v>128</v>
      </c>
      <c r="DNT13" s="48"/>
      <c r="DNU13" s="49">
        <v>0</v>
      </c>
      <c r="DNV13" s="49">
        <v>0</v>
      </c>
      <c r="DNW13" s="49"/>
      <c r="DNX13" s="49">
        <v>0</v>
      </c>
      <c r="DNY13" s="49">
        <v>664</v>
      </c>
      <c r="DNZ13" s="64">
        <f t="shared" si="890"/>
        <v>664</v>
      </c>
      <c r="DOA13" s="68">
        <f t="shared" si="891"/>
        <v>110.66666666666667</v>
      </c>
      <c r="DOB13" s="48">
        <v>0</v>
      </c>
      <c r="DOC13" s="49"/>
      <c r="DOD13" s="49"/>
      <c r="DOE13" s="49">
        <v>600</v>
      </c>
      <c r="DOF13" s="49">
        <v>0</v>
      </c>
      <c r="DOG13" s="49">
        <v>220</v>
      </c>
      <c r="DOH13" s="64">
        <f t="shared" si="892"/>
        <v>820</v>
      </c>
      <c r="DOI13" s="68">
        <f t="shared" si="893"/>
        <v>136.66666666666666</v>
      </c>
      <c r="DOJ13" s="48">
        <v>328</v>
      </c>
      <c r="DOK13" s="49">
        <v>0</v>
      </c>
      <c r="DOL13" s="49"/>
      <c r="DOM13" s="49">
        <v>0</v>
      </c>
      <c r="DON13" s="49">
        <v>0</v>
      </c>
      <c r="DOO13" s="49">
        <v>0</v>
      </c>
      <c r="DOP13" s="64">
        <f t="shared" si="894"/>
        <v>328</v>
      </c>
      <c r="DOQ13" s="68">
        <f t="shared" si="895"/>
        <v>54.666666666666664</v>
      </c>
      <c r="DOR13" s="48">
        <v>440</v>
      </c>
      <c r="DOS13" s="49">
        <v>110</v>
      </c>
      <c r="DOT13" s="49"/>
      <c r="DOU13" s="49">
        <v>0</v>
      </c>
      <c r="DOV13" s="49"/>
      <c r="DOW13" s="49">
        <v>0</v>
      </c>
      <c r="DOX13" s="64">
        <f t="shared" si="896"/>
        <v>550</v>
      </c>
      <c r="DOY13" s="68">
        <f t="shared" si="897"/>
        <v>91.666666666666671</v>
      </c>
      <c r="DOZ13" s="48"/>
      <c r="DPA13" s="49">
        <v>801</v>
      </c>
      <c r="DPB13" s="49">
        <v>0</v>
      </c>
      <c r="DPC13" s="49">
        <v>0</v>
      </c>
      <c r="DPD13" s="49">
        <v>0</v>
      </c>
      <c r="DPE13" s="49">
        <v>0</v>
      </c>
      <c r="DPF13" s="64">
        <f t="shared" si="898"/>
        <v>801</v>
      </c>
      <c r="DPG13" s="68">
        <f t="shared" si="899"/>
        <v>133.5</v>
      </c>
      <c r="DPH13" s="48">
        <v>0</v>
      </c>
      <c r="DPI13" s="49">
        <v>0</v>
      </c>
      <c r="DPJ13" s="49">
        <v>0</v>
      </c>
      <c r="DPK13" s="49">
        <v>0</v>
      </c>
      <c r="DPL13" s="49">
        <v>660</v>
      </c>
      <c r="DPM13" s="49">
        <v>0</v>
      </c>
      <c r="DPN13" s="64">
        <f t="shared" si="900"/>
        <v>660</v>
      </c>
      <c r="DPO13" s="68">
        <f t="shared" si="901"/>
        <v>110</v>
      </c>
      <c r="DPP13" s="48">
        <v>0</v>
      </c>
      <c r="DPQ13" s="49">
        <v>218</v>
      </c>
      <c r="DPR13" s="49">
        <v>0</v>
      </c>
      <c r="DPS13" s="49">
        <v>435</v>
      </c>
      <c r="DPT13" s="49">
        <v>0</v>
      </c>
      <c r="DPU13" s="49">
        <v>0</v>
      </c>
      <c r="DPV13" s="491">
        <f t="shared" si="902"/>
        <v>653</v>
      </c>
      <c r="DPW13" s="492">
        <f t="shared" si="903"/>
        <v>108.83333333333333</v>
      </c>
      <c r="DPX13" s="48">
        <v>0</v>
      </c>
      <c r="DPY13" s="49">
        <v>662</v>
      </c>
      <c r="DPZ13" s="49">
        <v>0</v>
      </c>
      <c r="DQA13" s="49">
        <v>0</v>
      </c>
      <c r="DQB13" s="49">
        <v>329</v>
      </c>
      <c r="DQC13" s="49"/>
      <c r="DQD13" s="491">
        <f t="shared" si="904"/>
        <v>991</v>
      </c>
      <c r="DQE13" s="492">
        <f t="shared" si="905"/>
        <v>165.16666666666666</v>
      </c>
      <c r="DQF13" s="48">
        <v>0</v>
      </c>
      <c r="DQG13" s="49">
        <v>0</v>
      </c>
      <c r="DQH13" s="49">
        <v>550</v>
      </c>
      <c r="DQI13" s="49"/>
      <c r="DQJ13" s="49">
        <v>220</v>
      </c>
      <c r="DQK13" s="49">
        <v>0</v>
      </c>
      <c r="DQL13" s="489">
        <f t="shared" si="906"/>
        <v>770</v>
      </c>
      <c r="DQM13" s="492">
        <f t="shared" si="907"/>
        <v>128.33333333333334</v>
      </c>
      <c r="DQN13" s="48">
        <v>0</v>
      </c>
      <c r="DQO13" s="49">
        <v>440</v>
      </c>
      <c r="DQP13" s="49">
        <v>0</v>
      </c>
      <c r="DQQ13" s="49">
        <v>0</v>
      </c>
      <c r="DQR13" s="49">
        <v>440</v>
      </c>
      <c r="DQS13" s="49">
        <v>0</v>
      </c>
      <c r="DQT13" s="64">
        <f t="shared" si="908"/>
        <v>880</v>
      </c>
      <c r="DQU13" s="68">
        <f t="shared" si="909"/>
        <v>146.66666666666666</v>
      </c>
      <c r="DQV13" s="48">
        <v>0</v>
      </c>
      <c r="DQW13" s="49">
        <v>0</v>
      </c>
      <c r="DQX13" s="49">
        <v>440</v>
      </c>
      <c r="DQY13" s="49">
        <v>0</v>
      </c>
      <c r="DQZ13" s="49">
        <v>0</v>
      </c>
      <c r="DRA13" s="49">
        <v>0</v>
      </c>
      <c r="DRB13" s="491">
        <f t="shared" si="910"/>
        <v>440</v>
      </c>
      <c r="DRC13" s="492">
        <f t="shared" si="911"/>
        <v>73.333333333333329</v>
      </c>
      <c r="DRD13" s="48">
        <v>881</v>
      </c>
      <c r="DRE13" s="49">
        <v>0</v>
      </c>
      <c r="DRF13" s="49">
        <v>0</v>
      </c>
      <c r="DRG13" s="49">
        <v>0</v>
      </c>
      <c r="DRH13" s="49">
        <v>440</v>
      </c>
      <c r="DRI13" s="49"/>
      <c r="DRJ13" s="491">
        <f t="shared" si="912"/>
        <v>1321</v>
      </c>
      <c r="DRK13" s="492">
        <f t="shared" si="913"/>
        <v>220.16666666666666</v>
      </c>
      <c r="DRL13" s="48"/>
      <c r="DRM13" s="49">
        <v>220</v>
      </c>
      <c r="DRN13" s="49"/>
      <c r="DRO13" s="49">
        <v>0</v>
      </c>
      <c r="DRP13" s="49">
        <v>109</v>
      </c>
      <c r="DRQ13" s="49">
        <v>323</v>
      </c>
      <c r="DRR13" s="64">
        <f t="shared" si="914"/>
        <v>652</v>
      </c>
      <c r="DRS13" s="68">
        <f t="shared" si="915"/>
        <v>108.66666666666667</v>
      </c>
      <c r="DRT13" s="48">
        <v>0</v>
      </c>
      <c r="DRU13" s="49">
        <v>549</v>
      </c>
      <c r="DRV13" s="49">
        <v>0</v>
      </c>
      <c r="DRW13" s="49">
        <v>0</v>
      </c>
      <c r="DRX13" s="49">
        <v>0</v>
      </c>
      <c r="DRY13" s="49"/>
      <c r="DRZ13" s="491">
        <f t="shared" si="916"/>
        <v>549</v>
      </c>
      <c r="DSA13" s="68">
        <f t="shared" si="917"/>
        <v>91.5</v>
      </c>
      <c r="DSB13" s="82">
        <v>650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18"/>
        <v>650</v>
      </c>
      <c r="DSI13" s="68">
        <f t="shared" si="919"/>
        <v>108.33333333333333</v>
      </c>
      <c r="DSJ13" s="48">
        <v>0</v>
      </c>
      <c r="DSK13" s="49">
        <v>652</v>
      </c>
      <c r="DSL13" s="49">
        <v>0</v>
      </c>
      <c r="DSM13" s="49">
        <v>0</v>
      </c>
      <c r="DSN13" s="49">
        <v>220</v>
      </c>
      <c r="DSO13" s="49">
        <v>0</v>
      </c>
      <c r="DSP13" s="64">
        <f t="shared" si="920"/>
        <v>872</v>
      </c>
      <c r="DSQ13" s="68">
        <f t="shared" si="921"/>
        <v>145.33333333333334</v>
      </c>
      <c r="DSR13" s="48">
        <v>0</v>
      </c>
      <c r="DSS13" s="49">
        <v>323</v>
      </c>
      <c r="DST13" s="49">
        <v>220</v>
      </c>
      <c r="DSU13" s="49">
        <v>0</v>
      </c>
      <c r="DSV13" s="49">
        <v>0</v>
      </c>
      <c r="DSW13" s="49">
        <v>220</v>
      </c>
      <c r="DSX13" s="64">
        <f t="shared" si="922"/>
        <v>763</v>
      </c>
      <c r="DSY13" s="68">
        <f t="shared" si="923"/>
        <v>127.16666666666667</v>
      </c>
      <c r="DSZ13" s="48">
        <v>0</v>
      </c>
      <c r="DTA13" s="49"/>
      <c r="DTB13" s="49">
        <v>0</v>
      </c>
      <c r="DTC13" s="49">
        <v>86</v>
      </c>
      <c r="DTD13" s="49">
        <v>239</v>
      </c>
      <c r="DTE13" s="49">
        <v>0</v>
      </c>
      <c r="DTF13" s="64">
        <f t="shared" si="924"/>
        <v>325</v>
      </c>
      <c r="DTG13" s="68">
        <f t="shared" si="925"/>
        <v>54.166666666666664</v>
      </c>
      <c r="DTH13" s="48"/>
      <c r="DTI13" s="49">
        <v>0</v>
      </c>
      <c r="DTJ13" s="49">
        <v>880</v>
      </c>
      <c r="DTK13" s="49">
        <v>0</v>
      </c>
      <c r="DTL13" s="49">
        <v>0</v>
      </c>
      <c r="DTM13" s="49">
        <v>0</v>
      </c>
      <c r="DTN13" s="64">
        <f t="shared" si="926"/>
        <v>880</v>
      </c>
      <c r="DTO13" s="68">
        <f t="shared" si="927"/>
        <v>146.66666666666666</v>
      </c>
      <c r="DTP13" s="48">
        <v>0</v>
      </c>
      <c r="DTQ13" s="49">
        <v>0</v>
      </c>
      <c r="DTR13" s="49"/>
      <c r="DTS13" s="49">
        <v>640</v>
      </c>
      <c r="DTT13" s="49">
        <v>0</v>
      </c>
      <c r="DTU13" s="49">
        <v>201</v>
      </c>
      <c r="DTV13" s="64">
        <f t="shared" si="928"/>
        <v>841</v>
      </c>
      <c r="DTW13" s="68">
        <f t="shared" si="929"/>
        <v>140.16666666666666</v>
      </c>
      <c r="DTX13" s="48">
        <v>0</v>
      </c>
      <c r="DTY13" s="49">
        <v>877</v>
      </c>
      <c r="DTZ13" s="49"/>
      <c r="DUA13" s="49">
        <v>0</v>
      </c>
      <c r="DUB13" s="49">
        <v>0</v>
      </c>
      <c r="DUC13" s="49">
        <v>0</v>
      </c>
      <c r="DUD13" s="64">
        <f t="shared" si="930"/>
        <v>877</v>
      </c>
      <c r="DUE13" s="68">
        <f t="shared" si="931"/>
        <v>146.16666666666666</v>
      </c>
      <c r="DUF13" s="48">
        <v>0</v>
      </c>
      <c r="DUG13" s="49">
        <v>885</v>
      </c>
      <c r="DUH13" s="49"/>
      <c r="DUI13" s="49">
        <v>0</v>
      </c>
      <c r="DUJ13" s="49">
        <v>0</v>
      </c>
      <c r="DUK13" s="49">
        <v>454</v>
      </c>
      <c r="DUL13" s="64">
        <f t="shared" si="932"/>
        <v>1339</v>
      </c>
      <c r="DUM13" s="68">
        <f t="shared" si="933"/>
        <v>223.16666666666666</v>
      </c>
      <c r="DUN13" s="48"/>
      <c r="DUO13" s="49">
        <v>0</v>
      </c>
      <c r="DUP13" s="49">
        <v>0</v>
      </c>
      <c r="DUQ13" s="49">
        <v>590</v>
      </c>
      <c r="DUR13" s="49"/>
      <c r="DUS13" s="49">
        <v>443</v>
      </c>
      <c r="DUT13" s="64">
        <f t="shared" si="934"/>
        <v>1033</v>
      </c>
      <c r="DUU13" s="184">
        <f t="shared" si="935"/>
        <v>172.16666666666666</v>
      </c>
      <c r="DUV13" s="48"/>
      <c r="DUW13" s="49">
        <v>0</v>
      </c>
      <c r="DUX13" s="49">
        <v>0</v>
      </c>
      <c r="DUY13" s="49">
        <v>450</v>
      </c>
      <c r="DUZ13" s="49">
        <v>0</v>
      </c>
      <c r="DVA13" s="49"/>
      <c r="DVB13" s="64">
        <f t="shared" si="936"/>
        <v>450</v>
      </c>
      <c r="DVC13" s="68">
        <f t="shared" si="937"/>
        <v>75</v>
      </c>
      <c r="DVD13" s="48"/>
      <c r="DVE13" s="49">
        <v>0</v>
      </c>
      <c r="DVF13" s="49">
        <v>440</v>
      </c>
      <c r="DVG13" s="49">
        <v>111</v>
      </c>
      <c r="DVH13" s="49">
        <v>443</v>
      </c>
      <c r="DVI13" s="49"/>
      <c r="DVJ13" s="64">
        <f t="shared" si="938"/>
        <v>994</v>
      </c>
      <c r="DVK13" s="68">
        <f t="shared" si="939"/>
        <v>165.66666666666666</v>
      </c>
      <c r="DVL13" s="48">
        <v>452</v>
      </c>
      <c r="DVM13" s="49">
        <v>0</v>
      </c>
      <c r="DVN13" s="49">
        <v>0</v>
      </c>
      <c r="DVO13" s="49">
        <v>0</v>
      </c>
      <c r="DVP13" s="49">
        <v>439</v>
      </c>
      <c r="DVQ13" s="49"/>
      <c r="DVR13" s="64">
        <f t="shared" si="940"/>
        <v>891</v>
      </c>
      <c r="DVS13" s="68">
        <f t="shared" si="941"/>
        <v>148.5</v>
      </c>
      <c r="DVT13" s="48"/>
      <c r="DVU13" s="49">
        <v>300</v>
      </c>
      <c r="DVV13" s="49">
        <v>0</v>
      </c>
      <c r="DVW13" s="49">
        <v>226</v>
      </c>
      <c r="DVX13" s="49"/>
      <c r="DVY13" s="49">
        <v>1</v>
      </c>
      <c r="DVZ13" s="64">
        <f t="shared" si="942"/>
        <v>527</v>
      </c>
      <c r="DWA13" s="68">
        <f t="shared" si="943"/>
        <v>87.833333333333329</v>
      </c>
      <c r="DWB13" s="48">
        <v>221</v>
      </c>
      <c r="DWC13" s="49">
        <v>640</v>
      </c>
      <c r="DWD13" s="49">
        <v>0</v>
      </c>
      <c r="DWE13" s="49">
        <v>428</v>
      </c>
      <c r="DWF13" s="49">
        <v>0</v>
      </c>
      <c r="DWG13" s="49">
        <v>0</v>
      </c>
      <c r="DWH13" s="64">
        <f t="shared" si="944"/>
        <v>1289</v>
      </c>
      <c r="DWI13" s="68">
        <f t="shared" si="945"/>
        <v>214.83333333333334</v>
      </c>
      <c r="DWJ13" s="48">
        <v>0</v>
      </c>
      <c r="DWK13" s="49"/>
      <c r="DWL13" s="49">
        <v>0</v>
      </c>
      <c r="DWM13" s="49">
        <v>862</v>
      </c>
      <c r="DWN13" s="49">
        <v>0</v>
      </c>
      <c r="DWO13" s="49">
        <v>0</v>
      </c>
      <c r="DWP13" s="64">
        <f t="shared" si="946"/>
        <v>862</v>
      </c>
      <c r="DWQ13" s="68">
        <f t="shared" si="947"/>
        <v>143.66666666666666</v>
      </c>
      <c r="DWR13" s="48"/>
      <c r="DWS13" s="49"/>
      <c r="DWT13" s="49">
        <v>0</v>
      </c>
      <c r="DWU13" s="49">
        <v>899</v>
      </c>
      <c r="DWV13" s="49">
        <v>0</v>
      </c>
      <c r="DWW13" s="49">
        <v>0</v>
      </c>
      <c r="DWX13" s="64">
        <f t="shared" si="948"/>
        <v>899</v>
      </c>
      <c r="DWY13" s="68">
        <f t="shared" si="1201"/>
        <v>149.83333333333334</v>
      </c>
      <c r="DWZ13" s="48">
        <v>0</v>
      </c>
      <c r="DXA13" s="49"/>
      <c r="DXB13" s="49">
        <v>223</v>
      </c>
      <c r="DXC13" s="49">
        <v>0</v>
      </c>
      <c r="DXD13" s="49">
        <v>0</v>
      </c>
      <c r="DXE13" s="49"/>
      <c r="DXF13" s="64">
        <f t="shared" si="949"/>
        <v>223</v>
      </c>
      <c r="DXG13" s="68">
        <f t="shared" si="950"/>
        <v>37.166666666666664</v>
      </c>
      <c r="DXH13" s="48">
        <v>0</v>
      </c>
      <c r="DXI13" s="49">
        <v>1031</v>
      </c>
      <c r="DXJ13" s="49">
        <v>0</v>
      </c>
      <c r="DXK13" s="49">
        <v>0</v>
      </c>
      <c r="DXL13" s="49"/>
      <c r="DXM13" s="49">
        <v>0</v>
      </c>
      <c r="DXN13" s="64">
        <f t="shared" si="951"/>
        <v>1031</v>
      </c>
      <c r="DXO13" s="68">
        <f t="shared" si="952"/>
        <v>171.83333333333334</v>
      </c>
      <c r="DXP13" s="48">
        <v>0</v>
      </c>
      <c r="DXQ13" s="49">
        <v>220</v>
      </c>
      <c r="DXR13" s="49">
        <v>0</v>
      </c>
      <c r="DXS13" s="49">
        <v>881</v>
      </c>
      <c r="DXT13" s="49"/>
      <c r="DXU13" s="49"/>
      <c r="DXV13" s="64">
        <f t="shared" si="953"/>
        <v>1101</v>
      </c>
      <c r="DXW13" s="68">
        <f t="shared" si="954"/>
        <v>183.5</v>
      </c>
      <c r="DXX13" s="48">
        <v>0</v>
      </c>
      <c r="DXY13" s="49">
        <v>0</v>
      </c>
      <c r="DXZ13" s="49">
        <v>429</v>
      </c>
      <c r="DYA13" s="49">
        <v>0</v>
      </c>
      <c r="DYB13" s="49">
        <v>661</v>
      </c>
      <c r="DYC13" s="49">
        <v>0</v>
      </c>
      <c r="DYD13" s="64">
        <f t="shared" si="955"/>
        <v>1090</v>
      </c>
      <c r="DYE13" s="68">
        <f t="shared" si="956"/>
        <v>181.66666666666666</v>
      </c>
      <c r="DYF13" s="48"/>
      <c r="DYG13" s="49">
        <v>438</v>
      </c>
      <c r="DYH13" s="49">
        <v>330</v>
      </c>
      <c r="DYI13" s="49">
        <v>0</v>
      </c>
      <c r="DYJ13" s="49">
        <v>440</v>
      </c>
      <c r="DYK13" s="49"/>
      <c r="DYL13" s="64">
        <f t="shared" si="957"/>
        <v>1208</v>
      </c>
      <c r="DYM13" s="68">
        <f t="shared" si="958"/>
        <v>201.33333333333334</v>
      </c>
      <c r="DYN13" s="48">
        <v>0</v>
      </c>
      <c r="DYO13" s="49">
        <v>0</v>
      </c>
      <c r="DYP13" s="49">
        <v>0</v>
      </c>
      <c r="DYQ13" s="49">
        <v>0</v>
      </c>
      <c r="DYR13" s="49">
        <v>241</v>
      </c>
      <c r="DYS13" s="49">
        <v>0</v>
      </c>
      <c r="DYT13" s="64">
        <f t="shared" si="959"/>
        <v>241</v>
      </c>
      <c r="DYU13" s="68">
        <f t="shared" si="960"/>
        <v>40.166666666666664</v>
      </c>
      <c r="DYV13" s="48">
        <v>341</v>
      </c>
      <c r="DYW13" s="49">
        <v>0</v>
      </c>
      <c r="DYX13" s="49">
        <v>0</v>
      </c>
      <c r="DYY13" s="49">
        <v>0</v>
      </c>
      <c r="DYZ13" s="49">
        <v>694</v>
      </c>
      <c r="DZA13" s="49">
        <v>0</v>
      </c>
      <c r="DZB13" s="64">
        <f t="shared" si="961"/>
        <v>1035</v>
      </c>
      <c r="DZC13" s="68">
        <f t="shared" si="962"/>
        <v>172.5</v>
      </c>
      <c r="DZD13" s="48">
        <v>0</v>
      </c>
      <c r="DZE13" s="49">
        <v>0</v>
      </c>
      <c r="DZF13" s="49">
        <v>901</v>
      </c>
      <c r="DZG13" s="49"/>
      <c r="DZH13" s="49">
        <f>SUMIF(SUMPK!$B:$B,$B:$B,SUMPK!$O:$O)</f>
        <v>219</v>
      </c>
      <c r="DZI13" s="49"/>
      <c r="DZJ13" s="64">
        <f t="shared" si="963"/>
        <v>1120</v>
      </c>
      <c r="DZK13" s="68">
        <f t="shared" si="964"/>
        <v>186.66666666666666</v>
      </c>
      <c r="DZL13" s="48">
        <v>0</v>
      </c>
      <c r="DZM13" s="49">
        <v>0</v>
      </c>
      <c r="DZN13" s="49"/>
      <c r="DZO13" s="49">
        <v>220</v>
      </c>
      <c r="DZP13" s="49"/>
      <c r="DZQ13" s="49"/>
      <c r="DZR13" s="64">
        <f t="shared" si="965"/>
        <v>220</v>
      </c>
      <c r="DZS13" s="68">
        <f t="shared" si="966"/>
        <v>36.666666666666664</v>
      </c>
      <c r="DZT13" s="48">
        <v>0</v>
      </c>
      <c r="DZU13" s="49">
        <v>435</v>
      </c>
      <c r="DZV13" s="49">
        <v>0</v>
      </c>
      <c r="DZW13" s="49">
        <v>376</v>
      </c>
      <c r="DZX13" s="49">
        <v>552</v>
      </c>
      <c r="DZY13" s="49"/>
      <c r="DZZ13" s="64">
        <f t="shared" si="967"/>
        <v>1363</v>
      </c>
      <c r="EAA13" s="68">
        <f t="shared" si="968"/>
        <v>227.16666666666666</v>
      </c>
      <c r="EAB13" s="48"/>
      <c r="EAC13" s="49">
        <v>932</v>
      </c>
      <c r="EAD13" s="49"/>
      <c r="EAE13" s="49"/>
      <c r="EAF13" s="49">
        <v>0</v>
      </c>
      <c r="EAG13" s="49">
        <v>0</v>
      </c>
      <c r="EAH13" s="64">
        <f t="shared" si="969"/>
        <v>932</v>
      </c>
      <c r="EAI13" s="68">
        <f t="shared" si="970"/>
        <v>155.33333333333334</v>
      </c>
      <c r="EAJ13" s="48"/>
      <c r="EAK13" s="49">
        <v>0</v>
      </c>
      <c r="EAL13" s="49">
        <v>444</v>
      </c>
      <c r="EAM13" s="49">
        <v>220</v>
      </c>
      <c r="EAN13" s="49">
        <v>377</v>
      </c>
      <c r="EAO13" s="49">
        <v>0</v>
      </c>
      <c r="EAP13" s="64">
        <f t="shared" si="971"/>
        <v>1041</v>
      </c>
      <c r="EAQ13" s="68">
        <f t="shared" si="1202"/>
        <v>173.5</v>
      </c>
      <c r="EAR13" s="48">
        <v>0</v>
      </c>
      <c r="EAS13" s="49">
        <v>0</v>
      </c>
      <c r="EAT13" s="49">
        <v>0</v>
      </c>
      <c r="EAU13" s="49">
        <v>1457</v>
      </c>
      <c r="EAV13" s="49">
        <v>0</v>
      </c>
      <c r="EAW13" s="49"/>
      <c r="EAX13" s="64">
        <f t="shared" si="972"/>
        <v>1457</v>
      </c>
      <c r="EAY13" s="68">
        <f t="shared" si="973"/>
        <v>242.83333333333334</v>
      </c>
      <c r="EAZ13" s="48"/>
      <c r="EBA13" s="49">
        <v>456</v>
      </c>
      <c r="EBB13" s="49">
        <v>0</v>
      </c>
      <c r="EBC13" s="49"/>
      <c r="EBD13" s="49">
        <v>0</v>
      </c>
      <c r="EBE13" s="49">
        <v>0</v>
      </c>
      <c r="EBF13" s="64">
        <f t="shared" si="974"/>
        <v>456</v>
      </c>
      <c r="EBG13" s="68">
        <f t="shared" si="975"/>
        <v>76</v>
      </c>
      <c r="EBH13" s="48"/>
      <c r="EBI13" s="49">
        <v>447</v>
      </c>
      <c r="EBJ13" s="49">
        <v>220</v>
      </c>
      <c r="EBK13" s="49"/>
      <c r="EBL13" s="49">
        <v>0</v>
      </c>
      <c r="EBM13" s="49">
        <v>209</v>
      </c>
      <c r="EBN13" s="64">
        <f t="shared" si="976"/>
        <v>876</v>
      </c>
      <c r="EBO13" s="68">
        <f t="shared" si="1131"/>
        <v>146</v>
      </c>
      <c r="EBP13" s="48">
        <v>0</v>
      </c>
      <c r="EBQ13" s="49">
        <v>0</v>
      </c>
      <c r="EBR13" s="49"/>
      <c r="EBS13" s="49">
        <v>0</v>
      </c>
      <c r="EBT13" s="49">
        <v>698</v>
      </c>
      <c r="EBU13" s="49">
        <v>0</v>
      </c>
      <c r="EBV13" s="64">
        <f t="shared" si="977"/>
        <v>698</v>
      </c>
      <c r="EBW13" s="68">
        <f t="shared" si="978"/>
        <v>116.33333333333333</v>
      </c>
      <c r="EBX13" s="48">
        <v>0</v>
      </c>
      <c r="EBY13" s="49">
        <v>0</v>
      </c>
      <c r="EBZ13" s="49">
        <v>0</v>
      </c>
      <c r="ECA13" s="49">
        <v>440</v>
      </c>
      <c r="ECB13" s="49">
        <v>0</v>
      </c>
      <c r="ECC13" s="49">
        <v>0</v>
      </c>
      <c r="ECD13" s="64">
        <f t="shared" si="979"/>
        <v>440</v>
      </c>
      <c r="ECE13" s="68">
        <f t="shared" si="980"/>
        <v>73.333333333333329</v>
      </c>
      <c r="ECF13" s="48">
        <v>0</v>
      </c>
      <c r="ECG13" s="49">
        <v>662</v>
      </c>
      <c r="ECH13" s="49">
        <v>221</v>
      </c>
      <c r="ECI13" s="49">
        <v>220</v>
      </c>
      <c r="ECJ13" s="49">
        <v>0</v>
      </c>
      <c r="ECK13" s="49">
        <v>0</v>
      </c>
      <c r="ECL13" s="64">
        <f t="shared" si="981"/>
        <v>1103</v>
      </c>
      <c r="ECM13" s="68">
        <f t="shared" si="982"/>
        <v>183.83333333333334</v>
      </c>
      <c r="ECN13" s="48">
        <v>439</v>
      </c>
      <c r="ECO13" s="49">
        <v>0</v>
      </c>
      <c r="ECP13" s="49">
        <v>223</v>
      </c>
      <c r="ECQ13" s="49"/>
      <c r="ECR13" s="49"/>
      <c r="ECS13" s="49">
        <v>0</v>
      </c>
      <c r="ECT13" s="64">
        <f t="shared" si="983"/>
        <v>662</v>
      </c>
      <c r="ECU13" s="68">
        <f t="shared" si="984"/>
        <v>110.33333333333333</v>
      </c>
      <c r="ECV13" s="48">
        <v>0</v>
      </c>
      <c r="ECW13" s="49">
        <v>442</v>
      </c>
      <c r="ECX13" s="49">
        <v>220</v>
      </c>
      <c r="ECY13" s="49">
        <v>0</v>
      </c>
      <c r="ECZ13" s="49"/>
      <c r="EDA13" s="49">
        <v>0</v>
      </c>
      <c r="EDB13" s="64">
        <f t="shared" si="985"/>
        <v>662</v>
      </c>
      <c r="EDC13" s="68">
        <f t="shared" si="986"/>
        <v>110.33333333333333</v>
      </c>
      <c r="EDD13" s="48">
        <v>440</v>
      </c>
      <c r="EDE13" s="49">
        <v>0</v>
      </c>
      <c r="EDF13" s="49">
        <v>220</v>
      </c>
      <c r="EDG13" s="49">
        <v>0</v>
      </c>
      <c r="EDH13" s="49"/>
      <c r="EDI13" s="49">
        <v>0</v>
      </c>
      <c r="EDJ13" s="64">
        <f t="shared" si="987"/>
        <v>660</v>
      </c>
      <c r="EDK13" s="68">
        <f t="shared" si="988"/>
        <v>110</v>
      </c>
      <c r="EDL13" s="48">
        <v>0</v>
      </c>
      <c r="EDM13" s="49">
        <v>852</v>
      </c>
      <c r="EDN13" s="49">
        <v>0</v>
      </c>
      <c r="EDO13" s="49">
        <f>SUMIF(SUMPK!$B:$B,$B:$B,SUMPK!$O:$O)</f>
        <v>219</v>
      </c>
      <c r="EDP13" s="49"/>
      <c r="EDQ13" s="49">
        <v>0</v>
      </c>
      <c r="EDR13" s="64">
        <f t="shared" si="989"/>
        <v>1071</v>
      </c>
      <c r="EDS13" s="184">
        <f t="shared" si="990"/>
        <v>178.5</v>
      </c>
      <c r="EDT13" s="195">
        <v>679</v>
      </c>
      <c r="EDU13" s="49">
        <v>0</v>
      </c>
      <c r="EDV13" s="49">
        <v>330</v>
      </c>
      <c r="EDW13" s="49">
        <v>0</v>
      </c>
      <c r="EDX13" s="49"/>
      <c r="EDY13" s="49"/>
      <c r="EDZ13" s="64">
        <f t="shared" si="991"/>
        <v>1009</v>
      </c>
      <c r="EEA13" s="184">
        <f t="shared" si="992"/>
        <v>168.16666666666666</v>
      </c>
      <c r="EEB13" s="48">
        <v>0</v>
      </c>
      <c r="EEC13" s="49">
        <v>0</v>
      </c>
      <c r="EED13" s="49">
        <v>0</v>
      </c>
      <c r="EEE13" s="49">
        <v>442</v>
      </c>
      <c r="EEF13" s="49">
        <v>0</v>
      </c>
      <c r="EEG13" s="49"/>
      <c r="EEH13" s="64">
        <f t="shared" si="993"/>
        <v>442</v>
      </c>
      <c r="EEI13" s="68">
        <f t="shared" si="994"/>
        <v>73.666666666666671</v>
      </c>
      <c r="EEJ13" s="48">
        <v>357</v>
      </c>
      <c r="EEK13" s="49">
        <v>0</v>
      </c>
      <c r="EEL13" s="49">
        <v>450</v>
      </c>
      <c r="EEM13" s="49"/>
      <c r="EEN13" s="49"/>
      <c r="EEO13" s="49">
        <v>0</v>
      </c>
      <c r="EEP13" s="64">
        <f t="shared" si="995"/>
        <v>807</v>
      </c>
      <c r="EEQ13" s="68">
        <f t="shared" si="996"/>
        <v>134.5</v>
      </c>
      <c r="EER13" s="48">
        <v>443</v>
      </c>
      <c r="EES13" s="49">
        <v>345</v>
      </c>
      <c r="EET13" s="49"/>
      <c r="EEU13" s="49">
        <v>0</v>
      </c>
      <c r="EEV13" s="49">
        <v>181</v>
      </c>
      <c r="EEW13" s="49"/>
      <c r="EEX13" s="64">
        <f t="shared" si="997"/>
        <v>969</v>
      </c>
      <c r="EEY13" s="68">
        <f t="shared" si="998"/>
        <v>161.5</v>
      </c>
      <c r="EEZ13" s="48">
        <v>227</v>
      </c>
      <c r="EFA13" s="49">
        <v>0</v>
      </c>
      <c r="EFB13" s="49">
        <v>684</v>
      </c>
      <c r="EFC13" s="49">
        <v>0</v>
      </c>
      <c r="EFD13" s="49">
        <v>0</v>
      </c>
      <c r="EFE13" s="49">
        <v>0</v>
      </c>
      <c r="EFF13" s="64">
        <f t="shared" si="999"/>
        <v>911</v>
      </c>
      <c r="EFG13" s="68">
        <f t="shared" si="1000"/>
        <v>151.83333333333334</v>
      </c>
      <c r="EFH13" s="48"/>
      <c r="EFI13" s="49">
        <v>0</v>
      </c>
      <c r="EFJ13" s="49">
        <v>438</v>
      </c>
      <c r="EFK13" s="49">
        <v>0</v>
      </c>
      <c r="EFL13" s="49">
        <v>0</v>
      </c>
      <c r="EFM13" s="49">
        <v>0</v>
      </c>
      <c r="EFN13" s="64">
        <f t="shared" si="1001"/>
        <v>438</v>
      </c>
      <c r="EFO13" s="68">
        <f t="shared" si="1002"/>
        <v>73</v>
      </c>
      <c r="EFP13" s="48">
        <v>330</v>
      </c>
      <c r="EFQ13" s="49"/>
      <c r="EFR13" s="49"/>
      <c r="EFS13" s="49">
        <v>331</v>
      </c>
      <c r="EFT13" s="49">
        <v>0</v>
      </c>
      <c r="EFU13" s="49"/>
      <c r="EFV13" s="64">
        <f t="shared" si="1003"/>
        <v>661</v>
      </c>
      <c r="EFW13" s="68">
        <f t="shared" si="1004"/>
        <v>110.16666666666667</v>
      </c>
      <c r="EFX13" s="48"/>
      <c r="EFY13" s="49">
        <v>0</v>
      </c>
      <c r="EFZ13" s="49">
        <v>0</v>
      </c>
      <c r="EGA13" s="49">
        <v>440</v>
      </c>
      <c r="EGB13" s="49">
        <v>0</v>
      </c>
      <c r="EGC13" s="49">
        <v>0</v>
      </c>
      <c r="EGD13" s="64">
        <f t="shared" si="1005"/>
        <v>440</v>
      </c>
      <c r="EGE13" s="68">
        <f t="shared" si="1006"/>
        <v>73.333333333333329</v>
      </c>
      <c r="EGF13" s="48">
        <v>0</v>
      </c>
      <c r="EGG13" s="49">
        <v>0</v>
      </c>
      <c r="EGH13" s="49"/>
      <c r="EGI13" s="49">
        <v>0</v>
      </c>
      <c r="EGJ13" s="49">
        <v>0</v>
      </c>
      <c r="EGK13" s="49">
        <v>222</v>
      </c>
      <c r="EGL13" s="64">
        <f t="shared" si="1007"/>
        <v>222</v>
      </c>
      <c r="EGM13" s="68">
        <f t="shared" si="1008"/>
        <v>37</v>
      </c>
      <c r="EGN13" s="48">
        <v>221</v>
      </c>
      <c r="EGO13" s="49">
        <v>0</v>
      </c>
      <c r="EGP13" s="49"/>
      <c r="EGQ13" s="49">
        <v>110</v>
      </c>
      <c r="EGR13" s="49"/>
      <c r="EGS13" s="49">
        <v>0</v>
      </c>
      <c r="EGT13" s="64">
        <f t="shared" si="1009"/>
        <v>331</v>
      </c>
      <c r="EGU13" s="68">
        <f t="shared" si="1203"/>
        <v>55.166666666666664</v>
      </c>
      <c r="EGV13" s="48">
        <v>448</v>
      </c>
      <c r="EGW13" s="49">
        <v>0</v>
      </c>
      <c r="EGX13" s="49"/>
      <c r="EGY13" s="49">
        <v>401</v>
      </c>
      <c r="EGZ13" s="49">
        <v>0</v>
      </c>
      <c r="EHA13" s="49"/>
      <c r="EHB13" s="64">
        <f t="shared" si="1010"/>
        <v>849</v>
      </c>
      <c r="EHC13" s="68">
        <f t="shared" si="1011"/>
        <v>141.5</v>
      </c>
      <c r="EHD13" s="48">
        <v>0</v>
      </c>
      <c r="EHE13" s="49">
        <v>519</v>
      </c>
      <c r="EHF13" s="49"/>
      <c r="EHG13" s="49">
        <v>0</v>
      </c>
      <c r="EHH13" s="49">
        <v>439</v>
      </c>
      <c r="EHI13" s="49">
        <v>0</v>
      </c>
      <c r="EHJ13" s="64">
        <f t="shared" si="1012"/>
        <v>958</v>
      </c>
      <c r="EHK13" s="68">
        <f t="shared" si="1013"/>
        <v>159.66666666666666</v>
      </c>
      <c r="EHL13" s="48">
        <v>0</v>
      </c>
      <c r="EHM13" s="49">
        <v>675</v>
      </c>
      <c r="EHN13" s="49">
        <v>222</v>
      </c>
      <c r="EHO13" s="49"/>
      <c r="EHP13" s="49">
        <v>0</v>
      </c>
      <c r="EHQ13" s="49">
        <v>0</v>
      </c>
      <c r="EHR13" s="64">
        <f t="shared" si="1014"/>
        <v>897</v>
      </c>
      <c r="EHS13" s="68">
        <f t="shared" si="1015"/>
        <v>149.5</v>
      </c>
      <c r="EHT13" s="48">
        <v>0</v>
      </c>
      <c r="EHU13" s="49"/>
      <c r="EHV13" s="49"/>
      <c r="EHW13" s="49">
        <v>219</v>
      </c>
      <c r="EHX13" s="49"/>
      <c r="EHY13" s="49">
        <v>437</v>
      </c>
      <c r="EHZ13" s="64">
        <f t="shared" si="1016"/>
        <v>656</v>
      </c>
      <c r="EIA13" s="68">
        <f t="shared" si="1017"/>
        <v>109.33333333333333</v>
      </c>
      <c r="EIB13" s="48"/>
      <c r="EIC13" s="49"/>
      <c r="EID13" s="49">
        <v>0</v>
      </c>
      <c r="EIE13" s="49">
        <v>0</v>
      </c>
      <c r="EIF13" s="49">
        <v>437</v>
      </c>
      <c r="EIG13" s="49">
        <v>220</v>
      </c>
      <c r="EIH13" s="64">
        <f t="shared" si="1018"/>
        <v>657</v>
      </c>
      <c r="EII13" s="68">
        <f t="shared" si="1019"/>
        <v>109.5</v>
      </c>
      <c r="EIJ13" s="48">
        <v>0</v>
      </c>
      <c r="EIK13" s="49">
        <v>218</v>
      </c>
      <c r="EIL13" s="49"/>
      <c r="EIM13" s="49">
        <v>0</v>
      </c>
      <c r="EIN13" s="49">
        <v>605</v>
      </c>
      <c r="EIO13" s="49">
        <v>0</v>
      </c>
      <c r="EIP13" s="64">
        <f t="shared" si="1020"/>
        <v>823</v>
      </c>
      <c r="EIQ13" s="68">
        <f t="shared" si="1021"/>
        <v>137.16666666666666</v>
      </c>
      <c r="EIR13" s="48">
        <v>220</v>
      </c>
      <c r="EIS13" s="49">
        <v>0</v>
      </c>
      <c r="EIT13" s="49">
        <v>0</v>
      </c>
      <c r="EIU13" s="49">
        <v>331</v>
      </c>
      <c r="EIV13" s="49"/>
      <c r="EIW13" s="49"/>
      <c r="EIX13" s="64">
        <f t="shared" si="1022"/>
        <v>551</v>
      </c>
      <c r="EIY13" s="68">
        <f t="shared" si="1023"/>
        <v>91.833333333333329</v>
      </c>
      <c r="EIZ13" s="48">
        <v>0</v>
      </c>
      <c r="EJA13" s="49">
        <v>821</v>
      </c>
      <c r="EJB13" s="49">
        <v>220</v>
      </c>
      <c r="EJC13" s="49">
        <v>0</v>
      </c>
      <c r="EJD13" s="49">
        <v>0</v>
      </c>
      <c r="EJE13" s="49">
        <v>878</v>
      </c>
      <c r="EJF13" s="64">
        <f t="shared" si="1024"/>
        <v>1919</v>
      </c>
      <c r="EJG13" s="68">
        <f t="shared" si="1025"/>
        <v>319.83333333333331</v>
      </c>
      <c r="EJH13" s="48">
        <v>0</v>
      </c>
      <c r="EJI13" s="49">
        <v>0</v>
      </c>
      <c r="EJJ13" s="49">
        <v>210</v>
      </c>
      <c r="EJK13" s="49">
        <v>0</v>
      </c>
      <c r="EJL13" s="49"/>
      <c r="EJM13" s="49"/>
      <c r="EJN13" s="64">
        <f t="shared" si="1026"/>
        <v>210</v>
      </c>
      <c r="EJO13" s="68">
        <f t="shared" si="1027"/>
        <v>35</v>
      </c>
      <c r="EJP13" s="48">
        <v>330</v>
      </c>
      <c r="EJQ13" s="49">
        <v>269</v>
      </c>
      <c r="EJR13" s="49">
        <v>0</v>
      </c>
      <c r="EJS13" s="49">
        <v>0</v>
      </c>
      <c r="EJT13" s="49">
        <v>220</v>
      </c>
      <c r="EJU13" s="49">
        <v>221</v>
      </c>
      <c r="EJV13" s="64">
        <f t="shared" si="1028"/>
        <v>1040</v>
      </c>
      <c r="EJW13" s="68">
        <f t="shared" si="1029"/>
        <v>173.33333333333334</v>
      </c>
      <c r="EJX13" s="48">
        <v>0</v>
      </c>
      <c r="EJY13" s="49">
        <v>0</v>
      </c>
      <c r="EJZ13" s="49">
        <v>416</v>
      </c>
      <c r="EKA13" s="49">
        <v>220</v>
      </c>
      <c r="EKB13" s="49"/>
      <c r="EKC13" s="49"/>
      <c r="EKD13" s="64">
        <f t="shared" si="1030"/>
        <v>636</v>
      </c>
      <c r="EKE13" s="68">
        <f t="shared" si="1031"/>
        <v>106</v>
      </c>
      <c r="EKF13" s="48">
        <v>220</v>
      </c>
      <c r="EKG13" s="49">
        <v>0</v>
      </c>
      <c r="EKH13" s="49"/>
      <c r="EKI13" s="49"/>
      <c r="EKJ13" s="49">
        <v>599</v>
      </c>
      <c r="EKK13" s="49">
        <v>0</v>
      </c>
      <c r="EKL13" s="64">
        <f t="shared" si="1032"/>
        <v>819</v>
      </c>
      <c r="EKM13" s="68">
        <f t="shared" si="1033"/>
        <v>136.5</v>
      </c>
      <c r="EKN13" s="48"/>
      <c r="EKO13" s="49">
        <v>462</v>
      </c>
      <c r="EKP13" s="49">
        <v>0</v>
      </c>
      <c r="EKQ13" s="49">
        <v>0</v>
      </c>
      <c r="EKR13" s="49">
        <v>0</v>
      </c>
      <c r="EKS13" s="49">
        <v>0</v>
      </c>
      <c r="EKT13" s="64">
        <f t="shared" si="1034"/>
        <v>462</v>
      </c>
      <c r="EKU13" s="184">
        <f t="shared" si="1035"/>
        <v>77</v>
      </c>
      <c r="EKV13" s="665"/>
      <c r="EKW13" s="195">
        <v>0</v>
      </c>
      <c r="EKX13" s="49">
        <v>319</v>
      </c>
      <c r="EKY13" s="49">
        <v>439</v>
      </c>
      <c r="EKZ13" s="49">
        <v>0</v>
      </c>
      <c r="ELA13" s="49"/>
      <c r="ELB13" s="49">
        <v>0</v>
      </c>
      <c r="ELC13" s="64">
        <f t="shared" si="1036"/>
        <v>758</v>
      </c>
      <c r="ELD13" s="211">
        <f t="shared" si="1037"/>
        <v>126.33333333333333</v>
      </c>
      <c r="ELE13" s="195">
        <v>440</v>
      </c>
      <c r="ELF13" s="49">
        <v>0</v>
      </c>
      <c r="ELG13" s="49">
        <v>220</v>
      </c>
      <c r="ELH13" s="49">
        <v>0</v>
      </c>
      <c r="ELI13" s="49">
        <v>220</v>
      </c>
      <c r="ELJ13" s="49">
        <v>0</v>
      </c>
      <c r="ELK13" s="64">
        <f t="shared" si="1038"/>
        <v>880</v>
      </c>
      <c r="ELL13" s="211">
        <f t="shared" si="1039"/>
        <v>146.66666666666666</v>
      </c>
      <c r="ELM13" s="195">
        <v>0</v>
      </c>
      <c r="ELN13" s="49">
        <v>0</v>
      </c>
      <c r="ELO13" s="49">
        <v>455</v>
      </c>
      <c r="ELP13" s="49"/>
      <c r="ELQ13" s="49">
        <v>111</v>
      </c>
      <c r="ELR13" s="49">
        <v>0</v>
      </c>
      <c r="ELS13" s="64">
        <f t="shared" si="1040"/>
        <v>566</v>
      </c>
      <c r="ELT13" s="211">
        <f t="shared" si="1041"/>
        <v>94.333333333333329</v>
      </c>
      <c r="ELU13" s="195">
        <v>0</v>
      </c>
      <c r="ELV13" s="49">
        <v>441</v>
      </c>
      <c r="ELW13" s="49">
        <v>218</v>
      </c>
      <c r="ELX13" s="49">
        <v>0</v>
      </c>
      <c r="ELY13" s="49"/>
      <c r="ELZ13" s="49">
        <v>437</v>
      </c>
      <c r="EMA13" s="64">
        <f t="shared" si="1042"/>
        <v>1096</v>
      </c>
      <c r="EMB13" s="211">
        <f t="shared" si="1043"/>
        <v>182.66666666666666</v>
      </c>
      <c r="EMC13" s="195"/>
      <c r="EMD13" s="49">
        <v>0</v>
      </c>
      <c r="EME13" s="49">
        <v>0</v>
      </c>
      <c r="EMF13" s="49">
        <v>446</v>
      </c>
      <c r="EMG13" s="49">
        <v>0</v>
      </c>
      <c r="EMH13" s="49">
        <v>550</v>
      </c>
      <c r="EMI13" s="64">
        <f t="shared" si="1044"/>
        <v>996</v>
      </c>
      <c r="EMJ13" s="211">
        <f t="shared" si="1045"/>
        <v>166</v>
      </c>
      <c r="EMK13" s="195">
        <v>91</v>
      </c>
      <c r="EML13" s="49"/>
      <c r="EMM13" s="49">
        <v>0</v>
      </c>
      <c r="EMN13" s="49">
        <v>440</v>
      </c>
      <c r="EMO13" s="49">
        <v>0</v>
      </c>
      <c r="EMP13" s="49">
        <v>0</v>
      </c>
      <c r="EMQ13" s="64">
        <f t="shared" si="1046"/>
        <v>531</v>
      </c>
      <c r="EMR13" s="211">
        <f t="shared" si="1047"/>
        <v>88.5</v>
      </c>
      <c r="EMS13" s="195">
        <v>769</v>
      </c>
      <c r="EMT13" s="49">
        <v>0</v>
      </c>
      <c r="EMU13" s="49">
        <v>0</v>
      </c>
      <c r="EMV13" s="49">
        <v>445</v>
      </c>
      <c r="EMW13" s="49">
        <v>0</v>
      </c>
      <c r="EMX13" s="49">
        <v>0</v>
      </c>
      <c r="EMY13" s="64">
        <f t="shared" si="1048"/>
        <v>1214</v>
      </c>
      <c r="EMZ13" s="211">
        <f t="shared" si="1049"/>
        <v>202.33333333333334</v>
      </c>
      <c r="ENA13" s="195">
        <v>0</v>
      </c>
      <c r="ENB13" s="49">
        <v>0</v>
      </c>
      <c r="ENC13" s="49">
        <v>0</v>
      </c>
      <c r="END13" s="49">
        <v>737</v>
      </c>
      <c r="ENE13" s="49"/>
      <c r="ENF13" s="49">
        <v>0</v>
      </c>
      <c r="ENG13" s="64">
        <f t="shared" si="1050"/>
        <v>737</v>
      </c>
      <c r="ENH13" s="211">
        <f t="shared" si="1051"/>
        <v>122.83333333333333</v>
      </c>
      <c r="ENI13" s="195">
        <v>0</v>
      </c>
      <c r="ENJ13" s="49"/>
      <c r="ENK13" s="49">
        <v>0</v>
      </c>
      <c r="ENL13" s="49">
        <v>0</v>
      </c>
      <c r="ENM13" s="49">
        <v>0</v>
      </c>
      <c r="ENN13" s="49">
        <v>426</v>
      </c>
      <c r="ENO13" s="64">
        <f t="shared" si="1052"/>
        <v>426</v>
      </c>
      <c r="ENP13" s="211">
        <f t="shared" si="1053"/>
        <v>71</v>
      </c>
      <c r="ENQ13" s="195">
        <v>0</v>
      </c>
      <c r="ENR13" s="49">
        <v>769</v>
      </c>
      <c r="ENS13" s="49">
        <v>0</v>
      </c>
      <c r="ENT13" s="49">
        <v>0</v>
      </c>
      <c r="ENU13" s="49">
        <v>0</v>
      </c>
      <c r="ENV13" s="49">
        <v>219</v>
      </c>
      <c r="ENW13" s="64">
        <f t="shared" si="1054"/>
        <v>988</v>
      </c>
      <c r="ENX13" s="211">
        <f t="shared" si="1055"/>
        <v>164.66666666666666</v>
      </c>
      <c r="ENY13" s="195"/>
      <c r="ENZ13" s="49">
        <v>0</v>
      </c>
      <c r="EOA13" s="49">
        <v>0</v>
      </c>
      <c r="EOB13" s="49">
        <v>432</v>
      </c>
      <c r="EOC13" s="49">
        <v>444</v>
      </c>
      <c r="EOD13" s="49">
        <v>0</v>
      </c>
      <c r="EOE13" s="64">
        <f t="shared" si="1056"/>
        <v>876</v>
      </c>
      <c r="EOF13" s="211">
        <f t="shared" si="1057"/>
        <v>146</v>
      </c>
      <c r="EOG13" s="195"/>
      <c r="EOH13" s="360">
        <f>SUMIF(SUMPK!$B:$B,$B:$B,SUMPK!$O:$O)</f>
        <v>219</v>
      </c>
      <c r="EOI13" s="49">
        <v>332</v>
      </c>
      <c r="EOJ13" s="49">
        <v>0</v>
      </c>
      <c r="EOK13" s="49">
        <v>225</v>
      </c>
      <c r="EOL13" s="49">
        <v>0</v>
      </c>
      <c r="EOM13" s="64">
        <f t="shared" si="1058"/>
        <v>776</v>
      </c>
      <c r="EON13" s="211">
        <f t="shared" si="1059"/>
        <v>129.33333333333334</v>
      </c>
      <c r="EOO13" s="195">
        <v>0</v>
      </c>
      <c r="EOP13" s="49">
        <v>0</v>
      </c>
      <c r="EOQ13" s="49">
        <v>0</v>
      </c>
      <c r="EOR13" s="49">
        <v>0</v>
      </c>
      <c r="EOS13" s="49">
        <v>0</v>
      </c>
      <c r="EOT13" s="49">
        <v>0</v>
      </c>
      <c r="EOU13" s="64">
        <f t="shared" si="1060"/>
        <v>0</v>
      </c>
      <c r="EOV13" s="211">
        <f t="shared" si="1061"/>
        <v>0</v>
      </c>
      <c r="EOW13" s="195">
        <v>229</v>
      </c>
      <c r="EOX13" s="49">
        <v>0</v>
      </c>
      <c r="EOY13" s="49">
        <v>606</v>
      </c>
      <c r="EOZ13" s="49">
        <v>0</v>
      </c>
      <c r="EPA13" s="49">
        <v>0</v>
      </c>
      <c r="EPB13" s="49">
        <v>441</v>
      </c>
      <c r="EPC13" s="64">
        <f t="shared" si="1062"/>
        <v>1276</v>
      </c>
      <c r="EPD13" s="211">
        <f t="shared" si="1063"/>
        <v>212.66666666666666</v>
      </c>
      <c r="EPE13" s="195">
        <v>0</v>
      </c>
      <c r="EPF13" s="49">
        <f>SUMIF(SUMPK!$B:$B,$B:$B,SUMPK!$O:$O)</f>
        <v>219</v>
      </c>
      <c r="EPG13" s="49">
        <v>860</v>
      </c>
      <c r="EPH13" s="49">
        <v>0</v>
      </c>
      <c r="EPI13" s="49">
        <v>440</v>
      </c>
      <c r="EPJ13" s="49">
        <v>0</v>
      </c>
      <c r="EPK13" s="64">
        <f t="shared" si="1064"/>
        <v>1519</v>
      </c>
      <c r="EPL13" s="211">
        <f t="shared" si="1065"/>
        <v>253.16666666666666</v>
      </c>
      <c r="EPM13" s="195"/>
      <c r="EPN13" s="49">
        <v>0</v>
      </c>
      <c r="EPO13" s="49">
        <v>0</v>
      </c>
      <c r="EPP13" s="49">
        <v>0</v>
      </c>
      <c r="EPQ13" s="49">
        <v>901</v>
      </c>
      <c r="EPR13" s="49">
        <v>0</v>
      </c>
      <c r="EPS13" s="64">
        <f t="shared" si="1066"/>
        <v>901</v>
      </c>
      <c r="EPT13" s="211">
        <f t="shared" si="1067"/>
        <v>150.16666666666666</v>
      </c>
      <c r="EPU13" s="195">
        <v>0</v>
      </c>
      <c r="EPV13" s="49">
        <v>0</v>
      </c>
      <c r="EPW13" s="49">
        <v>331</v>
      </c>
      <c r="EPX13" s="49">
        <v>0</v>
      </c>
      <c r="EPY13" s="49">
        <v>440</v>
      </c>
      <c r="EPZ13" s="49">
        <v>0</v>
      </c>
      <c r="EQA13" s="64">
        <f t="shared" si="1068"/>
        <v>771</v>
      </c>
      <c r="EQB13" s="211">
        <f t="shared" si="1069"/>
        <v>128.5</v>
      </c>
      <c r="EQC13" s="195">
        <v>0</v>
      </c>
      <c r="EQD13" s="49">
        <v>330</v>
      </c>
      <c r="EQE13" s="49">
        <v>219</v>
      </c>
      <c r="EQF13" s="49">
        <v>0</v>
      </c>
      <c r="EQG13" s="49">
        <v>0</v>
      </c>
      <c r="EQH13" s="49">
        <v>0</v>
      </c>
      <c r="EQI13" s="64">
        <f t="shared" si="1070"/>
        <v>549</v>
      </c>
      <c r="EQJ13" s="211">
        <f t="shared" si="1071"/>
        <v>91.5</v>
      </c>
      <c r="EQK13" s="195"/>
      <c r="EQL13" s="49">
        <v>900</v>
      </c>
      <c r="EQM13" s="49">
        <v>0</v>
      </c>
      <c r="EQN13" s="49"/>
      <c r="EQO13" s="49">
        <v>0</v>
      </c>
      <c r="EQP13" s="49">
        <v>0</v>
      </c>
      <c r="EQQ13" s="64">
        <f t="shared" si="1072"/>
        <v>900</v>
      </c>
      <c r="EQR13" s="211">
        <f t="shared" si="1073"/>
        <v>150</v>
      </c>
      <c r="EQS13" s="195">
        <v>0</v>
      </c>
      <c r="EQT13" s="49">
        <v>0</v>
      </c>
      <c r="EQU13" s="49">
        <v>442</v>
      </c>
      <c r="EQV13" s="49"/>
      <c r="EQW13" s="49">
        <v>0</v>
      </c>
      <c r="EQX13" s="49">
        <v>0</v>
      </c>
      <c r="EQY13" s="64">
        <f t="shared" si="1074"/>
        <v>442</v>
      </c>
      <c r="EQZ13" s="211">
        <f t="shared" si="1075"/>
        <v>73.666666666666671</v>
      </c>
      <c r="ERA13" s="195">
        <v>601</v>
      </c>
      <c r="ERB13" s="49">
        <v>0</v>
      </c>
      <c r="ERC13" s="49">
        <v>0</v>
      </c>
      <c r="ERD13" s="49">
        <v>440</v>
      </c>
      <c r="ERE13" s="49">
        <v>0</v>
      </c>
      <c r="ERF13" s="49"/>
      <c r="ERG13" s="64">
        <f t="shared" si="1076"/>
        <v>1041</v>
      </c>
      <c r="ERH13" s="211">
        <f t="shared" si="1077"/>
        <v>173.5</v>
      </c>
      <c r="ERI13" s="195">
        <v>0</v>
      </c>
      <c r="ERJ13" s="49">
        <v>0</v>
      </c>
      <c r="ERK13" s="49"/>
      <c r="ERL13" s="49">
        <v>439</v>
      </c>
      <c r="ERM13" s="49">
        <v>0</v>
      </c>
      <c r="ERN13" s="49"/>
      <c r="ERO13" s="64">
        <f t="shared" si="1078"/>
        <v>439</v>
      </c>
      <c r="ERP13" s="211">
        <f t="shared" si="1079"/>
        <v>73.166666666666671</v>
      </c>
      <c r="ERQ13" s="195"/>
      <c r="ERR13" s="49">
        <v>0</v>
      </c>
      <c r="ERS13" s="49">
        <v>330</v>
      </c>
      <c r="ERT13" s="49">
        <v>0</v>
      </c>
      <c r="ERU13" s="49">
        <v>0</v>
      </c>
      <c r="ERV13" s="49">
        <v>0</v>
      </c>
      <c r="ERW13" s="64">
        <f t="shared" si="1080"/>
        <v>330</v>
      </c>
      <c r="ERX13" s="211">
        <f t="shared" si="1081"/>
        <v>55</v>
      </c>
      <c r="ERY13" s="195">
        <v>640</v>
      </c>
      <c r="ERZ13" s="49">
        <v>0</v>
      </c>
      <c r="ESA13" s="49">
        <v>0</v>
      </c>
      <c r="ESB13" s="49"/>
      <c r="ESC13" s="49"/>
      <c r="ESD13" s="49">
        <v>0</v>
      </c>
      <c r="ESE13" s="64">
        <f t="shared" si="1082"/>
        <v>640</v>
      </c>
      <c r="ESF13" s="211">
        <f t="shared" si="1083"/>
        <v>106.66666666666667</v>
      </c>
      <c r="ESG13" s="195">
        <v>439</v>
      </c>
      <c r="ESH13" s="49">
        <v>330</v>
      </c>
      <c r="ESI13" s="49">
        <v>0</v>
      </c>
      <c r="ESJ13" s="49">
        <v>0</v>
      </c>
      <c r="ESK13" s="49"/>
      <c r="ESL13" s="49">
        <v>0</v>
      </c>
      <c r="ESM13" s="64">
        <f t="shared" si="1084"/>
        <v>769</v>
      </c>
      <c r="ESN13" s="211">
        <f t="shared" si="1085"/>
        <v>128.16666666666666</v>
      </c>
      <c r="ESO13" s="458">
        <v>226</v>
      </c>
      <c r="ESP13" s="83"/>
      <c r="ESQ13" s="83">
        <v>0</v>
      </c>
      <c r="ESR13" s="83">
        <v>441</v>
      </c>
      <c r="ESS13" s="83"/>
      <c r="EST13" s="83">
        <v>0</v>
      </c>
      <c r="ESU13" s="64">
        <f t="shared" si="1086"/>
        <v>667</v>
      </c>
      <c r="ESV13" s="211">
        <f t="shared" si="1087"/>
        <v>111.16666666666667</v>
      </c>
      <c r="ESW13" s="195"/>
      <c r="ESX13" s="49"/>
      <c r="ESY13" s="49"/>
      <c r="ESZ13" s="49">
        <v>0</v>
      </c>
      <c r="ETA13" s="49">
        <v>0</v>
      </c>
      <c r="ETB13" s="49">
        <v>444</v>
      </c>
      <c r="ETC13" s="808">
        <f t="shared" si="1088"/>
        <v>444</v>
      </c>
      <c r="ETD13" s="211">
        <f t="shared" si="1089"/>
        <v>74</v>
      </c>
      <c r="ETE13" s="195">
        <v>0</v>
      </c>
      <c r="ETF13" s="49">
        <v>456</v>
      </c>
      <c r="ETG13" s="49">
        <v>0</v>
      </c>
      <c r="ETH13" s="49">
        <v>0</v>
      </c>
      <c r="ETI13" s="49"/>
      <c r="ETJ13" s="49">
        <v>377</v>
      </c>
      <c r="ETK13" s="808">
        <f t="shared" si="1090"/>
        <v>833</v>
      </c>
      <c r="ETL13" s="211">
        <f t="shared" si="1091"/>
        <v>138.83333333333334</v>
      </c>
      <c r="ETM13" s="814"/>
      <c r="ETN13" s="815">
        <v>381</v>
      </c>
      <c r="ETO13" s="815">
        <v>0</v>
      </c>
      <c r="ETP13" s="815">
        <v>441</v>
      </c>
      <c r="ETQ13" s="815">
        <v>464</v>
      </c>
      <c r="ETR13" s="815">
        <v>0</v>
      </c>
      <c r="ETS13" s="808">
        <f t="shared" si="1092"/>
        <v>1286</v>
      </c>
      <c r="ETT13" s="211">
        <f t="shared" si="1093"/>
        <v>214.33333333333334</v>
      </c>
      <c r="ETU13" s="458">
        <v>0</v>
      </c>
      <c r="ETV13" s="83">
        <v>0</v>
      </c>
      <c r="ETW13" s="83"/>
      <c r="ETX13" s="83">
        <v>0</v>
      </c>
      <c r="ETY13" s="83">
        <v>220</v>
      </c>
      <c r="ETZ13" s="83">
        <v>0</v>
      </c>
      <c r="EUA13" s="808">
        <f t="shared" si="1094"/>
        <v>220</v>
      </c>
      <c r="EUB13" s="211">
        <f t="shared" si="1095"/>
        <v>36.666666666666664</v>
      </c>
      <c r="EUC13" s="458">
        <v>0</v>
      </c>
      <c r="EUD13" s="83">
        <v>446</v>
      </c>
      <c r="EUE13" s="83"/>
      <c r="EUF13" s="83">
        <v>0</v>
      </c>
      <c r="EUG13" s="83">
        <v>0</v>
      </c>
      <c r="EUH13" s="83">
        <v>0</v>
      </c>
      <c r="EUI13" s="808">
        <f t="shared" si="1096"/>
        <v>446</v>
      </c>
      <c r="EUJ13" s="211">
        <f t="shared" si="1097"/>
        <v>74.333333333333329</v>
      </c>
      <c r="EUK13" s="195"/>
      <c r="EUL13" s="49">
        <v>110</v>
      </c>
      <c r="EUM13" s="49">
        <v>331</v>
      </c>
      <c r="EUN13" s="49">
        <f>SUMIF(SUMPK!$B:$B,$B:$B,SUMPK!$O:$O)</f>
        <v>219</v>
      </c>
      <c r="EUO13" s="49">
        <v>0</v>
      </c>
      <c r="EUP13" s="49">
        <v>450</v>
      </c>
      <c r="EUQ13" s="808">
        <f t="shared" si="1098"/>
        <v>1110</v>
      </c>
      <c r="EUR13" s="211">
        <f t="shared" si="1099"/>
        <v>185</v>
      </c>
      <c r="EUS13" s="195">
        <v>0</v>
      </c>
      <c r="EUT13" s="49">
        <v>221</v>
      </c>
      <c r="EUU13" s="49">
        <v>0</v>
      </c>
      <c r="EUV13" s="49">
        <v>0</v>
      </c>
      <c r="EUW13" s="49"/>
      <c r="EUX13" s="49">
        <v>220</v>
      </c>
      <c r="EUY13" s="808">
        <f t="shared" si="1100"/>
        <v>441</v>
      </c>
      <c r="EUZ13" s="211">
        <f t="shared" si="1101"/>
        <v>73.5</v>
      </c>
      <c r="EVA13" s="195">
        <v>0</v>
      </c>
      <c r="EVB13" s="49">
        <v>43</v>
      </c>
      <c r="EVC13" s="49">
        <v>441</v>
      </c>
      <c r="EVD13" s="49"/>
      <c r="EVE13" s="49">
        <v>0</v>
      </c>
      <c r="EVF13" s="49">
        <v>442</v>
      </c>
      <c r="EVG13" s="808">
        <f t="shared" si="1102"/>
        <v>926</v>
      </c>
      <c r="EVH13" s="211">
        <f t="shared" si="1103"/>
        <v>154.33333333333334</v>
      </c>
      <c r="EVI13" s="195">
        <v>445</v>
      </c>
      <c r="EVJ13" s="49">
        <v>0</v>
      </c>
      <c r="EVK13" s="49">
        <v>0</v>
      </c>
      <c r="EVL13" s="49"/>
      <c r="EVM13" s="49"/>
      <c r="EVN13" s="49">
        <v>612</v>
      </c>
      <c r="EVO13" s="808">
        <f t="shared" si="1104"/>
        <v>1057</v>
      </c>
      <c r="EVP13" s="211">
        <f t="shared" si="1105"/>
        <v>176.16666666666666</v>
      </c>
      <c r="EVQ13" s="195">
        <v>0</v>
      </c>
      <c r="EVR13" s="49">
        <v>0</v>
      </c>
      <c r="EVS13" s="49">
        <v>767</v>
      </c>
      <c r="EVT13" s="49"/>
      <c r="EVU13" s="49">
        <v>0</v>
      </c>
      <c r="EVV13" s="49">
        <v>0</v>
      </c>
      <c r="EVW13" s="808">
        <f t="shared" si="1106"/>
        <v>767</v>
      </c>
      <c r="EVX13" s="211">
        <f t="shared" si="1107"/>
        <v>127.83333333333333</v>
      </c>
      <c r="EVY13" s="195">
        <v>0</v>
      </c>
      <c r="EVZ13" s="49">
        <v>0</v>
      </c>
      <c r="EWA13" s="49"/>
      <c r="EWB13" s="49">
        <v>0</v>
      </c>
      <c r="EWC13" s="49">
        <v>217</v>
      </c>
      <c r="EWD13" s="49">
        <v>350</v>
      </c>
      <c r="EWE13" s="808">
        <f t="shared" si="1108"/>
        <v>567</v>
      </c>
      <c r="EWF13" s="211">
        <f t="shared" si="1109"/>
        <v>94.5</v>
      </c>
      <c r="EWG13" s="195"/>
      <c r="EWH13" s="49">
        <v>0</v>
      </c>
      <c r="EWI13" s="49">
        <v>220</v>
      </c>
      <c r="EWJ13" s="49">
        <v>220</v>
      </c>
      <c r="EWK13" s="49">
        <v>0</v>
      </c>
      <c r="EWL13" s="49">
        <v>0</v>
      </c>
      <c r="EWM13" s="808">
        <f t="shared" si="1110"/>
        <v>440</v>
      </c>
      <c r="EWN13" s="211">
        <f t="shared" si="175"/>
        <v>73.333333333333329</v>
      </c>
      <c r="EWO13" s="195">
        <v>440</v>
      </c>
      <c r="EWP13" s="49">
        <v>0</v>
      </c>
      <c r="EWQ13" s="49">
        <v>0</v>
      </c>
      <c r="EWR13" s="49">
        <v>0</v>
      </c>
      <c r="EWS13" s="49">
        <v>222</v>
      </c>
      <c r="EWT13" s="49">
        <v>0</v>
      </c>
      <c r="EWU13" s="808">
        <f t="shared" si="1111"/>
        <v>662</v>
      </c>
      <c r="EWV13" s="211">
        <f t="shared" si="1112"/>
        <v>110.33333333333333</v>
      </c>
      <c r="EWW13" s="195"/>
      <c r="EWX13" s="49"/>
      <c r="EWY13" s="49">
        <v>0</v>
      </c>
      <c r="EWZ13" s="49">
        <v>212</v>
      </c>
      <c r="EXA13" s="49">
        <v>331</v>
      </c>
      <c r="EXB13" s="49"/>
      <c r="EXC13" s="808">
        <f t="shared" si="1113"/>
        <v>543</v>
      </c>
      <c r="EXD13" s="211">
        <f t="shared" si="1114"/>
        <v>90.5</v>
      </c>
      <c r="EXE13" s="195">
        <v>0</v>
      </c>
      <c r="EXF13" s="49">
        <v>0</v>
      </c>
      <c r="EXG13" s="49"/>
      <c r="EXH13" s="49">
        <v>220</v>
      </c>
      <c r="EXI13" s="49">
        <v>212</v>
      </c>
      <c r="EXJ13" s="49">
        <v>0</v>
      </c>
      <c r="EXK13" s="808">
        <f t="shared" si="1115"/>
        <v>432</v>
      </c>
      <c r="EXL13" s="211">
        <f t="shared" si="1116"/>
        <v>72</v>
      </c>
      <c r="EXM13" s="458">
        <v>0</v>
      </c>
      <c r="EXN13" s="83">
        <v>227</v>
      </c>
      <c r="EXO13" s="83">
        <v>552</v>
      </c>
      <c r="EXP13" s="83">
        <v>0</v>
      </c>
      <c r="EXQ13" s="83"/>
      <c r="EXR13" s="83">
        <v>439</v>
      </c>
      <c r="EXS13" s="808">
        <f t="shared" si="1117"/>
        <v>1218</v>
      </c>
      <c r="EXT13" s="211">
        <f t="shared" si="1118"/>
        <v>203</v>
      </c>
      <c r="EXU13" s="195">
        <v>620</v>
      </c>
      <c r="EXV13" s="49"/>
      <c r="EXW13" s="49"/>
      <c r="EXX13" s="49">
        <v>220</v>
      </c>
      <c r="EXY13" s="49"/>
      <c r="EXZ13" s="49">
        <v>0</v>
      </c>
      <c r="EYA13" s="808">
        <f t="shared" si="1119"/>
        <v>840</v>
      </c>
      <c r="EYB13" s="211">
        <f t="shared" si="1120"/>
        <v>140</v>
      </c>
      <c r="EYC13" s="195">
        <v>0</v>
      </c>
      <c r="EYD13" s="49"/>
      <c r="EYE13" s="49">
        <v>424</v>
      </c>
      <c r="EYF13" s="49">
        <v>0</v>
      </c>
      <c r="EYG13" s="49">
        <v>606</v>
      </c>
      <c r="EYH13" s="49">
        <v>0</v>
      </c>
      <c r="EYI13" s="808">
        <f t="shared" si="1121"/>
        <v>1030</v>
      </c>
      <c r="EYJ13" s="211">
        <f t="shared" si="1122"/>
        <v>171.66666666666666</v>
      </c>
      <c r="EYK13" s="195">
        <v>0</v>
      </c>
      <c r="EYL13" s="49">
        <v>112</v>
      </c>
      <c r="EYM13" s="49">
        <v>334</v>
      </c>
      <c r="EYN13" s="49">
        <v>0</v>
      </c>
      <c r="EYO13" s="49">
        <v>442</v>
      </c>
      <c r="EYP13" s="49">
        <v>0</v>
      </c>
      <c r="EYQ13" s="808">
        <f t="shared" si="1123"/>
        <v>888</v>
      </c>
      <c r="EYR13" s="211">
        <f t="shared" si="1124"/>
        <v>148</v>
      </c>
      <c r="EYS13" s="195">
        <v>0</v>
      </c>
      <c r="EYT13" s="49">
        <v>0</v>
      </c>
      <c r="EYU13" s="49">
        <v>0</v>
      </c>
      <c r="EYV13" s="49"/>
      <c r="EYW13" s="49"/>
      <c r="EYX13" s="49"/>
      <c r="EYY13" s="872">
        <f t="shared" si="1125"/>
        <v>0</v>
      </c>
      <c r="EYZ13" s="873">
        <f t="shared" si="1126"/>
        <v>0</v>
      </c>
      <c r="EZA13" s="195">
        <v>0</v>
      </c>
      <c r="EZB13" s="49">
        <v>220</v>
      </c>
      <c r="EZC13" s="49">
        <v>220</v>
      </c>
      <c r="EZD13" s="49">
        <v>0</v>
      </c>
      <c r="EZE13" s="49"/>
      <c r="EZF13" s="49">
        <v>0</v>
      </c>
      <c r="EZG13" s="872">
        <f t="shared" si="1127"/>
        <v>440</v>
      </c>
      <c r="EZH13" s="873">
        <f t="shared" si="1128"/>
        <v>73.333333333333329</v>
      </c>
      <c r="EZI13" s="195"/>
      <c r="EZJ13" s="49">
        <v>0</v>
      </c>
      <c r="EZK13" s="49">
        <v>471</v>
      </c>
      <c r="EZL13" s="49"/>
      <c r="EZM13" s="49"/>
      <c r="EZN13" s="49"/>
      <c r="EZO13" s="872">
        <f t="shared" si="1129"/>
        <v>471</v>
      </c>
      <c r="EZP13" s="873">
        <f t="shared" si="1130"/>
        <v>78.5</v>
      </c>
    </row>
    <row r="14" spans="1:4072" s="8" customFormat="1" ht="15" customHeight="1" x14ac:dyDescent="0.2">
      <c r="A14" s="301">
        <v>8</v>
      </c>
      <c r="B14" s="21" t="s">
        <v>121</v>
      </c>
      <c r="C14" s="275" t="s">
        <v>122</v>
      </c>
      <c r="D14" s="21">
        <v>25</v>
      </c>
      <c r="E14" s="24"/>
      <c r="F14" s="24">
        <v>1264</v>
      </c>
      <c r="G14" s="24"/>
      <c r="H14" s="24"/>
      <c r="I14" s="360"/>
      <c r="J14" s="360">
        <f>SUMIF(SUMPK!$B:$B,$B:$B,SUMPK!$O:$O)</f>
        <v>0</v>
      </c>
      <c r="K14" s="15">
        <f t="shared" ref="K14:K21" si="1204">E14+G14-I14</f>
        <v>0</v>
      </c>
      <c r="L14" s="24">
        <f>F14+H14-J14</f>
        <v>1264</v>
      </c>
      <c r="M14" s="24">
        <f t="shared" si="188"/>
        <v>1264</v>
      </c>
      <c r="N14" s="15">
        <v>0</v>
      </c>
      <c r="O14" s="276">
        <f t="shared" si="189"/>
        <v>0</v>
      </c>
      <c r="P14" s="712">
        <v>0</v>
      </c>
      <c r="Q14" s="276">
        <f t="shared" si="190"/>
        <v>0</v>
      </c>
      <c r="R14" s="277">
        <f t="shared" si="191"/>
        <v>30.76923076923077</v>
      </c>
      <c r="S14" s="222">
        <v>800</v>
      </c>
      <c r="T14" s="276">
        <f t="shared" si="192"/>
        <v>41.08</v>
      </c>
      <c r="U14" s="303"/>
      <c r="V14" s="302">
        <f t="shared" si="193"/>
        <v>41.08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>
        <v>801</v>
      </c>
      <c r="AE14" s="49"/>
      <c r="AF14" s="49"/>
      <c r="AG14" s="49"/>
      <c r="AH14" s="49"/>
      <c r="AI14" s="49"/>
      <c r="AJ14" s="42">
        <f t="shared" si="1137"/>
        <v>801</v>
      </c>
      <c r="AK14" s="43">
        <f t="shared" si="1138"/>
        <v>133.5</v>
      </c>
      <c r="AL14" s="48"/>
      <c r="AM14" s="49"/>
      <c r="AN14" s="49"/>
      <c r="AO14" s="49"/>
      <c r="AP14" s="49"/>
      <c r="AQ14" s="49">
        <v>602</v>
      </c>
      <c r="AR14" s="42">
        <f t="shared" si="1139"/>
        <v>602</v>
      </c>
      <c r="AS14" s="43">
        <f t="shared" si="1140"/>
        <v>100.33333333333333</v>
      </c>
      <c r="AT14" s="48"/>
      <c r="AU14" s="49"/>
      <c r="AV14" s="49"/>
      <c r="AW14" s="49"/>
      <c r="AX14" s="49"/>
      <c r="AY14" s="49">
        <v>1000</v>
      </c>
      <c r="AZ14" s="42">
        <f t="shared" si="1141"/>
        <v>1000</v>
      </c>
      <c r="BA14" s="43">
        <f t="shared" si="1142"/>
        <v>166.66666666666666</v>
      </c>
      <c r="BB14" s="48"/>
      <c r="BC14" s="49"/>
      <c r="BD14" s="49"/>
      <c r="BE14" s="49"/>
      <c r="BF14" s="49"/>
      <c r="BG14" s="49"/>
      <c r="BH14" s="42">
        <f t="shared" si="1143"/>
        <v>0</v>
      </c>
      <c r="BI14" s="43">
        <f t="shared" si="1144"/>
        <v>0</v>
      </c>
      <c r="BJ14" s="48"/>
      <c r="BK14" s="49"/>
      <c r="BL14" s="49">
        <v>859</v>
      </c>
      <c r="BM14" s="49"/>
      <c r="BN14" s="49"/>
      <c r="BO14" s="49"/>
      <c r="BP14" s="42">
        <f t="shared" si="1145"/>
        <v>859</v>
      </c>
      <c r="BQ14" s="43">
        <f t="shared" si="1146"/>
        <v>143.16666666666666</v>
      </c>
      <c r="BR14" s="48"/>
      <c r="BS14" s="49"/>
      <c r="BT14" s="49"/>
      <c r="BU14" s="49">
        <v>796</v>
      </c>
      <c r="BV14" s="49"/>
      <c r="BW14" s="49"/>
      <c r="BX14" s="42">
        <f t="shared" si="1147"/>
        <v>796</v>
      </c>
      <c r="BY14" s="43">
        <f t="shared" si="3"/>
        <v>132.66666666666666</v>
      </c>
      <c r="BZ14" s="48"/>
      <c r="CA14" s="49"/>
      <c r="CB14" s="49"/>
      <c r="CC14" s="49">
        <v>985</v>
      </c>
      <c r="CD14" s="49"/>
      <c r="CE14" s="49"/>
      <c r="CF14" s="42">
        <f t="shared" si="1148"/>
        <v>985</v>
      </c>
      <c r="CG14" s="43">
        <f t="shared" si="1149"/>
        <v>164.16666666666666</v>
      </c>
      <c r="CH14" s="48"/>
      <c r="CI14" s="49"/>
      <c r="CJ14" s="49"/>
      <c r="CK14" s="49"/>
      <c r="CL14" s="49"/>
      <c r="CM14" s="49"/>
      <c r="CN14" s="42">
        <f t="shared" si="1150"/>
        <v>0</v>
      </c>
      <c r="CO14" s="43">
        <f t="shared" si="1151"/>
        <v>0</v>
      </c>
      <c r="CP14" s="48"/>
      <c r="CQ14" s="49"/>
      <c r="CR14" s="49"/>
      <c r="CS14" s="49">
        <v>1074</v>
      </c>
      <c r="CT14" s="49"/>
      <c r="CU14" s="49"/>
      <c r="CV14" s="42">
        <f t="shared" si="1152"/>
        <v>1074</v>
      </c>
      <c r="CW14" s="43">
        <f t="shared" si="1153"/>
        <v>179</v>
      </c>
      <c r="CX14" s="48"/>
      <c r="CY14" s="49"/>
      <c r="CZ14" s="49"/>
      <c r="DA14" s="49"/>
      <c r="DB14" s="49"/>
      <c r="DC14" s="49">
        <v>600</v>
      </c>
      <c r="DD14" s="42">
        <f t="shared" si="1154"/>
        <v>600</v>
      </c>
      <c r="DE14" s="43">
        <f t="shared" si="1155"/>
        <v>100</v>
      </c>
      <c r="DF14" s="48"/>
      <c r="DG14" s="49"/>
      <c r="DH14" s="49"/>
      <c r="DI14" s="49"/>
      <c r="DJ14" s="49">
        <v>800</v>
      </c>
      <c r="DK14" s="49"/>
      <c r="DL14" s="42">
        <f t="shared" si="1156"/>
        <v>800</v>
      </c>
      <c r="DM14" s="43">
        <f t="shared" si="1157"/>
        <v>133.33333333333334</v>
      </c>
      <c r="DN14" s="48"/>
      <c r="DO14" s="49"/>
      <c r="DP14" s="49"/>
      <c r="DQ14" s="49"/>
      <c r="DR14" s="49"/>
      <c r="DS14" s="49">
        <v>600</v>
      </c>
      <c r="DT14" s="42">
        <f t="shared" si="1158"/>
        <v>600</v>
      </c>
      <c r="DU14" s="43">
        <f t="shared" si="1159"/>
        <v>100</v>
      </c>
      <c r="DV14" s="48">
        <v>191</v>
      </c>
      <c r="DW14" s="49"/>
      <c r="DX14" s="49"/>
      <c r="DY14" s="49"/>
      <c r="DZ14" s="49"/>
      <c r="EA14" s="49"/>
      <c r="EB14" s="42">
        <f t="shared" si="1160"/>
        <v>191</v>
      </c>
      <c r="EC14" s="43">
        <f t="shared" si="1161"/>
        <v>31.833333333333332</v>
      </c>
      <c r="ED14" s="48"/>
      <c r="EE14" s="49"/>
      <c r="EF14" s="49">
        <v>800</v>
      </c>
      <c r="EG14" s="49"/>
      <c r="EH14" s="49"/>
      <c r="EI14" s="49"/>
      <c r="EJ14" s="42">
        <f t="shared" si="1162"/>
        <v>800</v>
      </c>
      <c r="EK14" s="43">
        <f t="shared" si="1163"/>
        <v>133.33333333333334</v>
      </c>
      <c r="EL14" s="48"/>
      <c r="EM14" s="49">
        <v>903</v>
      </c>
      <c r="EN14" s="49"/>
      <c r="EO14" s="49"/>
      <c r="EP14" s="49"/>
      <c r="EQ14" s="49"/>
      <c r="ER14" s="42">
        <f t="shared" si="1164"/>
        <v>903</v>
      </c>
      <c r="ES14" s="43">
        <f t="shared" si="1165"/>
        <v>150.5</v>
      </c>
      <c r="ET14" s="48"/>
      <c r="EU14" s="49"/>
      <c r="EV14" s="49">
        <v>398</v>
      </c>
      <c r="EW14" s="49"/>
      <c r="EX14" s="49"/>
      <c r="EY14" s="49"/>
      <c r="EZ14" s="42">
        <f t="shared" si="1166"/>
        <v>398</v>
      </c>
      <c r="FA14" s="43">
        <f t="shared" si="1167"/>
        <v>66.333333333333329</v>
      </c>
      <c r="FB14" s="48">
        <v>600</v>
      </c>
      <c r="FC14" s="49"/>
      <c r="FD14" s="49"/>
      <c r="FE14" s="49"/>
      <c r="FF14" s="49">
        <v>1200</v>
      </c>
      <c r="FG14" s="49"/>
      <c r="FH14" s="42">
        <f t="shared" si="1168"/>
        <v>1800</v>
      </c>
      <c r="FI14" s="43">
        <f t="shared" si="1169"/>
        <v>300</v>
      </c>
      <c r="FJ14" s="48"/>
      <c r="FK14" s="49"/>
      <c r="FL14" s="49"/>
      <c r="FM14" s="49"/>
      <c r="FN14" s="49"/>
      <c r="FO14" s="49"/>
      <c r="FP14" s="42">
        <f t="shared" si="1170"/>
        <v>0</v>
      </c>
      <c r="FQ14" s="43">
        <f t="shared" si="1171"/>
        <v>0</v>
      </c>
      <c r="FR14" s="48"/>
      <c r="FS14" s="49">
        <v>628</v>
      </c>
      <c r="FT14" s="49"/>
      <c r="FU14" s="49">
        <v>13</v>
      </c>
      <c r="FV14" s="49"/>
      <c r="FW14" s="49">
        <v>310</v>
      </c>
      <c r="FX14" s="42">
        <f t="shared" si="1172"/>
        <v>951</v>
      </c>
      <c r="FY14" s="43">
        <f t="shared" si="1173"/>
        <v>158.5</v>
      </c>
      <c r="FZ14" s="48"/>
      <c r="GA14" s="49">
        <v>808</v>
      </c>
      <c r="GB14" s="49"/>
      <c r="GC14" s="49"/>
      <c r="GD14" s="49">
        <v>805</v>
      </c>
      <c r="GE14" s="49"/>
      <c r="GF14" s="42">
        <f t="shared" si="1174"/>
        <v>1613</v>
      </c>
      <c r="GG14" s="43">
        <f t="shared" si="1175"/>
        <v>268.83333333333331</v>
      </c>
      <c r="GH14" s="48"/>
      <c r="GI14" s="49">
        <v>220</v>
      </c>
      <c r="GJ14" s="49"/>
      <c r="GK14" s="49"/>
      <c r="GL14" s="49"/>
      <c r="GM14" s="49"/>
      <c r="GN14" s="42">
        <f t="shared" si="1176"/>
        <v>220</v>
      </c>
      <c r="GO14" s="43">
        <f t="shared" si="1177"/>
        <v>36.666666666666664</v>
      </c>
      <c r="GP14" s="48"/>
      <c r="GQ14" s="49"/>
      <c r="GR14" s="49"/>
      <c r="GS14" s="49"/>
      <c r="GT14" s="49">
        <v>901</v>
      </c>
      <c r="GU14" s="49"/>
      <c r="GV14" s="42">
        <f t="shared" si="1178"/>
        <v>901</v>
      </c>
      <c r="GW14" s="43">
        <f t="shared" si="1179"/>
        <v>150.16666666666666</v>
      </c>
      <c r="GX14" s="48"/>
      <c r="GY14" s="49"/>
      <c r="GZ14" s="49">
        <v>400</v>
      </c>
      <c r="HA14" s="49"/>
      <c r="HB14" s="49"/>
      <c r="HC14" s="49"/>
      <c r="HD14" s="42">
        <f t="shared" si="1180"/>
        <v>400</v>
      </c>
      <c r="HE14" s="43">
        <f t="shared" si="1181"/>
        <v>66.666666666666671</v>
      </c>
      <c r="HF14" s="48">
        <v>898</v>
      </c>
      <c r="HG14" s="49"/>
      <c r="HH14" s="49">
        <v>354</v>
      </c>
      <c r="HI14" s="49"/>
      <c r="HJ14" s="49"/>
      <c r="HK14" s="49"/>
      <c r="HL14" s="42">
        <f t="shared" si="1182"/>
        <v>1252</v>
      </c>
      <c r="HM14" s="43">
        <f t="shared" si="1183"/>
        <v>208.66666666666666</v>
      </c>
      <c r="HN14" s="82"/>
      <c r="HO14" s="83"/>
      <c r="HP14" s="83">
        <v>301</v>
      </c>
      <c r="HQ14" s="83"/>
      <c r="HR14" s="83">
        <v>700</v>
      </c>
      <c r="HS14" s="83">
        <v>551</v>
      </c>
      <c r="HT14" s="42">
        <f t="shared" si="1184"/>
        <v>1552</v>
      </c>
      <c r="HU14" s="43">
        <f t="shared" si="1185"/>
        <v>258.66666666666669</v>
      </c>
      <c r="HV14" s="48"/>
      <c r="HW14" s="49"/>
      <c r="HX14" s="49"/>
      <c r="HY14" s="49"/>
      <c r="HZ14" s="49"/>
      <c r="IA14" s="49"/>
      <c r="IB14" s="42">
        <f t="shared" si="1186"/>
        <v>0</v>
      </c>
      <c r="IC14" s="43">
        <f t="shared" si="1187"/>
        <v>0</v>
      </c>
      <c r="ID14" s="48"/>
      <c r="IE14" s="49"/>
      <c r="IF14" s="49"/>
      <c r="IG14" s="49"/>
      <c r="IH14" s="49"/>
      <c r="II14" s="49"/>
      <c r="IJ14" s="42">
        <f t="shared" si="1188"/>
        <v>0</v>
      </c>
      <c r="IK14" s="43">
        <f t="shared" si="1189"/>
        <v>0</v>
      </c>
      <c r="IL14" s="48">
        <v>147</v>
      </c>
      <c r="IM14" s="49">
        <v>53</v>
      </c>
      <c r="IN14" s="49"/>
      <c r="IO14" s="49">
        <v>413</v>
      </c>
      <c r="IP14" s="49"/>
      <c r="IQ14" s="49"/>
      <c r="IR14" s="67">
        <f t="shared" si="1190"/>
        <v>613</v>
      </c>
      <c r="IS14" s="68">
        <f t="shared" si="1191"/>
        <v>102.16666666666667</v>
      </c>
      <c r="IT14" s="48"/>
      <c r="IU14" s="49"/>
      <c r="IV14" s="49">
        <v>353</v>
      </c>
      <c r="IW14" s="49"/>
      <c r="IX14" s="49"/>
      <c r="IY14" s="49"/>
      <c r="IZ14" s="67">
        <f t="shared" si="1192"/>
        <v>353</v>
      </c>
      <c r="JA14" s="68">
        <f t="shared" si="1193"/>
        <v>58.833333333333336</v>
      </c>
      <c r="JB14" s="48"/>
      <c r="JC14" s="49">
        <v>301</v>
      </c>
      <c r="JD14" s="49"/>
      <c r="JE14" s="49"/>
      <c r="JF14" s="49"/>
      <c r="JG14" s="49"/>
      <c r="JH14" s="67">
        <f t="shared" si="1194"/>
        <v>301</v>
      </c>
      <c r="JI14" s="68">
        <f t="shared" si="1195"/>
        <v>50.166666666666664</v>
      </c>
      <c r="JJ14" s="48">
        <v>603</v>
      </c>
      <c r="JK14" s="49"/>
      <c r="JL14" s="49"/>
      <c r="JM14" s="49"/>
      <c r="JN14" s="49"/>
      <c r="JO14" s="49"/>
      <c r="JP14" s="42">
        <f t="shared" si="1196"/>
        <v>603</v>
      </c>
      <c r="JQ14" s="43">
        <f t="shared" si="1197"/>
        <v>100.5</v>
      </c>
      <c r="JR14" s="48">
        <v>400</v>
      </c>
      <c r="JS14" s="49"/>
      <c r="JT14" s="49"/>
      <c r="JU14" s="49"/>
      <c r="JV14" s="49"/>
      <c r="JW14" s="49">
        <v>876</v>
      </c>
      <c r="JX14" s="42">
        <f t="shared" si="1198"/>
        <v>1276</v>
      </c>
      <c r="JY14" s="43">
        <f t="shared" si="1199"/>
        <v>212.66666666666666</v>
      </c>
      <c r="JZ14" s="48"/>
      <c r="KA14" s="49"/>
      <c r="KB14" s="49"/>
      <c r="KC14" s="49"/>
      <c r="KD14" s="49"/>
      <c r="KE14" s="49"/>
      <c r="KF14" s="42">
        <f t="shared" si="194"/>
        <v>0</v>
      </c>
      <c r="KG14" s="43">
        <f t="shared" si="195"/>
        <v>0</v>
      </c>
      <c r="KH14" s="48">
        <v>825</v>
      </c>
      <c r="KI14" s="49"/>
      <c r="KJ14" s="49"/>
      <c r="KK14" s="49"/>
      <c r="KL14" s="49"/>
      <c r="KM14" s="49">
        <v>1000</v>
      </c>
      <c r="KN14" s="67">
        <f t="shared" si="196"/>
        <v>1825</v>
      </c>
      <c r="KO14" s="68">
        <f t="shared" si="197"/>
        <v>304.16666666666669</v>
      </c>
      <c r="KP14" s="48"/>
      <c r="KQ14" s="49"/>
      <c r="KR14" s="49"/>
      <c r="KS14" s="49"/>
      <c r="KT14" s="49">
        <v>876</v>
      </c>
      <c r="KU14" s="49"/>
      <c r="KV14" s="67">
        <f t="shared" si="198"/>
        <v>876</v>
      </c>
      <c r="KW14" s="68">
        <f t="shared" si="199"/>
        <v>146</v>
      </c>
      <c r="KX14" s="48"/>
      <c r="KY14" s="49"/>
      <c r="KZ14" s="49"/>
      <c r="LA14" s="49"/>
      <c r="LB14" s="49"/>
      <c r="LC14" s="49"/>
      <c r="LD14" s="67">
        <f t="shared" si="200"/>
        <v>0</v>
      </c>
      <c r="LE14" s="68">
        <f t="shared" si="201"/>
        <v>0</v>
      </c>
      <c r="LF14" s="48"/>
      <c r="LG14" s="49">
        <v>1006</v>
      </c>
      <c r="LH14" s="49"/>
      <c r="LI14" s="49"/>
      <c r="LJ14" s="49"/>
      <c r="LK14" s="49"/>
      <c r="LL14" s="67">
        <f t="shared" si="202"/>
        <v>1006</v>
      </c>
      <c r="LM14" s="68">
        <f t="shared" si="203"/>
        <v>167.66666666666666</v>
      </c>
      <c r="LN14" s="48">
        <v>798</v>
      </c>
      <c r="LO14" s="49"/>
      <c r="LP14" s="49">
        <v>1200</v>
      </c>
      <c r="LQ14" s="49"/>
      <c r="LR14" s="49"/>
      <c r="LS14" s="49"/>
      <c r="LT14" s="67">
        <f t="shared" si="204"/>
        <v>1998</v>
      </c>
      <c r="LU14" s="68">
        <f t="shared" si="205"/>
        <v>333</v>
      </c>
      <c r="LV14" s="48">
        <v>1095</v>
      </c>
      <c r="LW14" s="49"/>
      <c r="LX14" s="49"/>
      <c r="LY14" s="49"/>
      <c r="LZ14" s="49">
        <v>2004</v>
      </c>
      <c r="MA14" s="49"/>
      <c r="MB14" s="67">
        <f t="shared" si="206"/>
        <v>3099</v>
      </c>
      <c r="MC14" s="68">
        <f t="shared" si="207"/>
        <v>516.5</v>
      </c>
      <c r="MD14" s="48"/>
      <c r="ME14" s="49">
        <v>1585</v>
      </c>
      <c r="MF14" s="49"/>
      <c r="MG14" s="49"/>
      <c r="MH14" s="49"/>
      <c r="MI14" s="49"/>
      <c r="MJ14" s="67">
        <f t="shared" si="208"/>
        <v>1585</v>
      </c>
      <c r="MK14" s="68">
        <f t="shared" si="209"/>
        <v>264.16666666666669</v>
      </c>
      <c r="ML14" s="48"/>
      <c r="MM14" s="49"/>
      <c r="MN14" s="49"/>
      <c r="MO14" s="49"/>
      <c r="MP14" s="49"/>
      <c r="MQ14" s="49"/>
      <c r="MR14" s="67">
        <f t="shared" si="210"/>
        <v>0</v>
      </c>
      <c r="MS14" s="68">
        <f t="shared" si="211"/>
        <v>0</v>
      </c>
      <c r="MT14" s="48"/>
      <c r="MU14" s="49"/>
      <c r="MV14" s="49"/>
      <c r="MW14" s="49"/>
      <c r="MX14" s="49"/>
      <c r="MY14" s="49">
        <v>560</v>
      </c>
      <c r="MZ14" s="67">
        <f t="shared" si="212"/>
        <v>560</v>
      </c>
      <c r="NA14" s="68">
        <f t="shared" si="213"/>
        <v>93.333333333333329</v>
      </c>
      <c r="NB14" s="48"/>
      <c r="NC14" s="49"/>
      <c r="ND14" s="49"/>
      <c r="NE14" s="49">
        <v>1991</v>
      </c>
      <c r="NF14" s="49"/>
      <c r="NG14" s="49"/>
      <c r="NH14" s="67">
        <f t="shared" si="214"/>
        <v>1991</v>
      </c>
      <c r="NI14" s="68">
        <f t="shared" si="215"/>
        <v>331.83333333333331</v>
      </c>
      <c r="NJ14" s="48"/>
      <c r="NK14" s="49">
        <v>392</v>
      </c>
      <c r="NL14" s="49">
        <v>391</v>
      </c>
      <c r="NM14" s="49"/>
      <c r="NN14" s="49"/>
      <c r="NO14" s="49"/>
      <c r="NP14" s="67">
        <f t="shared" si="216"/>
        <v>783</v>
      </c>
      <c r="NQ14" s="68">
        <f t="shared" si="217"/>
        <v>130.5</v>
      </c>
      <c r="NR14" s="48">
        <v>1399</v>
      </c>
      <c r="NS14" s="49"/>
      <c r="NT14" s="49"/>
      <c r="NU14" s="49"/>
      <c r="NV14" s="49"/>
      <c r="NW14" s="49">
        <v>587</v>
      </c>
      <c r="NX14" s="67">
        <f t="shared" si="218"/>
        <v>1986</v>
      </c>
      <c r="NY14" s="68">
        <f t="shared" si="219"/>
        <v>331</v>
      </c>
      <c r="NZ14" s="48"/>
      <c r="OA14" s="49"/>
      <c r="OB14" s="49"/>
      <c r="OC14" s="49"/>
      <c r="OD14" s="49">
        <v>1969</v>
      </c>
      <c r="OE14" s="49"/>
      <c r="OF14" s="67">
        <f t="shared" si="220"/>
        <v>1969</v>
      </c>
      <c r="OG14" s="68">
        <f t="shared" si="221"/>
        <v>328.16666666666669</v>
      </c>
      <c r="OH14" s="48"/>
      <c r="OI14" s="49"/>
      <c r="OJ14" s="49"/>
      <c r="OK14" s="49">
        <v>2020</v>
      </c>
      <c r="OL14" s="49"/>
      <c r="OM14" s="49"/>
      <c r="ON14" s="67">
        <f t="shared" si="222"/>
        <v>2020</v>
      </c>
      <c r="OO14" s="68">
        <f t="shared" si="223"/>
        <v>336.66666666666669</v>
      </c>
      <c r="OP14" s="48"/>
      <c r="OQ14" s="49"/>
      <c r="OR14" s="49">
        <v>401</v>
      </c>
      <c r="OS14" s="49"/>
      <c r="OT14" s="49"/>
      <c r="OU14" s="49"/>
      <c r="OV14" s="67">
        <f t="shared" si="224"/>
        <v>401</v>
      </c>
      <c r="OW14" s="68">
        <f t="shared" si="225"/>
        <v>66.833333333333329</v>
      </c>
      <c r="OX14" s="48"/>
      <c r="OY14" s="49">
        <v>2043</v>
      </c>
      <c r="OZ14" s="49"/>
      <c r="PA14" s="49"/>
      <c r="PB14" s="49"/>
      <c r="PC14" s="49"/>
      <c r="PD14" s="67">
        <f t="shared" si="226"/>
        <v>2043</v>
      </c>
      <c r="PE14" s="68">
        <f t="shared" si="227"/>
        <v>340.5</v>
      </c>
      <c r="PF14" s="48"/>
      <c r="PG14" s="49">
        <v>1415</v>
      </c>
      <c r="PH14" s="49">
        <v>994</v>
      </c>
      <c r="PI14" s="49"/>
      <c r="PJ14" s="49"/>
      <c r="PK14" s="49"/>
      <c r="PL14" s="67">
        <f t="shared" si="228"/>
        <v>2409</v>
      </c>
      <c r="PM14" s="68">
        <f t="shared" si="229"/>
        <v>401.5</v>
      </c>
      <c r="PN14" s="48">
        <v>800</v>
      </c>
      <c r="PO14" s="49"/>
      <c r="PP14" s="49">
        <v>181</v>
      </c>
      <c r="PQ14" s="49">
        <v>921</v>
      </c>
      <c r="PR14" s="49"/>
      <c r="PS14" s="49"/>
      <c r="PT14" s="104">
        <f t="shared" si="230"/>
        <v>1902</v>
      </c>
      <c r="PU14" s="105">
        <f t="shared" si="231"/>
        <v>317</v>
      </c>
      <c r="PV14" s="106"/>
      <c r="PW14" s="107"/>
      <c r="PX14" s="107"/>
      <c r="PY14" s="107"/>
      <c r="PZ14" s="107">
        <v>1427</v>
      </c>
      <c r="QA14" s="107"/>
      <c r="QB14" s="104">
        <f t="shared" si="232"/>
        <v>1427</v>
      </c>
      <c r="QC14" s="105">
        <f t="shared" si="233"/>
        <v>237.83333333333334</v>
      </c>
      <c r="QD14" s="106"/>
      <c r="QE14" s="107"/>
      <c r="QF14" s="107"/>
      <c r="QG14" s="107"/>
      <c r="QH14" s="107">
        <v>802</v>
      </c>
      <c r="QI14" s="107"/>
      <c r="QJ14" s="104">
        <f t="shared" si="234"/>
        <v>802</v>
      </c>
      <c r="QK14" s="105">
        <f t="shared" si="235"/>
        <v>133.66666666666666</v>
      </c>
      <c r="QL14" s="106"/>
      <c r="QM14" s="107"/>
      <c r="QN14" s="107"/>
      <c r="QO14" s="107"/>
      <c r="QP14" s="107"/>
      <c r="QQ14" s="107"/>
      <c r="QR14" s="104">
        <f t="shared" si="236"/>
        <v>0</v>
      </c>
      <c r="QS14" s="105">
        <f t="shared" si="237"/>
        <v>0</v>
      </c>
      <c r="QT14" s="106">
        <v>252</v>
      </c>
      <c r="QU14" s="107"/>
      <c r="QV14" s="107"/>
      <c r="QW14" s="107"/>
      <c r="QX14" s="107"/>
      <c r="QY14" s="107"/>
      <c r="QZ14" s="104">
        <f t="shared" si="238"/>
        <v>252</v>
      </c>
      <c r="RA14" s="105">
        <f t="shared" si="239"/>
        <v>42</v>
      </c>
      <c r="RB14" s="106"/>
      <c r="RC14" s="107">
        <v>970</v>
      </c>
      <c r="RD14" s="107"/>
      <c r="RE14" s="107"/>
      <c r="RF14" s="107"/>
      <c r="RG14" s="107"/>
      <c r="RH14" s="104">
        <f t="shared" si="240"/>
        <v>970</v>
      </c>
      <c r="RI14" s="105">
        <f t="shared" si="241"/>
        <v>161.66666666666666</v>
      </c>
      <c r="RJ14" s="106"/>
      <c r="RK14" s="107"/>
      <c r="RL14" s="107">
        <v>774</v>
      </c>
      <c r="RM14" s="107"/>
      <c r="RN14" s="107"/>
      <c r="RO14" s="107"/>
      <c r="RP14" s="104">
        <f t="shared" si="242"/>
        <v>774</v>
      </c>
      <c r="RQ14" s="105">
        <f t="shared" si="243"/>
        <v>129</v>
      </c>
      <c r="RR14" s="106"/>
      <c r="RS14" s="107"/>
      <c r="RT14" s="107"/>
      <c r="RU14" s="107"/>
      <c r="RV14" s="107">
        <v>1645</v>
      </c>
      <c r="RW14" s="107"/>
      <c r="RX14" s="104">
        <f t="shared" si="244"/>
        <v>1645</v>
      </c>
      <c r="RY14" s="105">
        <f t="shared" si="245"/>
        <v>274.16666666666669</v>
      </c>
      <c r="RZ14" s="106"/>
      <c r="SA14" s="107"/>
      <c r="SB14" s="107">
        <v>477</v>
      </c>
      <c r="SC14" s="107"/>
      <c r="SD14" s="107"/>
      <c r="SE14" s="107"/>
      <c r="SF14" s="104">
        <f t="shared" si="246"/>
        <v>477</v>
      </c>
      <c r="SG14" s="105">
        <f t="shared" si="247"/>
        <v>79.5</v>
      </c>
      <c r="SH14" s="106"/>
      <c r="SI14" s="107">
        <v>1257</v>
      </c>
      <c r="SJ14" s="107"/>
      <c r="SK14" s="107"/>
      <c r="SL14" s="107"/>
      <c r="SM14" s="107">
        <v>1190</v>
      </c>
      <c r="SN14" s="104">
        <f t="shared" si="248"/>
        <v>2447</v>
      </c>
      <c r="SO14" s="105">
        <f t="shared" si="249"/>
        <v>407.83333333333331</v>
      </c>
      <c r="SP14" s="106"/>
      <c r="SQ14" s="107"/>
      <c r="SR14" s="107"/>
      <c r="SS14" s="107"/>
      <c r="ST14" s="107"/>
      <c r="SU14" s="107"/>
      <c r="SV14" s="104">
        <f t="shared" si="250"/>
        <v>0</v>
      </c>
      <c r="SW14" s="105">
        <f t="shared" si="251"/>
        <v>0</v>
      </c>
      <c r="SX14" s="106">
        <v>1202</v>
      </c>
      <c r="SY14" s="107"/>
      <c r="SZ14" s="107">
        <v>1100</v>
      </c>
      <c r="TA14" s="107"/>
      <c r="TB14" s="107"/>
      <c r="TC14" s="107"/>
      <c r="TD14" s="104">
        <f t="shared" si="252"/>
        <v>2302</v>
      </c>
      <c r="TE14" s="105">
        <f t="shared" si="253"/>
        <v>383.66666666666669</v>
      </c>
      <c r="TF14" s="106"/>
      <c r="TG14" s="107"/>
      <c r="TH14" s="107"/>
      <c r="TI14" s="107"/>
      <c r="TJ14" s="107">
        <v>1398</v>
      </c>
      <c r="TK14" s="107"/>
      <c r="TL14" s="104">
        <f t="shared" si="254"/>
        <v>1398</v>
      </c>
      <c r="TM14" s="105">
        <f t="shared" si="255"/>
        <v>233</v>
      </c>
      <c r="TN14" s="106"/>
      <c r="TO14" s="107"/>
      <c r="TP14" s="107"/>
      <c r="TQ14" s="107"/>
      <c r="TR14" s="107"/>
      <c r="TS14" s="107"/>
      <c r="TT14" s="104">
        <f t="shared" si="256"/>
        <v>0</v>
      </c>
      <c r="TU14" s="105">
        <f t="shared" si="257"/>
        <v>0</v>
      </c>
      <c r="TV14" s="106">
        <v>1399</v>
      </c>
      <c r="TW14" s="107"/>
      <c r="TX14" s="107"/>
      <c r="TY14" s="107"/>
      <c r="TZ14" s="107"/>
      <c r="UA14" s="107"/>
      <c r="UB14" s="104">
        <f t="shared" si="258"/>
        <v>1399</v>
      </c>
      <c r="UC14" s="105">
        <f t="shared" si="259"/>
        <v>233.16666666666666</v>
      </c>
      <c r="UD14" s="106"/>
      <c r="UE14" s="107">
        <v>801</v>
      </c>
      <c r="UF14" s="107"/>
      <c r="UG14" s="107"/>
      <c r="UH14" s="107"/>
      <c r="UI14" s="107">
        <v>812</v>
      </c>
      <c r="UJ14" s="104">
        <f t="shared" si="260"/>
        <v>1613</v>
      </c>
      <c r="UK14" s="105">
        <f t="shared" si="261"/>
        <v>268.83333333333331</v>
      </c>
      <c r="UL14" s="106"/>
      <c r="UM14" s="107"/>
      <c r="UN14" s="107"/>
      <c r="UO14" s="107">
        <f>869+573</f>
        <v>1442</v>
      </c>
      <c r="UP14" s="107"/>
      <c r="UQ14" s="107"/>
      <c r="UR14" s="107"/>
      <c r="US14" s="104">
        <f t="shared" si="262"/>
        <v>1442</v>
      </c>
      <c r="UT14" s="105">
        <f t="shared" si="263"/>
        <v>240.33333333333334</v>
      </c>
      <c r="UU14" s="106"/>
      <c r="UV14" s="107"/>
      <c r="UW14" s="107">
        <v>1010</v>
      </c>
      <c r="UX14" s="107"/>
      <c r="UY14" s="107"/>
      <c r="UZ14" s="107"/>
      <c r="VA14" s="104">
        <f t="shared" si="264"/>
        <v>1010</v>
      </c>
      <c r="VB14" s="105">
        <f t="shared" si="265"/>
        <v>168.33333333333334</v>
      </c>
      <c r="VC14" s="106"/>
      <c r="VD14" s="107"/>
      <c r="VE14" s="107"/>
      <c r="VF14" s="107"/>
      <c r="VG14" s="107"/>
      <c r="VH14" s="107"/>
      <c r="VI14" s="104">
        <f t="shared" si="266"/>
        <v>0</v>
      </c>
      <c r="VJ14" s="105">
        <f t="shared" si="267"/>
        <v>0</v>
      </c>
      <c r="VK14" s="106"/>
      <c r="VL14" s="107"/>
      <c r="VM14" s="107"/>
      <c r="VN14" s="107">
        <v>855</v>
      </c>
      <c r="VO14" s="107"/>
      <c r="VP14" s="107"/>
      <c r="VQ14" s="104">
        <f t="shared" si="268"/>
        <v>855</v>
      </c>
      <c r="VR14" s="105">
        <f t="shared" si="269"/>
        <v>142.5</v>
      </c>
      <c r="VS14" s="106"/>
      <c r="VT14" s="107">
        <v>1272</v>
      </c>
      <c r="VU14" s="107"/>
      <c r="VV14" s="107"/>
      <c r="VW14" s="107"/>
      <c r="VX14" s="107"/>
      <c r="VY14" s="104">
        <f t="shared" si="270"/>
        <v>1272</v>
      </c>
      <c r="VZ14" s="105">
        <f t="shared" si="271"/>
        <v>212</v>
      </c>
      <c r="WA14" s="63">
        <v>400</v>
      </c>
      <c r="WB14" s="64"/>
      <c r="WC14" s="64"/>
      <c r="WD14" s="64"/>
      <c r="WE14" s="64"/>
      <c r="WF14" s="64"/>
      <c r="WG14" s="67">
        <f t="shared" si="272"/>
        <v>400</v>
      </c>
      <c r="WH14" s="68">
        <f t="shared" si="273"/>
        <v>66.666666666666671</v>
      </c>
      <c r="WI14" s="48">
        <v>790</v>
      </c>
      <c r="WJ14" s="49"/>
      <c r="WK14" s="49"/>
      <c r="WL14" s="49"/>
      <c r="WM14" s="49">
        <v>1295</v>
      </c>
      <c r="WN14" s="49"/>
      <c r="WO14" s="67">
        <f t="shared" si="274"/>
        <v>2085</v>
      </c>
      <c r="WP14" s="68">
        <f t="shared" si="275"/>
        <v>347.5</v>
      </c>
      <c r="WQ14" s="48"/>
      <c r="WR14" s="49"/>
      <c r="WS14" s="49"/>
      <c r="WT14" s="49"/>
      <c r="WU14" s="49"/>
      <c r="WV14" s="49">
        <v>428</v>
      </c>
      <c r="WW14" s="49"/>
      <c r="WX14" s="67">
        <f t="shared" si="276"/>
        <v>428</v>
      </c>
      <c r="WY14" s="68">
        <f t="shared" si="277"/>
        <v>71.333333333333329</v>
      </c>
      <c r="WZ14" s="48"/>
      <c r="XA14" s="49"/>
      <c r="XB14" s="49">
        <v>606</v>
      </c>
      <c r="XC14" s="49"/>
      <c r="XD14" s="49">
        <v>20</v>
      </c>
      <c r="XE14" s="49">
        <v>20</v>
      </c>
      <c r="XF14" s="49">
        <v>20</v>
      </c>
      <c r="XG14" s="67">
        <f t="shared" si="278"/>
        <v>666</v>
      </c>
      <c r="XH14" s="68">
        <f t="shared" si="279"/>
        <v>111</v>
      </c>
      <c r="XI14" s="106">
        <v>802</v>
      </c>
      <c r="XJ14" s="107"/>
      <c r="XK14" s="107"/>
      <c r="XL14" s="107"/>
      <c r="XM14" s="107"/>
      <c r="XN14" s="107"/>
      <c r="XO14" s="107"/>
      <c r="XP14" s="104">
        <f t="shared" si="280"/>
        <v>0</v>
      </c>
      <c r="XQ14" s="105">
        <f t="shared" si="281"/>
        <v>0</v>
      </c>
      <c r="XR14" s="48">
        <v>624</v>
      </c>
      <c r="XS14" s="49"/>
      <c r="XT14" s="49"/>
      <c r="XU14" s="49">
        <v>1002</v>
      </c>
      <c r="XV14" s="49"/>
      <c r="XW14" s="49"/>
      <c r="XX14" s="49"/>
      <c r="XY14" s="67">
        <f t="shared" si="282"/>
        <v>1002</v>
      </c>
      <c r="XZ14" s="68">
        <f t="shared" si="283"/>
        <v>167</v>
      </c>
      <c r="YA14" s="48"/>
      <c r="YB14" s="49"/>
      <c r="YC14" s="49"/>
      <c r="YD14" s="49"/>
      <c r="YE14" s="49">
        <v>402</v>
      </c>
      <c r="YF14" s="49"/>
      <c r="YG14" s="49"/>
      <c r="YH14" s="67">
        <f t="shared" si="284"/>
        <v>402</v>
      </c>
      <c r="YI14" s="68">
        <f t="shared" si="285"/>
        <v>67</v>
      </c>
      <c r="YJ14" s="180">
        <v>1208</v>
      </c>
      <c r="YK14" s="49"/>
      <c r="YL14" s="49"/>
      <c r="YM14" s="49">
        <v>1202</v>
      </c>
      <c r="YN14" s="49"/>
      <c r="YO14" s="49"/>
      <c r="YP14" s="49"/>
      <c r="YQ14" s="67">
        <f t="shared" si="286"/>
        <v>1202</v>
      </c>
      <c r="YR14" s="68">
        <f t="shared" si="287"/>
        <v>200.33333333333334</v>
      </c>
      <c r="YS14" s="48"/>
      <c r="YT14" s="49"/>
      <c r="YU14" s="49">
        <v>800</v>
      </c>
      <c r="YV14" s="49"/>
      <c r="YW14" s="49"/>
      <c r="YX14" s="49"/>
      <c r="YY14" s="67">
        <f t="shared" si="288"/>
        <v>800</v>
      </c>
      <c r="YZ14" s="68">
        <f t="shared" si="289"/>
        <v>133.33333333333334</v>
      </c>
      <c r="ZA14" s="48"/>
      <c r="ZB14" s="49"/>
      <c r="ZC14" s="49"/>
      <c r="ZD14" s="49">
        <v>946</v>
      </c>
      <c r="ZE14" s="49"/>
      <c r="ZF14" s="49"/>
      <c r="ZG14" s="67">
        <f t="shared" si="290"/>
        <v>946</v>
      </c>
      <c r="ZH14" s="68">
        <f t="shared" si="291"/>
        <v>157.66666666666666</v>
      </c>
      <c r="ZI14" s="48"/>
      <c r="ZJ14" s="49"/>
      <c r="ZK14" s="49">
        <v>1141</v>
      </c>
      <c r="ZL14" s="49"/>
      <c r="ZM14" s="24"/>
      <c r="ZN14" s="24"/>
      <c r="ZO14" s="67">
        <f t="shared" si="292"/>
        <v>1141</v>
      </c>
      <c r="ZP14" s="68">
        <f t="shared" si="293"/>
        <v>190.16666666666666</v>
      </c>
      <c r="ZQ14" s="48"/>
      <c r="ZR14" s="49"/>
      <c r="ZS14" s="49"/>
      <c r="ZT14" s="49">
        <v>802</v>
      </c>
      <c r="ZU14" s="49"/>
      <c r="ZV14" s="49"/>
      <c r="ZW14" s="49"/>
      <c r="ZX14" s="67">
        <f t="shared" si="294"/>
        <v>802</v>
      </c>
      <c r="ZY14" s="68">
        <f t="shared" si="295"/>
        <v>133.66666666666666</v>
      </c>
      <c r="ZZ14" s="48"/>
      <c r="AAA14" s="49"/>
      <c r="AAB14" s="49"/>
      <c r="AAC14" s="49"/>
      <c r="AAD14" s="49"/>
      <c r="AAE14" s="49"/>
      <c r="AAF14" s="49">
        <v>1048</v>
      </c>
      <c r="AAG14" s="67">
        <f t="shared" si="296"/>
        <v>1048</v>
      </c>
      <c r="AAH14" s="68">
        <f t="shared" si="297"/>
        <v>174.66666666666666</v>
      </c>
      <c r="AAI14" s="48"/>
      <c r="AAJ14" s="49"/>
      <c r="AAK14" s="49"/>
      <c r="AAL14" s="49"/>
      <c r="AAM14" s="49">
        <v>658</v>
      </c>
      <c r="AAN14" s="49"/>
      <c r="AAO14" s="67">
        <f t="shared" si="298"/>
        <v>658</v>
      </c>
      <c r="AAP14" s="68">
        <f t="shared" si="299"/>
        <v>109.66666666666667</v>
      </c>
      <c r="AAQ14" s="48">
        <v>608</v>
      </c>
      <c r="AAR14" s="49"/>
      <c r="AAS14" s="49"/>
      <c r="AAT14" s="49"/>
      <c r="AAU14" s="49">
        <v>1009</v>
      </c>
      <c r="AAV14" s="49"/>
      <c r="AAW14" s="67">
        <f t="shared" si="300"/>
        <v>1617</v>
      </c>
      <c r="AAX14" s="68">
        <f t="shared" si="301"/>
        <v>269.5</v>
      </c>
      <c r="AAY14" s="48"/>
      <c r="AAZ14" s="49"/>
      <c r="ABA14" s="49">
        <v>996</v>
      </c>
      <c r="ABB14" s="49"/>
      <c r="ABC14" s="49">
        <v>800</v>
      </c>
      <c r="ABD14" s="49"/>
      <c r="ABE14" s="67">
        <f t="shared" si="302"/>
        <v>1796</v>
      </c>
      <c r="ABF14" s="68">
        <f t="shared" si="303"/>
        <v>299.33333333333331</v>
      </c>
      <c r="ABG14" s="48"/>
      <c r="ABH14" s="49"/>
      <c r="ABI14" s="49"/>
      <c r="ABJ14" s="49">
        <v>1251</v>
      </c>
      <c r="ABK14" s="49"/>
      <c r="ABL14" s="49"/>
      <c r="ABM14" s="67">
        <f t="shared" si="304"/>
        <v>1251</v>
      </c>
      <c r="ABN14" s="68">
        <f t="shared" si="305"/>
        <v>208.5</v>
      </c>
      <c r="ABO14" s="48"/>
      <c r="ABP14" s="49"/>
      <c r="ABQ14" s="49"/>
      <c r="ABR14" s="49"/>
      <c r="ABS14" s="49"/>
      <c r="ABT14" s="49"/>
      <c r="ABU14" s="67">
        <f t="shared" si="306"/>
        <v>0</v>
      </c>
      <c r="ABV14" s="68">
        <f t="shared" si="307"/>
        <v>0</v>
      </c>
      <c r="ABW14" s="48"/>
      <c r="ABX14" s="49"/>
      <c r="ABY14" s="49"/>
      <c r="ABZ14" s="49"/>
      <c r="ACA14" s="49">
        <v>369</v>
      </c>
      <c r="ACB14" s="49"/>
      <c r="ACC14" s="67">
        <f t="shared" si="308"/>
        <v>369</v>
      </c>
      <c r="ACD14" s="68">
        <f t="shared" si="309"/>
        <v>61.5</v>
      </c>
      <c r="ACE14" s="48"/>
      <c r="ACF14" s="49">
        <v>1187</v>
      </c>
      <c r="ACG14" s="49"/>
      <c r="ACH14" s="49"/>
      <c r="ACI14" s="49"/>
      <c r="ACJ14" s="49">
        <v>1206</v>
      </c>
      <c r="ACK14" s="67">
        <f t="shared" si="310"/>
        <v>2393</v>
      </c>
      <c r="ACL14" s="68">
        <f t="shared" si="311"/>
        <v>398.83333333333331</v>
      </c>
      <c r="ACM14" s="48"/>
      <c r="ACN14" s="49"/>
      <c r="ACO14" s="49"/>
      <c r="ACP14" s="49"/>
      <c r="ACQ14" s="49"/>
      <c r="ACR14" s="49">
        <v>1608</v>
      </c>
      <c r="ACS14" s="67">
        <f t="shared" si="312"/>
        <v>1608</v>
      </c>
      <c r="ACT14" s="68">
        <f t="shared" si="313"/>
        <v>268</v>
      </c>
      <c r="ACU14" s="48"/>
      <c r="ACV14" s="49"/>
      <c r="ACW14" s="49"/>
      <c r="ACX14" s="49"/>
      <c r="ACY14" s="49">
        <v>262</v>
      </c>
      <c r="ACZ14" s="49">
        <v>102</v>
      </c>
      <c r="ADA14" s="67">
        <f t="shared" si="314"/>
        <v>364</v>
      </c>
      <c r="ADB14" s="68">
        <f t="shared" si="315"/>
        <v>60.666666666666664</v>
      </c>
      <c r="ADC14" s="48"/>
      <c r="ADD14" s="49"/>
      <c r="ADE14" s="49"/>
      <c r="ADF14" s="49"/>
      <c r="ADG14" s="49"/>
      <c r="ADH14" s="49"/>
      <c r="ADI14" s="67">
        <f t="shared" si="316"/>
        <v>0</v>
      </c>
      <c r="ADJ14" s="68">
        <f t="shared" si="317"/>
        <v>0</v>
      </c>
      <c r="ADK14" s="48"/>
      <c r="ADL14" s="49">
        <v>995</v>
      </c>
      <c r="ADM14" s="49"/>
      <c r="ADN14" s="49"/>
      <c r="ADO14" s="49"/>
      <c r="ADP14" s="49"/>
      <c r="ADQ14" s="67">
        <f t="shared" si="318"/>
        <v>995</v>
      </c>
      <c r="ADR14" s="68">
        <f t="shared" si="319"/>
        <v>165.83333333333334</v>
      </c>
      <c r="ADS14" s="48"/>
      <c r="ADT14" s="49"/>
      <c r="ADU14" s="49">
        <v>913</v>
      </c>
      <c r="ADV14" s="49"/>
      <c r="ADW14" s="49"/>
      <c r="ADX14" s="49"/>
      <c r="ADY14" s="67">
        <f t="shared" si="320"/>
        <v>913</v>
      </c>
      <c r="ADZ14" s="68">
        <f t="shared" si="321"/>
        <v>152.16666666666666</v>
      </c>
      <c r="AEA14" s="48"/>
      <c r="AEB14" s="49"/>
      <c r="AEC14" s="49"/>
      <c r="AED14" s="49">
        <v>700</v>
      </c>
      <c r="AEE14" s="49"/>
      <c r="AEF14" s="49"/>
      <c r="AEG14" s="67">
        <f t="shared" si="322"/>
        <v>700</v>
      </c>
      <c r="AEH14" s="68">
        <f t="shared" si="323"/>
        <v>116.66666666666667</v>
      </c>
      <c r="AEI14" s="48"/>
      <c r="AEJ14" s="49"/>
      <c r="AEK14" s="49">
        <v>798</v>
      </c>
      <c r="AEL14" s="49"/>
      <c r="AEM14" s="49"/>
      <c r="AEN14" s="49"/>
      <c r="AEO14" s="67">
        <f t="shared" si="324"/>
        <v>798</v>
      </c>
      <c r="AEP14" s="68">
        <f t="shared" si="325"/>
        <v>133</v>
      </c>
      <c r="AEQ14" s="48"/>
      <c r="AER14" s="49"/>
      <c r="AES14" s="49"/>
      <c r="AET14" s="49"/>
      <c r="AEU14" s="49">
        <v>1445</v>
      </c>
      <c r="AEV14" s="49"/>
      <c r="AEW14" s="67">
        <f t="shared" si="326"/>
        <v>1445</v>
      </c>
      <c r="AEX14" s="68">
        <f t="shared" si="327"/>
        <v>240.83333333333334</v>
      </c>
      <c r="AEY14" s="48"/>
      <c r="AEZ14" s="49"/>
      <c r="AFA14" s="49"/>
      <c r="AFB14" s="49"/>
      <c r="AFC14" s="49">
        <v>802</v>
      </c>
      <c r="AFD14" s="49"/>
      <c r="AFE14" s="67">
        <f t="shared" si="328"/>
        <v>802</v>
      </c>
      <c r="AFF14" s="68">
        <f t="shared" si="329"/>
        <v>133.66666666666666</v>
      </c>
      <c r="AFG14" s="48"/>
      <c r="AFH14" s="49"/>
      <c r="AFI14" s="49">
        <v>1000</v>
      </c>
      <c r="AFJ14" s="49"/>
      <c r="AFK14" s="49"/>
      <c r="AFL14" s="49"/>
      <c r="AFM14" s="67">
        <f t="shared" si="330"/>
        <v>1000</v>
      </c>
      <c r="AFN14" s="68">
        <f t="shared" si="331"/>
        <v>166.66666666666666</v>
      </c>
      <c r="AFO14" s="48"/>
      <c r="AFP14" s="49"/>
      <c r="AFQ14" s="49">
        <v>601</v>
      </c>
      <c r="AFR14" s="49"/>
      <c r="AFS14" s="49"/>
      <c r="AFT14" s="49">
        <v>608</v>
      </c>
      <c r="AFU14" s="67">
        <f t="shared" si="332"/>
        <v>1209</v>
      </c>
      <c r="AFV14" s="68">
        <f t="shared" si="333"/>
        <v>201.5</v>
      </c>
      <c r="AFW14" s="48"/>
      <c r="AFX14" s="49"/>
      <c r="AFY14" s="49"/>
      <c r="AFZ14" s="49"/>
      <c r="AGA14" s="49"/>
      <c r="AGB14" s="49"/>
      <c r="AGC14" s="67">
        <f t="shared" si="334"/>
        <v>0</v>
      </c>
      <c r="AGD14" s="68">
        <f t="shared" si="335"/>
        <v>0</v>
      </c>
      <c r="AGE14" s="48"/>
      <c r="AGF14" s="49"/>
      <c r="AGG14" s="49">
        <v>797</v>
      </c>
      <c r="AGH14" s="49"/>
      <c r="AGI14" s="49"/>
      <c r="AGJ14" s="49"/>
      <c r="AGK14" s="67">
        <f t="shared" si="336"/>
        <v>797</v>
      </c>
      <c r="AGL14" s="68">
        <f t="shared" si="337"/>
        <v>132.83333333333334</v>
      </c>
      <c r="AGM14" s="48"/>
      <c r="AGN14" s="49"/>
      <c r="AGO14" s="49">
        <v>398</v>
      </c>
      <c r="AGP14" s="49"/>
      <c r="AGQ14" s="49"/>
      <c r="AGR14" s="49"/>
      <c r="AGS14" s="49"/>
      <c r="AGT14" s="67">
        <f t="shared" si="338"/>
        <v>398</v>
      </c>
      <c r="AGU14" s="68">
        <f t="shared" si="339"/>
        <v>66.333333333333329</v>
      </c>
      <c r="AGV14" s="48"/>
      <c r="AGW14" s="49">
        <v>1330</v>
      </c>
      <c r="AGX14" s="49"/>
      <c r="AGY14" s="49"/>
      <c r="AGZ14" s="49"/>
      <c r="AHA14" s="49"/>
      <c r="AHB14" s="67">
        <f t="shared" si="340"/>
        <v>1330</v>
      </c>
      <c r="AHC14" s="68">
        <f t="shared" si="341"/>
        <v>45.862068965517238</v>
      </c>
      <c r="AHD14" s="48"/>
      <c r="AHE14" s="49"/>
      <c r="AHF14" s="49"/>
      <c r="AHG14" s="49"/>
      <c r="AHH14" s="49"/>
      <c r="AHI14" s="49"/>
      <c r="AHJ14" s="67">
        <f t="shared" si="342"/>
        <v>0</v>
      </c>
      <c r="AHK14" s="68">
        <f t="shared" si="343"/>
        <v>0</v>
      </c>
      <c r="AHL14" s="48"/>
      <c r="AHM14" s="49"/>
      <c r="AHN14" s="49"/>
      <c r="AHO14" s="49">
        <v>800</v>
      </c>
      <c r="AHP14" s="49"/>
      <c r="AHQ14" s="49"/>
      <c r="AHR14" s="67">
        <f t="shared" si="344"/>
        <v>800</v>
      </c>
      <c r="AHS14" s="68">
        <f t="shared" si="345"/>
        <v>27.586206896551722</v>
      </c>
      <c r="AHT14" s="48"/>
      <c r="AHU14" s="49"/>
      <c r="AHV14" s="49"/>
      <c r="AHW14" s="49"/>
      <c r="AHX14" s="49"/>
      <c r="AHY14" s="49">
        <v>952</v>
      </c>
      <c r="AHZ14" s="67">
        <f t="shared" si="346"/>
        <v>952</v>
      </c>
      <c r="AIA14" s="68">
        <f t="shared" si="347"/>
        <v>32.827586206896555</v>
      </c>
      <c r="AIB14" s="48"/>
      <c r="AIC14" s="49">
        <v>1000</v>
      </c>
      <c r="AID14" s="49"/>
      <c r="AIE14" s="49"/>
      <c r="AIF14" s="49"/>
      <c r="AIG14" s="49"/>
      <c r="AIH14" s="67">
        <f t="shared" si="348"/>
        <v>1000</v>
      </c>
      <c r="AII14" s="68">
        <f t="shared" si="349"/>
        <v>34.482758620689658</v>
      </c>
      <c r="AIJ14" s="48"/>
      <c r="AIK14" s="49"/>
      <c r="AIL14" s="49">
        <v>200</v>
      </c>
      <c r="AIM14" s="49">
        <v>597</v>
      </c>
      <c r="AIN14" s="49"/>
      <c r="AIO14" s="49"/>
      <c r="AIP14" s="67">
        <f t="shared" si="350"/>
        <v>797</v>
      </c>
      <c r="AIQ14" s="68">
        <f t="shared" si="351"/>
        <v>27.482758620689655</v>
      </c>
      <c r="AIR14" s="48"/>
      <c r="AIS14" s="49"/>
      <c r="AIT14" s="49">
        <v>554</v>
      </c>
      <c r="AIU14" s="49"/>
      <c r="AIV14" s="49"/>
      <c r="AIW14" s="49"/>
      <c r="AIX14" s="67">
        <f t="shared" si="352"/>
        <v>554</v>
      </c>
      <c r="AIY14" s="68">
        <f t="shared" si="353"/>
        <v>19.103448275862068</v>
      </c>
      <c r="AIZ14" s="48"/>
      <c r="AJA14" s="49"/>
      <c r="AJB14" s="49">
        <v>803</v>
      </c>
      <c r="AJC14" s="49"/>
      <c r="AJD14" s="49"/>
      <c r="AJE14" s="49"/>
      <c r="AJF14" s="67">
        <f t="shared" si="354"/>
        <v>803</v>
      </c>
      <c r="AJG14" s="68">
        <f t="shared" si="355"/>
        <v>27.689655172413794</v>
      </c>
      <c r="AJH14" s="48"/>
      <c r="AJI14" s="49">
        <v>401</v>
      </c>
      <c r="AJJ14" s="49"/>
      <c r="AJK14" s="49">
        <v>800</v>
      </c>
      <c r="AJL14" s="49"/>
      <c r="AJM14" s="49"/>
      <c r="AJN14" s="42">
        <f t="shared" si="356"/>
        <v>1201</v>
      </c>
      <c r="AJO14" s="43">
        <f t="shared" si="357"/>
        <v>41.413793103448278</v>
      </c>
      <c r="AJP14" s="48"/>
      <c r="AJQ14" s="49"/>
      <c r="AJR14" s="49"/>
      <c r="AJS14" s="49">
        <v>198</v>
      </c>
      <c r="AJT14" s="49"/>
      <c r="AJU14" s="49"/>
      <c r="AJV14" s="42">
        <f t="shared" si="358"/>
        <v>198</v>
      </c>
      <c r="AJW14" s="43">
        <f t="shared" si="359"/>
        <v>6.8275862068965516</v>
      </c>
      <c r="AJX14" s="48"/>
      <c r="AJY14" s="49"/>
      <c r="AJZ14" s="49"/>
      <c r="AKA14" s="49"/>
      <c r="AKB14" s="49"/>
      <c r="AKC14" s="49">
        <v>200</v>
      </c>
      <c r="AKD14" s="67">
        <f t="shared" si="360"/>
        <v>200</v>
      </c>
      <c r="AKE14" s="68">
        <f t="shared" si="361"/>
        <v>6.8965517241379306</v>
      </c>
      <c r="AKF14" s="48">
        <v>198</v>
      </c>
      <c r="AKG14" s="49"/>
      <c r="AKH14" s="49">
        <v>1160</v>
      </c>
      <c r="AKI14" s="49"/>
      <c r="AKJ14" s="49"/>
      <c r="AKK14" s="49"/>
      <c r="AKL14" s="67">
        <f t="shared" si="362"/>
        <v>1358</v>
      </c>
      <c r="AKM14" s="184">
        <f t="shared" si="363"/>
        <v>226.33333333333334</v>
      </c>
      <c r="AKN14" s="195"/>
      <c r="AKO14" s="49"/>
      <c r="AKP14" s="49"/>
      <c r="AKQ14" s="49"/>
      <c r="AKR14" s="49"/>
      <c r="AKS14" s="49"/>
      <c r="AKT14" s="67">
        <f t="shared" si="364"/>
        <v>0</v>
      </c>
      <c r="AKU14" s="184">
        <f t="shared" si="365"/>
        <v>0</v>
      </c>
      <c r="AKV14" s="48"/>
      <c r="AKW14" s="49"/>
      <c r="AKX14" s="49">
        <v>1000</v>
      </c>
      <c r="AKY14" s="49"/>
      <c r="AKZ14" s="49"/>
      <c r="ALA14" s="49"/>
      <c r="ALB14" s="67">
        <f t="shared" si="366"/>
        <v>1000</v>
      </c>
      <c r="ALC14" s="68">
        <f t="shared" si="367"/>
        <v>166.66666666666666</v>
      </c>
      <c r="ALD14" s="48"/>
      <c r="ALE14" s="49"/>
      <c r="ALF14" s="49"/>
      <c r="ALG14" s="49"/>
      <c r="ALH14" s="49"/>
      <c r="ALI14" s="49"/>
      <c r="ALJ14" s="67">
        <f t="shared" si="368"/>
        <v>0</v>
      </c>
      <c r="ALK14" s="68">
        <f t="shared" si="369"/>
        <v>0</v>
      </c>
      <c r="ALL14" s="48">
        <v>602</v>
      </c>
      <c r="ALM14" s="49"/>
      <c r="ALN14" s="49"/>
      <c r="ALO14" s="49"/>
      <c r="ALP14" s="49"/>
      <c r="ALQ14" s="49"/>
      <c r="ALR14" s="67">
        <f t="shared" si="370"/>
        <v>602</v>
      </c>
      <c r="ALS14" s="68">
        <f t="shared" si="371"/>
        <v>100.33333333333333</v>
      </c>
      <c r="ALT14" s="48"/>
      <c r="ALU14" s="49"/>
      <c r="ALV14" s="49"/>
      <c r="ALW14" s="49"/>
      <c r="ALX14" s="49">
        <v>973</v>
      </c>
      <c r="ALY14" s="49"/>
      <c r="ALZ14" s="67">
        <f t="shared" si="372"/>
        <v>973</v>
      </c>
      <c r="AMA14" s="68">
        <f t="shared" si="373"/>
        <v>162.16666666666666</v>
      </c>
      <c r="AMB14" s="48"/>
      <c r="AMC14" s="49"/>
      <c r="AMD14" s="49"/>
      <c r="AME14" s="49"/>
      <c r="AMF14" s="49">
        <v>1356</v>
      </c>
      <c r="AMG14" s="49"/>
      <c r="AMH14" s="67">
        <f t="shared" si="374"/>
        <v>1356</v>
      </c>
      <c r="AMI14" s="68">
        <f t="shared" si="375"/>
        <v>226</v>
      </c>
      <c r="AMJ14" s="48"/>
      <c r="AMK14" s="49"/>
      <c r="AML14" s="49"/>
      <c r="AMM14" s="49"/>
      <c r="AMN14" s="49"/>
      <c r="AMO14" s="49"/>
      <c r="AMP14" s="67">
        <f t="shared" si="376"/>
        <v>0</v>
      </c>
      <c r="AMQ14" s="68">
        <f t="shared" si="377"/>
        <v>0</v>
      </c>
      <c r="AMR14" s="48"/>
      <c r="AMS14" s="49"/>
      <c r="AMT14" s="49"/>
      <c r="AMU14" s="49"/>
      <c r="AMV14" s="49">
        <v>935</v>
      </c>
      <c r="AMW14" s="49"/>
      <c r="AMX14" s="67">
        <f t="shared" si="378"/>
        <v>935</v>
      </c>
      <c r="AMY14" s="68">
        <f t="shared" si="379"/>
        <v>155.83333333333334</v>
      </c>
      <c r="AMZ14" s="48"/>
      <c r="ANA14" s="49"/>
      <c r="ANB14" s="49"/>
      <c r="ANC14" s="49"/>
      <c r="AND14" s="49">
        <v>802</v>
      </c>
      <c r="ANE14" s="49"/>
      <c r="ANF14" s="67">
        <f t="shared" si="380"/>
        <v>802</v>
      </c>
      <c r="ANG14" s="68">
        <f t="shared" si="381"/>
        <v>133.66666666666666</v>
      </c>
      <c r="ANH14" s="48">
        <v>804</v>
      </c>
      <c r="ANI14" s="49"/>
      <c r="ANJ14" s="49"/>
      <c r="ANK14" s="49"/>
      <c r="ANL14" s="49"/>
      <c r="ANM14" s="49"/>
      <c r="ANN14" s="67">
        <f t="shared" si="382"/>
        <v>804</v>
      </c>
      <c r="ANO14" s="68">
        <f t="shared" si="383"/>
        <v>134</v>
      </c>
      <c r="ANP14" s="48"/>
      <c r="ANQ14" s="49"/>
      <c r="ANR14" s="49">
        <v>302</v>
      </c>
      <c r="ANS14" s="49">
        <v>299</v>
      </c>
      <c r="ANT14" s="49"/>
      <c r="ANU14" s="49"/>
      <c r="ANV14" s="67">
        <f t="shared" si="384"/>
        <v>601</v>
      </c>
      <c r="ANW14" s="68">
        <f t="shared" si="385"/>
        <v>100.16666666666667</v>
      </c>
      <c r="ANX14" s="82"/>
      <c r="ANY14" s="83">
        <v>10</v>
      </c>
      <c r="ANZ14" s="83">
        <v>588</v>
      </c>
      <c r="AOA14" s="83"/>
      <c r="AOB14" s="83"/>
      <c r="AOC14" s="83"/>
      <c r="AOD14" s="67">
        <f t="shared" si="386"/>
        <v>598</v>
      </c>
      <c r="AOE14" s="68">
        <f t="shared" si="387"/>
        <v>99.666666666666671</v>
      </c>
      <c r="AOF14" s="48"/>
      <c r="AOG14" s="49"/>
      <c r="AOH14" s="49"/>
      <c r="AOI14" s="49">
        <v>802</v>
      </c>
      <c r="AOJ14" s="49"/>
      <c r="AOK14" s="49"/>
      <c r="AOL14" s="67">
        <f t="shared" si="388"/>
        <v>802</v>
      </c>
      <c r="AOM14" s="68">
        <f t="shared" si="389"/>
        <v>133.66666666666666</v>
      </c>
      <c r="AON14" s="48"/>
      <c r="AOO14" s="49"/>
      <c r="AOP14" s="49"/>
      <c r="AOQ14" s="49"/>
      <c r="AOR14" s="49"/>
      <c r="AOS14" s="49"/>
      <c r="AOT14" s="67">
        <f t="shared" si="390"/>
        <v>0</v>
      </c>
      <c r="AOU14" s="68">
        <f t="shared" si="391"/>
        <v>0</v>
      </c>
      <c r="AOV14" s="48">
        <v>402</v>
      </c>
      <c r="AOW14" s="49"/>
      <c r="AOX14" s="49"/>
      <c r="AOY14" s="49"/>
      <c r="AOZ14" s="49"/>
      <c r="APA14" s="49"/>
      <c r="APB14" s="67">
        <f t="shared" si="392"/>
        <v>402</v>
      </c>
      <c r="APC14" s="68">
        <f t="shared" si="393"/>
        <v>67</v>
      </c>
      <c r="APD14" s="48"/>
      <c r="APE14" s="49">
        <v>804</v>
      </c>
      <c r="APF14" s="49"/>
      <c r="APG14" s="49"/>
      <c r="APH14" s="49"/>
      <c r="API14" s="49"/>
      <c r="APJ14" s="67">
        <f t="shared" si="394"/>
        <v>804</v>
      </c>
      <c r="APK14" s="68">
        <f t="shared" si="395"/>
        <v>134</v>
      </c>
      <c r="APL14" s="48"/>
      <c r="APM14" s="49"/>
      <c r="APN14" s="49"/>
      <c r="APO14" s="49"/>
      <c r="APP14" s="49"/>
      <c r="APQ14" s="49"/>
      <c r="APR14" s="67">
        <f t="shared" si="396"/>
        <v>0</v>
      </c>
      <c r="APS14" s="68">
        <f t="shared" si="397"/>
        <v>0</v>
      </c>
      <c r="APT14" s="48">
        <v>799</v>
      </c>
      <c r="APU14" s="49"/>
      <c r="APV14" s="49"/>
      <c r="APW14" s="49"/>
      <c r="APX14" s="49">
        <v>796</v>
      </c>
      <c r="APY14" s="49"/>
      <c r="APZ14" s="67">
        <f t="shared" si="398"/>
        <v>1595</v>
      </c>
      <c r="AQA14" s="68">
        <f t="shared" si="399"/>
        <v>265.83333333333331</v>
      </c>
      <c r="AQB14" s="48"/>
      <c r="AQC14" s="49"/>
      <c r="AQD14" s="49"/>
      <c r="AQE14" s="49"/>
      <c r="AQF14" s="49"/>
      <c r="AQG14" s="49">
        <v>601</v>
      </c>
      <c r="AQH14" s="67">
        <f t="shared" si="400"/>
        <v>601</v>
      </c>
      <c r="AQI14" s="68">
        <f t="shared" si="401"/>
        <v>100.16666666666667</v>
      </c>
      <c r="AQJ14" s="48"/>
      <c r="AQK14" s="49"/>
      <c r="AQL14" s="49"/>
      <c r="AQM14" s="49"/>
      <c r="AQN14" s="49"/>
      <c r="AQO14" s="49">
        <v>811</v>
      </c>
      <c r="AQP14" s="67">
        <f t="shared" si="402"/>
        <v>811</v>
      </c>
      <c r="AQQ14" s="68">
        <f t="shared" si="403"/>
        <v>135.16666666666666</v>
      </c>
      <c r="AQR14" s="48"/>
      <c r="AQS14" s="49"/>
      <c r="AQT14" s="49"/>
      <c r="AQU14" s="49"/>
      <c r="AQV14" s="49"/>
      <c r="AQW14" s="49"/>
      <c r="AQX14" s="67">
        <f t="shared" si="404"/>
        <v>0</v>
      </c>
      <c r="AQY14" s="68">
        <f t="shared" si="405"/>
        <v>0</v>
      </c>
      <c r="AQZ14" s="48"/>
      <c r="ARA14" s="49"/>
      <c r="ARB14" s="49"/>
      <c r="ARC14" s="49"/>
      <c r="ARD14" s="49"/>
      <c r="ARE14" s="49">
        <v>400</v>
      </c>
      <c r="ARF14" s="67">
        <f t="shared" si="406"/>
        <v>400</v>
      </c>
      <c r="ARG14" s="68">
        <f t="shared" si="407"/>
        <v>66.666666666666671</v>
      </c>
      <c r="ARH14" s="48"/>
      <c r="ARI14" s="49"/>
      <c r="ARJ14" s="49">
        <v>901</v>
      </c>
      <c r="ARK14" s="49"/>
      <c r="ARL14" s="49"/>
      <c r="ARM14" s="49">
        <v>2</v>
      </c>
      <c r="ARN14" s="67">
        <f t="shared" si="408"/>
        <v>903</v>
      </c>
      <c r="ARO14" s="68">
        <f t="shared" si="409"/>
        <v>150.5</v>
      </c>
      <c r="ARP14" s="48"/>
      <c r="ARQ14" s="49">
        <v>1001</v>
      </c>
      <c r="ARR14" s="49"/>
      <c r="ARS14" s="49"/>
      <c r="ART14" s="49"/>
      <c r="ARU14" s="49"/>
      <c r="ARV14" s="67">
        <f t="shared" si="410"/>
        <v>1001</v>
      </c>
      <c r="ARW14" s="68">
        <f t="shared" si="411"/>
        <v>166.83333333333334</v>
      </c>
      <c r="ARX14" s="48"/>
      <c r="ARY14" s="49"/>
      <c r="ARZ14" s="49"/>
      <c r="ASA14" s="49">
        <v>798</v>
      </c>
      <c r="ASB14" s="49"/>
      <c r="ASC14" s="49"/>
      <c r="ASD14" s="67">
        <f t="shared" si="412"/>
        <v>798</v>
      </c>
      <c r="ASE14" s="68">
        <f t="shared" si="413"/>
        <v>133</v>
      </c>
      <c r="ASF14" s="48"/>
      <c r="ASG14" s="49"/>
      <c r="ASH14" s="49"/>
      <c r="ASI14" s="49"/>
      <c r="ASJ14" s="49">
        <v>762</v>
      </c>
      <c r="ASK14" s="49">
        <v>1356</v>
      </c>
      <c r="ASL14" s="67">
        <f t="shared" si="414"/>
        <v>2118</v>
      </c>
      <c r="ASM14" s="68">
        <f t="shared" si="415"/>
        <v>353</v>
      </c>
      <c r="ASN14" s="48"/>
      <c r="ASO14" s="49"/>
      <c r="ASP14" s="49"/>
      <c r="ASQ14" s="49"/>
      <c r="ASR14" s="49"/>
      <c r="ASS14" s="49"/>
      <c r="AST14" s="67">
        <f t="shared" si="416"/>
        <v>0</v>
      </c>
      <c r="ASU14" s="68">
        <f t="shared" si="417"/>
        <v>0</v>
      </c>
      <c r="ASV14" s="48">
        <v>25</v>
      </c>
      <c r="ASW14" s="49">
        <v>1000</v>
      </c>
      <c r="ASX14" s="49">
        <v>600</v>
      </c>
      <c r="ASY14" s="49"/>
      <c r="ASZ14" s="49"/>
      <c r="ATA14" s="49"/>
      <c r="ATB14" s="67">
        <f t="shared" si="418"/>
        <v>1625</v>
      </c>
      <c r="ATC14" s="68">
        <f t="shared" si="419"/>
        <v>270.83333333333331</v>
      </c>
      <c r="ATD14" s="48"/>
      <c r="ATE14" s="49"/>
      <c r="ATF14" s="49"/>
      <c r="ATG14" s="49"/>
      <c r="ATH14" s="49"/>
      <c r="ATI14" s="49"/>
      <c r="ATJ14" s="67">
        <f t="shared" si="420"/>
        <v>0</v>
      </c>
      <c r="ATK14" s="68">
        <f t="shared" si="421"/>
        <v>0</v>
      </c>
      <c r="ATL14" s="48"/>
      <c r="ATM14" s="49"/>
      <c r="ATN14" s="49"/>
      <c r="ATO14" s="49">
        <v>200</v>
      </c>
      <c r="ATP14" s="49"/>
      <c r="ATQ14" s="49"/>
      <c r="ATR14" s="67">
        <f t="shared" si="422"/>
        <v>200</v>
      </c>
      <c r="ATS14" s="68">
        <f t="shared" si="423"/>
        <v>33.333333333333336</v>
      </c>
      <c r="ATT14" s="48"/>
      <c r="ATU14" s="49"/>
      <c r="ATV14" s="49"/>
      <c r="ATW14" s="49"/>
      <c r="ATX14" s="49"/>
      <c r="ATY14" s="49"/>
      <c r="ATZ14" s="67">
        <f t="shared" si="424"/>
        <v>0</v>
      </c>
      <c r="AUA14" s="68">
        <f t="shared" si="425"/>
        <v>0</v>
      </c>
      <c r="AUB14" s="48"/>
      <c r="AUC14" s="49"/>
      <c r="AUD14" s="49">
        <v>1208</v>
      </c>
      <c r="AUE14" s="49"/>
      <c r="AUF14" s="49"/>
      <c r="AUG14" s="49"/>
      <c r="AUH14" s="67">
        <f t="shared" si="426"/>
        <v>1208</v>
      </c>
      <c r="AUI14" s="68">
        <f t="shared" si="427"/>
        <v>201.33333333333334</v>
      </c>
      <c r="AUJ14" s="48"/>
      <c r="AUK14" s="49">
        <v>376</v>
      </c>
      <c r="AUL14" s="49"/>
      <c r="AUM14" s="49"/>
      <c r="AUN14" s="49"/>
      <c r="AUO14" s="49"/>
      <c r="AUP14" s="67">
        <f t="shared" si="428"/>
        <v>376</v>
      </c>
      <c r="AUQ14" s="68">
        <f t="shared" si="429"/>
        <v>62.666666666666664</v>
      </c>
      <c r="AUR14" s="48"/>
      <c r="AUS14" s="49"/>
      <c r="AUT14" s="49">
        <v>418</v>
      </c>
      <c r="AUU14" s="49"/>
      <c r="AUV14" s="49"/>
      <c r="AUW14" s="49"/>
      <c r="AUX14" s="67">
        <f t="shared" si="430"/>
        <v>418</v>
      </c>
      <c r="AUY14" s="68">
        <f t="shared" si="431"/>
        <v>69.666666666666671</v>
      </c>
      <c r="AUZ14" s="48"/>
      <c r="AVA14" s="49"/>
      <c r="AVB14" s="49"/>
      <c r="AVC14" s="49"/>
      <c r="AVD14" s="49"/>
      <c r="AVE14" s="49"/>
      <c r="AVF14" s="67">
        <f t="shared" si="432"/>
        <v>0</v>
      </c>
      <c r="AVG14" s="68">
        <f t="shared" si="433"/>
        <v>0</v>
      </c>
      <c r="AVH14" s="48">
        <v>401</v>
      </c>
      <c r="AVI14" s="49"/>
      <c r="AVJ14" s="49">
        <v>798</v>
      </c>
      <c r="AVK14" s="49"/>
      <c r="AVL14" s="49"/>
      <c r="AVM14" s="49"/>
      <c r="AVN14" s="67">
        <f t="shared" si="434"/>
        <v>1199</v>
      </c>
      <c r="AVO14" s="68">
        <f t="shared" si="435"/>
        <v>199.83333333333334</v>
      </c>
      <c r="AVP14" s="48"/>
      <c r="AVQ14" s="49"/>
      <c r="AVR14" s="49"/>
      <c r="AVS14" s="49"/>
      <c r="AVT14" s="49"/>
      <c r="AVU14" s="49"/>
      <c r="AVV14" s="67">
        <f t="shared" si="436"/>
        <v>0</v>
      </c>
      <c r="AVW14" s="68">
        <f t="shared" si="437"/>
        <v>0</v>
      </c>
      <c r="AVX14" s="48"/>
      <c r="AVY14" s="49">
        <v>200</v>
      </c>
      <c r="AVZ14" s="49"/>
      <c r="AWA14" s="49"/>
      <c r="AWB14" s="49"/>
      <c r="AWC14" s="49">
        <v>1007</v>
      </c>
      <c r="AWD14" s="67">
        <f t="shared" si="438"/>
        <v>1207</v>
      </c>
      <c r="AWE14" s="68">
        <f t="shared" si="439"/>
        <v>201.16666666666666</v>
      </c>
      <c r="AWF14" s="48"/>
      <c r="AWG14" s="49"/>
      <c r="AWH14" s="49"/>
      <c r="AWI14" s="49"/>
      <c r="AWJ14" s="49"/>
      <c r="AWK14" s="49">
        <v>811</v>
      </c>
      <c r="AWL14" s="67">
        <f t="shared" si="440"/>
        <v>811</v>
      </c>
      <c r="AWM14" s="68">
        <f t="shared" si="441"/>
        <v>135.16666666666666</v>
      </c>
      <c r="AWN14" s="48"/>
      <c r="AWO14" s="49"/>
      <c r="AWP14" s="49"/>
      <c r="AWQ14" s="49"/>
      <c r="AWR14" s="49">
        <v>600</v>
      </c>
      <c r="AWS14" s="49"/>
      <c r="AWT14" s="42">
        <f t="shared" si="442"/>
        <v>600</v>
      </c>
      <c r="AWU14" s="43">
        <f t="shared" si="443"/>
        <v>100</v>
      </c>
      <c r="AWV14" s="48"/>
      <c r="AWW14" s="49"/>
      <c r="AWX14" s="49"/>
      <c r="AWY14" s="49"/>
      <c r="AWZ14" s="49"/>
      <c r="AXA14" s="49"/>
      <c r="AXB14" s="42">
        <f t="shared" si="444"/>
        <v>0</v>
      </c>
      <c r="AXC14" s="43">
        <f t="shared" si="445"/>
        <v>0</v>
      </c>
      <c r="AXD14" s="48">
        <v>766</v>
      </c>
      <c r="AXE14" s="49"/>
      <c r="AXF14" s="49">
        <v>2</v>
      </c>
      <c r="AXG14" s="49"/>
      <c r="AXH14" s="49"/>
      <c r="AXI14" s="49"/>
      <c r="AXJ14" s="42">
        <f t="shared" si="446"/>
        <v>768</v>
      </c>
      <c r="AXK14" s="43">
        <f t="shared" si="447"/>
        <v>128</v>
      </c>
      <c r="AXL14" s="48"/>
      <c r="AXM14" s="49"/>
      <c r="AXN14" s="49"/>
      <c r="AXO14" s="49"/>
      <c r="AXP14" s="49"/>
      <c r="AXQ14" s="49">
        <v>401</v>
      </c>
      <c r="AXR14" s="42">
        <f t="shared" si="448"/>
        <v>401</v>
      </c>
      <c r="AXS14" s="43">
        <f t="shared" si="449"/>
        <v>66.833333333333329</v>
      </c>
      <c r="AXT14" s="48"/>
      <c r="AXU14" s="49">
        <v>401</v>
      </c>
      <c r="AXV14" s="49"/>
      <c r="AXW14" s="49"/>
      <c r="AXX14" s="49"/>
      <c r="AXY14" s="49"/>
      <c r="AXZ14" s="42">
        <f t="shared" si="450"/>
        <v>401</v>
      </c>
      <c r="AYA14" s="43">
        <f t="shared" si="451"/>
        <v>66.833333333333329</v>
      </c>
      <c r="AYB14" s="48">
        <v>401</v>
      </c>
      <c r="AYC14" s="49"/>
      <c r="AYD14" s="49"/>
      <c r="AYE14" s="49"/>
      <c r="AYF14" s="49"/>
      <c r="AYG14" s="49">
        <v>803</v>
      </c>
      <c r="AYH14" s="42">
        <f t="shared" si="452"/>
        <v>1204</v>
      </c>
      <c r="AYI14" s="43">
        <f t="shared" si="453"/>
        <v>200.66666666666666</v>
      </c>
      <c r="AYJ14" s="48"/>
      <c r="AYK14" s="49"/>
      <c r="AYL14" s="49"/>
      <c r="AYM14" s="49">
        <v>600</v>
      </c>
      <c r="AYN14" s="49"/>
      <c r="AYO14" s="49"/>
      <c r="AYP14" s="42">
        <f t="shared" si="454"/>
        <v>600</v>
      </c>
      <c r="AYQ14" s="43">
        <f t="shared" si="455"/>
        <v>100</v>
      </c>
      <c r="AYR14" s="48"/>
      <c r="AYS14" s="49"/>
      <c r="AYT14" s="49"/>
      <c r="AYU14" s="49"/>
      <c r="AYV14" s="49"/>
      <c r="AYW14" s="49"/>
      <c r="AYX14" s="42">
        <f t="shared" si="456"/>
        <v>0</v>
      </c>
      <c r="AYY14" s="43">
        <f t="shared" si="457"/>
        <v>0</v>
      </c>
      <c r="AYZ14" s="48"/>
      <c r="AZA14" s="49"/>
      <c r="AZB14" s="49"/>
      <c r="AZC14" s="49"/>
      <c r="AZD14" s="49"/>
      <c r="AZE14" s="49"/>
      <c r="AZF14" s="42">
        <f t="shared" si="458"/>
        <v>0</v>
      </c>
      <c r="AZG14" s="43">
        <f t="shared" si="459"/>
        <v>0</v>
      </c>
      <c r="AZH14" s="48"/>
      <c r="AZI14" s="49"/>
      <c r="AZJ14" s="49">
        <v>600</v>
      </c>
      <c r="AZK14" s="49"/>
      <c r="AZL14" s="49"/>
      <c r="AZM14" s="49"/>
      <c r="AZN14" s="42">
        <f t="shared" si="460"/>
        <v>600</v>
      </c>
      <c r="AZO14" s="43">
        <f t="shared" si="461"/>
        <v>100</v>
      </c>
      <c r="AZP14" s="48"/>
      <c r="AZQ14" s="49"/>
      <c r="AZR14" s="49"/>
      <c r="AZS14" s="49"/>
      <c r="AZT14" s="49">
        <v>399</v>
      </c>
      <c r="AZU14" s="49"/>
      <c r="AZV14" s="42">
        <f t="shared" si="462"/>
        <v>399</v>
      </c>
      <c r="AZW14" s="43">
        <f t="shared" si="463"/>
        <v>66.5</v>
      </c>
      <c r="AZX14" s="82"/>
      <c r="AZY14" s="83">
        <v>300</v>
      </c>
      <c r="AZZ14" s="83">
        <v>103</v>
      </c>
      <c r="BAA14" s="83"/>
      <c r="BAB14" s="83"/>
      <c r="BAC14" s="83"/>
      <c r="BAD14" s="42">
        <f t="shared" si="464"/>
        <v>403</v>
      </c>
      <c r="BAE14" s="43">
        <f t="shared" si="465"/>
        <v>67.166666666666671</v>
      </c>
      <c r="BAF14" s="48"/>
      <c r="BAG14" s="49"/>
      <c r="BAH14" s="49"/>
      <c r="BAI14" s="49"/>
      <c r="BAJ14" s="49"/>
      <c r="BAK14" s="49"/>
      <c r="BAL14" s="42">
        <f t="shared" si="466"/>
        <v>0</v>
      </c>
      <c r="BAM14" s="43">
        <f t="shared" si="467"/>
        <v>0</v>
      </c>
      <c r="BAN14" s="48">
        <v>400</v>
      </c>
      <c r="BAO14" s="49"/>
      <c r="BAP14" s="49"/>
      <c r="BAQ14" s="49"/>
      <c r="BAR14" s="49"/>
      <c r="BAS14" s="49"/>
      <c r="BAT14" s="42">
        <f t="shared" si="468"/>
        <v>400</v>
      </c>
      <c r="BAU14" s="43">
        <f t="shared" si="469"/>
        <v>66.666666666666671</v>
      </c>
      <c r="BAV14" s="48"/>
      <c r="BAW14" s="49">
        <v>400</v>
      </c>
      <c r="BAX14" s="49"/>
      <c r="BAY14" s="49"/>
      <c r="BAZ14" s="49"/>
      <c r="BBA14" s="49"/>
      <c r="BBB14" s="42">
        <f t="shared" si="470"/>
        <v>400</v>
      </c>
      <c r="BBC14" s="43">
        <f t="shared" si="471"/>
        <v>66.666666666666671</v>
      </c>
      <c r="BBD14" s="48"/>
      <c r="BBE14" s="49"/>
      <c r="BBF14" s="49"/>
      <c r="BBG14" s="49"/>
      <c r="BBH14" s="49"/>
      <c r="BBI14" s="49">
        <v>628</v>
      </c>
      <c r="BBJ14" s="42">
        <f t="shared" si="472"/>
        <v>628</v>
      </c>
      <c r="BBK14" s="43">
        <f t="shared" si="473"/>
        <v>104.66666666666667</v>
      </c>
      <c r="BBL14" s="48"/>
      <c r="BBM14" s="49"/>
      <c r="BBN14" s="49"/>
      <c r="BBO14" s="49"/>
      <c r="BBP14" s="49"/>
      <c r="BBQ14" s="49"/>
      <c r="BBR14" s="42">
        <f t="shared" si="474"/>
        <v>0</v>
      </c>
      <c r="BBS14" s="43">
        <f t="shared" si="475"/>
        <v>0</v>
      </c>
      <c r="BBT14" s="48"/>
      <c r="BBU14" s="49"/>
      <c r="BBV14" s="49"/>
      <c r="BBW14" s="49"/>
      <c r="BBX14" s="49"/>
      <c r="BBY14" s="49">
        <v>1007</v>
      </c>
      <c r="BBZ14" s="42">
        <f t="shared" si="476"/>
        <v>1007</v>
      </c>
      <c r="BCA14" s="43">
        <f t="shared" si="477"/>
        <v>167.83333333333334</v>
      </c>
      <c r="BCB14" s="48"/>
      <c r="BCC14" s="49"/>
      <c r="BCD14" s="49"/>
      <c r="BCE14" s="49"/>
      <c r="BCF14" s="49"/>
      <c r="BCG14" s="49"/>
      <c r="BCH14" s="42">
        <f t="shared" si="478"/>
        <v>0</v>
      </c>
      <c r="BCI14" s="43">
        <f t="shared" si="479"/>
        <v>0</v>
      </c>
      <c r="BCJ14" s="48"/>
      <c r="BCK14" s="49"/>
      <c r="BCL14" s="49"/>
      <c r="BCM14" s="49"/>
      <c r="BCN14" s="49"/>
      <c r="BCO14" s="49"/>
      <c r="BCP14" s="42">
        <f t="shared" si="480"/>
        <v>0</v>
      </c>
      <c r="BCQ14" s="43">
        <f t="shared" si="481"/>
        <v>0</v>
      </c>
      <c r="BCR14" s="48"/>
      <c r="BCS14" s="49"/>
      <c r="BCT14" s="49"/>
      <c r="BCU14" s="49">
        <v>500</v>
      </c>
      <c r="BCV14" s="49">
        <v>100</v>
      </c>
      <c r="BCW14" s="49"/>
      <c r="BCX14" s="42">
        <f t="shared" si="482"/>
        <v>600</v>
      </c>
      <c r="BCY14" s="43">
        <f t="shared" si="483"/>
        <v>100</v>
      </c>
      <c r="BCZ14" s="48"/>
      <c r="BDA14" s="49"/>
      <c r="BDB14" s="49"/>
      <c r="BDC14" s="49"/>
      <c r="BDD14" s="49"/>
      <c r="BDE14" s="49"/>
      <c r="BDF14" s="42">
        <f t="shared" si="484"/>
        <v>0</v>
      </c>
      <c r="BDG14" s="43">
        <f t="shared" si="485"/>
        <v>0</v>
      </c>
      <c r="BDH14" s="48"/>
      <c r="BDI14" s="49"/>
      <c r="BDJ14" s="49"/>
      <c r="BDK14" s="49"/>
      <c r="BDL14" s="49"/>
      <c r="BDM14" s="49"/>
      <c r="BDN14" s="42">
        <f t="shared" si="486"/>
        <v>0</v>
      </c>
      <c r="BDO14" s="43">
        <f t="shared" si="487"/>
        <v>0</v>
      </c>
      <c r="BDP14" s="48"/>
      <c r="BDQ14" s="49"/>
      <c r="BDR14" s="49">
        <v>537</v>
      </c>
      <c r="BDS14" s="49"/>
      <c r="BDT14" s="49">
        <v>402</v>
      </c>
      <c r="BDU14" s="49"/>
      <c r="BDV14" s="42">
        <f t="shared" si="488"/>
        <v>939</v>
      </c>
      <c r="BDW14" s="43">
        <f t="shared" si="489"/>
        <v>156.5</v>
      </c>
      <c r="BDX14" s="48"/>
      <c r="BDY14" s="49"/>
      <c r="BDZ14" s="49"/>
      <c r="BEA14" s="49"/>
      <c r="BEB14" s="49">
        <v>603</v>
      </c>
      <c r="BEC14" s="49"/>
      <c r="BED14" s="42">
        <f t="shared" si="490"/>
        <v>603</v>
      </c>
      <c r="BEE14" s="43">
        <f t="shared" si="491"/>
        <v>100.5</v>
      </c>
      <c r="BEF14" s="48"/>
      <c r="BEG14" s="49"/>
      <c r="BEH14" s="49"/>
      <c r="BEI14" s="49"/>
      <c r="BEJ14" s="49"/>
      <c r="BEK14" s="49"/>
      <c r="BEL14" s="42">
        <f t="shared" si="492"/>
        <v>0</v>
      </c>
      <c r="BEM14" s="43">
        <f t="shared" si="493"/>
        <v>0</v>
      </c>
      <c r="BEN14" s="48"/>
      <c r="BEO14" s="49"/>
      <c r="BEP14" s="49"/>
      <c r="BEQ14" s="49"/>
      <c r="BER14" s="49"/>
      <c r="BES14" s="49"/>
      <c r="BET14" s="42">
        <f t="shared" si="494"/>
        <v>0</v>
      </c>
      <c r="BEU14" s="43">
        <f t="shared" si="495"/>
        <v>0</v>
      </c>
      <c r="BEV14" s="82"/>
      <c r="BEW14" s="83"/>
      <c r="BEX14" s="83">
        <v>300</v>
      </c>
      <c r="BEY14" s="83"/>
      <c r="BEZ14" s="83"/>
      <c r="BFA14" s="83"/>
      <c r="BFB14" s="42">
        <f t="shared" si="496"/>
        <v>300</v>
      </c>
      <c r="BFC14" s="43">
        <f t="shared" si="497"/>
        <v>50</v>
      </c>
      <c r="BFD14" s="48"/>
      <c r="BFE14" s="49">
        <v>400</v>
      </c>
      <c r="BFF14" s="49"/>
      <c r="BFG14" s="49"/>
      <c r="BFH14" s="49">
        <v>200</v>
      </c>
      <c r="BFI14" s="49"/>
      <c r="BFJ14" s="42">
        <f t="shared" si="498"/>
        <v>600</v>
      </c>
      <c r="BFK14" s="43">
        <f t="shared" si="499"/>
        <v>100</v>
      </c>
      <c r="BFL14" s="48"/>
      <c r="BFM14" s="49"/>
      <c r="BFN14" s="49"/>
      <c r="BFO14" s="49"/>
      <c r="BFP14" s="49"/>
      <c r="BFQ14" s="49"/>
      <c r="BFR14" s="42">
        <f t="shared" si="500"/>
        <v>0</v>
      </c>
      <c r="BFS14" s="43">
        <f t="shared" si="501"/>
        <v>0</v>
      </c>
      <c r="BFT14" s="48"/>
      <c r="BFU14" s="49">
        <v>665</v>
      </c>
      <c r="BFV14" s="49"/>
      <c r="BFW14" s="49"/>
      <c r="BFX14" s="49"/>
      <c r="BFY14" s="49"/>
      <c r="BFZ14" s="42">
        <f t="shared" si="502"/>
        <v>665</v>
      </c>
      <c r="BGA14" s="43">
        <f t="shared" si="503"/>
        <v>110.83333333333333</v>
      </c>
      <c r="BGB14" s="48"/>
      <c r="BGC14" s="49"/>
      <c r="BGD14" s="49"/>
      <c r="BGE14" s="49"/>
      <c r="BGF14" s="49"/>
      <c r="BGG14" s="49">
        <v>300</v>
      </c>
      <c r="BGH14" s="42">
        <f t="shared" si="504"/>
        <v>300</v>
      </c>
      <c r="BGI14" s="43">
        <f t="shared" si="505"/>
        <v>50</v>
      </c>
      <c r="BGJ14" s="48"/>
      <c r="BGK14" s="49">
        <v>700</v>
      </c>
      <c r="BGL14" s="49"/>
      <c r="BGM14" s="49"/>
      <c r="BGN14" s="49"/>
      <c r="BGO14" s="49"/>
      <c r="BGP14" s="42">
        <f t="shared" si="506"/>
        <v>700</v>
      </c>
      <c r="BGQ14" s="43">
        <f t="shared" si="507"/>
        <v>116.66666666666667</v>
      </c>
      <c r="BGR14" s="48"/>
      <c r="BGS14" s="49"/>
      <c r="BGT14" s="49"/>
      <c r="BGU14" s="49">
        <v>321</v>
      </c>
      <c r="BGV14" s="49"/>
      <c r="BGW14" s="49"/>
      <c r="BGX14" s="42">
        <f t="shared" si="508"/>
        <v>321</v>
      </c>
      <c r="BGY14" s="43">
        <f t="shared" si="509"/>
        <v>53.5</v>
      </c>
      <c r="BGZ14" s="48"/>
      <c r="BHA14" s="49"/>
      <c r="BHB14" s="49"/>
      <c r="BHC14" s="49"/>
      <c r="BHD14" s="49">
        <v>407</v>
      </c>
      <c r="BHE14" s="49"/>
      <c r="BHF14" s="42">
        <f t="shared" si="510"/>
        <v>407</v>
      </c>
      <c r="BHG14" s="43">
        <f t="shared" si="511"/>
        <v>67.833333333333329</v>
      </c>
      <c r="BHH14" s="63">
        <v>298</v>
      </c>
      <c r="BHI14" s="64"/>
      <c r="BHJ14" s="64"/>
      <c r="BHK14" s="64"/>
      <c r="BHL14" s="64"/>
      <c r="BHM14" s="64"/>
      <c r="BHN14" s="42">
        <f t="shared" si="512"/>
        <v>298</v>
      </c>
      <c r="BHO14" s="43">
        <f t="shared" si="513"/>
        <v>49.666666666666664</v>
      </c>
      <c r="BHP14" s="48"/>
      <c r="BHQ14" s="49"/>
      <c r="BHR14" s="49"/>
      <c r="BHS14" s="49">
        <v>400</v>
      </c>
      <c r="BHT14" s="49"/>
      <c r="BHU14" s="49"/>
      <c r="BHV14" s="42">
        <f t="shared" si="514"/>
        <v>400</v>
      </c>
      <c r="BHW14" s="43">
        <f t="shared" si="515"/>
        <v>66.666666666666671</v>
      </c>
      <c r="BHX14" s="48"/>
      <c r="BHY14" s="49"/>
      <c r="BHZ14" s="49"/>
      <c r="BIA14" s="49"/>
      <c r="BIB14" s="49">
        <v>266</v>
      </c>
      <c r="BIC14" s="49">
        <v>134</v>
      </c>
      <c r="BID14" s="42">
        <f t="shared" si="516"/>
        <v>400</v>
      </c>
      <c r="BIE14" s="43">
        <f t="shared" si="517"/>
        <v>66.666666666666671</v>
      </c>
      <c r="BIF14" s="48"/>
      <c r="BIG14" s="49"/>
      <c r="BIH14" s="49"/>
      <c r="BII14" s="49"/>
      <c r="BIJ14" s="49"/>
      <c r="BIK14" s="49"/>
      <c r="BIL14" s="42">
        <f t="shared" si="518"/>
        <v>0</v>
      </c>
      <c r="BIM14" s="43">
        <f t="shared" si="519"/>
        <v>0</v>
      </c>
      <c r="BIN14" s="48"/>
      <c r="BIO14" s="49"/>
      <c r="BIP14" s="49">
        <v>300</v>
      </c>
      <c r="BIQ14" s="49"/>
      <c r="BIR14" s="49"/>
      <c r="BIS14" s="49"/>
      <c r="BIT14" s="42">
        <f t="shared" si="520"/>
        <v>300</v>
      </c>
      <c r="BIU14" s="43">
        <f t="shared" si="521"/>
        <v>50</v>
      </c>
      <c r="BIV14" s="48">
        <v>400</v>
      </c>
      <c r="BIW14" s="49"/>
      <c r="BIX14" s="49"/>
      <c r="BIY14" s="49"/>
      <c r="BIZ14" s="49"/>
      <c r="BJA14" s="49"/>
      <c r="BJB14" s="42">
        <f t="shared" si="522"/>
        <v>400</v>
      </c>
      <c r="BJC14" s="43">
        <f t="shared" si="523"/>
        <v>66.666666666666671</v>
      </c>
      <c r="BJD14" s="48"/>
      <c r="BJE14" s="49"/>
      <c r="BJF14" s="49"/>
      <c r="BJG14" s="49">
        <v>300</v>
      </c>
      <c r="BJH14" s="49"/>
      <c r="BJI14" s="49"/>
      <c r="BJJ14" s="42">
        <f t="shared" si="524"/>
        <v>300</v>
      </c>
      <c r="BJK14" s="43">
        <f t="shared" si="525"/>
        <v>50</v>
      </c>
      <c r="BJL14" s="48"/>
      <c r="BJM14" s="49"/>
      <c r="BJN14" s="49">
        <v>300</v>
      </c>
      <c r="BJO14" s="49"/>
      <c r="BJP14" s="49"/>
      <c r="BJQ14" s="49"/>
      <c r="BJR14" s="42">
        <f t="shared" si="526"/>
        <v>300</v>
      </c>
      <c r="BJS14" s="43">
        <f t="shared" si="527"/>
        <v>50</v>
      </c>
      <c r="BJT14" s="63"/>
      <c r="BJU14" s="64"/>
      <c r="BJV14" s="64"/>
      <c r="BJW14" s="64"/>
      <c r="BJX14" s="64"/>
      <c r="BJY14" s="64">
        <v>100</v>
      </c>
      <c r="BJZ14" s="42">
        <f t="shared" si="528"/>
        <v>100</v>
      </c>
      <c r="BKA14" s="43">
        <f t="shared" si="529"/>
        <v>20</v>
      </c>
      <c r="BKB14" s="48"/>
      <c r="BKC14" s="49"/>
      <c r="BKD14" s="49"/>
      <c r="BKE14" s="49"/>
      <c r="BKF14" s="49"/>
      <c r="BKG14" s="49"/>
      <c r="BKH14" s="67">
        <f t="shared" si="530"/>
        <v>0</v>
      </c>
      <c r="BKI14" s="68">
        <f t="shared" si="531"/>
        <v>0</v>
      </c>
      <c r="BKJ14" s="48"/>
      <c r="BKK14" s="49"/>
      <c r="BKL14" s="49">
        <v>199</v>
      </c>
      <c r="BKM14" s="49"/>
      <c r="BKN14" s="49">
        <v>1</v>
      </c>
      <c r="BKO14" s="49">
        <v>202</v>
      </c>
      <c r="BKP14" s="42">
        <f t="shared" si="532"/>
        <v>402</v>
      </c>
      <c r="BKQ14" s="43">
        <f t="shared" si="533"/>
        <v>67</v>
      </c>
      <c r="BKR14" s="48"/>
      <c r="BKS14" s="49"/>
      <c r="BKT14" s="49"/>
      <c r="BKU14" s="49">
        <v>196</v>
      </c>
      <c r="BKV14" s="49"/>
      <c r="BKW14" s="49"/>
      <c r="BKX14" s="42">
        <f t="shared" si="534"/>
        <v>196</v>
      </c>
      <c r="BKY14" s="43">
        <f t="shared" si="535"/>
        <v>32.666666666666664</v>
      </c>
      <c r="BKZ14" s="48"/>
      <c r="BLA14" s="49"/>
      <c r="BLB14" s="49"/>
      <c r="BLC14" s="49"/>
      <c r="BLD14" s="49"/>
      <c r="BLE14" s="49">
        <v>199</v>
      </c>
      <c r="BLF14" s="42">
        <f t="shared" si="536"/>
        <v>199</v>
      </c>
      <c r="BLG14" s="43">
        <f t="shared" si="537"/>
        <v>33.166666666666664</v>
      </c>
      <c r="BLH14" s="48"/>
      <c r="BLI14" s="49"/>
      <c r="BLJ14" s="49"/>
      <c r="BLK14" s="49"/>
      <c r="BLL14" s="49"/>
      <c r="BLM14" s="49"/>
      <c r="BLN14" s="42">
        <f t="shared" si="538"/>
        <v>0</v>
      </c>
      <c r="BLO14" s="43">
        <f t="shared" si="539"/>
        <v>0</v>
      </c>
      <c r="BLP14" s="48"/>
      <c r="BLQ14" s="49"/>
      <c r="BLR14" s="49"/>
      <c r="BLS14" s="49">
        <v>142</v>
      </c>
      <c r="BLT14" s="49">
        <v>98</v>
      </c>
      <c r="BLU14" s="49"/>
      <c r="BLV14" s="42">
        <f t="shared" si="540"/>
        <v>240</v>
      </c>
      <c r="BLW14" s="43">
        <f t="shared" si="541"/>
        <v>40</v>
      </c>
      <c r="BLX14" s="63"/>
      <c r="BLY14" s="64"/>
      <c r="BLZ14" s="64"/>
      <c r="BMA14" s="64"/>
      <c r="BMB14" s="64"/>
      <c r="BMC14" s="64">
        <v>301</v>
      </c>
      <c r="BMD14" s="42">
        <f t="shared" si="542"/>
        <v>301</v>
      </c>
      <c r="BME14" s="43">
        <f t="shared" si="543"/>
        <v>50.166666666666664</v>
      </c>
      <c r="BMF14" s="48"/>
      <c r="BMG14" s="49"/>
      <c r="BMH14" s="49"/>
      <c r="BMI14" s="49"/>
      <c r="BMJ14" s="49">
        <v>328</v>
      </c>
      <c r="BMK14" s="49"/>
      <c r="BML14" s="42">
        <f t="shared" si="544"/>
        <v>328</v>
      </c>
      <c r="BMM14" s="43">
        <f t="shared" si="545"/>
        <v>54.666666666666664</v>
      </c>
      <c r="BMN14" s="63"/>
      <c r="BMO14" s="64"/>
      <c r="BMP14" s="64"/>
      <c r="BMQ14" s="64">
        <v>220</v>
      </c>
      <c r="BMR14" s="64"/>
      <c r="BMS14" s="64"/>
      <c r="BMT14" s="42">
        <f t="shared" si="546"/>
        <v>220</v>
      </c>
      <c r="BMU14" s="43">
        <f t="shared" si="547"/>
        <v>36.666666666666664</v>
      </c>
      <c r="BMV14" s="48"/>
      <c r="BMW14" s="49"/>
      <c r="BMX14" s="49"/>
      <c r="BMY14" s="49"/>
      <c r="BMZ14" s="49">
        <v>320</v>
      </c>
      <c r="BNA14" s="49"/>
      <c r="BNB14" s="42">
        <f t="shared" si="548"/>
        <v>320</v>
      </c>
      <c r="BNC14" s="43">
        <f t="shared" si="549"/>
        <v>53.333333333333336</v>
      </c>
      <c r="BND14" s="48"/>
      <c r="BNE14" s="49"/>
      <c r="BNF14" s="49"/>
      <c r="BNG14" s="49"/>
      <c r="BNH14" s="49"/>
      <c r="BNI14" s="49">
        <v>288</v>
      </c>
      <c r="BNJ14" s="42">
        <f t="shared" si="550"/>
        <v>288</v>
      </c>
      <c r="BNK14" s="43">
        <f t="shared" si="551"/>
        <v>48</v>
      </c>
      <c r="BNL14" s="48"/>
      <c r="BNM14" s="49"/>
      <c r="BNN14" s="49">
        <v>221</v>
      </c>
      <c r="BNO14" s="49"/>
      <c r="BNP14" s="49"/>
      <c r="BNQ14" s="49">
        <v>202</v>
      </c>
      <c r="BNR14" s="42">
        <f t="shared" si="552"/>
        <v>423</v>
      </c>
      <c r="BNS14" s="43">
        <f t="shared" si="553"/>
        <v>70.5</v>
      </c>
      <c r="BNT14" s="48"/>
      <c r="BNU14" s="49"/>
      <c r="BNV14" s="49"/>
      <c r="BNW14" s="49"/>
      <c r="BNX14" s="49">
        <v>401</v>
      </c>
      <c r="BNY14" s="49"/>
      <c r="BNZ14" s="42">
        <f t="shared" si="554"/>
        <v>401</v>
      </c>
      <c r="BOA14" s="43">
        <f t="shared" si="555"/>
        <v>66.833333333333329</v>
      </c>
      <c r="BOB14" s="48"/>
      <c r="BOC14" s="49"/>
      <c r="BOD14" s="49"/>
      <c r="BOE14" s="49"/>
      <c r="BOF14" s="49"/>
      <c r="BOG14" s="49"/>
      <c r="BOH14" s="42">
        <f t="shared" si="556"/>
        <v>0</v>
      </c>
      <c r="BOI14" s="43">
        <f t="shared" si="557"/>
        <v>0</v>
      </c>
      <c r="BOJ14" s="48"/>
      <c r="BOK14" s="49"/>
      <c r="BOL14" s="49">
        <v>270</v>
      </c>
      <c r="BOM14" s="49"/>
      <c r="BON14" s="49">
        <v>100</v>
      </c>
      <c r="BOO14" s="49"/>
      <c r="BOP14" s="42">
        <f t="shared" si="558"/>
        <v>370</v>
      </c>
      <c r="BOQ14" s="43">
        <f t="shared" si="559"/>
        <v>61.666666666666664</v>
      </c>
      <c r="BOR14" s="48"/>
      <c r="BOS14" s="49">
        <v>602</v>
      </c>
      <c r="BOT14" s="49"/>
      <c r="BOU14" s="49"/>
      <c r="BOV14" s="49"/>
      <c r="BOW14" s="49">
        <v>404</v>
      </c>
      <c r="BOX14" s="42">
        <f t="shared" si="560"/>
        <v>1006</v>
      </c>
      <c r="BOY14" s="43">
        <f t="shared" si="561"/>
        <v>167.66666666666666</v>
      </c>
      <c r="BOZ14" s="63"/>
      <c r="BPA14" s="64"/>
      <c r="BPB14" s="64"/>
      <c r="BPC14" s="64">
        <v>103</v>
      </c>
      <c r="BPD14" s="64">
        <v>213</v>
      </c>
      <c r="BPE14" s="64"/>
      <c r="BPF14" s="42">
        <f t="shared" si="562"/>
        <v>316</v>
      </c>
      <c r="BPG14" s="43">
        <f t="shared" si="563"/>
        <v>52.666666666666664</v>
      </c>
      <c r="BPH14" s="48"/>
      <c r="BPI14" s="49"/>
      <c r="BPJ14" s="49">
        <v>500</v>
      </c>
      <c r="BPK14" s="49"/>
      <c r="BPL14" s="49"/>
      <c r="BPM14" s="49"/>
      <c r="BPN14" s="42">
        <f t="shared" si="564"/>
        <v>500</v>
      </c>
      <c r="BPO14" s="43">
        <f t="shared" si="565"/>
        <v>83.333333333333329</v>
      </c>
      <c r="BPP14" s="48"/>
      <c r="BPQ14" s="49"/>
      <c r="BPR14" s="49"/>
      <c r="BPS14" s="49"/>
      <c r="BPT14" s="49">
        <v>300</v>
      </c>
      <c r="BPU14" s="49"/>
      <c r="BPV14" s="42">
        <f t="shared" si="566"/>
        <v>300</v>
      </c>
      <c r="BPW14" s="43">
        <f t="shared" si="567"/>
        <v>50</v>
      </c>
      <c r="BPX14" s="48"/>
      <c r="BPY14" s="49"/>
      <c r="BPZ14" s="49"/>
      <c r="BQA14" s="49"/>
      <c r="BQB14" s="49"/>
      <c r="BQC14" s="49"/>
      <c r="BQD14" s="67">
        <f t="shared" si="568"/>
        <v>0</v>
      </c>
      <c r="BQE14" s="43">
        <f t="shared" si="569"/>
        <v>0</v>
      </c>
      <c r="BQF14" s="63"/>
      <c r="BQG14" s="64"/>
      <c r="BQH14" s="64"/>
      <c r="BQI14" s="64">
        <v>350</v>
      </c>
      <c r="BQJ14" s="64"/>
      <c r="BQK14" s="64"/>
      <c r="BQL14" s="67">
        <f t="shared" si="570"/>
        <v>350</v>
      </c>
      <c r="BQM14" s="43">
        <f t="shared" si="571"/>
        <v>58.333333333333336</v>
      </c>
      <c r="BQN14" s="63"/>
      <c r="BQO14" s="64"/>
      <c r="BQP14" s="64">
        <v>400</v>
      </c>
      <c r="BQQ14" s="64"/>
      <c r="BQR14" s="64"/>
      <c r="BQS14" s="64"/>
      <c r="BQT14" s="67">
        <f t="shared" si="572"/>
        <v>400</v>
      </c>
      <c r="BQU14" s="43">
        <f t="shared" si="573"/>
        <v>66.666666666666671</v>
      </c>
      <c r="BQV14" s="48"/>
      <c r="BQW14" s="49">
        <v>100</v>
      </c>
      <c r="BQX14" s="49"/>
      <c r="BQY14" s="49"/>
      <c r="BQZ14" s="49"/>
      <c r="BRA14" s="49"/>
      <c r="BRB14" s="67">
        <f t="shared" si="574"/>
        <v>100</v>
      </c>
      <c r="BRC14" s="43">
        <f t="shared" si="575"/>
        <v>16.666666666666668</v>
      </c>
      <c r="BRD14" s="48"/>
      <c r="BRE14" s="49">
        <v>328</v>
      </c>
      <c r="BRF14" s="49"/>
      <c r="BRG14" s="49"/>
      <c r="BRH14" s="49"/>
      <c r="BRI14" s="49"/>
      <c r="BRJ14" s="67">
        <f t="shared" si="576"/>
        <v>328</v>
      </c>
      <c r="BRK14" s="43">
        <f t="shared" si="577"/>
        <v>54.666666666666664</v>
      </c>
      <c r="BRL14" s="48"/>
      <c r="BRM14" s="49"/>
      <c r="BRN14" s="49">
        <v>400</v>
      </c>
      <c r="BRO14" s="49"/>
      <c r="BRP14" s="49"/>
      <c r="BRQ14" s="49">
        <v>400</v>
      </c>
      <c r="BRR14" s="67">
        <f t="shared" si="578"/>
        <v>800</v>
      </c>
      <c r="BRS14" s="68">
        <f t="shared" si="579"/>
        <v>133.33333333333334</v>
      </c>
      <c r="BRT14" s="63"/>
      <c r="BRU14" s="64"/>
      <c r="BRV14" s="64"/>
      <c r="BRW14" s="64"/>
      <c r="BRX14" s="64"/>
      <c r="BRY14" s="64"/>
      <c r="BRZ14" s="67">
        <f t="shared" si="580"/>
        <v>0</v>
      </c>
      <c r="BSA14" s="43">
        <f t="shared" si="581"/>
        <v>0</v>
      </c>
      <c r="BSB14" s="63"/>
      <c r="BSC14" s="64"/>
      <c r="BSD14" s="64">
        <v>602</v>
      </c>
      <c r="BSE14" s="64"/>
      <c r="BSF14" s="64"/>
      <c r="BSG14" s="64"/>
      <c r="BSH14" s="67">
        <f t="shared" si="582"/>
        <v>602</v>
      </c>
      <c r="BSI14" s="43">
        <f t="shared" si="583"/>
        <v>100.33333333333333</v>
      </c>
      <c r="BSJ14" s="63"/>
      <c r="BSK14" s="64"/>
      <c r="BSL14" s="64"/>
      <c r="BSM14" s="64"/>
      <c r="BSN14" s="64"/>
      <c r="BSO14" s="64">
        <v>439</v>
      </c>
      <c r="BSP14" s="67">
        <f t="shared" si="584"/>
        <v>439</v>
      </c>
      <c r="BSQ14" s="43">
        <f t="shared" si="585"/>
        <v>73.166666666666671</v>
      </c>
      <c r="BSR14" s="63"/>
      <c r="BSS14" s="64"/>
      <c r="BST14" s="64"/>
      <c r="BSU14" s="64">
        <v>217</v>
      </c>
      <c r="BSV14" s="64"/>
      <c r="BSW14" s="64"/>
      <c r="BSX14" s="67">
        <f t="shared" si="586"/>
        <v>217</v>
      </c>
      <c r="BSY14" s="43">
        <f t="shared" si="587"/>
        <v>36.166666666666664</v>
      </c>
      <c r="BSZ14" s="63"/>
      <c r="BTA14" s="64"/>
      <c r="BTB14" s="64"/>
      <c r="BTC14" s="64">
        <v>439</v>
      </c>
      <c r="BTD14" s="64"/>
      <c r="BTE14" s="64"/>
      <c r="BTF14" s="67">
        <f t="shared" si="588"/>
        <v>439</v>
      </c>
      <c r="BTG14" s="43">
        <f t="shared" si="589"/>
        <v>73.166666666666671</v>
      </c>
      <c r="BTH14" s="63"/>
      <c r="BTI14" s="64">
        <v>200</v>
      </c>
      <c r="BTJ14" s="64"/>
      <c r="BTK14" s="64"/>
      <c r="BTL14" s="64"/>
      <c r="BTM14" s="64">
        <v>4</v>
      </c>
      <c r="BTN14" s="67">
        <f t="shared" si="590"/>
        <v>204</v>
      </c>
      <c r="BTO14" s="68">
        <f t="shared" si="591"/>
        <v>34</v>
      </c>
      <c r="BTP14" s="48"/>
      <c r="BTQ14" s="49">
        <v>397</v>
      </c>
      <c r="BTR14" s="49"/>
      <c r="BTS14" s="49"/>
      <c r="BTT14" s="49">
        <v>598</v>
      </c>
      <c r="BTU14" s="49"/>
      <c r="BTV14" s="67">
        <f t="shared" si="592"/>
        <v>995</v>
      </c>
      <c r="BTW14" s="43">
        <f t="shared" si="593"/>
        <v>165.83333333333334</v>
      </c>
      <c r="BTX14" s="63"/>
      <c r="BTY14" s="64"/>
      <c r="BTZ14" s="64">
        <v>397</v>
      </c>
      <c r="BUA14" s="64"/>
      <c r="BUB14" s="64"/>
      <c r="BUC14" s="64"/>
      <c r="BUD14" s="67">
        <f t="shared" si="594"/>
        <v>397</v>
      </c>
      <c r="BUE14" s="68">
        <f t="shared" si="595"/>
        <v>66.166666666666671</v>
      </c>
      <c r="BUF14" s="48">
        <v>214</v>
      </c>
      <c r="BUG14" s="49"/>
      <c r="BUH14" s="49"/>
      <c r="BUI14" s="49"/>
      <c r="BUJ14" s="49">
        <v>219</v>
      </c>
      <c r="BUK14" s="49"/>
      <c r="BUL14" s="67">
        <f t="shared" si="596"/>
        <v>433</v>
      </c>
      <c r="BUM14" s="68">
        <f t="shared" si="597"/>
        <v>72.166666666666671</v>
      </c>
      <c r="BUN14" s="63">
        <v>400</v>
      </c>
      <c r="BUO14" s="64"/>
      <c r="BUP14" s="64"/>
      <c r="BUQ14" s="64">
        <v>99</v>
      </c>
      <c r="BUR14" s="64">
        <v>100</v>
      </c>
      <c r="BUS14" s="64"/>
      <c r="BUT14" s="67">
        <f t="shared" si="598"/>
        <v>599</v>
      </c>
      <c r="BUU14" s="68">
        <f t="shared" si="599"/>
        <v>99.833333333333329</v>
      </c>
      <c r="BUV14" s="48"/>
      <c r="BUW14" s="49"/>
      <c r="BUX14" s="49"/>
      <c r="BUY14" s="49"/>
      <c r="BUZ14" s="49"/>
      <c r="BVA14" s="49">
        <v>200</v>
      </c>
      <c r="BVB14" s="67">
        <f t="shared" si="600"/>
        <v>200</v>
      </c>
      <c r="BVC14" s="68">
        <f t="shared" si="601"/>
        <v>33.333333333333336</v>
      </c>
      <c r="BVD14" s="48"/>
      <c r="BVE14" s="49"/>
      <c r="BVF14" s="49"/>
      <c r="BVG14" s="49"/>
      <c r="BVH14" s="49"/>
      <c r="BVI14" s="49"/>
      <c r="BVJ14" s="67">
        <f t="shared" si="602"/>
        <v>0</v>
      </c>
      <c r="BVK14" s="68">
        <f t="shared" si="603"/>
        <v>0</v>
      </c>
      <c r="BVL14" s="48"/>
      <c r="BVM14" s="49">
        <v>200</v>
      </c>
      <c r="BVN14" s="49">
        <v>298</v>
      </c>
      <c r="BVO14" s="49"/>
      <c r="BVP14" s="49"/>
      <c r="BVQ14" s="49"/>
      <c r="BVR14" s="67">
        <f t="shared" si="604"/>
        <v>498</v>
      </c>
      <c r="BVS14" s="68">
        <f t="shared" si="605"/>
        <v>83</v>
      </c>
      <c r="BVT14" s="48"/>
      <c r="BVU14" s="49">
        <v>600</v>
      </c>
      <c r="BVV14" s="49"/>
      <c r="BVW14" s="49"/>
      <c r="BVX14" s="49"/>
      <c r="BVY14" s="49"/>
      <c r="BVZ14" s="67">
        <f t="shared" si="606"/>
        <v>600</v>
      </c>
      <c r="BWA14" s="68">
        <f t="shared" si="607"/>
        <v>100</v>
      </c>
      <c r="BWB14" s="48"/>
      <c r="BWC14" s="49">
        <v>398</v>
      </c>
      <c r="BWD14" s="49"/>
      <c r="BWE14" s="49"/>
      <c r="BWF14" s="49"/>
      <c r="BWG14" s="49"/>
      <c r="BWH14" s="67">
        <f t="shared" si="608"/>
        <v>398</v>
      </c>
      <c r="BWI14" s="68">
        <f t="shared" si="609"/>
        <v>66.333333333333329</v>
      </c>
      <c r="BWJ14" s="48"/>
      <c r="BWK14" s="49">
        <v>398</v>
      </c>
      <c r="BWL14" s="49"/>
      <c r="BWM14" s="49"/>
      <c r="BWN14" s="49"/>
      <c r="BWO14" s="49">
        <v>399</v>
      </c>
      <c r="BWP14" s="67">
        <f t="shared" si="610"/>
        <v>797</v>
      </c>
      <c r="BWQ14" s="68">
        <f t="shared" si="611"/>
        <v>132.83333333333334</v>
      </c>
      <c r="BWR14" s="48"/>
      <c r="BWS14" s="49"/>
      <c r="BWT14" s="49"/>
      <c r="BWU14" s="49">
        <v>458</v>
      </c>
      <c r="BWV14" s="49"/>
      <c r="BWW14" s="49"/>
      <c r="BWX14" s="67">
        <f t="shared" si="612"/>
        <v>458</v>
      </c>
      <c r="BWY14" s="68">
        <f t="shared" si="613"/>
        <v>76.333333333333329</v>
      </c>
      <c r="BWZ14" s="48"/>
      <c r="BXA14" s="49"/>
      <c r="BXB14" s="49"/>
      <c r="BXC14" s="49"/>
      <c r="BXD14" s="49"/>
      <c r="BXE14" s="49"/>
      <c r="BXF14" s="67">
        <f t="shared" si="614"/>
        <v>0</v>
      </c>
      <c r="BXG14" s="68">
        <f t="shared" si="615"/>
        <v>0</v>
      </c>
      <c r="BXH14" s="48"/>
      <c r="BXI14" s="49">
        <v>200</v>
      </c>
      <c r="BXJ14" s="49"/>
      <c r="BXK14" s="49"/>
      <c r="BXL14" s="49">
        <v>444</v>
      </c>
      <c r="BXM14" s="49">
        <v>28</v>
      </c>
      <c r="BXN14" s="67">
        <f t="shared" si="616"/>
        <v>672</v>
      </c>
      <c r="BXO14" s="68">
        <f t="shared" si="617"/>
        <v>112</v>
      </c>
      <c r="BXP14" s="63">
        <v>17</v>
      </c>
      <c r="BXQ14" s="64">
        <v>200</v>
      </c>
      <c r="BXR14" s="64"/>
      <c r="BXS14" s="64"/>
      <c r="BXT14" s="64">
        <v>199</v>
      </c>
      <c r="BXU14" s="1"/>
      <c r="BXV14" s="67">
        <f t="shared" si="73"/>
        <v>416</v>
      </c>
      <c r="BXW14" s="68">
        <f t="shared" si="618"/>
        <v>69.333333333333329</v>
      </c>
      <c r="BXX14" s="48"/>
      <c r="BXY14" s="49"/>
      <c r="BXZ14" s="49"/>
      <c r="BYA14" s="49"/>
      <c r="BYB14" s="49">
        <v>96</v>
      </c>
      <c r="BYC14" s="49"/>
      <c r="BYD14" s="67">
        <f t="shared" si="619"/>
        <v>96</v>
      </c>
      <c r="BYE14" s="68">
        <f t="shared" si="620"/>
        <v>16</v>
      </c>
      <c r="BYF14" s="63"/>
      <c r="BYG14" s="64"/>
      <c r="BYH14" s="64"/>
      <c r="BYI14" s="64">
        <v>200</v>
      </c>
      <c r="BYJ14" s="64"/>
      <c r="BYK14" s="64"/>
      <c r="BYL14" s="67">
        <f t="shared" si="621"/>
        <v>200</v>
      </c>
      <c r="BYM14" s="68">
        <f t="shared" si="622"/>
        <v>33.333333333333336</v>
      </c>
      <c r="BYN14" s="48">
        <v>299</v>
      </c>
      <c r="BYO14" s="49"/>
      <c r="BYP14" s="49">
        <v>300</v>
      </c>
      <c r="BYQ14" s="49"/>
      <c r="BYR14" s="49"/>
      <c r="BYS14" s="49"/>
      <c r="BYT14" s="67">
        <f t="shared" si="623"/>
        <v>599</v>
      </c>
      <c r="BYU14" s="68">
        <f t="shared" si="624"/>
        <v>99.833333333333329</v>
      </c>
      <c r="BYV14" s="48">
        <v>261</v>
      </c>
      <c r="BYW14" s="49"/>
      <c r="BYX14" s="49"/>
      <c r="BYY14" s="49"/>
      <c r="BYZ14" s="49">
        <v>46</v>
      </c>
      <c r="BZA14" s="49">
        <v>602</v>
      </c>
      <c r="BZB14" s="67">
        <f t="shared" si="625"/>
        <v>909</v>
      </c>
      <c r="BZC14" s="68">
        <f t="shared" si="626"/>
        <v>151.5</v>
      </c>
      <c r="BZD14" s="48"/>
      <c r="BZE14" s="49"/>
      <c r="BZF14" s="49"/>
      <c r="BZG14" s="49"/>
      <c r="BZH14" s="49"/>
      <c r="BZI14" s="49"/>
      <c r="BZJ14" s="67">
        <f t="shared" si="627"/>
        <v>0</v>
      </c>
      <c r="BZK14" s="68">
        <f t="shared" si="628"/>
        <v>0</v>
      </c>
      <c r="BZL14" s="48"/>
      <c r="BZM14" s="49"/>
      <c r="BZN14" s="49">
        <v>398</v>
      </c>
      <c r="BZO14" s="49"/>
      <c r="BZP14" s="49"/>
      <c r="BZQ14" s="49"/>
      <c r="BZR14" s="67">
        <f t="shared" si="629"/>
        <v>398</v>
      </c>
      <c r="BZS14" s="68">
        <f t="shared" si="630"/>
        <v>66.333333333333329</v>
      </c>
      <c r="BZT14" s="48"/>
      <c r="BZU14" s="49"/>
      <c r="BZV14" s="49"/>
      <c r="BZW14" s="49"/>
      <c r="BZX14" s="49">
        <v>197</v>
      </c>
      <c r="BZY14" s="49"/>
      <c r="BZZ14" s="67">
        <f t="shared" si="631"/>
        <v>197</v>
      </c>
      <c r="CAA14" s="68">
        <f t="shared" si="632"/>
        <v>32.833333333333336</v>
      </c>
      <c r="CAB14" s="48"/>
      <c r="CAC14" s="49"/>
      <c r="CAD14" s="49"/>
      <c r="CAE14" s="49"/>
      <c r="CAF14" s="49"/>
      <c r="CAG14" s="49">
        <v>298</v>
      </c>
      <c r="CAH14" s="67">
        <f t="shared" si="633"/>
        <v>298</v>
      </c>
      <c r="CAI14" s="68">
        <f t="shared" si="634"/>
        <v>49.666666666666664</v>
      </c>
      <c r="CAJ14" s="63"/>
      <c r="CAK14" s="64"/>
      <c r="CAL14" s="64"/>
      <c r="CAM14" s="64"/>
      <c r="CAN14" s="64"/>
      <c r="CAO14" s="64">
        <v>298</v>
      </c>
      <c r="CAP14" s="67">
        <f t="shared" si="635"/>
        <v>298</v>
      </c>
      <c r="CAQ14" s="68">
        <f t="shared" si="636"/>
        <v>49.666666666666664</v>
      </c>
      <c r="CAR14" s="63"/>
      <c r="CAS14" s="64"/>
      <c r="CAT14" s="64">
        <v>301</v>
      </c>
      <c r="CAU14" s="64"/>
      <c r="CAV14" s="64">
        <v>399</v>
      </c>
      <c r="CAW14" s="64"/>
      <c r="CAX14" s="67">
        <f t="shared" si="637"/>
        <v>700</v>
      </c>
      <c r="CAY14" s="68">
        <f t="shared" si="638"/>
        <v>116.66666666666667</v>
      </c>
      <c r="CAZ14" s="48">
        <v>99</v>
      </c>
      <c r="CBA14" s="49"/>
      <c r="CBB14" s="49"/>
      <c r="CBC14" s="49"/>
      <c r="CBD14" s="49"/>
      <c r="CBE14" s="49"/>
      <c r="CBF14" s="67">
        <f t="shared" si="639"/>
        <v>99</v>
      </c>
      <c r="CBG14" s="68">
        <f t="shared" si="640"/>
        <v>16.5</v>
      </c>
      <c r="CBH14" s="48"/>
      <c r="CBI14" s="49">
        <v>300</v>
      </c>
      <c r="CBJ14" s="49"/>
      <c r="CBK14" s="49">
        <v>100</v>
      </c>
      <c r="CBL14" s="49"/>
      <c r="CBM14" s="49">
        <v>98</v>
      </c>
      <c r="CBN14" s="67">
        <f t="shared" si="641"/>
        <v>498</v>
      </c>
      <c r="CBO14" s="68">
        <f t="shared" si="642"/>
        <v>83</v>
      </c>
      <c r="CBP14" s="48"/>
      <c r="CBQ14" s="49">
        <v>480</v>
      </c>
      <c r="CBR14" s="49"/>
      <c r="CBS14" s="49"/>
      <c r="CBT14" s="49"/>
      <c r="CBU14" s="49"/>
      <c r="CBV14" s="67">
        <f t="shared" si="643"/>
        <v>480</v>
      </c>
      <c r="CBW14" s="68">
        <f t="shared" si="644"/>
        <v>80</v>
      </c>
      <c r="CBX14" s="48"/>
      <c r="CBY14" s="49"/>
      <c r="CBZ14" s="49"/>
      <c r="CCA14" s="49"/>
      <c r="CCB14" s="49"/>
      <c r="CCC14" s="49"/>
      <c r="CCD14" s="67">
        <f t="shared" si="645"/>
        <v>0</v>
      </c>
      <c r="CCE14" s="68">
        <f t="shared" si="646"/>
        <v>0</v>
      </c>
      <c r="CCF14" s="48"/>
      <c r="CCG14" s="49"/>
      <c r="CCH14" s="49"/>
      <c r="CCI14" s="49">
        <v>399</v>
      </c>
      <c r="CCJ14" s="49"/>
      <c r="CCK14" s="49"/>
      <c r="CCL14" s="67">
        <f t="shared" si="647"/>
        <v>399</v>
      </c>
      <c r="CCM14" s="68">
        <f t="shared" si="648"/>
        <v>66.5</v>
      </c>
      <c r="CCN14" s="48"/>
      <c r="CCO14" s="49"/>
      <c r="CCP14" s="49"/>
      <c r="CCQ14" s="49"/>
      <c r="CCR14" s="49">
        <v>402</v>
      </c>
      <c r="CCS14" s="49"/>
      <c r="CCT14" s="67">
        <f t="shared" si="649"/>
        <v>402</v>
      </c>
      <c r="CCU14" s="68">
        <f t="shared" si="650"/>
        <v>67</v>
      </c>
      <c r="CCV14" s="48"/>
      <c r="CCW14" s="49"/>
      <c r="CCX14" s="49">
        <v>400</v>
      </c>
      <c r="CCY14" s="49">
        <v>400</v>
      </c>
      <c r="CCZ14" s="49"/>
      <c r="CDA14" s="49"/>
      <c r="CDB14" s="67">
        <f t="shared" si="651"/>
        <v>800</v>
      </c>
      <c r="CDC14" s="68">
        <f t="shared" si="652"/>
        <v>133.33333333333334</v>
      </c>
      <c r="CDD14" s="48"/>
      <c r="CDE14" s="49"/>
      <c r="CDF14" s="49"/>
      <c r="CDG14" s="49"/>
      <c r="CDH14" s="49"/>
      <c r="CDI14" s="49"/>
      <c r="CDJ14" s="67">
        <f t="shared" si="653"/>
        <v>0</v>
      </c>
      <c r="CDK14" s="68">
        <f t="shared" si="654"/>
        <v>0</v>
      </c>
      <c r="CDL14" s="48">
        <v>448</v>
      </c>
      <c r="CDM14" s="49"/>
      <c r="CDN14" s="49"/>
      <c r="CDO14" s="49">
        <v>220</v>
      </c>
      <c r="CDP14" s="49"/>
      <c r="CDQ14" s="49"/>
      <c r="CDR14" s="67">
        <f t="shared" si="655"/>
        <v>668</v>
      </c>
      <c r="CDS14" s="68">
        <f t="shared" si="656"/>
        <v>111.33333333333333</v>
      </c>
      <c r="CDT14" s="48"/>
      <c r="CDU14" s="49"/>
      <c r="CDV14" s="49">
        <v>301</v>
      </c>
      <c r="CDW14" s="49"/>
      <c r="CDX14" s="49"/>
      <c r="CDY14" s="49"/>
      <c r="CDZ14" s="67">
        <f t="shared" si="657"/>
        <v>301</v>
      </c>
      <c r="CEA14" s="68">
        <f t="shared" si="658"/>
        <v>50.166666666666664</v>
      </c>
      <c r="CEB14" s="48"/>
      <c r="CEC14" s="49">
        <v>221</v>
      </c>
      <c r="CED14" s="49"/>
      <c r="CEE14" s="49"/>
      <c r="CEF14" s="49"/>
      <c r="CEG14" s="49">
        <v>200</v>
      </c>
      <c r="CEH14" s="67">
        <f t="shared" si="659"/>
        <v>421</v>
      </c>
      <c r="CEI14" s="68">
        <f t="shared" si="660"/>
        <v>70.166666666666671</v>
      </c>
      <c r="CEJ14" s="48"/>
      <c r="CEK14" s="49"/>
      <c r="CEL14" s="49"/>
      <c r="CEM14" s="49"/>
      <c r="CEN14" s="49"/>
      <c r="CEO14" s="49"/>
      <c r="CEP14" s="67">
        <f t="shared" si="661"/>
        <v>0</v>
      </c>
      <c r="CEQ14" s="68">
        <f t="shared" si="662"/>
        <v>0</v>
      </c>
      <c r="CER14" s="48">
        <v>229</v>
      </c>
      <c r="CES14" s="49"/>
      <c r="CET14" s="49"/>
      <c r="CEU14" s="49"/>
      <c r="CEV14" s="49">
        <v>300</v>
      </c>
      <c r="CEW14" s="49"/>
      <c r="CEX14" s="67">
        <f t="shared" si="663"/>
        <v>529</v>
      </c>
      <c r="CEY14" s="68">
        <f t="shared" si="664"/>
        <v>88.166666666666671</v>
      </c>
      <c r="CEZ14" s="48"/>
      <c r="CFA14" s="49"/>
      <c r="CFB14" s="49"/>
      <c r="CFC14" s="49"/>
      <c r="CFD14" s="49"/>
      <c r="CFE14" s="49"/>
      <c r="CFF14" s="67">
        <f t="shared" si="665"/>
        <v>0</v>
      </c>
      <c r="CFG14" s="68">
        <f t="shared" si="666"/>
        <v>0</v>
      </c>
      <c r="CFH14" s="48">
        <v>219</v>
      </c>
      <c r="CFI14" s="49"/>
      <c r="CFJ14" s="49"/>
      <c r="CFK14" s="49"/>
      <c r="CFL14" s="49">
        <v>502</v>
      </c>
      <c r="CFM14" s="49"/>
      <c r="CFN14" s="67">
        <f t="shared" si="667"/>
        <v>721</v>
      </c>
      <c r="CFO14" s="68">
        <f t="shared" si="668"/>
        <v>120.16666666666667</v>
      </c>
      <c r="CFP14" s="48"/>
      <c r="CFQ14" s="49"/>
      <c r="CFR14" s="49"/>
      <c r="CFS14" s="49"/>
      <c r="CFT14" s="49">
        <v>447</v>
      </c>
      <c r="CFU14" s="49"/>
      <c r="CFV14" s="67">
        <f t="shared" si="669"/>
        <v>447</v>
      </c>
      <c r="CFW14" s="68">
        <f t="shared" si="670"/>
        <v>74.5</v>
      </c>
      <c r="CFX14" s="48"/>
      <c r="CFY14" s="49"/>
      <c r="CFZ14" s="49"/>
      <c r="CGA14" s="49">
        <v>400</v>
      </c>
      <c r="CGB14" s="49"/>
      <c r="CGC14" s="49"/>
      <c r="CGD14" s="67">
        <f t="shared" si="671"/>
        <v>400</v>
      </c>
      <c r="CGE14" s="68">
        <f t="shared" si="672"/>
        <v>66.666666666666671</v>
      </c>
      <c r="CGF14" s="48"/>
      <c r="CGG14" s="49"/>
      <c r="CGH14" s="49"/>
      <c r="CGI14" s="49"/>
      <c r="CGJ14" s="49"/>
      <c r="CGK14" s="49">
        <v>110</v>
      </c>
      <c r="CGL14" s="67">
        <f t="shared" si="673"/>
        <v>110</v>
      </c>
      <c r="CGM14" s="68">
        <f t="shared" si="674"/>
        <v>18.333333333333332</v>
      </c>
      <c r="CGN14" s="63"/>
      <c r="CGO14" s="64"/>
      <c r="CGP14" s="64"/>
      <c r="CGQ14" s="64"/>
      <c r="CGR14" s="64">
        <v>330</v>
      </c>
      <c r="CGS14" s="64"/>
      <c r="CGT14" s="67">
        <f t="shared" si="675"/>
        <v>330</v>
      </c>
      <c r="CGU14" s="68">
        <f t="shared" si="676"/>
        <v>55</v>
      </c>
      <c r="CGV14" s="48"/>
      <c r="CGW14" s="49"/>
      <c r="CGX14" s="49"/>
      <c r="CGY14" s="49"/>
      <c r="CGZ14" s="49">
        <v>327</v>
      </c>
      <c r="CHA14" s="49"/>
      <c r="CHB14" s="67">
        <f t="shared" si="677"/>
        <v>327</v>
      </c>
      <c r="CHC14" s="68">
        <f t="shared" si="678"/>
        <v>54.5</v>
      </c>
      <c r="CHD14" s="48"/>
      <c r="CHE14" s="49"/>
      <c r="CHF14" s="49"/>
      <c r="CHG14" s="49"/>
      <c r="CHH14" s="49"/>
      <c r="CHI14" s="49">
        <v>215</v>
      </c>
      <c r="CHJ14" s="67">
        <f t="shared" si="679"/>
        <v>215</v>
      </c>
      <c r="CHK14" s="68">
        <f t="shared" si="680"/>
        <v>35.833333333333336</v>
      </c>
      <c r="CHL14" s="63">
        <v>110</v>
      </c>
      <c r="CHM14" s="64"/>
      <c r="CHN14" s="64"/>
      <c r="CHO14" s="64"/>
      <c r="CHP14" s="64">
        <v>414</v>
      </c>
      <c r="CHQ14" s="64"/>
      <c r="CHR14" s="67">
        <f t="shared" si="681"/>
        <v>524</v>
      </c>
      <c r="CHS14" s="68">
        <f t="shared" si="682"/>
        <v>87.333333333333329</v>
      </c>
      <c r="CHT14" s="48"/>
      <c r="CHU14" s="49">
        <v>435</v>
      </c>
      <c r="CHV14" s="49"/>
      <c r="CHW14" s="49">
        <v>839</v>
      </c>
      <c r="CHX14" s="49"/>
      <c r="CHY14" s="49"/>
      <c r="CHZ14" s="67">
        <f t="shared" si="683"/>
        <v>1274</v>
      </c>
      <c r="CIA14" s="68">
        <f t="shared" si="684"/>
        <v>212.33333333333334</v>
      </c>
      <c r="CIB14" s="63"/>
      <c r="CIC14" s="64">
        <v>262</v>
      </c>
      <c r="CID14" s="64"/>
      <c r="CIE14" s="64"/>
      <c r="CIF14" s="64"/>
      <c r="CIG14" s="64">
        <v>186</v>
      </c>
      <c r="CIH14" s="67">
        <f t="shared" si="685"/>
        <v>448</v>
      </c>
      <c r="CII14" s="68">
        <f t="shared" si="686"/>
        <v>74.666666666666671</v>
      </c>
      <c r="CIJ14" s="63"/>
      <c r="CIK14" s="64">
        <v>330</v>
      </c>
      <c r="CIL14" s="64"/>
      <c r="CIM14" s="64"/>
      <c r="CIN14" s="64"/>
      <c r="CIO14" s="64">
        <v>170</v>
      </c>
      <c r="CIP14" s="67">
        <f t="shared" si="687"/>
        <v>500</v>
      </c>
      <c r="CIQ14" s="68">
        <f t="shared" si="688"/>
        <v>83.333333333333329</v>
      </c>
      <c r="CIR14" s="48"/>
      <c r="CIS14" s="49"/>
      <c r="CIT14" s="49"/>
      <c r="CIU14" s="49"/>
      <c r="CIV14" s="49">
        <v>220</v>
      </c>
      <c r="CIW14" s="49"/>
      <c r="CIX14" s="67">
        <f t="shared" si="689"/>
        <v>220</v>
      </c>
      <c r="CIY14" s="68">
        <f t="shared" si="690"/>
        <v>36.666666666666664</v>
      </c>
      <c r="CIZ14" s="48"/>
      <c r="CJA14" s="49"/>
      <c r="CJB14" s="49">
        <v>378</v>
      </c>
      <c r="CJC14" s="49"/>
      <c r="CJD14" s="49">
        <v>220</v>
      </c>
      <c r="CJE14" s="49">
        <v>1</v>
      </c>
      <c r="CJF14" s="67">
        <f t="shared" si="691"/>
        <v>599</v>
      </c>
      <c r="CJG14" s="68">
        <f t="shared" si="1200"/>
        <v>99.833333333333329</v>
      </c>
      <c r="CJH14" s="48"/>
      <c r="CJI14" s="49">
        <v>110</v>
      </c>
      <c r="CJJ14" s="49"/>
      <c r="CJK14" s="49"/>
      <c r="CJL14" s="49"/>
      <c r="CJM14" s="49"/>
      <c r="CJN14" s="67">
        <f t="shared" si="692"/>
        <v>110</v>
      </c>
      <c r="CJO14" s="68">
        <f t="shared" si="693"/>
        <v>18.333333333333332</v>
      </c>
      <c r="CJP14" s="48"/>
      <c r="CJQ14" s="49"/>
      <c r="CJR14" s="49"/>
      <c r="CJS14" s="49">
        <v>220</v>
      </c>
      <c r="CJT14" s="49"/>
      <c r="CJU14" s="49"/>
      <c r="CJV14" s="67">
        <f t="shared" si="694"/>
        <v>220</v>
      </c>
      <c r="CJW14" s="68">
        <f t="shared" si="695"/>
        <v>36.666666666666664</v>
      </c>
      <c r="CJX14" s="48"/>
      <c r="CJY14" s="49"/>
      <c r="CJZ14" s="49"/>
      <c r="CKA14" s="49">
        <v>220</v>
      </c>
      <c r="CKB14" s="49"/>
      <c r="CKC14" s="49"/>
      <c r="CKD14" s="67">
        <f t="shared" si="696"/>
        <v>220</v>
      </c>
      <c r="CKE14" s="68">
        <f t="shared" si="697"/>
        <v>36.666666666666664</v>
      </c>
      <c r="CKF14" s="63"/>
      <c r="CKG14" s="64">
        <v>219</v>
      </c>
      <c r="CKH14" s="64"/>
      <c r="CKI14" s="64"/>
      <c r="CKJ14" s="64"/>
      <c r="CKK14" s="64">
        <v>220</v>
      </c>
      <c r="CKL14" s="67">
        <f t="shared" si="698"/>
        <v>439</v>
      </c>
      <c r="CKM14" s="68">
        <f t="shared" si="699"/>
        <v>73.166666666666671</v>
      </c>
      <c r="CKN14" s="48"/>
      <c r="CKO14" s="49"/>
      <c r="CKP14" s="49"/>
      <c r="CKQ14" s="49"/>
      <c r="CKR14" s="49"/>
      <c r="CKS14" s="47"/>
      <c r="CKT14" s="67">
        <f t="shared" si="700"/>
        <v>0</v>
      </c>
      <c r="CKU14" s="68">
        <f t="shared" si="701"/>
        <v>0</v>
      </c>
      <c r="CKV14" s="48"/>
      <c r="CKW14" s="49">
        <v>313</v>
      </c>
      <c r="CKX14" s="49">
        <v>85</v>
      </c>
      <c r="CKY14" s="49"/>
      <c r="CKZ14" s="49"/>
      <c r="CLA14" s="49">
        <v>110</v>
      </c>
      <c r="CLB14" s="67">
        <f t="shared" si="702"/>
        <v>508</v>
      </c>
      <c r="CLC14" s="68">
        <f t="shared" si="703"/>
        <v>84.666666666666671</v>
      </c>
      <c r="CLD14" s="48"/>
      <c r="CLE14" s="49"/>
      <c r="CLF14" s="49"/>
      <c r="CLG14" s="49"/>
      <c r="CLH14" s="49"/>
      <c r="CLI14" s="49"/>
      <c r="CLJ14" s="67">
        <f t="shared" si="704"/>
        <v>0</v>
      </c>
      <c r="CLK14" s="68">
        <f t="shared" si="705"/>
        <v>0</v>
      </c>
      <c r="CLL14" s="48"/>
      <c r="CLM14" s="49"/>
      <c r="CLN14" s="49"/>
      <c r="CLO14" s="49">
        <v>201</v>
      </c>
      <c r="CLP14" s="49"/>
      <c r="CLQ14" s="49">
        <v>332</v>
      </c>
      <c r="CLR14" s="67">
        <f t="shared" si="706"/>
        <v>533</v>
      </c>
      <c r="CLS14" s="68">
        <f t="shared" si="707"/>
        <v>88.833333333333329</v>
      </c>
      <c r="CLT14" s="63"/>
      <c r="CLU14" s="64"/>
      <c r="CLV14" s="64">
        <v>176</v>
      </c>
      <c r="CLW14" s="64"/>
      <c r="CLX14" s="64"/>
      <c r="CLY14" s="64"/>
      <c r="CLZ14" s="67">
        <f t="shared" si="708"/>
        <v>176</v>
      </c>
      <c r="CMA14" s="68">
        <f t="shared" si="709"/>
        <v>29.333333333333332</v>
      </c>
      <c r="CMB14" s="48"/>
      <c r="CMC14" s="49"/>
      <c r="CMD14" s="49">
        <v>216</v>
      </c>
      <c r="CME14" s="49"/>
      <c r="CMF14" s="49">
        <v>221</v>
      </c>
      <c r="CMG14" s="49"/>
      <c r="CMH14" s="67">
        <f t="shared" si="710"/>
        <v>437</v>
      </c>
      <c r="CMI14" s="68">
        <f t="shared" si="711"/>
        <v>72.833333333333329</v>
      </c>
      <c r="CMJ14" s="48"/>
      <c r="CMK14" s="49"/>
      <c r="CML14" s="49"/>
      <c r="CMM14" s="49">
        <v>220</v>
      </c>
      <c r="CMN14" s="49"/>
      <c r="CMO14" s="49"/>
      <c r="CMP14" s="67">
        <f t="shared" si="712"/>
        <v>220</v>
      </c>
      <c r="CMQ14" s="68">
        <f t="shared" si="713"/>
        <v>36.666666666666664</v>
      </c>
      <c r="CMR14" s="48"/>
      <c r="CMS14" s="49"/>
      <c r="CMT14" s="49"/>
      <c r="CMU14" s="49"/>
      <c r="CMV14" s="49"/>
      <c r="CMW14" s="49"/>
      <c r="CMX14" s="67">
        <f t="shared" si="714"/>
        <v>0</v>
      </c>
      <c r="CMY14" s="68">
        <f t="shared" si="715"/>
        <v>0</v>
      </c>
      <c r="CMZ14" s="63">
        <v>442</v>
      </c>
      <c r="CNA14" s="64"/>
      <c r="CNB14" s="64"/>
      <c r="CNC14" s="64">
        <v>330</v>
      </c>
      <c r="CND14" s="64"/>
      <c r="CNE14" s="64"/>
      <c r="CNF14" s="67">
        <f t="shared" si="716"/>
        <v>772</v>
      </c>
      <c r="CNG14" s="68">
        <f t="shared" si="717"/>
        <v>128.66666666666666</v>
      </c>
      <c r="CNH14" s="48"/>
      <c r="CNI14" s="49">
        <v>348</v>
      </c>
      <c r="CNJ14" s="49"/>
      <c r="CNK14" s="49"/>
      <c r="CNL14" s="49">
        <v>331</v>
      </c>
      <c r="CNM14" s="49"/>
      <c r="CNN14" s="67">
        <f t="shared" si="718"/>
        <v>679</v>
      </c>
      <c r="CNO14" s="68">
        <f t="shared" si="719"/>
        <v>113.16666666666667</v>
      </c>
      <c r="CNP14" s="63">
        <v>220</v>
      </c>
      <c r="CNQ14" s="64">
        <v>109</v>
      </c>
      <c r="CNR14" s="64"/>
      <c r="CNS14" s="64"/>
      <c r="CNT14" s="64"/>
      <c r="CNU14" s="64"/>
      <c r="CNV14" s="67">
        <f t="shared" si="720"/>
        <v>329</v>
      </c>
      <c r="CNW14" s="68">
        <f t="shared" si="721"/>
        <v>54.833333333333336</v>
      </c>
      <c r="CNX14" s="48"/>
      <c r="CNY14" s="49"/>
      <c r="CNZ14" s="49">
        <v>110</v>
      </c>
      <c r="COA14" s="49"/>
      <c r="COB14" s="49"/>
      <c r="COC14" s="49"/>
      <c r="COD14" s="67">
        <f t="shared" si="722"/>
        <v>110</v>
      </c>
      <c r="COE14" s="68">
        <f t="shared" si="723"/>
        <v>18.333333333333332</v>
      </c>
      <c r="COF14" s="48"/>
      <c r="COG14" s="49"/>
      <c r="COH14" s="49"/>
      <c r="COI14" s="49">
        <v>321</v>
      </c>
      <c r="COJ14" s="49"/>
      <c r="COK14" s="49">
        <v>331</v>
      </c>
      <c r="COL14" s="67">
        <f t="shared" si="724"/>
        <v>652</v>
      </c>
      <c r="COM14" s="68">
        <f t="shared" si="725"/>
        <v>108.66666666666667</v>
      </c>
      <c r="CON14" s="48"/>
      <c r="COO14" s="49"/>
      <c r="COP14" s="49">
        <v>110</v>
      </c>
      <c r="COQ14" s="49"/>
      <c r="COR14" s="49"/>
      <c r="COS14" s="49"/>
      <c r="COT14" s="67">
        <f t="shared" si="726"/>
        <v>110</v>
      </c>
      <c r="COU14" s="68">
        <f t="shared" si="727"/>
        <v>18.333333333333332</v>
      </c>
      <c r="COV14" s="48">
        <v>329</v>
      </c>
      <c r="COW14" s="49"/>
      <c r="COX14" s="49"/>
      <c r="COY14" s="49"/>
      <c r="COZ14" s="49"/>
      <c r="CPA14" s="49">
        <v>0</v>
      </c>
      <c r="CPB14" s="67">
        <f t="shared" si="728"/>
        <v>329</v>
      </c>
      <c r="CPC14" s="68">
        <f t="shared" si="729"/>
        <v>54.833333333333336</v>
      </c>
      <c r="CPD14" s="48">
        <v>0</v>
      </c>
      <c r="CPE14" s="49">
        <v>0</v>
      </c>
      <c r="CPF14" s="49">
        <v>0</v>
      </c>
      <c r="CPG14" s="49">
        <v>0</v>
      </c>
      <c r="CPH14" s="49">
        <v>0</v>
      </c>
      <c r="CPI14" s="49">
        <v>441</v>
      </c>
      <c r="CPJ14" s="67">
        <f t="shared" si="730"/>
        <v>441</v>
      </c>
      <c r="CPK14" s="68">
        <f t="shared" si="731"/>
        <v>73.5</v>
      </c>
      <c r="CPL14" s="48"/>
      <c r="CPM14" s="49">
        <v>0</v>
      </c>
      <c r="CPN14" s="49">
        <v>0</v>
      </c>
      <c r="CPO14" s="49">
        <v>0</v>
      </c>
      <c r="CPP14" s="49">
        <v>0</v>
      </c>
      <c r="CPQ14" s="49">
        <v>0</v>
      </c>
      <c r="CPR14" s="67">
        <f t="shared" si="732"/>
        <v>0</v>
      </c>
      <c r="CPS14" s="68">
        <f t="shared" si="733"/>
        <v>0</v>
      </c>
      <c r="CPT14" s="63">
        <v>0</v>
      </c>
      <c r="CPU14" s="64">
        <v>320</v>
      </c>
      <c r="CPV14" s="64">
        <v>0</v>
      </c>
      <c r="CPW14" s="64">
        <v>107</v>
      </c>
      <c r="CPX14" s="64">
        <v>0</v>
      </c>
      <c r="CPY14" s="64">
        <v>0</v>
      </c>
      <c r="CPZ14" s="67">
        <f t="shared" si="734"/>
        <v>427</v>
      </c>
      <c r="CQA14" s="68">
        <f t="shared" si="735"/>
        <v>71.166666666666671</v>
      </c>
      <c r="CQB14" s="48">
        <v>111</v>
      </c>
      <c r="CQC14" s="49">
        <v>0</v>
      </c>
      <c r="CQD14" s="49">
        <v>331</v>
      </c>
      <c r="CQE14" s="49">
        <v>0</v>
      </c>
      <c r="CQF14" s="49">
        <v>0</v>
      </c>
      <c r="CQG14" s="49">
        <v>0</v>
      </c>
      <c r="CQH14" s="67">
        <f t="shared" si="736"/>
        <v>442</v>
      </c>
      <c r="CQI14" s="68">
        <f t="shared" si="737"/>
        <v>73.666666666666671</v>
      </c>
      <c r="CQJ14" s="82">
        <v>0</v>
      </c>
      <c r="CQK14" s="83">
        <v>211</v>
      </c>
      <c r="CQL14" s="83">
        <v>0</v>
      </c>
      <c r="CQM14" s="83">
        <v>0</v>
      </c>
      <c r="CQN14" s="83">
        <v>0</v>
      </c>
      <c r="CQO14" s="83"/>
      <c r="CQP14" s="67">
        <f t="shared" si="738"/>
        <v>211</v>
      </c>
      <c r="CQQ14" s="68">
        <f t="shared" si="739"/>
        <v>35.166666666666664</v>
      </c>
      <c r="CQR14" s="48"/>
      <c r="CQS14" s="49">
        <v>0</v>
      </c>
      <c r="CQT14" s="49">
        <v>198</v>
      </c>
      <c r="CQU14" s="49">
        <v>0</v>
      </c>
      <c r="CQV14" s="49">
        <v>0</v>
      </c>
      <c r="CQW14" s="49">
        <v>0</v>
      </c>
      <c r="CQX14" s="67">
        <f t="shared" si="740"/>
        <v>198</v>
      </c>
      <c r="CQY14" s="68">
        <f t="shared" si="741"/>
        <v>33</v>
      </c>
      <c r="CQZ14" s="48">
        <v>440</v>
      </c>
      <c r="CRA14" s="49"/>
      <c r="CRB14" s="49">
        <v>0</v>
      </c>
      <c r="CRC14" s="49"/>
      <c r="CRD14" s="49">
        <v>0</v>
      </c>
      <c r="CRE14" s="49">
        <v>0</v>
      </c>
      <c r="CRF14" s="67">
        <f t="shared" si="742"/>
        <v>440</v>
      </c>
      <c r="CRG14" s="68">
        <f t="shared" si="743"/>
        <v>73.333333333333329</v>
      </c>
      <c r="CRH14" s="48">
        <v>0</v>
      </c>
      <c r="CRI14" s="49">
        <v>219</v>
      </c>
      <c r="CRJ14" s="49">
        <v>0</v>
      </c>
      <c r="CRK14" s="49">
        <v>0</v>
      </c>
      <c r="CRL14" s="49">
        <v>0</v>
      </c>
      <c r="CRM14" s="49">
        <v>8</v>
      </c>
      <c r="CRN14" s="67">
        <f t="shared" si="744"/>
        <v>227</v>
      </c>
      <c r="CRO14" s="68">
        <f t="shared" si="745"/>
        <v>37.833333333333336</v>
      </c>
      <c r="CRP14" s="48">
        <v>220</v>
      </c>
      <c r="CRQ14" s="49">
        <v>0</v>
      </c>
      <c r="CRR14" s="49">
        <v>0</v>
      </c>
      <c r="CRS14" s="49">
        <v>332</v>
      </c>
      <c r="CRT14" s="49">
        <v>111</v>
      </c>
      <c r="CRU14" s="49">
        <v>0</v>
      </c>
      <c r="CRV14" s="47">
        <f t="shared" si="746"/>
        <v>663</v>
      </c>
      <c r="CRW14" s="68">
        <f t="shared" si="747"/>
        <v>110.5</v>
      </c>
      <c r="CRX14" s="63">
        <v>0</v>
      </c>
      <c r="CRY14" s="64">
        <v>0</v>
      </c>
      <c r="CRZ14" s="64">
        <v>0</v>
      </c>
      <c r="CSA14" s="64">
        <v>0</v>
      </c>
      <c r="CSB14" s="64">
        <v>0</v>
      </c>
      <c r="CSC14" s="64">
        <v>0</v>
      </c>
      <c r="CSD14" s="67">
        <f t="shared" si="748"/>
        <v>0</v>
      </c>
      <c r="CSE14" s="68">
        <f t="shared" si="749"/>
        <v>0</v>
      </c>
      <c r="CSF14" s="48">
        <v>0</v>
      </c>
      <c r="CSG14" s="49">
        <v>219</v>
      </c>
      <c r="CSH14" s="49">
        <v>0</v>
      </c>
      <c r="CSI14" s="49">
        <v>220</v>
      </c>
      <c r="CSJ14" s="49">
        <v>0</v>
      </c>
      <c r="CSK14" s="49">
        <v>0</v>
      </c>
      <c r="CSL14" s="64">
        <f t="shared" si="750"/>
        <v>439</v>
      </c>
      <c r="CSM14" s="68">
        <f t="shared" si="751"/>
        <v>73.166666666666671</v>
      </c>
      <c r="CSN14" s="48">
        <v>0</v>
      </c>
      <c r="CSO14" s="49">
        <v>0</v>
      </c>
      <c r="CSP14" s="49">
        <v>0</v>
      </c>
      <c r="CSQ14" s="49">
        <v>220</v>
      </c>
      <c r="CSR14" s="49">
        <v>323</v>
      </c>
      <c r="CSS14" s="49">
        <v>0</v>
      </c>
      <c r="CST14" s="64">
        <f t="shared" si="752"/>
        <v>543</v>
      </c>
      <c r="CSU14" s="68">
        <f t="shared" si="753"/>
        <v>90.5</v>
      </c>
      <c r="CSV14" s="48">
        <v>220</v>
      </c>
      <c r="CSW14" s="49">
        <v>0</v>
      </c>
      <c r="CSX14" s="49">
        <v>0</v>
      </c>
      <c r="CSY14" s="49">
        <v>0</v>
      </c>
      <c r="CSZ14" s="49"/>
      <c r="CTA14" s="49">
        <v>0</v>
      </c>
      <c r="CTB14" s="64">
        <f t="shared" si="754"/>
        <v>220</v>
      </c>
      <c r="CTC14" s="68">
        <f t="shared" si="755"/>
        <v>36.666666666666664</v>
      </c>
      <c r="CTD14" s="48">
        <v>0</v>
      </c>
      <c r="CTE14" s="49">
        <v>0</v>
      </c>
      <c r="CTF14" s="49">
        <v>216</v>
      </c>
      <c r="CTG14" s="49">
        <v>0</v>
      </c>
      <c r="CTH14" s="49">
        <v>0</v>
      </c>
      <c r="CTI14" s="49"/>
      <c r="CTJ14" s="64">
        <f t="shared" si="756"/>
        <v>216</v>
      </c>
      <c r="CTK14" s="68">
        <f t="shared" si="757"/>
        <v>36</v>
      </c>
      <c r="CTL14" s="48">
        <v>110</v>
      </c>
      <c r="CTM14" s="49">
        <v>0</v>
      </c>
      <c r="CTN14" s="49">
        <v>110</v>
      </c>
      <c r="CTO14" s="49">
        <v>0</v>
      </c>
      <c r="CTP14" s="49">
        <v>220</v>
      </c>
      <c r="CTQ14" s="49"/>
      <c r="CTR14" s="64">
        <f t="shared" si="758"/>
        <v>440</v>
      </c>
      <c r="CTS14" s="68">
        <f t="shared" si="759"/>
        <v>73.333333333333329</v>
      </c>
      <c r="CTT14" s="48">
        <v>0</v>
      </c>
      <c r="CTU14" s="49">
        <v>0</v>
      </c>
      <c r="CTV14" s="49">
        <v>220</v>
      </c>
      <c r="CTW14" s="49"/>
      <c r="CTX14" s="49">
        <v>0</v>
      </c>
      <c r="CTY14" s="49">
        <v>621</v>
      </c>
      <c r="CTZ14" s="64">
        <f t="shared" si="760"/>
        <v>841</v>
      </c>
      <c r="CUA14" s="68">
        <f t="shared" si="761"/>
        <v>140.16666666666666</v>
      </c>
      <c r="CUB14" s="48"/>
      <c r="CUC14" s="49">
        <v>0</v>
      </c>
      <c r="CUD14" s="49"/>
      <c r="CUE14" s="49"/>
      <c r="CUF14" s="49"/>
      <c r="CUG14" s="49"/>
      <c r="CUH14" s="64">
        <f t="shared" si="762"/>
        <v>0</v>
      </c>
      <c r="CUI14" s="68">
        <f t="shared" si="763"/>
        <v>0</v>
      </c>
      <c r="CUJ14" s="48">
        <v>0</v>
      </c>
      <c r="CUK14" s="49">
        <v>0</v>
      </c>
      <c r="CUL14" s="49">
        <f>244+86</f>
        <v>330</v>
      </c>
      <c r="CUM14" s="49">
        <v>0</v>
      </c>
      <c r="CUN14" s="49">
        <v>0</v>
      </c>
      <c r="CUO14" s="49">
        <v>0</v>
      </c>
      <c r="CUP14" s="64">
        <f t="shared" si="764"/>
        <v>330</v>
      </c>
      <c r="CUQ14" s="68">
        <f t="shared" si="765"/>
        <v>55</v>
      </c>
      <c r="CUR14" s="48">
        <v>0</v>
      </c>
      <c r="CUS14" s="49"/>
      <c r="CUT14" s="49"/>
      <c r="CUU14" s="49">
        <v>220</v>
      </c>
      <c r="CUV14" s="49">
        <v>0</v>
      </c>
      <c r="CUW14" s="49">
        <v>0</v>
      </c>
      <c r="CUX14" s="64">
        <f t="shared" si="766"/>
        <v>220</v>
      </c>
      <c r="CUY14" s="68">
        <f t="shared" si="767"/>
        <v>36.666666666666664</v>
      </c>
      <c r="CUZ14" s="48">
        <v>92</v>
      </c>
      <c r="CVA14" s="49">
        <v>0</v>
      </c>
      <c r="CVB14" s="49">
        <v>0</v>
      </c>
      <c r="CVC14" s="49">
        <v>330</v>
      </c>
      <c r="CVD14" s="49">
        <v>110</v>
      </c>
      <c r="CVE14" s="49">
        <v>0</v>
      </c>
      <c r="CVF14" s="64">
        <f t="shared" si="768"/>
        <v>532</v>
      </c>
      <c r="CVG14" s="68">
        <f t="shared" si="769"/>
        <v>88.666666666666671</v>
      </c>
      <c r="CVH14" s="48">
        <v>0</v>
      </c>
      <c r="CVI14" s="49">
        <v>220</v>
      </c>
      <c r="CVJ14" s="49">
        <v>0</v>
      </c>
      <c r="CVK14" s="49">
        <v>110</v>
      </c>
      <c r="CVL14" s="49">
        <v>0</v>
      </c>
      <c r="CVM14" s="49">
        <v>109</v>
      </c>
      <c r="CVN14" s="64">
        <f t="shared" si="770"/>
        <v>439</v>
      </c>
      <c r="CVO14" s="68">
        <f t="shared" si="771"/>
        <v>73.166666666666671</v>
      </c>
      <c r="CVP14" s="48"/>
      <c r="CVQ14" s="49">
        <v>0</v>
      </c>
      <c r="CVR14" s="49">
        <v>0</v>
      </c>
      <c r="CVS14" s="49">
        <v>281</v>
      </c>
      <c r="CVT14" s="49">
        <v>0</v>
      </c>
      <c r="CVU14" s="49">
        <v>220</v>
      </c>
      <c r="CVV14" s="64">
        <f t="shared" si="772"/>
        <v>501</v>
      </c>
      <c r="CVW14" s="68">
        <f t="shared" si="773"/>
        <v>83.5</v>
      </c>
      <c r="CVX14" s="48">
        <v>0</v>
      </c>
      <c r="CVY14" s="49">
        <v>0</v>
      </c>
      <c r="CVZ14" s="49">
        <v>0</v>
      </c>
      <c r="CWA14" s="49">
        <v>0</v>
      </c>
      <c r="CWB14" s="49">
        <v>0</v>
      </c>
      <c r="CWC14" s="49">
        <v>0</v>
      </c>
      <c r="CWD14" s="64">
        <f t="shared" si="774"/>
        <v>0</v>
      </c>
      <c r="CWE14" s="68">
        <f t="shared" si="775"/>
        <v>0</v>
      </c>
      <c r="CWF14" s="48">
        <v>0</v>
      </c>
      <c r="CWG14" s="49">
        <v>332</v>
      </c>
      <c r="CWH14" s="49">
        <v>0</v>
      </c>
      <c r="CWI14" s="49">
        <v>0</v>
      </c>
      <c r="CWJ14" s="49">
        <v>0</v>
      </c>
      <c r="CWK14" s="49">
        <v>0</v>
      </c>
      <c r="CWL14" s="64">
        <f t="shared" si="776"/>
        <v>332</v>
      </c>
      <c r="CWM14" s="68">
        <f t="shared" si="777"/>
        <v>55.333333333333336</v>
      </c>
      <c r="CWN14" s="48">
        <v>0</v>
      </c>
      <c r="CWO14" s="49">
        <v>0</v>
      </c>
      <c r="CWP14" s="49">
        <v>0</v>
      </c>
      <c r="CWQ14" s="49">
        <v>220</v>
      </c>
      <c r="CWR14" s="49">
        <v>0</v>
      </c>
      <c r="CWS14" s="49">
        <v>0</v>
      </c>
      <c r="CWT14" s="64">
        <f t="shared" si="778"/>
        <v>220</v>
      </c>
      <c r="CWU14" s="68">
        <f t="shared" si="779"/>
        <v>36.666666666666664</v>
      </c>
      <c r="CWV14" s="48">
        <v>0</v>
      </c>
      <c r="CWW14" s="49">
        <v>331</v>
      </c>
      <c r="CWX14" s="49">
        <v>0</v>
      </c>
      <c r="CWY14" s="49">
        <v>0</v>
      </c>
      <c r="CWZ14" s="49">
        <v>0</v>
      </c>
      <c r="CXA14" s="49">
        <v>110</v>
      </c>
      <c r="CXB14" s="127">
        <f t="shared" si="780"/>
        <v>441</v>
      </c>
      <c r="CXC14" s="43">
        <f t="shared" si="781"/>
        <v>73.5</v>
      </c>
      <c r="CXD14" s="48">
        <v>0</v>
      </c>
      <c r="CXE14" s="49">
        <v>110</v>
      </c>
      <c r="CXF14" s="49">
        <v>0</v>
      </c>
      <c r="CXG14" s="49">
        <v>0</v>
      </c>
      <c r="CXH14" s="49">
        <v>220</v>
      </c>
      <c r="CXI14" s="49">
        <v>0</v>
      </c>
      <c r="CXJ14" s="127">
        <f t="shared" si="782"/>
        <v>330</v>
      </c>
      <c r="CXK14" s="43">
        <f t="shared" si="783"/>
        <v>55</v>
      </c>
      <c r="CXL14" s="48">
        <v>0</v>
      </c>
      <c r="CXM14" s="49">
        <v>110</v>
      </c>
      <c r="CXN14" s="49">
        <v>0</v>
      </c>
      <c r="CXO14" s="49">
        <v>220</v>
      </c>
      <c r="CXP14" s="49">
        <v>0</v>
      </c>
      <c r="CXQ14" s="49">
        <v>0</v>
      </c>
      <c r="CXR14" s="127">
        <f t="shared" si="784"/>
        <v>330</v>
      </c>
      <c r="CXS14" s="43">
        <f t="shared" si="785"/>
        <v>55</v>
      </c>
      <c r="CXT14" s="48">
        <v>220</v>
      </c>
      <c r="CXU14" s="49">
        <v>0</v>
      </c>
      <c r="CXV14" s="49">
        <v>0</v>
      </c>
      <c r="CXW14" s="49">
        <v>0</v>
      </c>
      <c r="CXX14" s="49">
        <v>330</v>
      </c>
      <c r="CXY14" s="49">
        <v>0</v>
      </c>
      <c r="CXZ14" s="127">
        <f t="shared" si="786"/>
        <v>550</v>
      </c>
      <c r="CYA14" s="43">
        <f t="shared" si="787"/>
        <v>91.666666666666671</v>
      </c>
      <c r="CYB14" s="48">
        <v>0</v>
      </c>
      <c r="CYC14" s="49">
        <v>0</v>
      </c>
      <c r="CYD14" s="49">
        <v>0</v>
      </c>
      <c r="CYE14" s="49">
        <v>220</v>
      </c>
      <c r="CYF14" s="49">
        <v>0</v>
      </c>
      <c r="CYG14" s="49">
        <v>110</v>
      </c>
      <c r="CYH14" s="127">
        <f t="shared" si="788"/>
        <v>330</v>
      </c>
      <c r="CYI14" s="43">
        <f t="shared" si="789"/>
        <v>55</v>
      </c>
      <c r="CYJ14" s="48"/>
      <c r="CYK14" s="49">
        <v>0</v>
      </c>
      <c r="CYL14" s="49">
        <v>0</v>
      </c>
      <c r="CYM14" s="49">
        <v>0</v>
      </c>
      <c r="CYN14" s="49">
        <v>332</v>
      </c>
      <c r="CYO14" s="49">
        <v>0</v>
      </c>
      <c r="CYP14" s="127">
        <f t="shared" si="790"/>
        <v>332</v>
      </c>
      <c r="CYQ14" s="43">
        <f t="shared" si="791"/>
        <v>55.333333333333336</v>
      </c>
      <c r="CYR14" s="48">
        <v>0</v>
      </c>
      <c r="CYS14" s="49">
        <v>0</v>
      </c>
      <c r="CYT14" s="49">
        <v>0</v>
      </c>
      <c r="CYU14" s="49">
        <v>0</v>
      </c>
      <c r="CYV14" s="49">
        <v>0</v>
      </c>
      <c r="CYW14" s="49">
        <v>330</v>
      </c>
      <c r="CYX14" s="127">
        <f t="shared" si="792"/>
        <v>330</v>
      </c>
      <c r="CYY14" s="43">
        <f t="shared" si="793"/>
        <v>55</v>
      </c>
      <c r="CYZ14" s="48">
        <v>0</v>
      </c>
      <c r="CZA14" s="49">
        <v>0</v>
      </c>
      <c r="CZB14" s="49">
        <v>110</v>
      </c>
      <c r="CZC14" s="49">
        <v>220</v>
      </c>
      <c r="CZD14" s="49"/>
      <c r="CZE14" s="49">
        <v>0</v>
      </c>
      <c r="CZF14" s="127">
        <f t="shared" si="794"/>
        <v>330</v>
      </c>
      <c r="CZG14" s="43">
        <f t="shared" si="795"/>
        <v>66</v>
      </c>
      <c r="CZH14" s="48">
        <v>0</v>
      </c>
      <c r="CZI14" s="49">
        <v>0</v>
      </c>
      <c r="CZJ14" s="49">
        <v>110</v>
      </c>
      <c r="CZK14" s="49">
        <v>0</v>
      </c>
      <c r="CZL14" s="49">
        <v>220</v>
      </c>
      <c r="CZM14" s="49">
        <v>0</v>
      </c>
      <c r="CZN14" s="127">
        <f t="shared" si="796"/>
        <v>330</v>
      </c>
      <c r="CZO14" s="43">
        <f t="shared" si="797"/>
        <v>55</v>
      </c>
      <c r="CZP14" s="48">
        <v>0</v>
      </c>
      <c r="CZQ14" s="49"/>
      <c r="CZR14" s="49"/>
      <c r="CZS14" s="49">
        <v>0</v>
      </c>
      <c r="CZT14" s="49">
        <v>0</v>
      </c>
      <c r="CZU14" s="49">
        <v>0</v>
      </c>
      <c r="CZV14" s="127">
        <f t="shared" si="798"/>
        <v>0</v>
      </c>
      <c r="CZW14" s="43">
        <f t="shared" si="799"/>
        <v>0</v>
      </c>
      <c r="CZX14" s="48">
        <v>0</v>
      </c>
      <c r="CZY14" s="49">
        <v>331</v>
      </c>
      <c r="CZZ14" s="49">
        <v>0</v>
      </c>
      <c r="DAA14" s="49">
        <v>0</v>
      </c>
      <c r="DAB14" s="49">
        <v>0</v>
      </c>
      <c r="DAC14" s="49">
        <v>330</v>
      </c>
      <c r="DAD14" s="64">
        <f t="shared" si="800"/>
        <v>661</v>
      </c>
      <c r="DAE14" s="68">
        <f t="shared" si="801"/>
        <v>110.16666666666667</v>
      </c>
      <c r="DAF14" s="48">
        <v>0</v>
      </c>
      <c r="DAG14" s="49">
        <v>0</v>
      </c>
      <c r="DAH14" s="49">
        <v>0</v>
      </c>
      <c r="DAI14" s="49">
        <v>330</v>
      </c>
      <c r="DAJ14" s="49">
        <v>0</v>
      </c>
      <c r="DAK14" s="49">
        <v>0</v>
      </c>
      <c r="DAL14" s="64">
        <f t="shared" si="802"/>
        <v>330</v>
      </c>
      <c r="DAM14" s="68">
        <f t="shared" si="803"/>
        <v>55</v>
      </c>
      <c r="DAN14" s="48">
        <v>72</v>
      </c>
      <c r="DAO14" s="49">
        <v>0</v>
      </c>
      <c r="DAP14" s="49">
        <v>331</v>
      </c>
      <c r="DAQ14" s="49">
        <v>0</v>
      </c>
      <c r="DAR14" s="49">
        <v>221</v>
      </c>
      <c r="DAS14" s="49"/>
      <c r="DAT14" s="64">
        <f t="shared" si="804"/>
        <v>624</v>
      </c>
      <c r="DAU14" s="68">
        <f t="shared" si="805"/>
        <v>104</v>
      </c>
      <c r="DAV14" s="48">
        <v>0</v>
      </c>
      <c r="DAW14" s="49">
        <v>0</v>
      </c>
      <c r="DAX14" s="49">
        <v>0</v>
      </c>
      <c r="DAY14" s="49">
        <v>0</v>
      </c>
      <c r="DAZ14" s="49">
        <v>230</v>
      </c>
      <c r="DBA14" s="49">
        <v>0</v>
      </c>
      <c r="DBB14" s="64">
        <f t="shared" si="806"/>
        <v>230</v>
      </c>
      <c r="DBC14" s="68">
        <f t="shared" si="807"/>
        <v>38.333333333333336</v>
      </c>
      <c r="DBD14" s="48">
        <v>0</v>
      </c>
      <c r="DBE14" s="49">
        <v>327</v>
      </c>
      <c r="DBF14" s="49">
        <v>0</v>
      </c>
      <c r="DBG14" s="49">
        <v>0</v>
      </c>
      <c r="DBH14" s="49">
        <v>441</v>
      </c>
      <c r="DBI14" s="49">
        <v>0</v>
      </c>
      <c r="DBJ14" s="64">
        <f t="shared" si="808"/>
        <v>768</v>
      </c>
      <c r="DBK14" s="68">
        <f t="shared" si="809"/>
        <v>128</v>
      </c>
      <c r="DBL14" s="48">
        <v>0</v>
      </c>
      <c r="DBM14" s="49"/>
      <c r="DBN14" s="49">
        <v>0</v>
      </c>
      <c r="DBO14" s="49">
        <v>0</v>
      </c>
      <c r="DBP14" s="49">
        <v>0</v>
      </c>
      <c r="DBQ14" s="49">
        <v>221</v>
      </c>
      <c r="DBR14" s="64">
        <f t="shared" si="810"/>
        <v>221</v>
      </c>
      <c r="DBS14" s="68">
        <f t="shared" si="811"/>
        <v>36.833333333333336</v>
      </c>
      <c r="DBT14" s="48">
        <v>0</v>
      </c>
      <c r="DBU14" s="49"/>
      <c r="DBV14" s="49"/>
      <c r="DBW14" s="49">
        <v>0</v>
      </c>
      <c r="DBX14" s="49"/>
      <c r="DBY14" s="49"/>
      <c r="DBZ14" s="64">
        <f t="shared" si="812"/>
        <v>0</v>
      </c>
      <c r="DCA14" s="68">
        <f t="shared" si="813"/>
        <v>0</v>
      </c>
      <c r="DCB14" s="48">
        <f>188+142</f>
        <v>330</v>
      </c>
      <c r="DCC14" s="49"/>
      <c r="DCD14" s="49">
        <v>0</v>
      </c>
      <c r="DCE14" s="49">
        <v>0</v>
      </c>
      <c r="DCF14" s="49">
        <v>110</v>
      </c>
      <c r="DCG14" s="49">
        <v>221</v>
      </c>
      <c r="DCH14" s="64">
        <f t="shared" si="814"/>
        <v>661</v>
      </c>
      <c r="DCI14" s="68">
        <f t="shared" si="815"/>
        <v>110.16666666666667</v>
      </c>
      <c r="DCJ14" s="48">
        <v>0</v>
      </c>
      <c r="DCK14" s="49">
        <v>0</v>
      </c>
      <c r="DCL14" s="49">
        <v>0</v>
      </c>
      <c r="DCM14" s="49">
        <v>0</v>
      </c>
      <c r="DCN14" s="49">
        <v>0</v>
      </c>
      <c r="DCO14" s="49">
        <v>118</v>
      </c>
      <c r="DCP14" s="64">
        <f t="shared" si="816"/>
        <v>118</v>
      </c>
      <c r="DCQ14" s="68">
        <f t="shared" si="817"/>
        <v>19.666666666666668</v>
      </c>
      <c r="DCR14" s="48">
        <v>0</v>
      </c>
      <c r="DCS14" s="49">
        <v>110</v>
      </c>
      <c r="DCT14" s="49">
        <v>0</v>
      </c>
      <c r="DCU14" s="49">
        <v>0</v>
      </c>
      <c r="DCV14" s="49">
        <v>440</v>
      </c>
      <c r="DCW14" s="49">
        <v>0</v>
      </c>
      <c r="DCX14" s="64">
        <f t="shared" si="818"/>
        <v>550</v>
      </c>
      <c r="DCY14" s="68">
        <f t="shared" si="819"/>
        <v>91.666666666666671</v>
      </c>
      <c r="DCZ14" s="48">
        <v>0</v>
      </c>
      <c r="DDA14" s="49">
        <v>0</v>
      </c>
      <c r="DDB14" s="49">
        <v>0</v>
      </c>
      <c r="DDC14" s="49">
        <v>0</v>
      </c>
      <c r="DDD14" s="49"/>
      <c r="DDE14" s="49">
        <v>221</v>
      </c>
      <c r="DDF14" s="64">
        <f t="shared" si="820"/>
        <v>221</v>
      </c>
      <c r="DDG14" s="68">
        <f t="shared" si="821"/>
        <v>36.833333333333336</v>
      </c>
      <c r="DDH14" s="48">
        <v>0</v>
      </c>
      <c r="DDI14" s="49">
        <v>221</v>
      </c>
      <c r="DDJ14" s="49">
        <v>0</v>
      </c>
      <c r="DDK14" s="49">
        <v>0</v>
      </c>
      <c r="DDL14" s="49">
        <v>111</v>
      </c>
      <c r="DDM14" s="49">
        <v>0</v>
      </c>
      <c r="DDN14" s="127">
        <f t="shared" si="822"/>
        <v>332</v>
      </c>
      <c r="DDO14" s="43">
        <f t="shared" si="823"/>
        <v>55.333333333333336</v>
      </c>
      <c r="DDP14" s="48">
        <v>0</v>
      </c>
      <c r="DDQ14" s="49">
        <v>331</v>
      </c>
      <c r="DDR14" s="49">
        <v>0</v>
      </c>
      <c r="DDS14" s="49"/>
      <c r="DDT14" s="49">
        <v>332</v>
      </c>
      <c r="DDU14" s="49">
        <v>0</v>
      </c>
      <c r="DDV14" s="127">
        <f t="shared" si="824"/>
        <v>663</v>
      </c>
      <c r="DDW14" s="43">
        <f t="shared" si="825"/>
        <v>110.5</v>
      </c>
      <c r="DDX14" s="48">
        <v>0</v>
      </c>
      <c r="DDY14" s="49">
        <v>110</v>
      </c>
      <c r="DDZ14" s="49">
        <v>0</v>
      </c>
      <c r="DEA14" s="49">
        <v>240</v>
      </c>
      <c r="DEB14" s="49">
        <v>0</v>
      </c>
      <c r="DEC14" s="49">
        <v>0</v>
      </c>
      <c r="DED14" s="127">
        <f t="shared" si="826"/>
        <v>350</v>
      </c>
      <c r="DEE14" s="43">
        <f t="shared" si="827"/>
        <v>58.333333333333336</v>
      </c>
      <c r="DEF14" s="48">
        <v>0</v>
      </c>
      <c r="DEG14" s="49">
        <v>0</v>
      </c>
      <c r="DEH14" s="49"/>
      <c r="DEI14" s="49">
        <v>220</v>
      </c>
      <c r="DEJ14" s="49">
        <v>0</v>
      </c>
      <c r="DEK14" s="49">
        <v>0</v>
      </c>
      <c r="DEL14" s="127">
        <f t="shared" si="828"/>
        <v>220</v>
      </c>
      <c r="DEM14" s="43">
        <f t="shared" si="829"/>
        <v>36.666666666666664</v>
      </c>
      <c r="DEN14" s="48">
        <v>0</v>
      </c>
      <c r="DEO14" s="49">
        <v>0</v>
      </c>
      <c r="DEP14" s="49">
        <v>0</v>
      </c>
      <c r="DEQ14" s="49">
        <v>219</v>
      </c>
      <c r="DER14" s="49"/>
      <c r="DES14" s="49">
        <v>0</v>
      </c>
      <c r="DET14" s="127">
        <f t="shared" si="830"/>
        <v>219</v>
      </c>
      <c r="DEU14" s="43">
        <f t="shared" si="831"/>
        <v>36.5</v>
      </c>
      <c r="DEV14" s="48">
        <v>0</v>
      </c>
      <c r="DEW14" s="49"/>
      <c r="DEX14" s="49">
        <v>0</v>
      </c>
      <c r="DEY14" s="49">
        <v>330</v>
      </c>
      <c r="DEZ14" s="49">
        <v>0</v>
      </c>
      <c r="DFA14" s="49">
        <v>220</v>
      </c>
      <c r="DFB14" s="127">
        <f t="shared" si="832"/>
        <v>550</v>
      </c>
      <c r="DFC14" s="43">
        <f t="shared" si="833"/>
        <v>91.666666666666671</v>
      </c>
      <c r="DFD14" s="48">
        <v>0</v>
      </c>
      <c r="DFE14" s="49">
        <v>331</v>
      </c>
      <c r="DFF14" s="49">
        <v>0</v>
      </c>
      <c r="DFG14" s="49">
        <v>331</v>
      </c>
      <c r="DFH14" s="49">
        <v>0</v>
      </c>
      <c r="DFI14" s="49"/>
      <c r="DFJ14" s="127">
        <f t="shared" si="834"/>
        <v>662</v>
      </c>
      <c r="DFK14" s="43">
        <f t="shared" si="835"/>
        <v>110.33333333333333</v>
      </c>
      <c r="DFL14" s="63"/>
      <c r="DFM14" s="64">
        <v>0</v>
      </c>
      <c r="DFN14" s="64">
        <v>0</v>
      </c>
      <c r="DFO14" s="64">
        <v>0</v>
      </c>
      <c r="DFP14" s="64">
        <v>0</v>
      </c>
      <c r="DFQ14" s="64">
        <v>332</v>
      </c>
      <c r="DFR14" s="64">
        <f t="shared" si="836"/>
        <v>332</v>
      </c>
      <c r="DFS14" s="68">
        <f t="shared" si="837"/>
        <v>55.333333333333336</v>
      </c>
      <c r="DFT14" s="48">
        <v>0</v>
      </c>
      <c r="DFU14" s="49">
        <v>0</v>
      </c>
      <c r="DFV14" s="49">
        <v>220</v>
      </c>
      <c r="DFW14" s="49">
        <v>0</v>
      </c>
      <c r="DFX14" s="49"/>
      <c r="DFY14" s="49">
        <v>0</v>
      </c>
      <c r="DFZ14" s="127">
        <f t="shared" si="838"/>
        <v>220</v>
      </c>
      <c r="DGA14" s="43">
        <f t="shared" si="839"/>
        <v>36.666666666666664</v>
      </c>
      <c r="DGB14" s="48">
        <v>331</v>
      </c>
      <c r="DGC14" s="49">
        <v>0</v>
      </c>
      <c r="DGD14" s="49">
        <v>0</v>
      </c>
      <c r="DGE14" s="49"/>
      <c r="DGF14" s="49">
        <v>0</v>
      </c>
      <c r="DGG14" s="49">
        <v>0</v>
      </c>
      <c r="DGH14" s="127">
        <f t="shared" si="840"/>
        <v>331</v>
      </c>
      <c r="DGI14" s="43">
        <f t="shared" si="841"/>
        <v>55.166666666666664</v>
      </c>
      <c r="DGJ14" s="48">
        <v>330</v>
      </c>
      <c r="DGK14" s="49">
        <v>0</v>
      </c>
      <c r="DGL14" s="49">
        <v>0</v>
      </c>
      <c r="DGM14" s="49">
        <v>329</v>
      </c>
      <c r="DGN14" s="49">
        <v>0</v>
      </c>
      <c r="DGO14" s="49"/>
      <c r="DGP14" s="64">
        <f t="shared" si="842"/>
        <v>659</v>
      </c>
      <c r="DGQ14" s="68">
        <f t="shared" si="843"/>
        <v>109.83333333333333</v>
      </c>
      <c r="DGR14" s="48">
        <v>0</v>
      </c>
      <c r="DGS14" s="49">
        <v>0</v>
      </c>
      <c r="DGT14" s="49">
        <v>110</v>
      </c>
      <c r="DGU14" s="49">
        <v>0</v>
      </c>
      <c r="DGV14" s="49">
        <v>0</v>
      </c>
      <c r="DGW14" s="49"/>
      <c r="DGX14" s="64">
        <f t="shared" si="844"/>
        <v>110</v>
      </c>
      <c r="DGY14" s="68">
        <f t="shared" si="845"/>
        <v>18.333333333333332</v>
      </c>
      <c r="DGZ14" s="48">
        <v>110</v>
      </c>
      <c r="DHA14" s="49">
        <v>0</v>
      </c>
      <c r="DHB14" s="49">
        <v>0</v>
      </c>
      <c r="DHC14" s="49">
        <v>329</v>
      </c>
      <c r="DHD14" s="49">
        <v>0</v>
      </c>
      <c r="DHE14" s="49">
        <v>0</v>
      </c>
      <c r="DHF14" s="64">
        <f t="shared" si="846"/>
        <v>439</v>
      </c>
      <c r="DHG14" s="68">
        <f t="shared" si="847"/>
        <v>73.166666666666671</v>
      </c>
      <c r="DHH14" s="63"/>
      <c r="DHI14" s="64">
        <v>0</v>
      </c>
      <c r="DHJ14" s="64">
        <v>332</v>
      </c>
      <c r="DHK14" s="64">
        <v>0</v>
      </c>
      <c r="DHL14" s="64">
        <v>0</v>
      </c>
      <c r="DHM14" s="64">
        <v>0</v>
      </c>
      <c r="DHN14" s="64">
        <f t="shared" si="848"/>
        <v>332</v>
      </c>
      <c r="DHO14" s="68">
        <f t="shared" si="849"/>
        <v>55.333333333333336</v>
      </c>
      <c r="DHP14" s="48">
        <v>0</v>
      </c>
      <c r="DHQ14" s="49">
        <v>0</v>
      </c>
      <c r="DHR14" s="49">
        <v>0</v>
      </c>
      <c r="DHS14" s="49">
        <v>0</v>
      </c>
      <c r="DHT14" s="49">
        <v>221</v>
      </c>
      <c r="DHU14" s="49">
        <v>221</v>
      </c>
      <c r="DHV14" s="64">
        <f t="shared" si="850"/>
        <v>442</v>
      </c>
      <c r="DHW14" s="68">
        <f t="shared" si="851"/>
        <v>73.666666666666671</v>
      </c>
      <c r="DHX14" s="48">
        <v>0</v>
      </c>
      <c r="DHY14" s="49"/>
      <c r="DHZ14" s="49">
        <v>0</v>
      </c>
      <c r="DIA14" s="49">
        <v>229</v>
      </c>
      <c r="DIB14" s="49">
        <v>0</v>
      </c>
      <c r="DIC14" s="49">
        <v>110</v>
      </c>
      <c r="DID14" s="64">
        <f t="shared" si="852"/>
        <v>339</v>
      </c>
      <c r="DIE14" s="68">
        <f t="shared" si="853"/>
        <v>56.5</v>
      </c>
      <c r="DIF14" s="48"/>
      <c r="DIG14" s="49">
        <v>0</v>
      </c>
      <c r="DIH14" s="49">
        <v>0</v>
      </c>
      <c r="DII14" s="49">
        <v>328</v>
      </c>
      <c r="DIJ14" s="49">
        <v>0</v>
      </c>
      <c r="DIK14" s="49"/>
      <c r="DIL14" s="64">
        <f t="shared" si="854"/>
        <v>328</v>
      </c>
      <c r="DIM14" s="68">
        <f t="shared" si="855"/>
        <v>54.666666666666664</v>
      </c>
      <c r="DIN14" s="48">
        <v>110</v>
      </c>
      <c r="DIO14" s="49"/>
      <c r="DIP14" s="49">
        <v>220</v>
      </c>
      <c r="DIQ14" s="49">
        <v>0</v>
      </c>
      <c r="DIR14" s="49">
        <v>0</v>
      </c>
      <c r="DIS14" s="49">
        <v>0</v>
      </c>
      <c r="DIT14" s="64">
        <f t="shared" si="856"/>
        <v>330</v>
      </c>
      <c r="DIU14" s="68">
        <f t="shared" si="857"/>
        <v>55</v>
      </c>
      <c r="DIV14" s="48">
        <f>SUMIF(SUMPK!$B:$B,$B:$B,SUMPK!$O:$O)</f>
        <v>0</v>
      </c>
      <c r="DIW14" s="49">
        <v>110</v>
      </c>
      <c r="DIX14" s="49">
        <v>0</v>
      </c>
      <c r="DIY14" s="49">
        <v>0</v>
      </c>
      <c r="DIZ14" s="49">
        <v>0</v>
      </c>
      <c r="DJA14" s="49">
        <v>330</v>
      </c>
      <c r="DJB14" s="64">
        <f t="shared" si="858"/>
        <v>440</v>
      </c>
      <c r="DJC14" s="68">
        <f t="shared" si="859"/>
        <v>73.333333333333329</v>
      </c>
      <c r="DJD14" s="48">
        <v>0</v>
      </c>
      <c r="DJE14" s="49">
        <v>0</v>
      </c>
      <c r="DJF14" s="49">
        <v>0</v>
      </c>
      <c r="DJG14" s="49">
        <v>0</v>
      </c>
      <c r="DJH14" s="49">
        <v>330</v>
      </c>
      <c r="DJI14" s="49"/>
      <c r="DJJ14" s="64">
        <f t="shared" si="860"/>
        <v>330</v>
      </c>
      <c r="DJK14" s="68">
        <f t="shared" si="861"/>
        <v>55</v>
      </c>
      <c r="DJL14" s="48">
        <v>0</v>
      </c>
      <c r="DJM14" s="49">
        <v>110</v>
      </c>
      <c r="DJN14" s="49">
        <v>0</v>
      </c>
      <c r="DJO14" s="49">
        <v>0</v>
      </c>
      <c r="DJP14" s="49">
        <v>220</v>
      </c>
      <c r="DJQ14" s="49">
        <v>0</v>
      </c>
      <c r="DJR14" s="64">
        <f t="shared" si="862"/>
        <v>330</v>
      </c>
      <c r="DJS14" s="68">
        <f t="shared" si="863"/>
        <v>55</v>
      </c>
      <c r="DJT14" s="48"/>
      <c r="DJU14" s="49">
        <v>0</v>
      </c>
      <c r="DJV14" s="49">
        <v>0</v>
      </c>
      <c r="DJW14" s="49">
        <v>220</v>
      </c>
      <c r="DJX14" s="49">
        <v>0</v>
      </c>
      <c r="DJY14" s="49">
        <v>0</v>
      </c>
      <c r="DJZ14" s="64">
        <f t="shared" si="864"/>
        <v>220</v>
      </c>
      <c r="DKA14" s="68">
        <f t="shared" si="865"/>
        <v>36.666666666666664</v>
      </c>
      <c r="DKB14" s="48">
        <v>0</v>
      </c>
      <c r="DKC14" s="49">
        <v>222</v>
      </c>
      <c r="DKD14" s="49">
        <v>0</v>
      </c>
      <c r="DKE14" s="49">
        <v>0</v>
      </c>
      <c r="DKF14" s="49">
        <v>0</v>
      </c>
      <c r="DKG14" s="49">
        <v>220</v>
      </c>
      <c r="DKH14" s="64">
        <f t="shared" si="866"/>
        <v>442</v>
      </c>
      <c r="DKI14" s="68">
        <f t="shared" si="867"/>
        <v>73.666666666666671</v>
      </c>
      <c r="DKJ14" s="48"/>
      <c r="DKK14" s="49">
        <v>0</v>
      </c>
      <c r="DKL14" s="49">
        <v>0</v>
      </c>
      <c r="DKM14" s="49">
        <v>330</v>
      </c>
      <c r="DKN14" s="49">
        <v>0</v>
      </c>
      <c r="DKO14" s="49">
        <v>0</v>
      </c>
      <c r="DKP14" s="64">
        <f t="shared" si="868"/>
        <v>330</v>
      </c>
      <c r="DKQ14" s="68">
        <f t="shared" si="869"/>
        <v>55</v>
      </c>
      <c r="DKR14" s="48">
        <v>0</v>
      </c>
      <c r="DKS14" s="49">
        <v>0</v>
      </c>
      <c r="DKT14" s="49">
        <v>0</v>
      </c>
      <c r="DKU14" s="49">
        <v>0</v>
      </c>
      <c r="DKV14" s="49">
        <v>0</v>
      </c>
      <c r="DKW14" s="49">
        <v>220</v>
      </c>
      <c r="DKX14" s="64">
        <f t="shared" si="870"/>
        <v>220</v>
      </c>
      <c r="DKY14" s="68">
        <f t="shared" si="871"/>
        <v>36.666666666666664</v>
      </c>
      <c r="DKZ14" s="48">
        <v>110</v>
      </c>
      <c r="DLA14" s="49">
        <v>0</v>
      </c>
      <c r="DLB14" s="49">
        <v>0</v>
      </c>
      <c r="DLC14" s="49">
        <v>0</v>
      </c>
      <c r="DLD14" s="49">
        <v>0</v>
      </c>
      <c r="DLE14" s="49">
        <v>0</v>
      </c>
      <c r="DLF14" s="64">
        <f t="shared" si="872"/>
        <v>110</v>
      </c>
      <c r="DLG14" s="68">
        <f t="shared" si="873"/>
        <v>18.333333333333332</v>
      </c>
      <c r="DLH14" s="48"/>
      <c r="DLI14" s="49">
        <v>220</v>
      </c>
      <c r="DLJ14" s="49">
        <v>0</v>
      </c>
      <c r="DLK14" s="49">
        <f>SUMIF(SUMPK!$B:$B,$B:$B,SUMPK!$O:$O)</f>
        <v>0</v>
      </c>
      <c r="DLL14" s="49"/>
      <c r="DLM14" s="49">
        <v>0</v>
      </c>
      <c r="DLN14" s="64">
        <f t="shared" si="874"/>
        <v>220</v>
      </c>
      <c r="DLO14" s="68">
        <f t="shared" si="875"/>
        <v>36.666666666666664</v>
      </c>
      <c r="DLP14" s="48">
        <v>219</v>
      </c>
      <c r="DLR14" s="49">
        <v>0</v>
      </c>
      <c r="DLS14" s="49">
        <v>203</v>
      </c>
      <c r="DLT14" s="49">
        <v>33</v>
      </c>
      <c r="DLU14" s="49">
        <v>0</v>
      </c>
      <c r="DLV14" s="64">
        <f t="shared" si="876"/>
        <v>455</v>
      </c>
      <c r="DLW14" s="68">
        <f t="shared" si="877"/>
        <v>75.833333333333329</v>
      </c>
      <c r="DLX14" s="48">
        <v>0</v>
      </c>
      <c r="DLY14" s="49">
        <v>0</v>
      </c>
      <c r="DLZ14" s="49">
        <v>0</v>
      </c>
      <c r="DMA14" s="49">
        <v>110</v>
      </c>
      <c r="DMB14" s="49">
        <v>0</v>
      </c>
      <c r="DMC14" s="49"/>
      <c r="DMD14" s="64">
        <f t="shared" si="878"/>
        <v>110</v>
      </c>
      <c r="DME14" s="68">
        <f t="shared" si="879"/>
        <v>18.333333333333332</v>
      </c>
      <c r="DMF14" s="48"/>
      <c r="DMG14" s="49"/>
      <c r="DMH14" s="49"/>
      <c r="DMI14" s="49">
        <v>0</v>
      </c>
      <c r="DMJ14" s="49">
        <v>200</v>
      </c>
      <c r="DMK14" s="49">
        <v>0</v>
      </c>
      <c r="DML14" s="64">
        <f t="shared" si="880"/>
        <v>200</v>
      </c>
      <c r="DMM14" s="68">
        <f t="shared" si="881"/>
        <v>33.333333333333336</v>
      </c>
      <c r="DMN14" s="48">
        <v>0</v>
      </c>
      <c r="DMO14" s="49">
        <v>0</v>
      </c>
      <c r="DMP14" s="49">
        <v>0</v>
      </c>
      <c r="DMQ14" s="49">
        <v>0</v>
      </c>
      <c r="DMR14" s="49">
        <v>0</v>
      </c>
      <c r="DMS14" s="49">
        <v>220</v>
      </c>
      <c r="DMT14" s="64">
        <f t="shared" si="882"/>
        <v>220</v>
      </c>
      <c r="DMU14" s="68">
        <f t="shared" si="883"/>
        <v>36.666666666666664</v>
      </c>
      <c r="DMV14" s="48">
        <v>0</v>
      </c>
      <c r="DMW14" s="49">
        <v>0</v>
      </c>
      <c r="DMX14" s="49">
        <v>0</v>
      </c>
      <c r="DMY14" s="49">
        <v>280</v>
      </c>
      <c r="DMZ14" s="49">
        <v>0</v>
      </c>
      <c r="DNA14" s="49">
        <v>0</v>
      </c>
      <c r="DNB14" s="64">
        <f t="shared" si="884"/>
        <v>280</v>
      </c>
      <c r="DNC14" s="68">
        <f t="shared" si="885"/>
        <v>46.666666666666664</v>
      </c>
      <c r="DND14" s="48"/>
      <c r="DNE14" s="49">
        <v>219</v>
      </c>
      <c r="DNF14" s="49"/>
      <c r="DNG14" s="49"/>
      <c r="DNH14" s="49">
        <v>0</v>
      </c>
      <c r="DNI14" s="49">
        <v>441</v>
      </c>
      <c r="DNJ14" s="64">
        <f t="shared" si="886"/>
        <v>660</v>
      </c>
      <c r="DNK14" s="68">
        <f t="shared" si="887"/>
        <v>110</v>
      </c>
      <c r="DNL14" s="48"/>
      <c r="DNM14" s="49"/>
      <c r="DNN14" s="49">
        <v>0</v>
      </c>
      <c r="DNO14" s="49">
        <v>0</v>
      </c>
      <c r="DNP14" s="49">
        <v>0</v>
      </c>
      <c r="DNQ14" s="49">
        <v>0</v>
      </c>
      <c r="DNR14" s="64">
        <f t="shared" si="888"/>
        <v>0</v>
      </c>
      <c r="DNS14" s="68">
        <f t="shared" si="889"/>
        <v>0</v>
      </c>
      <c r="DNT14" s="48"/>
      <c r="DNU14" s="49">
        <v>0</v>
      </c>
      <c r="DNV14" s="49">
        <v>0</v>
      </c>
      <c r="DNW14" s="49"/>
      <c r="DNX14" s="49">
        <v>0</v>
      </c>
      <c r="DNY14" s="49">
        <v>214</v>
      </c>
      <c r="DNZ14" s="64">
        <f t="shared" si="890"/>
        <v>214</v>
      </c>
      <c r="DOA14" s="68">
        <f t="shared" si="891"/>
        <v>35.666666666666664</v>
      </c>
      <c r="DOB14" s="48">
        <v>0</v>
      </c>
      <c r="DOC14" s="49"/>
      <c r="DOD14" s="49"/>
      <c r="DOE14" s="49">
        <v>220</v>
      </c>
      <c r="DOF14" s="49">
        <v>0</v>
      </c>
      <c r="DOG14" s="49">
        <v>0</v>
      </c>
      <c r="DOH14" s="64">
        <f t="shared" si="892"/>
        <v>220</v>
      </c>
      <c r="DOI14" s="68">
        <f t="shared" si="893"/>
        <v>36.666666666666664</v>
      </c>
      <c r="DOJ14" s="48">
        <v>0</v>
      </c>
      <c r="DOK14" s="49">
        <v>221</v>
      </c>
      <c r="DOL14" s="49"/>
      <c r="DOM14" s="49">
        <v>0</v>
      </c>
      <c r="DON14" s="49">
        <v>0</v>
      </c>
      <c r="DOO14" s="49">
        <v>0</v>
      </c>
      <c r="DOP14" s="64">
        <f t="shared" si="894"/>
        <v>221</v>
      </c>
      <c r="DOQ14" s="68">
        <f t="shared" si="895"/>
        <v>36.833333333333336</v>
      </c>
      <c r="DOR14" s="48">
        <v>0</v>
      </c>
      <c r="DOS14" s="49">
        <v>220</v>
      </c>
      <c r="DOT14" s="49"/>
      <c r="DOU14" s="49">
        <v>0</v>
      </c>
      <c r="DOV14" s="49"/>
      <c r="DOW14" s="49">
        <v>0</v>
      </c>
      <c r="DOX14" s="64">
        <f t="shared" si="896"/>
        <v>220</v>
      </c>
      <c r="DOY14" s="68">
        <f t="shared" si="897"/>
        <v>36.666666666666664</v>
      </c>
      <c r="DOZ14" s="48"/>
      <c r="DPA14" s="49">
        <v>0</v>
      </c>
      <c r="DPB14" s="49">
        <v>0</v>
      </c>
      <c r="DPC14" s="49">
        <v>0</v>
      </c>
      <c r="DPD14" s="49">
        <v>0</v>
      </c>
      <c r="DPE14" s="49">
        <v>221</v>
      </c>
      <c r="DPF14" s="64">
        <f t="shared" si="898"/>
        <v>221</v>
      </c>
      <c r="DPG14" s="68">
        <f t="shared" si="899"/>
        <v>36.833333333333336</v>
      </c>
      <c r="DPH14" s="48">
        <v>0</v>
      </c>
      <c r="DPI14" s="49">
        <v>0</v>
      </c>
      <c r="DPJ14" s="49">
        <v>0</v>
      </c>
      <c r="DPK14" s="49">
        <v>221</v>
      </c>
      <c r="DPL14" s="49">
        <v>0</v>
      </c>
      <c r="DPM14" s="49">
        <v>0</v>
      </c>
      <c r="DPN14" s="64">
        <f t="shared" si="900"/>
        <v>221</v>
      </c>
      <c r="DPO14" s="68">
        <f t="shared" si="901"/>
        <v>36.833333333333336</v>
      </c>
      <c r="DPP14" s="48">
        <v>0</v>
      </c>
      <c r="DPQ14" s="49">
        <v>330</v>
      </c>
      <c r="DPR14" s="49">
        <v>0</v>
      </c>
      <c r="DPS14" s="49">
        <v>0</v>
      </c>
      <c r="DPT14" s="49">
        <v>0</v>
      </c>
      <c r="DPU14" s="49">
        <v>0</v>
      </c>
      <c r="DPV14" s="491">
        <f t="shared" si="902"/>
        <v>330</v>
      </c>
      <c r="DPW14" s="492">
        <f t="shared" si="903"/>
        <v>55</v>
      </c>
      <c r="DPX14" s="48">
        <v>0</v>
      </c>
      <c r="DPY14" s="49">
        <v>280</v>
      </c>
      <c r="DPZ14" s="49">
        <v>331</v>
      </c>
      <c r="DQA14" s="49">
        <v>0</v>
      </c>
      <c r="DQB14" s="49">
        <v>0</v>
      </c>
      <c r="DQC14" s="49">
        <v>110</v>
      </c>
      <c r="DQD14" s="491">
        <f t="shared" si="904"/>
        <v>721</v>
      </c>
      <c r="DQE14" s="492">
        <f t="shared" si="905"/>
        <v>120.16666666666667</v>
      </c>
      <c r="DQF14" s="48">
        <v>0</v>
      </c>
      <c r="DQG14" s="49">
        <v>0</v>
      </c>
      <c r="DQH14" s="49">
        <v>0</v>
      </c>
      <c r="DQI14" s="49"/>
      <c r="DQJ14" s="49">
        <v>219</v>
      </c>
      <c r="DQK14" s="49">
        <v>110</v>
      </c>
      <c r="DQL14" s="489">
        <f t="shared" si="906"/>
        <v>329</v>
      </c>
      <c r="DQM14" s="492">
        <f t="shared" si="907"/>
        <v>54.833333333333336</v>
      </c>
      <c r="DQN14" s="48">
        <v>0</v>
      </c>
      <c r="DQO14" s="49">
        <v>0</v>
      </c>
      <c r="DQP14" s="49">
        <v>0</v>
      </c>
      <c r="DQQ14" s="49">
        <v>0</v>
      </c>
      <c r="DQR14" s="49">
        <v>0</v>
      </c>
      <c r="DQS14" s="49">
        <v>0</v>
      </c>
      <c r="DQT14" s="64">
        <f t="shared" si="908"/>
        <v>0</v>
      </c>
      <c r="DQU14" s="68">
        <f t="shared" si="909"/>
        <v>0</v>
      </c>
      <c r="DQV14" s="48">
        <v>0</v>
      </c>
      <c r="DQW14" s="49">
        <v>102</v>
      </c>
      <c r="DQX14" s="49">
        <v>0</v>
      </c>
      <c r="DQY14" s="49">
        <v>0</v>
      </c>
      <c r="DQZ14" s="49">
        <v>0</v>
      </c>
      <c r="DRA14" s="49">
        <v>210</v>
      </c>
      <c r="DRB14" s="491">
        <f t="shared" si="910"/>
        <v>312</v>
      </c>
      <c r="DRC14" s="492">
        <f t="shared" si="911"/>
        <v>52</v>
      </c>
      <c r="DRD14" s="48">
        <v>0</v>
      </c>
      <c r="DRE14" s="49">
        <v>0</v>
      </c>
      <c r="DRF14" s="49">
        <v>331</v>
      </c>
      <c r="DRG14" s="49">
        <v>0</v>
      </c>
      <c r="DRH14" s="49">
        <v>220</v>
      </c>
      <c r="DRI14" s="49"/>
      <c r="DRJ14" s="491">
        <f t="shared" si="912"/>
        <v>551</v>
      </c>
      <c r="DRK14" s="492">
        <f t="shared" si="913"/>
        <v>91.833333333333329</v>
      </c>
      <c r="DRL14" s="48"/>
      <c r="DRM14" s="49">
        <v>0</v>
      </c>
      <c r="DRN14" s="49"/>
      <c r="DRO14" s="49">
        <v>0</v>
      </c>
      <c r="DRP14" s="49">
        <v>220</v>
      </c>
      <c r="DRQ14" s="49">
        <v>0</v>
      </c>
      <c r="DRR14" s="64">
        <f t="shared" si="914"/>
        <v>220</v>
      </c>
      <c r="DRS14" s="68">
        <f t="shared" si="915"/>
        <v>36.666666666666664</v>
      </c>
      <c r="DRT14" s="48">
        <v>0</v>
      </c>
      <c r="DRU14" s="49">
        <v>220</v>
      </c>
      <c r="DRV14" s="49">
        <v>0</v>
      </c>
      <c r="DRW14" s="49">
        <v>203</v>
      </c>
      <c r="DRX14" s="49">
        <v>0</v>
      </c>
      <c r="DRY14" s="49"/>
      <c r="DRZ14" s="491">
        <f t="shared" si="916"/>
        <v>423</v>
      </c>
      <c r="DSA14" s="68">
        <f t="shared" si="917"/>
        <v>70.5</v>
      </c>
      <c r="DSB14" s="82">
        <v>0</v>
      </c>
      <c r="DSC14" s="83">
        <v>330</v>
      </c>
      <c r="DSD14" s="83">
        <v>0</v>
      </c>
      <c r="DSE14" s="83"/>
      <c r="DSF14" s="83"/>
      <c r="DSG14" s="83">
        <v>0</v>
      </c>
      <c r="DSH14" s="64">
        <f t="shared" si="918"/>
        <v>330</v>
      </c>
      <c r="DSI14" s="68">
        <f t="shared" si="919"/>
        <v>55</v>
      </c>
      <c r="DSJ14" s="48">
        <v>0</v>
      </c>
      <c r="DSK14" s="49">
        <v>0</v>
      </c>
      <c r="DSL14" s="49">
        <v>0</v>
      </c>
      <c r="DSM14" s="49">
        <v>0</v>
      </c>
      <c r="DSN14" s="49">
        <v>215</v>
      </c>
      <c r="DSO14" s="49">
        <v>0</v>
      </c>
      <c r="DSP14" s="64">
        <f t="shared" si="920"/>
        <v>215</v>
      </c>
      <c r="DSQ14" s="68">
        <f t="shared" si="921"/>
        <v>35.833333333333336</v>
      </c>
      <c r="DSR14" s="48">
        <v>0</v>
      </c>
      <c r="DSS14" s="49">
        <v>0</v>
      </c>
      <c r="DST14" s="49">
        <v>0</v>
      </c>
      <c r="DSU14" s="49">
        <v>220</v>
      </c>
      <c r="DSV14" s="49">
        <v>0</v>
      </c>
      <c r="DSW14" s="49">
        <v>243</v>
      </c>
      <c r="DSX14" s="64">
        <f t="shared" si="922"/>
        <v>463</v>
      </c>
      <c r="DSY14" s="68">
        <f t="shared" si="923"/>
        <v>77.166666666666671</v>
      </c>
      <c r="DSZ14" s="48">
        <v>0</v>
      </c>
      <c r="DTA14" s="49"/>
      <c r="DTB14" s="49">
        <v>400</v>
      </c>
      <c r="DTC14" s="49">
        <v>0</v>
      </c>
      <c r="DTD14" s="49">
        <v>0</v>
      </c>
      <c r="DTE14" s="49">
        <v>0</v>
      </c>
      <c r="DTF14" s="64">
        <f t="shared" si="924"/>
        <v>400</v>
      </c>
      <c r="DTG14" s="68">
        <f t="shared" si="925"/>
        <v>66.666666666666671</v>
      </c>
      <c r="DTH14" s="48"/>
      <c r="DTI14" s="49">
        <v>0</v>
      </c>
      <c r="DTJ14" s="49">
        <v>400</v>
      </c>
      <c r="DTK14" s="49">
        <v>0</v>
      </c>
      <c r="DTL14" s="49">
        <v>110</v>
      </c>
      <c r="DTM14" s="49">
        <v>0</v>
      </c>
      <c r="DTN14" s="64">
        <f t="shared" si="926"/>
        <v>510</v>
      </c>
      <c r="DTO14" s="68">
        <f t="shared" si="927"/>
        <v>85</v>
      </c>
      <c r="DTP14" s="48">
        <v>0</v>
      </c>
      <c r="DTQ14" s="49">
        <v>110</v>
      </c>
      <c r="DTR14" s="49">
        <v>220</v>
      </c>
      <c r="DTS14" s="49">
        <v>0</v>
      </c>
      <c r="DTT14" s="49">
        <v>0</v>
      </c>
      <c r="DTU14" s="49">
        <v>108</v>
      </c>
      <c r="DTV14" s="64">
        <f t="shared" si="928"/>
        <v>438</v>
      </c>
      <c r="DTW14" s="68">
        <f t="shared" si="929"/>
        <v>73</v>
      </c>
      <c r="DTX14" s="48">
        <v>0</v>
      </c>
      <c r="DTY14" s="49">
        <v>0</v>
      </c>
      <c r="DTZ14" s="49"/>
      <c r="DUA14" s="49">
        <v>219</v>
      </c>
      <c r="DUB14" s="49">
        <v>0</v>
      </c>
      <c r="DUC14" s="49">
        <v>0</v>
      </c>
      <c r="DUD14" s="64">
        <f t="shared" si="930"/>
        <v>219</v>
      </c>
      <c r="DUE14" s="68">
        <f t="shared" si="931"/>
        <v>36.5</v>
      </c>
      <c r="DUF14" s="48">
        <v>0</v>
      </c>
      <c r="DUG14" s="49">
        <v>332</v>
      </c>
      <c r="DUH14" s="49"/>
      <c r="DUI14" s="49">
        <v>0</v>
      </c>
      <c r="DUJ14" s="49">
        <v>0</v>
      </c>
      <c r="DUK14" s="49">
        <v>0</v>
      </c>
      <c r="DUL14" s="64">
        <f t="shared" si="932"/>
        <v>332</v>
      </c>
      <c r="DUM14" s="68">
        <f t="shared" si="933"/>
        <v>55.333333333333336</v>
      </c>
      <c r="DUN14" s="48"/>
      <c r="DUO14" s="49">
        <v>0</v>
      </c>
      <c r="DUP14" s="49">
        <v>0</v>
      </c>
      <c r="DUQ14" s="49">
        <v>222</v>
      </c>
      <c r="DUR14" s="49"/>
      <c r="DUS14" s="49">
        <v>0</v>
      </c>
      <c r="DUT14" s="64">
        <f t="shared" si="934"/>
        <v>222</v>
      </c>
      <c r="DUU14" s="184">
        <f t="shared" si="935"/>
        <v>37</v>
      </c>
      <c r="DUV14" s="48"/>
      <c r="DUW14" s="49">
        <v>0</v>
      </c>
      <c r="DUX14" s="49">
        <v>0</v>
      </c>
      <c r="DUY14" s="49">
        <v>0</v>
      </c>
      <c r="DUZ14" s="49">
        <v>0</v>
      </c>
      <c r="DVA14" s="49"/>
      <c r="DVB14" s="64">
        <f t="shared" si="936"/>
        <v>0</v>
      </c>
      <c r="DVC14" s="68">
        <f t="shared" si="937"/>
        <v>0</v>
      </c>
      <c r="DVD14" s="48"/>
      <c r="DVE14" s="49">
        <v>0</v>
      </c>
      <c r="DVF14" s="49">
        <v>0</v>
      </c>
      <c r="DVG14" s="49">
        <v>490</v>
      </c>
      <c r="DVH14" s="49">
        <v>0</v>
      </c>
      <c r="DVI14" s="49"/>
      <c r="DVJ14" s="64">
        <f t="shared" si="938"/>
        <v>490</v>
      </c>
      <c r="DVK14" s="68">
        <f t="shared" si="939"/>
        <v>81.666666666666671</v>
      </c>
      <c r="DVL14" s="48">
        <v>0</v>
      </c>
      <c r="DVM14" s="49">
        <v>0</v>
      </c>
      <c r="DVN14" s="49">
        <v>0</v>
      </c>
      <c r="DVO14" s="49">
        <v>0</v>
      </c>
      <c r="DVP14" s="49">
        <v>0</v>
      </c>
      <c r="DVQ14" s="49">
        <v>220</v>
      </c>
      <c r="DVR14" s="64">
        <f t="shared" si="940"/>
        <v>220</v>
      </c>
      <c r="DVS14" s="68">
        <f t="shared" si="941"/>
        <v>36.666666666666664</v>
      </c>
      <c r="DVT14" s="48"/>
      <c r="DVU14" s="49">
        <v>342</v>
      </c>
      <c r="DVV14" s="49">
        <v>0</v>
      </c>
      <c r="DVW14" s="49">
        <v>0</v>
      </c>
      <c r="DVX14" s="49"/>
      <c r="DVY14" s="49">
        <v>0</v>
      </c>
      <c r="DVZ14" s="64">
        <f t="shared" si="942"/>
        <v>342</v>
      </c>
      <c r="DWA14" s="68">
        <f t="shared" si="943"/>
        <v>57</v>
      </c>
      <c r="DWB14" s="48"/>
      <c r="DWC14" s="49">
        <v>0</v>
      </c>
      <c r="DWD14" s="49">
        <v>0</v>
      </c>
      <c r="DWE14" s="49">
        <v>0</v>
      </c>
      <c r="DWF14" s="49">
        <v>0</v>
      </c>
      <c r="DWG14" s="49">
        <v>0</v>
      </c>
      <c r="DWH14" s="64">
        <f t="shared" si="944"/>
        <v>0</v>
      </c>
      <c r="DWI14" s="68">
        <f t="shared" si="945"/>
        <v>0</v>
      </c>
      <c r="DWJ14" s="48">
        <v>0</v>
      </c>
      <c r="DWK14" s="49"/>
      <c r="DWL14" s="49">
        <v>0</v>
      </c>
      <c r="DWM14" s="49">
        <v>0</v>
      </c>
      <c r="DWN14" s="49">
        <v>0</v>
      </c>
      <c r="DWO14" s="49">
        <v>0</v>
      </c>
      <c r="DWP14" s="64">
        <f t="shared" si="946"/>
        <v>0</v>
      </c>
      <c r="DWQ14" s="68">
        <f t="shared" si="947"/>
        <v>0</v>
      </c>
      <c r="DWR14" s="48"/>
      <c r="DWS14" s="49"/>
      <c r="DWT14" s="49">
        <v>0</v>
      </c>
      <c r="DWU14" s="49">
        <v>95</v>
      </c>
      <c r="DWV14" s="49">
        <v>106</v>
      </c>
      <c r="DWW14" s="49">
        <v>0</v>
      </c>
      <c r="DWX14" s="64">
        <f t="shared" si="948"/>
        <v>201</v>
      </c>
      <c r="DWY14" s="68">
        <f t="shared" si="1201"/>
        <v>33.5</v>
      </c>
      <c r="DWZ14" s="48">
        <v>0</v>
      </c>
      <c r="DXA14" s="49"/>
      <c r="DXB14" s="49">
        <v>220</v>
      </c>
      <c r="DXC14" s="49">
        <v>1</v>
      </c>
      <c r="DXD14" s="49">
        <v>0</v>
      </c>
      <c r="DXE14" s="49"/>
      <c r="DXF14" s="64">
        <f t="shared" si="949"/>
        <v>221</v>
      </c>
      <c r="DXG14" s="68">
        <f t="shared" si="950"/>
        <v>36.833333333333336</v>
      </c>
      <c r="DXH14" s="48">
        <v>0</v>
      </c>
      <c r="DXI14" s="49">
        <v>0</v>
      </c>
      <c r="DXJ14" s="49">
        <v>0</v>
      </c>
      <c r="DXK14" s="49">
        <v>110</v>
      </c>
      <c r="DXL14" s="49"/>
      <c r="DXM14" s="49">
        <v>0</v>
      </c>
      <c r="DXN14" s="64">
        <f t="shared" si="951"/>
        <v>110</v>
      </c>
      <c r="DXO14" s="68">
        <f t="shared" si="952"/>
        <v>18.333333333333332</v>
      </c>
      <c r="DXP14" s="48">
        <v>0</v>
      </c>
      <c r="DXQ14" s="49">
        <v>110</v>
      </c>
      <c r="DXR14" s="49">
        <v>0</v>
      </c>
      <c r="DXS14" s="49">
        <v>0</v>
      </c>
      <c r="DXT14" s="49"/>
      <c r="DXU14" s="49"/>
      <c r="DXV14" s="64">
        <f t="shared" si="953"/>
        <v>110</v>
      </c>
      <c r="DXW14" s="68">
        <f t="shared" si="954"/>
        <v>18.333333333333332</v>
      </c>
      <c r="DXX14" s="48">
        <v>0</v>
      </c>
      <c r="DXY14" s="49">
        <v>0</v>
      </c>
      <c r="DXZ14" s="49">
        <v>0</v>
      </c>
      <c r="DYA14" s="49">
        <v>0</v>
      </c>
      <c r="DYB14" s="49">
        <v>0</v>
      </c>
      <c r="DYC14" s="49">
        <v>0</v>
      </c>
      <c r="DYD14" s="64">
        <f t="shared" si="955"/>
        <v>0</v>
      </c>
      <c r="DYE14" s="68">
        <f t="shared" si="956"/>
        <v>0</v>
      </c>
      <c r="DYF14" s="48"/>
      <c r="DYG14" s="49">
        <v>0</v>
      </c>
      <c r="DYH14" s="49">
        <v>0</v>
      </c>
      <c r="DYI14" s="49">
        <v>100</v>
      </c>
      <c r="DYJ14" s="49">
        <v>0</v>
      </c>
      <c r="DYK14" s="49"/>
      <c r="DYL14" s="64">
        <f t="shared" si="957"/>
        <v>100</v>
      </c>
      <c r="DYM14" s="68">
        <f t="shared" si="958"/>
        <v>16.666666666666668</v>
      </c>
      <c r="DYN14" s="48">
        <v>0</v>
      </c>
      <c r="DYO14" s="49">
        <v>110</v>
      </c>
      <c r="DYP14" s="49">
        <v>0</v>
      </c>
      <c r="DYQ14" s="49">
        <v>110</v>
      </c>
      <c r="DYR14" s="49">
        <v>0</v>
      </c>
      <c r="DYS14" s="49">
        <v>0</v>
      </c>
      <c r="DYT14" s="64">
        <f t="shared" si="959"/>
        <v>220</v>
      </c>
      <c r="DYU14" s="68">
        <f t="shared" si="960"/>
        <v>36.666666666666664</v>
      </c>
      <c r="DYV14" s="48">
        <v>0</v>
      </c>
      <c r="DYW14" s="49">
        <v>0</v>
      </c>
      <c r="DYX14" s="49">
        <v>0</v>
      </c>
      <c r="DYY14" s="49">
        <v>0</v>
      </c>
      <c r="DYZ14" s="49">
        <v>0</v>
      </c>
      <c r="DZA14" s="49">
        <v>0</v>
      </c>
      <c r="DZB14" s="64">
        <f t="shared" si="961"/>
        <v>0</v>
      </c>
      <c r="DZC14" s="68">
        <f t="shared" si="962"/>
        <v>0</v>
      </c>
      <c r="DZD14" s="48">
        <v>112</v>
      </c>
      <c r="DZE14" s="49">
        <v>110</v>
      </c>
      <c r="DZF14" s="49">
        <v>0</v>
      </c>
      <c r="DZG14" s="49"/>
      <c r="DZH14" s="49">
        <f>SUMIF(SUMPK!$B:$B,$B:$B,SUMPK!$O:$O)</f>
        <v>0</v>
      </c>
      <c r="DZI14" s="49"/>
      <c r="DZJ14" s="64">
        <f t="shared" si="963"/>
        <v>222</v>
      </c>
      <c r="DZK14" s="68">
        <f t="shared" si="964"/>
        <v>37</v>
      </c>
      <c r="DZL14" s="48">
        <v>0</v>
      </c>
      <c r="DZM14" s="49">
        <v>0</v>
      </c>
      <c r="DZN14" s="49"/>
      <c r="DZO14" s="49">
        <v>101</v>
      </c>
      <c r="DZP14" s="49"/>
      <c r="DZQ14" s="49"/>
      <c r="DZR14" s="64">
        <f t="shared" si="965"/>
        <v>101</v>
      </c>
      <c r="DZS14" s="68">
        <f t="shared" si="966"/>
        <v>16.833333333333332</v>
      </c>
      <c r="DZT14" s="48">
        <v>0</v>
      </c>
      <c r="DZU14" s="49">
        <v>0</v>
      </c>
      <c r="DZV14" s="49">
        <v>67</v>
      </c>
      <c r="DZW14" s="49">
        <v>0</v>
      </c>
      <c r="DZX14" s="49">
        <v>0</v>
      </c>
      <c r="DZY14" s="49"/>
      <c r="DZZ14" s="64">
        <f t="shared" si="967"/>
        <v>67</v>
      </c>
      <c r="EAA14" s="68">
        <f t="shared" si="968"/>
        <v>11.166666666666666</v>
      </c>
      <c r="EAB14" s="48"/>
      <c r="EAC14" s="49">
        <v>0</v>
      </c>
      <c r="EAD14" s="49"/>
      <c r="EAE14" s="49"/>
      <c r="EAF14" s="49">
        <v>0</v>
      </c>
      <c r="EAG14" s="49">
        <v>0</v>
      </c>
      <c r="EAH14" s="64">
        <f t="shared" si="969"/>
        <v>0</v>
      </c>
      <c r="EAI14" s="68">
        <f t="shared" si="970"/>
        <v>0</v>
      </c>
      <c r="EAJ14" s="48"/>
      <c r="EAK14" s="49">
        <v>110</v>
      </c>
      <c r="EAL14" s="49">
        <v>0</v>
      </c>
      <c r="EAM14" s="49">
        <v>0</v>
      </c>
      <c r="EAN14" s="49">
        <v>110</v>
      </c>
      <c r="EAO14" s="49">
        <v>0</v>
      </c>
      <c r="EAP14" s="64">
        <f t="shared" si="971"/>
        <v>220</v>
      </c>
      <c r="EAQ14" s="68">
        <f t="shared" si="1202"/>
        <v>36.666666666666664</v>
      </c>
      <c r="EAR14" s="48">
        <v>0</v>
      </c>
      <c r="EAS14" s="49">
        <v>0</v>
      </c>
      <c r="EAT14" s="49">
        <v>0</v>
      </c>
      <c r="EAU14" s="49">
        <v>110</v>
      </c>
      <c r="EAV14" s="49">
        <v>0</v>
      </c>
      <c r="EAW14" s="49"/>
      <c r="EAX14" s="64">
        <f t="shared" si="972"/>
        <v>110</v>
      </c>
      <c r="EAY14" s="68">
        <f t="shared" si="973"/>
        <v>18.333333333333332</v>
      </c>
      <c r="EAZ14" s="48"/>
      <c r="EBA14" s="49">
        <v>0</v>
      </c>
      <c r="EBB14" s="49">
        <v>0</v>
      </c>
      <c r="EBC14" s="49"/>
      <c r="EBD14" s="49">
        <v>0</v>
      </c>
      <c r="EBE14" s="49">
        <v>110</v>
      </c>
      <c r="EBF14" s="64">
        <f t="shared" si="974"/>
        <v>110</v>
      </c>
      <c r="EBG14" s="68">
        <f t="shared" si="975"/>
        <v>18.333333333333332</v>
      </c>
      <c r="EBH14" s="48"/>
      <c r="EBI14" s="49">
        <v>0</v>
      </c>
      <c r="EBJ14" s="49">
        <v>110</v>
      </c>
      <c r="EBK14" s="49"/>
      <c r="EBL14" s="49">
        <v>0</v>
      </c>
      <c r="EBM14" s="49">
        <v>0</v>
      </c>
      <c r="EBN14" s="64">
        <f t="shared" si="976"/>
        <v>110</v>
      </c>
      <c r="EBO14" s="68">
        <f t="shared" si="1131"/>
        <v>18.333333333333332</v>
      </c>
      <c r="EBP14" s="48">
        <v>0</v>
      </c>
      <c r="EBQ14" s="49">
        <v>0</v>
      </c>
      <c r="EBR14" s="49"/>
      <c r="EBS14" s="49">
        <v>0</v>
      </c>
      <c r="EBT14" s="49">
        <v>0</v>
      </c>
      <c r="EBU14" s="49">
        <v>0</v>
      </c>
      <c r="EBV14" s="64">
        <f t="shared" si="977"/>
        <v>0</v>
      </c>
      <c r="EBW14" s="68">
        <f t="shared" si="978"/>
        <v>0</v>
      </c>
      <c r="EBX14" s="48">
        <v>162</v>
      </c>
      <c r="EBY14" s="49">
        <v>0</v>
      </c>
      <c r="EBZ14" s="49">
        <v>0</v>
      </c>
      <c r="ECA14" s="49">
        <v>110</v>
      </c>
      <c r="ECB14" s="49">
        <v>0</v>
      </c>
      <c r="ECC14" s="49">
        <v>0</v>
      </c>
      <c r="ECD14" s="64">
        <f t="shared" si="979"/>
        <v>272</v>
      </c>
      <c r="ECE14" s="68">
        <f t="shared" si="980"/>
        <v>45.333333333333336</v>
      </c>
      <c r="ECF14" s="48">
        <v>0</v>
      </c>
      <c r="ECG14" s="49">
        <v>0</v>
      </c>
      <c r="ECH14" s="49">
        <v>0</v>
      </c>
      <c r="ECI14" s="49"/>
      <c r="ECJ14" s="49">
        <v>0</v>
      </c>
      <c r="ECK14" s="49">
        <v>218</v>
      </c>
      <c r="ECL14" s="64">
        <f t="shared" si="981"/>
        <v>218</v>
      </c>
      <c r="ECM14" s="68">
        <f t="shared" si="982"/>
        <v>36.333333333333336</v>
      </c>
      <c r="ECN14" s="48">
        <v>0</v>
      </c>
      <c r="ECO14" s="49">
        <v>111</v>
      </c>
      <c r="ECP14" s="49">
        <v>0</v>
      </c>
      <c r="ECQ14" s="49"/>
      <c r="ECR14" s="49">
        <v>332</v>
      </c>
      <c r="ECS14" s="49">
        <v>0</v>
      </c>
      <c r="ECT14" s="64">
        <f t="shared" si="983"/>
        <v>443</v>
      </c>
      <c r="ECU14" s="68">
        <f t="shared" si="984"/>
        <v>73.833333333333329</v>
      </c>
      <c r="ECV14" s="48">
        <v>0</v>
      </c>
      <c r="ECW14" s="49">
        <v>223</v>
      </c>
      <c r="ECX14" s="49">
        <v>0</v>
      </c>
      <c r="ECY14" s="49">
        <v>0</v>
      </c>
      <c r="ECZ14" s="49"/>
      <c r="EDA14" s="49">
        <v>290</v>
      </c>
      <c r="EDB14" s="64">
        <f t="shared" si="985"/>
        <v>513</v>
      </c>
      <c r="EDC14" s="68">
        <f t="shared" si="986"/>
        <v>85.5</v>
      </c>
      <c r="EDD14" s="48">
        <v>0</v>
      </c>
      <c r="EDE14" s="49">
        <v>294</v>
      </c>
      <c r="EDF14" s="49">
        <v>0</v>
      </c>
      <c r="EDG14" s="49">
        <v>0</v>
      </c>
      <c r="EDH14" s="49"/>
      <c r="EDI14" s="49">
        <v>0</v>
      </c>
      <c r="EDJ14" s="64">
        <f t="shared" si="987"/>
        <v>294</v>
      </c>
      <c r="EDK14" s="68">
        <f t="shared" si="988"/>
        <v>49</v>
      </c>
      <c r="EDL14" s="48">
        <v>0</v>
      </c>
      <c r="EDM14" s="49">
        <v>0</v>
      </c>
      <c r="EDN14" s="49">
        <v>219</v>
      </c>
      <c r="EDO14" s="49">
        <f>SUMIF(SUMPK!$B:$B,$B:$B,SUMPK!$O:$O)</f>
        <v>0</v>
      </c>
      <c r="EDP14" s="49"/>
      <c r="EDQ14" s="49">
        <v>220</v>
      </c>
      <c r="EDR14" s="64">
        <f t="shared" si="989"/>
        <v>439</v>
      </c>
      <c r="EDS14" s="184">
        <f t="shared" si="990"/>
        <v>73.166666666666671</v>
      </c>
      <c r="EDT14" s="195">
        <v>0</v>
      </c>
      <c r="EDU14" s="49">
        <v>282</v>
      </c>
      <c r="EDV14" s="49">
        <v>0</v>
      </c>
      <c r="EDW14" s="49">
        <v>0</v>
      </c>
      <c r="EDX14" s="49"/>
      <c r="EDY14" s="49"/>
      <c r="EDZ14" s="64">
        <f t="shared" si="991"/>
        <v>282</v>
      </c>
      <c r="EEA14" s="184">
        <f t="shared" si="992"/>
        <v>47</v>
      </c>
      <c r="EEB14" s="48">
        <v>0</v>
      </c>
      <c r="EEC14" s="49">
        <v>367</v>
      </c>
      <c r="EED14" s="49">
        <v>0</v>
      </c>
      <c r="EEE14" s="49">
        <v>0</v>
      </c>
      <c r="EEF14" s="49">
        <v>0</v>
      </c>
      <c r="EEG14" s="49"/>
      <c r="EEH14" s="64">
        <f t="shared" si="993"/>
        <v>367</v>
      </c>
      <c r="EEI14" s="68">
        <f t="shared" si="994"/>
        <v>61.166666666666664</v>
      </c>
      <c r="EEJ14" s="48">
        <v>0</v>
      </c>
      <c r="EEK14" s="49">
        <v>110</v>
      </c>
      <c r="EEL14" s="49">
        <v>0</v>
      </c>
      <c r="EEM14" s="49"/>
      <c r="EEN14" s="49"/>
      <c r="EEO14" s="49">
        <v>0</v>
      </c>
      <c r="EEP14" s="64">
        <f t="shared" si="995"/>
        <v>110</v>
      </c>
      <c r="EEQ14" s="68">
        <f t="shared" si="996"/>
        <v>18.333333333333332</v>
      </c>
      <c r="EER14" s="48">
        <v>0</v>
      </c>
      <c r="EES14" s="49">
        <v>0</v>
      </c>
      <c r="EET14" s="49">
        <v>284</v>
      </c>
      <c r="EEU14" s="49">
        <v>0</v>
      </c>
      <c r="EEV14" s="49">
        <v>0</v>
      </c>
      <c r="EEW14" s="49"/>
      <c r="EEX14" s="64">
        <f t="shared" si="997"/>
        <v>284</v>
      </c>
      <c r="EEY14" s="68">
        <f t="shared" si="998"/>
        <v>47.333333333333336</v>
      </c>
      <c r="EEZ14" s="48">
        <v>0</v>
      </c>
      <c r="EFA14" s="49">
        <v>0</v>
      </c>
      <c r="EFB14" s="49">
        <v>0</v>
      </c>
      <c r="EFC14" s="49">
        <v>110</v>
      </c>
      <c r="EFD14" s="49">
        <v>219</v>
      </c>
      <c r="EFE14" s="49">
        <v>283</v>
      </c>
      <c r="EFF14" s="64">
        <f t="shared" si="999"/>
        <v>612</v>
      </c>
      <c r="EFG14" s="68">
        <f t="shared" si="1000"/>
        <v>102</v>
      </c>
      <c r="EFH14" s="48"/>
      <c r="EFI14" s="49">
        <v>0</v>
      </c>
      <c r="EFJ14" s="49">
        <v>0</v>
      </c>
      <c r="EFK14" s="49">
        <v>0</v>
      </c>
      <c r="EFL14" s="49">
        <v>0</v>
      </c>
      <c r="EFM14" s="49">
        <v>277</v>
      </c>
      <c r="EFN14" s="64">
        <f t="shared" si="1001"/>
        <v>277</v>
      </c>
      <c r="EFO14" s="68">
        <f t="shared" si="1002"/>
        <v>46.166666666666664</v>
      </c>
      <c r="EFP14" s="48">
        <v>143</v>
      </c>
      <c r="EFQ14" s="49"/>
      <c r="EFR14" s="49"/>
      <c r="EFS14" s="49">
        <v>0</v>
      </c>
      <c r="EFT14" s="49">
        <v>0</v>
      </c>
      <c r="EFU14" s="49"/>
      <c r="EFV14" s="64">
        <f t="shared" si="1003"/>
        <v>143</v>
      </c>
      <c r="EFW14" s="68">
        <f t="shared" si="1004"/>
        <v>23.833333333333332</v>
      </c>
      <c r="EFX14" s="48"/>
      <c r="EFY14" s="49">
        <v>0</v>
      </c>
      <c r="EFZ14" s="49"/>
      <c r="EGA14" s="49">
        <v>321</v>
      </c>
      <c r="EGB14" s="49">
        <v>0</v>
      </c>
      <c r="EGC14" s="49">
        <v>0</v>
      </c>
      <c r="EGD14" s="64">
        <f t="shared" si="1005"/>
        <v>321</v>
      </c>
      <c r="EGE14" s="68">
        <f t="shared" si="1006"/>
        <v>53.5</v>
      </c>
      <c r="EGF14" s="48">
        <v>510</v>
      </c>
      <c r="EGG14" s="49">
        <v>0</v>
      </c>
      <c r="EGH14" s="49"/>
      <c r="EGI14" s="49">
        <v>0</v>
      </c>
      <c r="EGJ14" s="49">
        <v>0</v>
      </c>
      <c r="EGK14" s="49">
        <v>0</v>
      </c>
      <c r="EGL14" s="64">
        <f t="shared" si="1007"/>
        <v>510</v>
      </c>
      <c r="EGM14" s="68">
        <f t="shared" si="1008"/>
        <v>85</v>
      </c>
      <c r="EGN14" s="48">
        <v>0</v>
      </c>
      <c r="EGO14" s="49">
        <v>0</v>
      </c>
      <c r="EGP14" s="49"/>
      <c r="EGQ14" s="49">
        <v>220</v>
      </c>
      <c r="EGR14" s="49"/>
      <c r="EGS14" s="49">
        <v>0</v>
      </c>
      <c r="EGT14" s="64">
        <f t="shared" si="1009"/>
        <v>220</v>
      </c>
      <c r="EGU14" s="68">
        <f t="shared" si="1203"/>
        <v>36.666666666666664</v>
      </c>
      <c r="EGV14" s="48">
        <v>110</v>
      </c>
      <c r="EGW14" s="49">
        <v>0</v>
      </c>
      <c r="EGX14" s="49"/>
      <c r="EGY14" s="49">
        <v>0</v>
      </c>
      <c r="EGZ14" s="49">
        <v>0</v>
      </c>
      <c r="EHA14" s="49"/>
      <c r="EHB14" s="64">
        <f t="shared" si="1010"/>
        <v>110</v>
      </c>
      <c r="EHC14" s="68">
        <f t="shared" si="1011"/>
        <v>18.333333333333332</v>
      </c>
      <c r="EHD14" s="48">
        <v>0</v>
      </c>
      <c r="EHE14" s="49">
        <v>40</v>
      </c>
      <c r="EHF14" s="49"/>
      <c r="EHG14" s="49">
        <v>0</v>
      </c>
      <c r="EHH14" s="49">
        <v>220</v>
      </c>
      <c r="EHI14" s="49">
        <v>0</v>
      </c>
      <c r="EHJ14" s="64">
        <f t="shared" si="1012"/>
        <v>260</v>
      </c>
      <c r="EHK14" s="68">
        <f t="shared" si="1013"/>
        <v>43.333333333333336</v>
      </c>
      <c r="EHL14" s="48">
        <v>0</v>
      </c>
      <c r="EHM14" s="49">
        <v>118</v>
      </c>
      <c r="EHN14" s="49">
        <v>0</v>
      </c>
      <c r="EHO14" s="49"/>
      <c r="EHP14" s="49">
        <v>0</v>
      </c>
      <c r="EHQ14" s="49">
        <v>0</v>
      </c>
      <c r="EHR14" s="64">
        <f t="shared" si="1014"/>
        <v>118</v>
      </c>
      <c r="EHS14" s="68">
        <f t="shared" si="1015"/>
        <v>19.666666666666668</v>
      </c>
      <c r="EHT14" s="48">
        <v>227</v>
      </c>
      <c r="EHU14" s="49"/>
      <c r="EHV14" s="49"/>
      <c r="EHW14" s="49">
        <v>111</v>
      </c>
      <c r="EHX14" s="49"/>
      <c r="EHY14" s="49">
        <v>0</v>
      </c>
      <c r="EHZ14" s="64">
        <f t="shared" si="1016"/>
        <v>338</v>
      </c>
      <c r="EIA14" s="68">
        <f t="shared" si="1017"/>
        <v>56.333333333333336</v>
      </c>
      <c r="EIB14" s="48"/>
      <c r="EIC14" s="49"/>
      <c r="EID14" s="49">
        <v>227</v>
      </c>
      <c r="EIE14" s="49">
        <v>0</v>
      </c>
      <c r="EIF14" s="49">
        <v>0</v>
      </c>
      <c r="EIG14" s="49">
        <v>0</v>
      </c>
      <c r="EIH14" s="64">
        <f t="shared" si="1018"/>
        <v>227</v>
      </c>
      <c r="EII14" s="68">
        <f t="shared" si="1019"/>
        <v>37.833333333333336</v>
      </c>
      <c r="EIJ14" s="48">
        <v>0</v>
      </c>
      <c r="EIK14" s="49">
        <v>0</v>
      </c>
      <c r="EIL14" s="49"/>
      <c r="EIM14" s="49">
        <v>231</v>
      </c>
      <c r="EIN14" s="49">
        <v>111</v>
      </c>
      <c r="EIO14" s="49">
        <v>0</v>
      </c>
      <c r="EIP14" s="64">
        <f t="shared" si="1020"/>
        <v>342</v>
      </c>
      <c r="EIQ14" s="68">
        <f t="shared" si="1021"/>
        <v>57</v>
      </c>
      <c r="EIR14" s="48">
        <v>0</v>
      </c>
      <c r="EIS14" s="49">
        <v>0</v>
      </c>
      <c r="EIT14" s="49">
        <v>0</v>
      </c>
      <c r="EIU14" s="49">
        <v>0</v>
      </c>
      <c r="EIV14" s="49"/>
      <c r="EIW14" s="49"/>
      <c r="EIX14" s="64">
        <f t="shared" si="1022"/>
        <v>0</v>
      </c>
      <c r="EIY14" s="68">
        <f t="shared" si="1023"/>
        <v>0</v>
      </c>
      <c r="EIZ14" s="48">
        <v>0</v>
      </c>
      <c r="EJA14" s="49">
        <v>0</v>
      </c>
      <c r="EJB14" s="49">
        <v>0</v>
      </c>
      <c r="EJC14" s="49">
        <v>0</v>
      </c>
      <c r="EJD14" s="49">
        <v>221</v>
      </c>
      <c r="EJE14" s="49">
        <v>0</v>
      </c>
      <c r="EJF14" s="64">
        <f t="shared" si="1024"/>
        <v>221</v>
      </c>
      <c r="EJG14" s="68">
        <f t="shared" si="1025"/>
        <v>36.833333333333336</v>
      </c>
      <c r="EJH14" s="48">
        <v>0</v>
      </c>
      <c r="EJI14" s="49">
        <v>0</v>
      </c>
      <c r="EJJ14" s="49">
        <v>0</v>
      </c>
      <c r="EJK14" s="49">
        <v>0</v>
      </c>
      <c r="EJL14" s="49"/>
      <c r="EJM14" s="49"/>
      <c r="EJN14" s="64">
        <f t="shared" si="1026"/>
        <v>0</v>
      </c>
      <c r="EJO14" s="68">
        <f t="shared" si="1027"/>
        <v>0</v>
      </c>
      <c r="EJP14" s="48">
        <v>0</v>
      </c>
      <c r="EJQ14" s="49">
        <v>0</v>
      </c>
      <c r="EJR14" s="49">
        <v>0</v>
      </c>
      <c r="EJS14" s="49">
        <v>0</v>
      </c>
      <c r="EJT14" s="49">
        <v>0</v>
      </c>
      <c r="EJU14" s="49">
        <v>0</v>
      </c>
      <c r="EJV14" s="64">
        <f t="shared" si="1028"/>
        <v>0</v>
      </c>
      <c r="EJW14" s="68">
        <f t="shared" si="1029"/>
        <v>0</v>
      </c>
      <c r="EJX14" s="48">
        <v>0</v>
      </c>
      <c r="EJY14" s="49">
        <v>0</v>
      </c>
      <c r="EJZ14" s="49">
        <v>0</v>
      </c>
      <c r="EKA14" s="49">
        <v>0</v>
      </c>
      <c r="EKB14" s="49"/>
      <c r="EKC14" s="49"/>
      <c r="EKD14" s="64">
        <f t="shared" si="1030"/>
        <v>0</v>
      </c>
      <c r="EKE14" s="68">
        <f t="shared" si="1031"/>
        <v>0</v>
      </c>
      <c r="EKF14" s="48">
        <v>0</v>
      </c>
      <c r="EKG14" s="49">
        <v>0</v>
      </c>
      <c r="EKH14" s="49"/>
      <c r="EKI14" s="49"/>
      <c r="EKJ14" s="49">
        <v>0</v>
      </c>
      <c r="EKK14" s="49">
        <v>0</v>
      </c>
      <c r="EKL14" s="64">
        <f t="shared" si="1032"/>
        <v>0</v>
      </c>
      <c r="EKM14" s="68">
        <f t="shared" si="1033"/>
        <v>0</v>
      </c>
      <c r="EKN14" s="48"/>
      <c r="EKO14" s="49">
        <v>0</v>
      </c>
      <c r="EKP14" s="49">
        <v>0</v>
      </c>
      <c r="EKQ14" s="49">
        <v>0</v>
      </c>
      <c r="EKR14" s="49"/>
      <c r="EKS14" s="49">
        <v>0</v>
      </c>
      <c r="EKT14" s="64">
        <f t="shared" si="1034"/>
        <v>0</v>
      </c>
      <c r="EKU14" s="184">
        <f t="shared" si="1035"/>
        <v>0</v>
      </c>
      <c r="EKV14" s="665"/>
      <c r="EKW14" s="195">
        <v>0</v>
      </c>
      <c r="EKX14" s="49">
        <v>0</v>
      </c>
      <c r="EKY14" s="49">
        <v>0</v>
      </c>
      <c r="EKZ14" s="49">
        <v>0</v>
      </c>
      <c r="ELA14" s="49"/>
      <c r="ELB14" s="49">
        <v>0</v>
      </c>
      <c r="ELC14" s="64">
        <f t="shared" si="1036"/>
        <v>0</v>
      </c>
      <c r="ELD14" s="211">
        <f t="shared" si="1037"/>
        <v>0</v>
      </c>
      <c r="ELE14" s="195">
        <v>0</v>
      </c>
      <c r="ELF14" s="49">
        <v>0</v>
      </c>
      <c r="ELG14" s="49">
        <v>0</v>
      </c>
      <c r="ELH14" s="49">
        <v>0</v>
      </c>
      <c r="ELI14" s="49">
        <v>0</v>
      </c>
      <c r="ELJ14" s="49">
        <v>0</v>
      </c>
      <c r="ELK14" s="64">
        <f t="shared" si="1038"/>
        <v>0</v>
      </c>
      <c r="ELL14" s="211">
        <f t="shared" si="1039"/>
        <v>0</v>
      </c>
      <c r="ELM14" s="195">
        <v>0</v>
      </c>
      <c r="ELN14" s="49">
        <v>0</v>
      </c>
      <c r="ELO14" s="49">
        <v>0</v>
      </c>
      <c r="ELP14" s="49"/>
      <c r="ELQ14" s="49">
        <v>0</v>
      </c>
      <c r="ELR14" s="49">
        <v>0</v>
      </c>
      <c r="ELS14" s="64">
        <f t="shared" si="1040"/>
        <v>0</v>
      </c>
      <c r="ELT14" s="211">
        <f t="shared" si="1041"/>
        <v>0</v>
      </c>
      <c r="ELU14" s="195">
        <v>232</v>
      </c>
      <c r="ELV14" s="49">
        <v>0</v>
      </c>
      <c r="ELW14" s="49">
        <v>0</v>
      </c>
      <c r="ELX14" s="49">
        <v>0</v>
      </c>
      <c r="ELY14" s="49"/>
      <c r="ELZ14" s="49">
        <v>231</v>
      </c>
      <c r="EMA14" s="64">
        <f t="shared" si="1042"/>
        <v>463</v>
      </c>
      <c r="EMB14" s="211">
        <f t="shared" si="1043"/>
        <v>77.166666666666671</v>
      </c>
      <c r="EMC14" s="195"/>
      <c r="EMD14" s="49">
        <v>0</v>
      </c>
      <c r="EME14" s="49">
        <v>0</v>
      </c>
      <c r="EMF14" s="49">
        <v>0</v>
      </c>
      <c r="EMG14" s="49">
        <v>0</v>
      </c>
      <c r="EMH14" s="49">
        <v>128</v>
      </c>
      <c r="EMI14" s="64">
        <f t="shared" si="1044"/>
        <v>128</v>
      </c>
      <c r="EMJ14" s="211">
        <f t="shared" si="1045"/>
        <v>21.333333333333332</v>
      </c>
      <c r="EMK14" s="195">
        <v>0</v>
      </c>
      <c r="EML14" s="49"/>
      <c r="EMM14" s="49">
        <v>0</v>
      </c>
      <c r="EMN14" s="49">
        <v>0</v>
      </c>
      <c r="EMO14" s="49">
        <v>0</v>
      </c>
      <c r="EMP14" s="49">
        <v>0</v>
      </c>
      <c r="EMQ14" s="64">
        <f t="shared" si="1046"/>
        <v>0</v>
      </c>
      <c r="EMR14" s="211">
        <f t="shared" si="1047"/>
        <v>0</v>
      </c>
      <c r="EMS14" s="195">
        <v>0</v>
      </c>
      <c r="EMT14" s="49">
        <v>0</v>
      </c>
      <c r="EMU14" s="49">
        <v>0</v>
      </c>
      <c r="EMV14" s="49">
        <v>0</v>
      </c>
      <c r="EMW14" s="49">
        <v>0</v>
      </c>
      <c r="EMX14" s="49">
        <v>245</v>
      </c>
      <c r="EMY14" s="64">
        <f t="shared" si="1048"/>
        <v>245</v>
      </c>
      <c r="EMZ14" s="211">
        <f t="shared" si="1049"/>
        <v>40.833333333333336</v>
      </c>
      <c r="ENA14" s="195">
        <v>0</v>
      </c>
      <c r="ENB14" s="49">
        <v>0</v>
      </c>
      <c r="ENC14" s="49">
        <v>0</v>
      </c>
      <c r="END14" s="49">
        <v>0</v>
      </c>
      <c r="ENE14" s="49"/>
      <c r="ENF14" s="49">
        <v>0</v>
      </c>
      <c r="ENG14" s="64">
        <f t="shared" si="1050"/>
        <v>0</v>
      </c>
      <c r="ENH14" s="211">
        <f t="shared" si="1051"/>
        <v>0</v>
      </c>
      <c r="ENI14" s="195">
        <v>0</v>
      </c>
      <c r="ENJ14" s="49"/>
      <c r="ENK14" s="49">
        <v>220</v>
      </c>
      <c r="ENL14" s="49">
        <v>0</v>
      </c>
      <c r="ENM14" s="49">
        <v>0</v>
      </c>
      <c r="ENN14" s="49">
        <v>0</v>
      </c>
      <c r="ENO14" s="64">
        <f t="shared" si="1052"/>
        <v>220</v>
      </c>
      <c r="ENP14" s="211">
        <f t="shared" si="1053"/>
        <v>36.666666666666664</v>
      </c>
      <c r="ENQ14" s="195">
        <v>0</v>
      </c>
      <c r="ENR14" s="49">
        <v>0</v>
      </c>
      <c r="ENS14" s="49">
        <v>110</v>
      </c>
      <c r="ENT14" s="49">
        <v>0</v>
      </c>
      <c r="ENU14" s="49">
        <v>0</v>
      </c>
      <c r="ENV14" s="49">
        <v>0</v>
      </c>
      <c r="ENW14" s="64">
        <f t="shared" si="1054"/>
        <v>110</v>
      </c>
      <c r="ENX14" s="211">
        <f t="shared" si="1055"/>
        <v>18.333333333333332</v>
      </c>
      <c r="ENY14" s="195"/>
      <c r="ENZ14" s="49">
        <v>219</v>
      </c>
      <c r="EOA14" s="49">
        <v>0</v>
      </c>
      <c r="EOB14" s="49">
        <v>0</v>
      </c>
      <c r="EOC14" s="49">
        <v>219</v>
      </c>
      <c r="EOD14" s="49">
        <v>0</v>
      </c>
      <c r="EOE14" s="64">
        <f t="shared" si="1056"/>
        <v>438</v>
      </c>
      <c r="EOF14" s="211">
        <f t="shared" si="1057"/>
        <v>73</v>
      </c>
      <c r="EOG14" s="195"/>
      <c r="EOH14" s="360">
        <f>SUMIF(SUMPK!$B:$B,$B:$B,SUMPK!$O:$O)</f>
        <v>0</v>
      </c>
      <c r="EOI14" s="49">
        <v>0</v>
      </c>
      <c r="EOJ14" s="49">
        <v>0</v>
      </c>
      <c r="EOK14" s="49">
        <v>0</v>
      </c>
      <c r="EOL14" s="49">
        <v>0</v>
      </c>
      <c r="EOM14" s="64">
        <f t="shared" si="1058"/>
        <v>0</v>
      </c>
      <c r="EON14" s="211">
        <f t="shared" si="1059"/>
        <v>0</v>
      </c>
      <c r="EOO14" s="195">
        <v>0</v>
      </c>
      <c r="EOP14" s="49">
        <v>0</v>
      </c>
      <c r="EOQ14" s="49">
        <v>111</v>
      </c>
      <c r="EOR14" s="49">
        <v>47</v>
      </c>
      <c r="EOS14" s="49">
        <v>0</v>
      </c>
      <c r="EOT14" s="49">
        <v>0</v>
      </c>
      <c r="EOU14" s="64">
        <f t="shared" si="1060"/>
        <v>158</v>
      </c>
      <c r="EOV14" s="211">
        <f t="shared" si="1061"/>
        <v>26.333333333333332</v>
      </c>
      <c r="EOW14" s="195">
        <v>0</v>
      </c>
      <c r="EOX14" s="49">
        <v>0</v>
      </c>
      <c r="EOY14" s="49">
        <v>0</v>
      </c>
      <c r="EOZ14" s="49">
        <v>0</v>
      </c>
      <c r="EPA14" s="49">
        <v>0</v>
      </c>
      <c r="EPB14" s="49">
        <v>220</v>
      </c>
      <c r="EPC14" s="64">
        <f t="shared" si="1062"/>
        <v>220</v>
      </c>
      <c r="EPD14" s="211">
        <f t="shared" si="1063"/>
        <v>36.666666666666664</v>
      </c>
      <c r="EPE14" s="195">
        <v>0</v>
      </c>
      <c r="EPF14" s="49">
        <f>SUMIF(SUMPK!$B:$B,$B:$B,SUMPK!$O:$O)</f>
        <v>0</v>
      </c>
      <c r="EPG14" s="49">
        <v>0</v>
      </c>
      <c r="EPH14" s="49">
        <v>220</v>
      </c>
      <c r="EPI14" s="49">
        <v>0</v>
      </c>
      <c r="EPJ14" s="49">
        <v>0</v>
      </c>
      <c r="EPK14" s="64">
        <f t="shared" si="1064"/>
        <v>220</v>
      </c>
      <c r="EPL14" s="211">
        <f t="shared" si="1065"/>
        <v>36.666666666666664</v>
      </c>
      <c r="EPM14" s="195"/>
      <c r="EPN14" s="49">
        <v>0</v>
      </c>
      <c r="EPO14" s="49">
        <v>109</v>
      </c>
      <c r="EPP14" s="49">
        <v>0</v>
      </c>
      <c r="EPQ14" s="49">
        <v>0</v>
      </c>
      <c r="EPR14" s="49">
        <v>0</v>
      </c>
      <c r="EPS14" s="64">
        <f t="shared" si="1066"/>
        <v>109</v>
      </c>
      <c r="EPT14" s="211">
        <f t="shared" si="1067"/>
        <v>18.166666666666668</v>
      </c>
      <c r="EPU14" s="195">
        <v>0</v>
      </c>
      <c r="EPV14" s="49">
        <v>231</v>
      </c>
      <c r="EPW14" s="49"/>
      <c r="EPX14" s="49">
        <v>327</v>
      </c>
      <c r="EPY14" s="49">
        <v>0</v>
      </c>
      <c r="EPZ14" s="49">
        <v>0</v>
      </c>
      <c r="EQA14" s="64">
        <f t="shared" si="1068"/>
        <v>558</v>
      </c>
      <c r="EQB14" s="211">
        <f t="shared" si="1069"/>
        <v>93</v>
      </c>
      <c r="EQC14" s="195">
        <v>0</v>
      </c>
      <c r="EQD14" s="49">
        <v>0</v>
      </c>
      <c r="EQE14" s="49">
        <v>0</v>
      </c>
      <c r="EQF14" s="49">
        <v>110</v>
      </c>
      <c r="EQG14" s="49">
        <v>0</v>
      </c>
      <c r="EQH14" s="49">
        <v>0</v>
      </c>
      <c r="EQI14" s="64">
        <f t="shared" si="1070"/>
        <v>110</v>
      </c>
      <c r="EQJ14" s="211">
        <f t="shared" si="1071"/>
        <v>18.333333333333332</v>
      </c>
      <c r="EQK14" s="195"/>
      <c r="EQL14" s="49">
        <v>0</v>
      </c>
      <c r="EQM14" s="49">
        <v>163</v>
      </c>
      <c r="EQN14" s="49"/>
      <c r="EQO14" s="49">
        <v>220</v>
      </c>
      <c r="EQP14" s="49">
        <v>0</v>
      </c>
      <c r="EQQ14" s="64">
        <f t="shared" si="1072"/>
        <v>383</v>
      </c>
      <c r="EQR14" s="211">
        <f t="shared" si="1073"/>
        <v>63.833333333333336</v>
      </c>
      <c r="EQS14" s="195">
        <v>0</v>
      </c>
      <c r="EQT14" s="49">
        <v>0</v>
      </c>
      <c r="EQU14" s="49">
        <v>0</v>
      </c>
      <c r="EQV14" s="49"/>
      <c r="EQW14" s="49">
        <v>0</v>
      </c>
      <c r="EQX14" s="49">
        <v>0</v>
      </c>
      <c r="EQY14" s="64">
        <f t="shared" si="1074"/>
        <v>0</v>
      </c>
      <c r="EQZ14" s="211">
        <f t="shared" si="1075"/>
        <v>0</v>
      </c>
      <c r="ERA14" s="195">
        <v>0</v>
      </c>
      <c r="ERB14" s="49">
        <v>249</v>
      </c>
      <c r="ERC14" s="49">
        <v>0</v>
      </c>
      <c r="ERD14" s="49">
        <v>0</v>
      </c>
      <c r="ERE14" s="49">
        <v>220</v>
      </c>
      <c r="ERF14" s="49"/>
      <c r="ERG14" s="64">
        <f t="shared" si="1076"/>
        <v>469</v>
      </c>
      <c r="ERH14" s="211">
        <f t="shared" si="1077"/>
        <v>78.166666666666671</v>
      </c>
      <c r="ERI14" s="195">
        <v>0</v>
      </c>
      <c r="ERJ14" s="49">
        <v>0</v>
      </c>
      <c r="ERK14" s="49"/>
      <c r="ERL14" s="49">
        <v>0</v>
      </c>
      <c r="ERM14" s="49">
        <v>0</v>
      </c>
      <c r="ERN14" s="49"/>
      <c r="ERO14" s="64">
        <f t="shared" si="1078"/>
        <v>0</v>
      </c>
      <c r="ERP14" s="211">
        <f t="shared" si="1079"/>
        <v>0</v>
      </c>
      <c r="ERQ14" s="195"/>
      <c r="ERR14" s="49">
        <v>0</v>
      </c>
      <c r="ERS14" s="49">
        <v>0</v>
      </c>
      <c r="ERT14" s="49">
        <v>0</v>
      </c>
      <c r="ERU14" s="49">
        <v>219</v>
      </c>
      <c r="ERV14" s="49">
        <v>0</v>
      </c>
      <c r="ERW14" s="64">
        <f t="shared" si="1080"/>
        <v>219</v>
      </c>
      <c r="ERX14" s="211">
        <f t="shared" si="1081"/>
        <v>36.5</v>
      </c>
      <c r="ERY14" s="195">
        <v>110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2"/>
        <v>110</v>
      </c>
      <c r="ESF14" s="211">
        <f t="shared" si="1083"/>
        <v>18.333333333333332</v>
      </c>
      <c r="ESG14" s="195">
        <v>0</v>
      </c>
      <c r="ESH14" s="49">
        <v>0</v>
      </c>
      <c r="ESI14" s="49">
        <v>0</v>
      </c>
      <c r="ESJ14" s="49">
        <v>0</v>
      </c>
      <c r="ESK14" s="49"/>
      <c r="ESL14" s="49">
        <v>219</v>
      </c>
      <c r="ESM14" s="64">
        <f t="shared" si="1084"/>
        <v>219</v>
      </c>
      <c r="ESN14" s="211">
        <f t="shared" si="1085"/>
        <v>36.5</v>
      </c>
      <c r="ESO14" s="458">
        <v>0</v>
      </c>
      <c r="ESP14" s="83"/>
      <c r="ESQ14" s="83">
        <v>109</v>
      </c>
      <c r="ESR14" s="83">
        <v>0</v>
      </c>
      <c r="ESS14" s="83"/>
      <c r="EST14" s="83">
        <v>151</v>
      </c>
      <c r="ESU14" s="64">
        <f t="shared" si="1086"/>
        <v>260</v>
      </c>
      <c r="ESV14" s="211">
        <f t="shared" si="1087"/>
        <v>43.333333333333336</v>
      </c>
      <c r="ESW14" s="195"/>
      <c r="ESX14" s="49"/>
      <c r="ESY14" s="49"/>
      <c r="ESZ14" s="49">
        <v>220</v>
      </c>
      <c r="ETA14" s="49">
        <v>0</v>
      </c>
      <c r="ETB14" s="49">
        <v>110</v>
      </c>
      <c r="ETC14" s="808">
        <f t="shared" si="1088"/>
        <v>330</v>
      </c>
      <c r="ETD14" s="211">
        <f t="shared" si="1089"/>
        <v>55</v>
      </c>
      <c r="ETE14" s="195">
        <v>0</v>
      </c>
      <c r="ETF14" s="49">
        <v>0</v>
      </c>
      <c r="ETG14" s="49">
        <v>0</v>
      </c>
      <c r="ETH14" s="49">
        <v>0</v>
      </c>
      <c r="ETI14" s="49"/>
      <c r="ETJ14" s="49">
        <v>0</v>
      </c>
      <c r="ETK14" s="808">
        <f t="shared" si="1090"/>
        <v>0</v>
      </c>
      <c r="ETL14" s="211">
        <f t="shared" si="1091"/>
        <v>0</v>
      </c>
      <c r="ETM14" s="814"/>
      <c r="ETN14" s="815">
        <v>0</v>
      </c>
      <c r="ETO14" s="815">
        <v>219</v>
      </c>
      <c r="ETP14" s="815">
        <v>0</v>
      </c>
      <c r="ETQ14" s="815">
        <v>0</v>
      </c>
      <c r="ETR14" s="815">
        <v>233</v>
      </c>
      <c r="ETS14" s="808">
        <f t="shared" si="1092"/>
        <v>452</v>
      </c>
      <c r="ETT14" s="211">
        <f t="shared" si="1093"/>
        <v>75.333333333333329</v>
      </c>
      <c r="ETU14" s="458">
        <v>110</v>
      </c>
      <c r="ETV14" s="83">
        <v>118</v>
      </c>
      <c r="ETW14" s="83"/>
      <c r="ETX14" s="83">
        <v>0</v>
      </c>
      <c r="ETY14" s="83">
        <v>0</v>
      </c>
      <c r="ETZ14" s="83">
        <v>114</v>
      </c>
      <c r="EUA14" s="808">
        <f t="shared" si="1094"/>
        <v>342</v>
      </c>
      <c r="EUB14" s="211">
        <f t="shared" si="1095"/>
        <v>57</v>
      </c>
      <c r="EUC14" s="458">
        <v>224</v>
      </c>
      <c r="EUD14" s="83">
        <v>0</v>
      </c>
      <c r="EUE14" s="83"/>
      <c r="EUF14" s="83">
        <v>0</v>
      </c>
      <c r="EUG14" s="83">
        <v>0</v>
      </c>
      <c r="EUH14" s="83">
        <v>0</v>
      </c>
      <c r="EUI14" s="808">
        <f t="shared" si="1096"/>
        <v>224</v>
      </c>
      <c r="EUJ14" s="211">
        <f t="shared" si="1097"/>
        <v>37.333333333333336</v>
      </c>
      <c r="EUK14" s="195"/>
      <c r="EUL14" s="49">
        <v>0</v>
      </c>
      <c r="EUM14" s="49">
        <v>0</v>
      </c>
      <c r="EUN14" s="49">
        <f>SUMIF(SUMPK!$B:$B,$B:$B,SUMPK!$O:$O)</f>
        <v>0</v>
      </c>
      <c r="EUO14" s="49">
        <v>0</v>
      </c>
      <c r="EUP14" s="49">
        <v>0</v>
      </c>
      <c r="EUQ14" s="808">
        <f t="shared" si="1098"/>
        <v>0</v>
      </c>
      <c r="EUR14" s="211">
        <f t="shared" si="1099"/>
        <v>0</v>
      </c>
      <c r="EUS14" s="195">
        <v>0</v>
      </c>
      <c r="EUT14" s="49">
        <v>0</v>
      </c>
      <c r="EUU14" s="49">
        <v>0</v>
      </c>
      <c r="EUV14" s="49">
        <v>0</v>
      </c>
      <c r="EUW14" s="49"/>
      <c r="EUX14" s="49">
        <v>0</v>
      </c>
      <c r="EUY14" s="808">
        <f t="shared" si="1100"/>
        <v>0</v>
      </c>
      <c r="EUZ14" s="211">
        <f t="shared" si="1101"/>
        <v>0</v>
      </c>
      <c r="EVA14" s="195">
        <v>0</v>
      </c>
      <c r="EVB14" s="49"/>
      <c r="EVC14" s="49"/>
      <c r="EVD14" s="49"/>
      <c r="EVE14" s="49">
        <v>0</v>
      </c>
      <c r="EVF14" s="49">
        <v>0</v>
      </c>
      <c r="EVG14" s="808">
        <f t="shared" si="1102"/>
        <v>0</v>
      </c>
      <c r="EVH14" s="211">
        <f t="shared" si="1103"/>
        <v>0</v>
      </c>
      <c r="EVI14" s="195">
        <v>0</v>
      </c>
      <c r="EVJ14" s="49">
        <v>0</v>
      </c>
      <c r="EVK14" s="49">
        <v>0</v>
      </c>
      <c r="EVL14" s="49"/>
      <c r="EVM14" s="49"/>
      <c r="EVN14" s="49">
        <v>0</v>
      </c>
      <c r="EVO14" s="808">
        <f t="shared" si="1104"/>
        <v>0</v>
      </c>
      <c r="EVP14" s="211">
        <f t="shared" si="1105"/>
        <v>0</v>
      </c>
      <c r="EVQ14" s="195">
        <v>0</v>
      </c>
      <c r="EVR14" s="49">
        <v>0</v>
      </c>
      <c r="EVS14" s="49">
        <v>0</v>
      </c>
      <c r="EVT14" s="49"/>
      <c r="EVU14" s="49">
        <v>0</v>
      </c>
      <c r="EVV14" s="49">
        <v>0</v>
      </c>
      <c r="EVW14" s="808">
        <f t="shared" si="1106"/>
        <v>0</v>
      </c>
      <c r="EVX14" s="211">
        <f t="shared" si="1107"/>
        <v>0</v>
      </c>
      <c r="EVY14" s="195">
        <v>0</v>
      </c>
      <c r="EVZ14" s="49">
        <v>0</v>
      </c>
      <c r="EWA14" s="49"/>
      <c r="EWB14" s="49">
        <v>0</v>
      </c>
      <c r="EWC14" s="49">
        <v>0</v>
      </c>
      <c r="EWD14" s="49">
        <v>0</v>
      </c>
      <c r="EWE14" s="808">
        <f t="shared" si="1108"/>
        <v>0</v>
      </c>
      <c r="EWF14" s="211">
        <f t="shared" si="1109"/>
        <v>0</v>
      </c>
      <c r="EWG14" s="195"/>
      <c r="EWH14" s="49">
        <v>0</v>
      </c>
      <c r="EWI14" s="49">
        <v>0</v>
      </c>
      <c r="EWJ14" s="49">
        <v>0</v>
      </c>
      <c r="EWK14" s="49">
        <v>0</v>
      </c>
      <c r="EWL14" s="49">
        <v>0</v>
      </c>
      <c r="EWM14" s="808">
        <f t="shared" si="1110"/>
        <v>0</v>
      </c>
      <c r="EWN14" s="211">
        <f t="shared" si="175"/>
        <v>0</v>
      </c>
      <c r="EWO14" s="195">
        <v>0</v>
      </c>
      <c r="EWP14" s="49">
        <v>0</v>
      </c>
      <c r="EWQ14" s="49">
        <v>0</v>
      </c>
      <c r="EWR14" s="49">
        <v>0</v>
      </c>
      <c r="EWS14" s="49">
        <v>0</v>
      </c>
      <c r="EWT14" s="49">
        <v>0</v>
      </c>
      <c r="EWU14" s="808">
        <f t="shared" si="1111"/>
        <v>0</v>
      </c>
      <c r="EWV14" s="211">
        <f t="shared" si="1112"/>
        <v>0</v>
      </c>
      <c r="EWW14" s="195"/>
      <c r="EWX14" s="49"/>
      <c r="EWY14" s="49">
        <v>0</v>
      </c>
      <c r="EWZ14" s="49">
        <v>0</v>
      </c>
      <c r="EXA14" s="49">
        <v>0</v>
      </c>
      <c r="EXB14" s="49"/>
      <c r="EXC14" s="808">
        <f t="shared" si="1113"/>
        <v>0</v>
      </c>
      <c r="EXD14" s="211">
        <f t="shared" si="1114"/>
        <v>0</v>
      </c>
      <c r="EXE14" s="195">
        <v>0</v>
      </c>
      <c r="EXF14" s="49">
        <v>0</v>
      </c>
      <c r="EXG14" s="49"/>
      <c r="EXH14" s="49">
        <v>0</v>
      </c>
      <c r="EXI14" s="49">
        <v>0</v>
      </c>
      <c r="EXJ14" s="49">
        <v>0</v>
      </c>
      <c r="EXK14" s="808">
        <f t="shared" si="1115"/>
        <v>0</v>
      </c>
      <c r="EXL14" s="211">
        <f t="shared" si="1116"/>
        <v>0</v>
      </c>
      <c r="EXM14" s="458">
        <v>0</v>
      </c>
      <c r="EXN14" s="83">
        <v>0</v>
      </c>
      <c r="EXO14" s="83"/>
      <c r="EXP14" s="83">
        <v>0</v>
      </c>
      <c r="EXQ14" s="83"/>
      <c r="EXR14" s="83">
        <v>0</v>
      </c>
      <c r="EXS14" s="808">
        <f t="shared" si="1117"/>
        <v>0</v>
      </c>
      <c r="EXT14" s="211">
        <f t="shared" si="1118"/>
        <v>0</v>
      </c>
      <c r="EXU14" s="195">
        <v>0</v>
      </c>
      <c r="EXV14" s="49"/>
      <c r="EXW14" s="49"/>
      <c r="EXX14" s="49">
        <v>0</v>
      </c>
      <c r="EXY14" s="49"/>
      <c r="EXZ14" s="49">
        <v>0</v>
      </c>
      <c r="EYA14" s="808">
        <f t="shared" si="1119"/>
        <v>0</v>
      </c>
      <c r="EYB14" s="211">
        <f t="shared" si="1120"/>
        <v>0</v>
      </c>
      <c r="EYC14" s="195">
        <v>0</v>
      </c>
      <c r="EYD14" s="49"/>
      <c r="EYE14" s="49">
        <v>0</v>
      </c>
      <c r="EYF14" s="49">
        <v>0</v>
      </c>
      <c r="EYG14" s="49">
        <v>0</v>
      </c>
      <c r="EYH14" s="49">
        <v>0</v>
      </c>
      <c r="EYI14" s="808">
        <f t="shared" si="1121"/>
        <v>0</v>
      </c>
      <c r="EYJ14" s="211">
        <f t="shared" si="1122"/>
        <v>0</v>
      </c>
      <c r="EYK14" s="195">
        <v>0</v>
      </c>
      <c r="EYL14" s="49">
        <v>0</v>
      </c>
      <c r="EYM14" s="49">
        <v>0</v>
      </c>
      <c r="EYN14" s="49">
        <v>0</v>
      </c>
      <c r="EYO14" s="49">
        <v>0</v>
      </c>
      <c r="EYP14" s="49">
        <v>0</v>
      </c>
      <c r="EYQ14" s="808">
        <f t="shared" si="1123"/>
        <v>0</v>
      </c>
      <c r="EYR14" s="211">
        <f t="shared" si="1124"/>
        <v>0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5"/>
        <v>0</v>
      </c>
      <c r="EYZ14" s="873">
        <f t="shared" si="1126"/>
        <v>0</v>
      </c>
      <c r="EZA14" s="195">
        <v>0</v>
      </c>
      <c r="EZB14" s="49">
        <v>0</v>
      </c>
      <c r="EZC14" s="49">
        <v>0</v>
      </c>
      <c r="EZD14" s="49">
        <v>0</v>
      </c>
      <c r="EZE14" s="49"/>
      <c r="EZF14" s="49">
        <v>0</v>
      </c>
      <c r="EZG14" s="872">
        <f t="shared" si="1127"/>
        <v>0</v>
      </c>
      <c r="EZH14" s="873">
        <f t="shared" si="1128"/>
        <v>0</v>
      </c>
      <c r="EZI14" s="195"/>
      <c r="EZJ14" s="49">
        <v>0</v>
      </c>
      <c r="EZK14" s="49">
        <v>0</v>
      </c>
      <c r="EZL14" s="49"/>
      <c r="EZM14" s="49"/>
      <c r="EZN14" s="49"/>
      <c r="EZO14" s="872">
        <f t="shared" si="1129"/>
        <v>0</v>
      </c>
      <c r="EZP14" s="873">
        <f t="shared" si="1130"/>
        <v>0</v>
      </c>
    </row>
    <row r="15" spans="1:4072" s="8" customFormat="1" ht="15" customHeight="1" x14ac:dyDescent="0.2">
      <c r="A15" s="301">
        <v>9</v>
      </c>
      <c r="B15" s="21" t="s">
        <v>123</v>
      </c>
      <c r="C15" s="275" t="s">
        <v>124</v>
      </c>
      <c r="D15" s="21">
        <v>25</v>
      </c>
      <c r="E15" s="24"/>
      <c r="F15" s="24">
        <v>2135</v>
      </c>
      <c r="G15" s="24"/>
      <c r="H15" s="24"/>
      <c r="I15" s="360"/>
      <c r="J15" s="360">
        <f>SUMIF(SUMPK!$B:$B,$B:$B,SUMPK!$O:$O)</f>
        <v>0</v>
      </c>
      <c r="K15" s="15">
        <f t="shared" si="1204"/>
        <v>0</v>
      </c>
      <c r="L15" s="24">
        <f t="shared" si="187"/>
        <v>2135</v>
      </c>
      <c r="M15" s="24">
        <f t="shared" si="188"/>
        <v>2135</v>
      </c>
      <c r="N15" s="15">
        <v>34.333333333333336</v>
      </c>
      <c r="O15" s="276">
        <f t="shared" si="189"/>
        <v>62.184466019417471</v>
      </c>
      <c r="P15" s="712">
        <v>367.16666666666669</v>
      </c>
      <c r="Q15" s="276">
        <f t="shared" si="190"/>
        <v>34.888788016341351</v>
      </c>
      <c r="R15" s="277">
        <f t="shared" si="191"/>
        <v>184.61538461538461</v>
      </c>
      <c r="S15" s="222">
        <v>4800</v>
      </c>
      <c r="T15" s="276">
        <f t="shared" si="192"/>
        <v>11.564583333333333</v>
      </c>
      <c r="U15" s="303"/>
      <c r="V15" s="302">
        <f t="shared" si="193"/>
        <v>11.564583333333333</v>
      </c>
      <c r="W15" s="304">
        <f t="shared" si="0"/>
        <v>1</v>
      </c>
      <c r="X15" s="305"/>
      <c r="Y15" s="280"/>
      <c r="Z15" s="280"/>
      <c r="AA15" s="280"/>
      <c r="AB15" s="280"/>
      <c r="AC15" s="662">
        <v>15</v>
      </c>
      <c r="AD15" s="649">
        <v>3435</v>
      </c>
      <c r="AE15" s="49"/>
      <c r="AF15" s="49"/>
      <c r="AG15" s="49"/>
      <c r="AH15" s="49">
        <v>758</v>
      </c>
      <c r="AI15" s="49"/>
      <c r="AJ15" s="42">
        <f t="shared" si="1137"/>
        <v>4193</v>
      </c>
      <c r="AK15" s="43">
        <f t="shared" si="1138"/>
        <v>698.83333333333337</v>
      </c>
      <c r="AL15" s="48"/>
      <c r="AM15" s="49"/>
      <c r="AN15" s="49">
        <v>1197</v>
      </c>
      <c r="AO15" s="49"/>
      <c r="AP15" s="49"/>
      <c r="AQ15" s="49"/>
      <c r="AR15" s="42">
        <f t="shared" si="1139"/>
        <v>1197</v>
      </c>
      <c r="AS15" s="43">
        <f t="shared" si="1140"/>
        <v>199.5</v>
      </c>
      <c r="AT15" s="48">
        <v>1159</v>
      </c>
      <c r="AU15" s="49"/>
      <c r="AV15" s="49"/>
      <c r="AW15" s="49">
        <v>1568</v>
      </c>
      <c r="AX15" s="49"/>
      <c r="AY15" s="49"/>
      <c r="AZ15" s="42">
        <f t="shared" si="1141"/>
        <v>2727</v>
      </c>
      <c r="BA15" s="43">
        <f t="shared" si="1142"/>
        <v>454.5</v>
      </c>
      <c r="BB15" s="48">
        <v>2375</v>
      </c>
      <c r="BC15" s="49"/>
      <c r="BD15" s="49"/>
      <c r="BE15" s="49"/>
      <c r="BF15" s="49"/>
      <c r="BG15" s="49">
        <v>2402</v>
      </c>
      <c r="BH15" s="42">
        <f t="shared" si="1143"/>
        <v>4777</v>
      </c>
      <c r="BI15" s="43">
        <f t="shared" si="1144"/>
        <v>796.16666666666663</v>
      </c>
      <c r="BJ15" s="48"/>
      <c r="BK15" s="49">
        <v>1300</v>
      </c>
      <c r="BL15" s="49">
        <v>198</v>
      </c>
      <c r="BM15" s="49"/>
      <c r="BN15" s="49"/>
      <c r="BO15" s="49">
        <v>1816</v>
      </c>
      <c r="BP15" s="42">
        <f t="shared" si="1145"/>
        <v>3314</v>
      </c>
      <c r="BQ15" s="43">
        <f t="shared" si="1146"/>
        <v>552.33333333333337</v>
      </c>
      <c r="BR15" s="48"/>
      <c r="BS15" s="49"/>
      <c r="BT15" s="49">
        <v>783</v>
      </c>
      <c r="BU15" s="49"/>
      <c r="BV15" s="49">
        <v>399</v>
      </c>
      <c r="BW15" s="49"/>
      <c r="BX15" s="42">
        <f t="shared" si="1147"/>
        <v>1182</v>
      </c>
      <c r="BY15" s="43">
        <f t="shared" si="3"/>
        <v>197</v>
      </c>
      <c r="BZ15" s="48"/>
      <c r="CA15" s="49"/>
      <c r="CB15" s="49">
        <v>1677</v>
      </c>
      <c r="CC15" s="49"/>
      <c r="CD15" s="49"/>
      <c r="CE15" s="49">
        <v>400</v>
      </c>
      <c r="CF15" s="42">
        <f t="shared" si="1148"/>
        <v>2077</v>
      </c>
      <c r="CG15" s="43">
        <f t="shared" si="1149"/>
        <v>346.16666666666669</v>
      </c>
      <c r="CH15" s="48">
        <v>368</v>
      </c>
      <c r="CI15" s="49"/>
      <c r="CJ15" s="49">
        <v>1971</v>
      </c>
      <c r="CK15" s="49"/>
      <c r="CL15" s="49"/>
      <c r="CM15" s="49"/>
      <c r="CN15" s="42">
        <f t="shared" si="1150"/>
        <v>2339</v>
      </c>
      <c r="CO15" s="43">
        <f t="shared" si="1151"/>
        <v>389.83333333333331</v>
      </c>
      <c r="CP15" s="48">
        <v>2143</v>
      </c>
      <c r="CQ15" s="49"/>
      <c r="CR15" s="49">
        <v>1152</v>
      </c>
      <c r="CS15" s="49"/>
      <c r="CT15" s="49"/>
      <c r="CU15" s="49"/>
      <c r="CV15" s="42">
        <f t="shared" si="1152"/>
        <v>3295</v>
      </c>
      <c r="CW15" s="43">
        <f t="shared" si="1153"/>
        <v>549.16666666666663</v>
      </c>
      <c r="CX15" s="48">
        <v>1163</v>
      </c>
      <c r="CY15" s="49"/>
      <c r="CZ15" s="49"/>
      <c r="DA15" s="49"/>
      <c r="DB15" s="49"/>
      <c r="DC15" s="49"/>
      <c r="DD15" s="42">
        <f t="shared" si="1154"/>
        <v>1163</v>
      </c>
      <c r="DE15" s="43">
        <f t="shared" si="1155"/>
        <v>193.83333333333334</v>
      </c>
      <c r="DF15" s="48"/>
      <c r="DG15" s="49"/>
      <c r="DH15" s="49"/>
      <c r="DI15" s="49"/>
      <c r="DJ15" s="49">
        <f>34+1568</f>
        <v>1602</v>
      </c>
      <c r="DK15" s="49"/>
      <c r="DL15" s="42">
        <f t="shared" si="1156"/>
        <v>1602</v>
      </c>
      <c r="DM15" s="43">
        <f t="shared" si="1157"/>
        <v>267</v>
      </c>
      <c r="DN15" s="48"/>
      <c r="DO15" s="49"/>
      <c r="DP15" s="49"/>
      <c r="DQ15" s="49"/>
      <c r="DR15" s="49">
        <v>1597</v>
      </c>
      <c r="DS15" s="49"/>
      <c r="DT15" s="42">
        <f t="shared" si="1158"/>
        <v>1597</v>
      </c>
      <c r="DU15" s="43">
        <f t="shared" si="1159"/>
        <v>266.16666666666669</v>
      </c>
      <c r="DV15" s="48"/>
      <c r="DW15" s="49"/>
      <c r="DX15" s="49">
        <v>1596</v>
      </c>
      <c r="DY15" s="49">
        <v>589</v>
      </c>
      <c r="DZ15" s="49"/>
      <c r="EA15" s="49"/>
      <c r="EB15" s="42">
        <f t="shared" si="1160"/>
        <v>2185</v>
      </c>
      <c r="EC15" s="43">
        <f t="shared" si="1161"/>
        <v>364.16666666666669</v>
      </c>
      <c r="ED15" s="48"/>
      <c r="EE15" s="49">
        <v>2800</v>
      </c>
      <c r="EF15" s="49"/>
      <c r="EG15" s="49"/>
      <c r="EH15" s="49"/>
      <c r="EI15" s="49"/>
      <c r="EJ15" s="42">
        <f t="shared" si="1162"/>
        <v>2800</v>
      </c>
      <c r="EK15" s="43">
        <f t="shared" si="1163"/>
        <v>466.66666666666669</v>
      </c>
      <c r="EL15" s="48"/>
      <c r="EM15" s="49"/>
      <c r="EN15" s="49">
        <v>2043</v>
      </c>
      <c r="EO15" s="49"/>
      <c r="EP15" s="49"/>
      <c r="EQ15" s="49"/>
      <c r="ER15" s="42">
        <f t="shared" si="1164"/>
        <v>2043</v>
      </c>
      <c r="ES15" s="43">
        <f t="shared" si="1165"/>
        <v>340.5</v>
      </c>
      <c r="ET15" s="48"/>
      <c r="EU15" s="49"/>
      <c r="EV15" s="49">
        <v>600</v>
      </c>
      <c r="EW15" s="49">
        <v>1000</v>
      </c>
      <c r="EX15" s="49"/>
      <c r="EY15" s="49"/>
      <c r="EZ15" s="42">
        <f t="shared" si="1166"/>
        <v>1600</v>
      </c>
      <c r="FA15" s="43">
        <f t="shared" si="1167"/>
        <v>266.66666666666669</v>
      </c>
      <c r="FB15" s="48"/>
      <c r="FC15" s="49">
        <v>2032</v>
      </c>
      <c r="FD15" s="49"/>
      <c r="FE15" s="49"/>
      <c r="FF15" s="49">
        <v>1176</v>
      </c>
      <c r="FG15" s="49"/>
      <c r="FH15" s="42">
        <f t="shared" si="1168"/>
        <v>3208</v>
      </c>
      <c r="FI15" s="43">
        <f t="shared" si="1169"/>
        <v>534.66666666666663</v>
      </c>
      <c r="FJ15" s="48"/>
      <c r="FK15" s="49">
        <v>1182</v>
      </c>
      <c r="FL15" s="49"/>
      <c r="FM15" s="49">
        <v>797</v>
      </c>
      <c r="FN15" s="49"/>
      <c r="FO15" s="49"/>
      <c r="FP15" s="42">
        <f t="shared" si="1170"/>
        <v>1979</v>
      </c>
      <c r="FQ15" s="43">
        <f t="shared" si="1171"/>
        <v>329.83333333333331</v>
      </c>
      <c r="FR15" s="48">
        <v>2589</v>
      </c>
      <c r="FS15" s="49"/>
      <c r="FT15" s="49"/>
      <c r="FU15" s="49"/>
      <c r="FV15" s="49">
        <v>500</v>
      </c>
      <c r="FW15" s="49">
        <v>397</v>
      </c>
      <c r="FX15" s="42">
        <f t="shared" si="1172"/>
        <v>3486</v>
      </c>
      <c r="FY15" s="43">
        <f t="shared" si="1173"/>
        <v>581</v>
      </c>
      <c r="FZ15" s="48"/>
      <c r="GA15" s="49"/>
      <c r="GB15" s="49">
        <v>1608</v>
      </c>
      <c r="GC15" s="49"/>
      <c r="GD15" s="49">
        <v>984</v>
      </c>
      <c r="GE15" s="49"/>
      <c r="GF15" s="42">
        <f t="shared" si="1174"/>
        <v>2592</v>
      </c>
      <c r="GG15" s="43">
        <f t="shared" si="1175"/>
        <v>432</v>
      </c>
      <c r="GH15" s="48"/>
      <c r="GI15" s="49"/>
      <c r="GJ15" s="49"/>
      <c r="GK15" s="49"/>
      <c r="GL15" s="49">
        <v>1173</v>
      </c>
      <c r="GM15" s="49"/>
      <c r="GN15" s="42">
        <f t="shared" si="1176"/>
        <v>1173</v>
      </c>
      <c r="GO15" s="43">
        <f t="shared" si="1177"/>
        <v>195.5</v>
      </c>
      <c r="GP15" s="48">
        <v>822</v>
      </c>
      <c r="GQ15" s="49"/>
      <c r="GR15" s="49"/>
      <c r="GS15" s="49">
        <v>2157</v>
      </c>
      <c r="GT15" s="49"/>
      <c r="GU15" s="49"/>
      <c r="GV15" s="42">
        <f t="shared" si="1178"/>
        <v>2979</v>
      </c>
      <c r="GW15" s="43">
        <f t="shared" si="1179"/>
        <v>496.5</v>
      </c>
      <c r="GX15" s="48">
        <v>2000</v>
      </c>
      <c r="GY15" s="49"/>
      <c r="GZ15" s="49"/>
      <c r="HA15" s="49"/>
      <c r="HB15" s="49">
        <v>1959</v>
      </c>
      <c r="HC15" s="49"/>
      <c r="HD15" s="42">
        <f t="shared" si="1180"/>
        <v>3959</v>
      </c>
      <c r="HE15" s="43">
        <f t="shared" si="1181"/>
        <v>659.83333333333337</v>
      </c>
      <c r="HF15" s="48"/>
      <c r="HG15" s="49"/>
      <c r="HH15" s="49">
        <v>1599</v>
      </c>
      <c r="HI15" s="49"/>
      <c r="HJ15" s="49"/>
      <c r="HK15" s="49">
        <v>800</v>
      </c>
      <c r="HL15" s="42">
        <f t="shared" si="1182"/>
        <v>2399</v>
      </c>
      <c r="HM15" s="43">
        <f t="shared" si="1183"/>
        <v>399.83333333333331</v>
      </c>
      <c r="HN15" s="82"/>
      <c r="HO15" s="83">
        <f>263+967</f>
        <v>1230</v>
      </c>
      <c r="HP15" s="83"/>
      <c r="HQ15" s="83"/>
      <c r="HR15" s="83">
        <v>1603</v>
      </c>
      <c r="HS15" s="83"/>
      <c r="HT15" s="42">
        <f t="shared" si="1184"/>
        <v>2833</v>
      </c>
      <c r="HU15" s="43">
        <f t="shared" si="1185"/>
        <v>472.16666666666669</v>
      </c>
      <c r="HV15" s="48">
        <v>1100</v>
      </c>
      <c r="HW15" s="49"/>
      <c r="HX15" s="49">
        <v>1559</v>
      </c>
      <c r="HY15" s="49">
        <v>101</v>
      </c>
      <c r="HZ15" s="49"/>
      <c r="IA15" s="49"/>
      <c r="IB15" s="42">
        <f t="shared" si="1186"/>
        <v>2760</v>
      </c>
      <c r="IC15" s="43">
        <f t="shared" si="1187"/>
        <v>460</v>
      </c>
      <c r="ID15" s="48"/>
      <c r="IE15" s="49">
        <f>340+2124</f>
        <v>2464</v>
      </c>
      <c r="IF15" s="49"/>
      <c r="IG15" s="49"/>
      <c r="IH15" s="49"/>
      <c r="II15" s="49">
        <v>1203</v>
      </c>
      <c r="IJ15" s="42">
        <f t="shared" si="1188"/>
        <v>3667</v>
      </c>
      <c r="IK15" s="43">
        <f t="shared" si="1189"/>
        <v>611.16666666666663</v>
      </c>
      <c r="IL15" s="48"/>
      <c r="IM15" s="49"/>
      <c r="IN15" s="49"/>
      <c r="IO15" s="49">
        <v>1200</v>
      </c>
      <c r="IP15" s="49"/>
      <c r="IQ15" s="49"/>
      <c r="IR15" s="67">
        <f t="shared" si="1190"/>
        <v>1200</v>
      </c>
      <c r="IS15" s="68">
        <f t="shared" si="1191"/>
        <v>200</v>
      </c>
      <c r="IT15" s="48"/>
      <c r="IU15" s="49"/>
      <c r="IV15" s="49"/>
      <c r="IW15" s="49"/>
      <c r="IX15" s="49"/>
      <c r="IY15" s="49"/>
      <c r="IZ15" s="67">
        <f t="shared" si="1192"/>
        <v>0</v>
      </c>
      <c r="JA15" s="68">
        <f t="shared" si="1193"/>
        <v>0</v>
      </c>
      <c r="JB15" s="48"/>
      <c r="JC15" s="49"/>
      <c r="JD15" s="49"/>
      <c r="JE15" s="49">
        <v>1307</v>
      </c>
      <c r="JF15" s="49"/>
      <c r="JG15" s="49"/>
      <c r="JH15" s="67">
        <f t="shared" si="1194"/>
        <v>1307</v>
      </c>
      <c r="JI15" s="68">
        <f t="shared" si="1195"/>
        <v>217.83333333333334</v>
      </c>
      <c r="JJ15" s="48"/>
      <c r="JK15" s="49">
        <v>1377</v>
      </c>
      <c r="JL15" s="49"/>
      <c r="JM15" s="49"/>
      <c r="JN15" s="49">
        <v>282</v>
      </c>
      <c r="JO15" s="49"/>
      <c r="JP15" s="42">
        <f t="shared" si="1196"/>
        <v>1659</v>
      </c>
      <c r="JQ15" s="43">
        <f t="shared" si="1197"/>
        <v>276.5</v>
      </c>
      <c r="JR15" s="48"/>
      <c r="JS15" s="49">
        <v>2699</v>
      </c>
      <c r="JT15" s="49"/>
      <c r="JU15" s="49">
        <v>1472</v>
      </c>
      <c r="JV15" s="49"/>
      <c r="JW15" s="49">
        <v>400</v>
      </c>
      <c r="JX15" s="42">
        <f t="shared" si="1198"/>
        <v>4571</v>
      </c>
      <c r="JY15" s="43">
        <f t="shared" si="1199"/>
        <v>761.83333333333337</v>
      </c>
      <c r="JZ15" s="48"/>
      <c r="KA15" s="49"/>
      <c r="KB15" s="49"/>
      <c r="KC15" s="49"/>
      <c r="KD15" s="49">
        <v>2091</v>
      </c>
      <c r="KE15" s="49"/>
      <c r="KF15" s="42">
        <f t="shared" si="194"/>
        <v>2091</v>
      </c>
      <c r="KG15" s="43">
        <f t="shared" si="195"/>
        <v>348.5</v>
      </c>
      <c r="KH15" s="48"/>
      <c r="KI15" s="49"/>
      <c r="KJ15" s="49">
        <v>800</v>
      </c>
      <c r="KK15" s="49"/>
      <c r="KL15" s="49"/>
      <c r="KM15" s="49"/>
      <c r="KN15" s="67">
        <f t="shared" si="196"/>
        <v>800</v>
      </c>
      <c r="KO15" s="68">
        <f t="shared" si="197"/>
        <v>133.33333333333334</v>
      </c>
      <c r="KP15" s="48"/>
      <c r="KQ15" s="49"/>
      <c r="KR15" s="49">
        <v>1500</v>
      </c>
      <c r="KS15" s="49"/>
      <c r="KT15" s="49"/>
      <c r="KU15" s="49">
        <v>2037</v>
      </c>
      <c r="KV15" s="67">
        <f t="shared" si="198"/>
        <v>3537</v>
      </c>
      <c r="KW15" s="68">
        <f t="shared" si="199"/>
        <v>589.5</v>
      </c>
      <c r="KX15" s="48"/>
      <c r="KY15" s="49"/>
      <c r="KZ15" s="49"/>
      <c r="LA15" s="49"/>
      <c r="LB15" s="49">
        <v>1783</v>
      </c>
      <c r="LC15" s="49"/>
      <c r="LD15" s="67">
        <f t="shared" si="200"/>
        <v>1783</v>
      </c>
      <c r="LE15" s="68">
        <f t="shared" si="201"/>
        <v>297.16666666666669</v>
      </c>
      <c r="LF15" s="48"/>
      <c r="LG15" s="49"/>
      <c r="LH15" s="49"/>
      <c r="LI15" s="49"/>
      <c r="LJ15" s="49">
        <v>1412</v>
      </c>
      <c r="LK15" s="49">
        <v>503</v>
      </c>
      <c r="LL15" s="67">
        <f t="shared" si="202"/>
        <v>1915</v>
      </c>
      <c r="LM15" s="68">
        <f t="shared" si="203"/>
        <v>319.16666666666669</v>
      </c>
      <c r="LN15" s="48">
        <v>774</v>
      </c>
      <c r="LO15" s="49"/>
      <c r="LP15" s="49">
        <v>775</v>
      </c>
      <c r="LQ15" s="49">
        <v>2103</v>
      </c>
      <c r="LR15" s="49"/>
      <c r="LS15" s="49"/>
      <c r="LT15" s="67">
        <f t="shared" si="204"/>
        <v>3652</v>
      </c>
      <c r="LU15" s="68">
        <f t="shared" si="205"/>
        <v>608.66666666666663</v>
      </c>
      <c r="LV15" s="48"/>
      <c r="LW15" s="49">
        <v>1281</v>
      </c>
      <c r="LX15" s="49"/>
      <c r="LY15" s="49"/>
      <c r="LZ15" s="49">
        <v>715</v>
      </c>
      <c r="MA15" s="49"/>
      <c r="MB15" s="67">
        <f t="shared" si="206"/>
        <v>1996</v>
      </c>
      <c r="MC15" s="68">
        <f t="shared" si="207"/>
        <v>332.66666666666669</v>
      </c>
      <c r="MD15" s="48"/>
      <c r="ME15" s="49">
        <v>1796</v>
      </c>
      <c r="MF15" s="49"/>
      <c r="MG15" s="49"/>
      <c r="MH15" s="49">
        <v>1397</v>
      </c>
      <c r="MI15" s="49"/>
      <c r="MJ15" s="67">
        <f t="shared" si="208"/>
        <v>3193</v>
      </c>
      <c r="MK15" s="68">
        <f t="shared" si="209"/>
        <v>532.16666666666663</v>
      </c>
      <c r="ML15" s="48"/>
      <c r="MM15" s="49">
        <v>979</v>
      </c>
      <c r="MN15" s="49"/>
      <c r="MO15" s="49"/>
      <c r="MP15" s="49">
        <v>1795</v>
      </c>
      <c r="MQ15" s="49"/>
      <c r="MR15" s="67">
        <f t="shared" si="210"/>
        <v>2774</v>
      </c>
      <c r="MS15" s="68">
        <f t="shared" si="211"/>
        <v>462.33333333333331</v>
      </c>
      <c r="MT15" s="48"/>
      <c r="MU15" s="49">
        <v>807</v>
      </c>
      <c r="MV15" s="49"/>
      <c r="MW15" s="49">
        <v>1957</v>
      </c>
      <c r="MX15" s="49"/>
      <c r="MY15" s="49"/>
      <c r="MZ15" s="67">
        <f t="shared" si="212"/>
        <v>2764</v>
      </c>
      <c r="NA15" s="68">
        <f t="shared" si="213"/>
        <v>460.66666666666669</v>
      </c>
      <c r="NB15" s="48"/>
      <c r="NC15" s="49"/>
      <c r="ND15" s="49"/>
      <c r="NE15" s="49">
        <v>2100</v>
      </c>
      <c r="NF15" s="49">
        <v>708</v>
      </c>
      <c r="NG15" s="49"/>
      <c r="NH15" s="67">
        <f t="shared" si="214"/>
        <v>2808</v>
      </c>
      <c r="NI15" s="68">
        <f t="shared" si="215"/>
        <v>468</v>
      </c>
      <c r="NJ15" s="48"/>
      <c r="NK15" s="49"/>
      <c r="NL15" s="49">
        <v>2327</v>
      </c>
      <c r="NM15" s="49"/>
      <c r="NN15" s="49"/>
      <c r="NO15" s="49">
        <v>2008</v>
      </c>
      <c r="NP15" s="67">
        <f t="shared" si="216"/>
        <v>4335</v>
      </c>
      <c r="NQ15" s="68">
        <f t="shared" si="217"/>
        <v>722.5</v>
      </c>
      <c r="NR15" s="48"/>
      <c r="NS15" s="49"/>
      <c r="NT15" s="49"/>
      <c r="NU15" s="49">
        <v>1190</v>
      </c>
      <c r="NV15" s="49"/>
      <c r="NW15" s="49"/>
      <c r="NX15" s="67">
        <f t="shared" si="218"/>
        <v>1190</v>
      </c>
      <c r="NY15" s="68">
        <f t="shared" si="219"/>
        <v>198.33333333333334</v>
      </c>
      <c r="NZ15" s="48"/>
      <c r="OA15" s="49"/>
      <c r="OB15" s="49">
        <v>1985</v>
      </c>
      <c r="OC15" s="49"/>
      <c r="OD15" s="49">
        <v>1016</v>
      </c>
      <c r="OE15" s="49"/>
      <c r="OF15" s="67">
        <f t="shared" si="220"/>
        <v>3001</v>
      </c>
      <c r="OG15" s="68">
        <f t="shared" si="221"/>
        <v>500.16666666666669</v>
      </c>
      <c r="OH15" s="48"/>
      <c r="OI15" s="49"/>
      <c r="OJ15" s="49"/>
      <c r="OK15" s="49">
        <v>400</v>
      </c>
      <c r="OL15" s="49">
        <v>978</v>
      </c>
      <c r="OM15" s="49"/>
      <c r="ON15" s="67">
        <f t="shared" si="222"/>
        <v>1378</v>
      </c>
      <c r="OO15" s="68">
        <f t="shared" si="223"/>
        <v>229.66666666666666</v>
      </c>
      <c r="OP15" s="48"/>
      <c r="OQ15" s="49"/>
      <c r="OR15" s="49">
        <v>2219</v>
      </c>
      <c r="OS15" s="49"/>
      <c r="OT15" s="49"/>
      <c r="OU15" s="49">
        <v>951</v>
      </c>
      <c r="OV15" s="67">
        <f t="shared" si="224"/>
        <v>3170</v>
      </c>
      <c r="OW15" s="68">
        <f t="shared" si="225"/>
        <v>528.33333333333337</v>
      </c>
      <c r="OX15" s="48"/>
      <c r="OY15" s="49">
        <v>389</v>
      </c>
      <c r="OZ15" s="49">
        <v>1644</v>
      </c>
      <c r="PA15" s="49"/>
      <c r="PB15" s="49">
        <v>402</v>
      </c>
      <c r="PC15" s="49"/>
      <c r="PD15" s="67">
        <f t="shared" si="226"/>
        <v>2435</v>
      </c>
      <c r="PE15" s="68">
        <f t="shared" si="227"/>
        <v>405.83333333333331</v>
      </c>
      <c r="PF15" s="48">
        <v>2423</v>
      </c>
      <c r="PG15" s="49"/>
      <c r="PH15" s="49"/>
      <c r="PI15" s="49"/>
      <c r="PJ15" s="49"/>
      <c r="PK15" s="49"/>
      <c r="PL15" s="67">
        <f t="shared" si="228"/>
        <v>2423</v>
      </c>
      <c r="PM15" s="68">
        <f t="shared" si="229"/>
        <v>403.83333333333331</v>
      </c>
      <c r="PN15" s="48"/>
      <c r="PO15" s="49">
        <v>1188</v>
      </c>
      <c r="PP15" s="49"/>
      <c r="PQ15" s="49"/>
      <c r="PR15" s="49"/>
      <c r="PS15" s="49"/>
      <c r="PT15" s="104">
        <f t="shared" si="230"/>
        <v>1188</v>
      </c>
      <c r="PU15" s="105">
        <f t="shared" si="231"/>
        <v>198</v>
      </c>
      <c r="PV15" s="106"/>
      <c r="PW15" s="107"/>
      <c r="PX15" s="107">
        <v>1192</v>
      </c>
      <c r="PY15" s="107"/>
      <c r="PZ15" s="107">
        <v>1432</v>
      </c>
      <c r="QA15" s="107"/>
      <c r="QB15" s="104">
        <f t="shared" si="232"/>
        <v>2624</v>
      </c>
      <c r="QC15" s="105">
        <f t="shared" si="233"/>
        <v>437.33333333333331</v>
      </c>
      <c r="QD15" s="106">
        <v>375</v>
      </c>
      <c r="QE15" s="107">
        <v>862</v>
      </c>
      <c r="QF15" s="107"/>
      <c r="QG15" s="107">
        <v>2095</v>
      </c>
      <c r="QH15" s="107"/>
      <c r="QI15" s="107"/>
      <c r="QJ15" s="104">
        <f t="shared" si="234"/>
        <v>3332</v>
      </c>
      <c r="QK15" s="105">
        <f t="shared" si="235"/>
        <v>555.33333333333337</v>
      </c>
      <c r="QL15" s="106"/>
      <c r="QM15" s="107">
        <v>789</v>
      </c>
      <c r="QN15" s="107"/>
      <c r="QO15" s="107"/>
      <c r="QP15" s="107">
        <v>1461</v>
      </c>
      <c r="QQ15" s="107"/>
      <c r="QR15" s="104">
        <f t="shared" si="236"/>
        <v>2250</v>
      </c>
      <c r="QS15" s="105">
        <f t="shared" si="237"/>
        <v>375</v>
      </c>
      <c r="QT15" s="106"/>
      <c r="QU15" s="107"/>
      <c r="QV15" s="107">
        <v>1010</v>
      </c>
      <c r="QW15" s="107"/>
      <c r="QX15" s="107">
        <v>1517</v>
      </c>
      <c r="QY15" s="107"/>
      <c r="QZ15" s="104">
        <f t="shared" si="238"/>
        <v>2527</v>
      </c>
      <c r="RA15" s="105">
        <f t="shared" si="239"/>
        <v>421.16666666666669</v>
      </c>
      <c r="RB15" s="106"/>
      <c r="RC15" s="107"/>
      <c r="RD15" s="107"/>
      <c r="RE15" s="107">
        <v>1041</v>
      </c>
      <c r="RF15" s="107"/>
      <c r="RG15" s="107"/>
      <c r="RH15" s="104">
        <f t="shared" si="240"/>
        <v>1041</v>
      </c>
      <c r="RI15" s="105">
        <f t="shared" si="241"/>
        <v>173.5</v>
      </c>
      <c r="RJ15" s="106"/>
      <c r="RK15" s="107"/>
      <c r="RL15" s="107"/>
      <c r="RM15" s="107">
        <v>1401</v>
      </c>
      <c r="RN15" s="107">
        <v>1769</v>
      </c>
      <c r="RO15" s="107"/>
      <c r="RP15" s="104">
        <f t="shared" si="242"/>
        <v>3170</v>
      </c>
      <c r="RQ15" s="105">
        <f t="shared" si="243"/>
        <v>528.33333333333337</v>
      </c>
      <c r="RR15" s="106"/>
      <c r="RS15" s="107"/>
      <c r="RT15" s="107"/>
      <c r="RU15" s="107">
        <v>1585</v>
      </c>
      <c r="RV15" s="107"/>
      <c r="RW15" s="107"/>
      <c r="RX15" s="104">
        <f t="shared" si="244"/>
        <v>1585</v>
      </c>
      <c r="RY15" s="105">
        <f t="shared" si="245"/>
        <v>264.16666666666669</v>
      </c>
      <c r="RZ15" s="106"/>
      <c r="SA15" s="107">
        <v>1303</v>
      </c>
      <c r="SB15" s="107">
        <v>344</v>
      </c>
      <c r="SC15" s="107"/>
      <c r="SD15" s="107"/>
      <c r="SE15" s="107">
        <v>2189</v>
      </c>
      <c r="SF15" s="104">
        <f t="shared" si="246"/>
        <v>3836</v>
      </c>
      <c r="SG15" s="105">
        <f t="shared" si="247"/>
        <v>639.33333333333337</v>
      </c>
      <c r="SH15" s="106"/>
      <c r="SI15" s="107"/>
      <c r="SJ15" s="107">
        <v>1718</v>
      </c>
      <c r="SK15" s="107"/>
      <c r="SL15" s="107"/>
      <c r="SM15" s="107"/>
      <c r="SN15" s="104">
        <f t="shared" si="248"/>
        <v>1718</v>
      </c>
      <c r="SO15" s="105">
        <f t="shared" si="249"/>
        <v>286.33333333333331</v>
      </c>
      <c r="SP15" s="106"/>
      <c r="SQ15" s="107">
        <v>2441</v>
      </c>
      <c r="SR15" s="107"/>
      <c r="SS15" s="107"/>
      <c r="ST15" s="107"/>
      <c r="SU15" s="107">
        <v>2215</v>
      </c>
      <c r="SV15" s="104">
        <f t="shared" si="250"/>
        <v>4656</v>
      </c>
      <c r="SW15" s="105">
        <f t="shared" si="251"/>
        <v>776</v>
      </c>
      <c r="SX15" s="106"/>
      <c r="SY15" s="107"/>
      <c r="SZ15" s="107"/>
      <c r="TA15" s="107">
        <v>897</v>
      </c>
      <c r="TB15" s="107"/>
      <c r="TC15" s="107"/>
      <c r="TD15" s="104">
        <f t="shared" si="252"/>
        <v>897</v>
      </c>
      <c r="TE15" s="105">
        <f t="shared" si="253"/>
        <v>149.5</v>
      </c>
      <c r="TF15" s="106"/>
      <c r="TG15" s="107">
        <v>708</v>
      </c>
      <c r="TH15" s="107"/>
      <c r="TI15" s="107"/>
      <c r="TJ15" s="107"/>
      <c r="TK15" s="107"/>
      <c r="TL15" s="104">
        <f t="shared" si="254"/>
        <v>708</v>
      </c>
      <c r="TM15" s="105">
        <f t="shared" si="255"/>
        <v>118</v>
      </c>
      <c r="TN15" s="106">
        <v>1200</v>
      </c>
      <c r="TO15" s="107"/>
      <c r="TP15" s="107">
        <v>1606</v>
      </c>
      <c r="TQ15" s="107"/>
      <c r="TR15" s="107"/>
      <c r="TS15" s="107"/>
      <c r="TT15" s="104">
        <f t="shared" si="256"/>
        <v>2806</v>
      </c>
      <c r="TU15" s="105">
        <f t="shared" si="257"/>
        <v>467.66666666666669</v>
      </c>
      <c r="TV15" s="106"/>
      <c r="TW15" s="107">
        <v>3525</v>
      </c>
      <c r="TX15" s="107"/>
      <c r="TY15" s="107"/>
      <c r="TZ15" s="107"/>
      <c r="UA15" s="107">
        <v>590</v>
      </c>
      <c r="UB15" s="104">
        <f t="shared" si="258"/>
        <v>4115</v>
      </c>
      <c r="UC15" s="105">
        <f t="shared" si="259"/>
        <v>685.83333333333337</v>
      </c>
      <c r="UD15" s="106"/>
      <c r="UE15" s="107"/>
      <c r="UF15" s="107"/>
      <c r="UG15" s="107"/>
      <c r="UH15" s="107"/>
      <c r="UI15" s="107"/>
      <c r="UJ15" s="104">
        <f t="shared" si="260"/>
        <v>0</v>
      </c>
      <c r="UK15" s="105">
        <f t="shared" si="261"/>
        <v>0</v>
      </c>
      <c r="UL15" s="106">
        <v>400</v>
      </c>
      <c r="UM15" s="107"/>
      <c r="UN15" s="107"/>
      <c r="UO15" s="107"/>
      <c r="UP15" s="107">
        <v>1657</v>
      </c>
      <c r="UQ15" s="107"/>
      <c r="UR15" s="107"/>
      <c r="US15" s="104">
        <f t="shared" si="262"/>
        <v>2057</v>
      </c>
      <c r="UT15" s="105">
        <f t="shared" si="263"/>
        <v>342.83333333333331</v>
      </c>
      <c r="UU15" s="106">
        <v>1000</v>
      </c>
      <c r="UV15" s="107"/>
      <c r="UW15" s="107"/>
      <c r="UX15" s="107"/>
      <c r="UY15" s="107"/>
      <c r="UZ15" s="107"/>
      <c r="VA15" s="104">
        <f t="shared" si="264"/>
        <v>1000</v>
      </c>
      <c r="VB15" s="105">
        <f t="shared" si="265"/>
        <v>166.66666666666666</v>
      </c>
      <c r="VC15" s="106"/>
      <c r="VD15" s="107">
        <v>2087</v>
      </c>
      <c r="VE15" s="107"/>
      <c r="VF15" s="107"/>
      <c r="VG15" s="107"/>
      <c r="VH15" s="107"/>
      <c r="VI15" s="104">
        <f t="shared" si="266"/>
        <v>2087</v>
      </c>
      <c r="VJ15" s="105">
        <f t="shared" si="267"/>
        <v>347.83333333333331</v>
      </c>
      <c r="VK15" s="106"/>
      <c r="VL15" s="107">
        <v>1603</v>
      </c>
      <c r="VM15" s="107"/>
      <c r="VN15" s="107"/>
      <c r="VO15" s="107">
        <v>1220</v>
      </c>
      <c r="VP15" s="107"/>
      <c r="VQ15" s="104">
        <f t="shared" si="268"/>
        <v>2823</v>
      </c>
      <c r="VR15" s="105">
        <f t="shared" si="269"/>
        <v>470.5</v>
      </c>
      <c r="VS15" s="106"/>
      <c r="VT15" s="107"/>
      <c r="VU15" s="107"/>
      <c r="VV15" s="107"/>
      <c r="VW15" s="107"/>
      <c r="VX15" s="107"/>
      <c r="VY15" s="104">
        <f t="shared" si="270"/>
        <v>0</v>
      </c>
      <c r="VZ15" s="105">
        <f t="shared" si="271"/>
        <v>0</v>
      </c>
      <c r="WA15" s="63"/>
      <c r="WB15" s="64">
        <v>598</v>
      </c>
      <c r="WC15" s="64"/>
      <c r="WD15" s="64">
        <v>1002</v>
      </c>
      <c r="WE15" s="64"/>
      <c r="WF15" s="64"/>
      <c r="WG15" s="67">
        <f t="shared" si="272"/>
        <v>1600</v>
      </c>
      <c r="WH15" s="68">
        <f t="shared" si="273"/>
        <v>266.66666666666669</v>
      </c>
      <c r="WI15" s="48"/>
      <c r="WJ15" s="49"/>
      <c r="WK15" s="49">
        <v>1213</v>
      </c>
      <c r="WL15" s="49"/>
      <c r="WM15" s="49"/>
      <c r="WN15" s="49"/>
      <c r="WO15" s="67">
        <f t="shared" si="274"/>
        <v>1213</v>
      </c>
      <c r="WP15" s="68">
        <f t="shared" si="275"/>
        <v>202.16666666666666</v>
      </c>
      <c r="WQ15" s="48">
        <v>200</v>
      </c>
      <c r="WR15" s="49"/>
      <c r="WS15" s="49"/>
      <c r="WT15" s="49">
        <v>1400</v>
      </c>
      <c r="WU15" s="49"/>
      <c r="WV15" s="49">
        <v>400</v>
      </c>
      <c r="WW15" s="49"/>
      <c r="WX15" s="67">
        <f t="shared" si="276"/>
        <v>1800</v>
      </c>
      <c r="WY15" s="68">
        <f t="shared" si="277"/>
        <v>300</v>
      </c>
      <c r="WZ15" s="48">
        <v>393</v>
      </c>
      <c r="XA15" s="49"/>
      <c r="XB15" s="49"/>
      <c r="XC15" s="49"/>
      <c r="XD15" s="49">
        <v>1573</v>
      </c>
      <c r="XE15" s="49"/>
      <c r="XF15" s="49">
        <v>450</v>
      </c>
      <c r="XG15" s="67">
        <f t="shared" si="278"/>
        <v>2023</v>
      </c>
      <c r="XH15" s="68">
        <f t="shared" si="279"/>
        <v>337.16666666666669</v>
      </c>
      <c r="XI15" s="106">
        <v>900</v>
      </c>
      <c r="XJ15" s="107">
        <v>694</v>
      </c>
      <c r="XK15" s="107"/>
      <c r="XL15" s="107"/>
      <c r="XM15" s="107"/>
      <c r="XN15" s="107">
        <v>800</v>
      </c>
      <c r="XO15" s="107"/>
      <c r="XP15" s="104">
        <f t="shared" si="280"/>
        <v>1494</v>
      </c>
      <c r="XQ15" s="105">
        <f t="shared" si="281"/>
        <v>249</v>
      </c>
      <c r="XR15" s="48"/>
      <c r="XS15" s="49"/>
      <c r="XT15" s="49"/>
      <c r="XU15" s="49"/>
      <c r="XV15" s="49"/>
      <c r="XW15" s="49"/>
      <c r="XX15" s="49">
        <v>2750</v>
      </c>
      <c r="XY15" s="67">
        <f t="shared" si="282"/>
        <v>2750</v>
      </c>
      <c r="XZ15" s="68">
        <f t="shared" si="283"/>
        <v>458.33333333333331</v>
      </c>
      <c r="YA15" s="48"/>
      <c r="YB15" s="49"/>
      <c r="YC15" s="49"/>
      <c r="YD15" s="49">
        <v>1000</v>
      </c>
      <c r="YE15" s="49"/>
      <c r="YF15" s="49"/>
      <c r="YG15" s="49">
        <v>797</v>
      </c>
      <c r="YH15" s="67">
        <f t="shared" si="284"/>
        <v>1797</v>
      </c>
      <c r="YI15" s="68">
        <f t="shared" si="285"/>
        <v>299.5</v>
      </c>
      <c r="YJ15" s="180"/>
      <c r="YK15" s="49">
        <v>769</v>
      </c>
      <c r="YL15" s="49"/>
      <c r="YM15" s="49"/>
      <c r="YN15" s="49">
        <v>1400</v>
      </c>
      <c r="YO15" s="49"/>
      <c r="YP15" s="49"/>
      <c r="YQ15" s="67">
        <f t="shared" si="286"/>
        <v>2169</v>
      </c>
      <c r="YR15" s="68">
        <f t="shared" si="287"/>
        <v>361.5</v>
      </c>
      <c r="YS15" s="48"/>
      <c r="YT15" s="49"/>
      <c r="YU15" s="49"/>
      <c r="YV15" s="49"/>
      <c r="YW15" s="49"/>
      <c r="YX15" s="49">
        <v>1200</v>
      </c>
      <c r="YY15" s="67">
        <f t="shared" si="288"/>
        <v>1200</v>
      </c>
      <c r="YZ15" s="68">
        <f t="shared" si="289"/>
        <v>200</v>
      </c>
      <c r="ZA15" s="48"/>
      <c r="ZB15" s="49"/>
      <c r="ZC15" s="49"/>
      <c r="ZD15" s="49"/>
      <c r="ZE15" s="49"/>
      <c r="ZF15" s="49"/>
      <c r="ZG15" s="67">
        <f t="shared" si="290"/>
        <v>0</v>
      </c>
      <c r="ZH15" s="68">
        <f t="shared" si="291"/>
        <v>0</v>
      </c>
      <c r="ZI15" s="48">
        <v>800</v>
      </c>
      <c r="ZJ15" s="49"/>
      <c r="ZK15" s="49">
        <v>1599</v>
      </c>
      <c r="ZL15" s="49"/>
      <c r="ZM15" s="24"/>
      <c r="ZN15" s="24"/>
      <c r="ZO15" s="67">
        <f t="shared" si="292"/>
        <v>2399</v>
      </c>
      <c r="ZP15" s="68">
        <f t="shared" si="293"/>
        <v>399.83333333333331</v>
      </c>
      <c r="ZQ15" s="48"/>
      <c r="ZR15" s="49">
        <v>1797</v>
      </c>
      <c r="ZS15" s="49"/>
      <c r="ZT15" s="49"/>
      <c r="ZU15" s="49"/>
      <c r="ZV15" s="49"/>
      <c r="ZW15" s="49"/>
      <c r="ZX15" s="67">
        <f t="shared" si="294"/>
        <v>1797</v>
      </c>
      <c r="ZY15" s="68">
        <f t="shared" si="295"/>
        <v>299.5</v>
      </c>
      <c r="ZZ15" s="48"/>
      <c r="AAA15" s="49">
        <v>600</v>
      </c>
      <c r="AAB15" s="49">
        <v>2015</v>
      </c>
      <c r="AAC15" s="49"/>
      <c r="AAD15" s="49"/>
      <c r="AAE15" s="49"/>
      <c r="AAF15" s="49"/>
      <c r="AAG15" s="67">
        <f t="shared" si="296"/>
        <v>2615</v>
      </c>
      <c r="AAH15" s="68">
        <f t="shared" si="297"/>
        <v>435.83333333333331</v>
      </c>
      <c r="AAI15" s="48"/>
      <c r="AAJ15" s="49"/>
      <c r="AAK15" s="49">
        <v>778</v>
      </c>
      <c r="AAL15" s="49"/>
      <c r="AAM15" s="49">
        <v>1001</v>
      </c>
      <c r="AAN15" s="49"/>
      <c r="AAO15" s="67">
        <f t="shared" si="298"/>
        <v>1779</v>
      </c>
      <c r="AAP15" s="68">
        <f t="shared" si="299"/>
        <v>296.5</v>
      </c>
      <c r="AAQ15" s="48"/>
      <c r="AAR15" s="49"/>
      <c r="AAS15" s="49">
        <v>1597</v>
      </c>
      <c r="AAT15" s="49"/>
      <c r="AAU15" s="49"/>
      <c r="AAV15" s="49"/>
      <c r="AAW15" s="67">
        <f t="shared" si="300"/>
        <v>1597</v>
      </c>
      <c r="AAX15" s="68">
        <f t="shared" si="301"/>
        <v>266.16666666666669</v>
      </c>
      <c r="AAY15" s="48"/>
      <c r="AAZ15" s="49">
        <v>1967</v>
      </c>
      <c r="ABA15" s="49">
        <v>137</v>
      </c>
      <c r="ABB15" s="49"/>
      <c r="ABC15" s="49"/>
      <c r="ABD15" s="49"/>
      <c r="ABE15" s="67">
        <f t="shared" si="302"/>
        <v>2104</v>
      </c>
      <c r="ABF15" s="68">
        <f t="shared" si="303"/>
        <v>350.66666666666669</v>
      </c>
      <c r="ABG15" s="48"/>
      <c r="ABH15" s="49"/>
      <c r="ABI15" s="49">
        <v>674</v>
      </c>
      <c r="ABJ15" s="49"/>
      <c r="ABK15" s="49"/>
      <c r="ABL15" s="49"/>
      <c r="ABM15" s="67">
        <f t="shared" si="304"/>
        <v>674</v>
      </c>
      <c r="ABN15" s="68">
        <f t="shared" si="305"/>
        <v>112.33333333333333</v>
      </c>
      <c r="ABO15" s="48">
        <v>697</v>
      </c>
      <c r="ABP15" s="49"/>
      <c r="ABQ15" s="49"/>
      <c r="ABR15" s="49">
        <v>809</v>
      </c>
      <c r="ABS15" s="49">
        <v>400</v>
      </c>
      <c r="ABT15" s="49"/>
      <c r="ABU15" s="67">
        <f t="shared" si="306"/>
        <v>1906</v>
      </c>
      <c r="ABV15" s="68">
        <f t="shared" si="307"/>
        <v>317.66666666666669</v>
      </c>
      <c r="ABW15" s="48"/>
      <c r="ABX15" s="49"/>
      <c r="ABY15" s="49">
        <v>612</v>
      </c>
      <c r="ABZ15" s="49"/>
      <c r="ACA15" s="49">
        <v>177</v>
      </c>
      <c r="ACB15" s="49"/>
      <c r="ACC15" s="67">
        <f t="shared" si="308"/>
        <v>789</v>
      </c>
      <c r="ACD15" s="68">
        <f t="shared" si="309"/>
        <v>131.5</v>
      </c>
      <c r="ACE15" s="48"/>
      <c r="ACF15" s="49">
        <v>1203</v>
      </c>
      <c r="ACG15" s="49"/>
      <c r="ACH15" s="49">
        <v>1401</v>
      </c>
      <c r="ACI15" s="49"/>
      <c r="ACJ15" s="49">
        <v>400</v>
      </c>
      <c r="ACK15" s="67">
        <f t="shared" si="310"/>
        <v>3004</v>
      </c>
      <c r="ACL15" s="68">
        <f t="shared" si="311"/>
        <v>500.66666666666669</v>
      </c>
      <c r="ACM15" s="48"/>
      <c r="ACN15" s="49"/>
      <c r="ACO15" s="49">
        <v>422</v>
      </c>
      <c r="ACP15" s="49"/>
      <c r="ACQ15" s="49"/>
      <c r="ACR15" s="49"/>
      <c r="ACS15" s="67">
        <f t="shared" si="312"/>
        <v>422</v>
      </c>
      <c r="ACT15" s="68">
        <f t="shared" si="313"/>
        <v>70.333333333333329</v>
      </c>
      <c r="ACU15" s="48">
        <v>535</v>
      </c>
      <c r="ACV15" s="49"/>
      <c r="ACW15" s="49"/>
      <c r="ACX15" s="49"/>
      <c r="ACY15" s="49">
        <v>1283</v>
      </c>
      <c r="ACZ15" s="49"/>
      <c r="ADA15" s="67">
        <f t="shared" si="314"/>
        <v>1818</v>
      </c>
      <c r="ADB15" s="68">
        <f t="shared" si="315"/>
        <v>303</v>
      </c>
      <c r="ADC15" s="48"/>
      <c r="ADD15" s="49">
        <v>440</v>
      </c>
      <c r="ADE15" s="49"/>
      <c r="ADF15" s="49"/>
      <c r="ADG15" s="49"/>
      <c r="ADH15" s="49"/>
      <c r="ADI15" s="67">
        <f t="shared" si="316"/>
        <v>440</v>
      </c>
      <c r="ADJ15" s="68">
        <f t="shared" si="317"/>
        <v>73.333333333333329</v>
      </c>
      <c r="ADK15" s="48"/>
      <c r="ADL15" s="49">
        <v>1889</v>
      </c>
      <c r="ADM15" s="49"/>
      <c r="ADN15" s="49"/>
      <c r="ADO15" s="49">
        <v>1000</v>
      </c>
      <c r="ADP15" s="49">
        <v>573</v>
      </c>
      <c r="ADQ15" s="67">
        <f t="shared" si="318"/>
        <v>3462</v>
      </c>
      <c r="ADR15" s="68">
        <f t="shared" si="319"/>
        <v>577</v>
      </c>
      <c r="ADS15" s="48"/>
      <c r="ADT15" s="49"/>
      <c r="ADU15" s="49"/>
      <c r="ADV15" s="49"/>
      <c r="ADW15" s="49">
        <v>800</v>
      </c>
      <c r="ADX15" s="49"/>
      <c r="ADY15" s="67">
        <f t="shared" si="320"/>
        <v>800</v>
      </c>
      <c r="ADZ15" s="68">
        <f t="shared" si="321"/>
        <v>133.33333333333334</v>
      </c>
      <c r="AEA15" s="48"/>
      <c r="AEB15" s="49">
        <v>581</v>
      </c>
      <c r="AEC15" s="49"/>
      <c r="AED15" s="49"/>
      <c r="AEE15" s="49"/>
      <c r="AEF15" s="49">
        <v>889</v>
      </c>
      <c r="AEG15" s="67">
        <f t="shared" si="322"/>
        <v>1470</v>
      </c>
      <c r="AEH15" s="68">
        <f t="shared" si="323"/>
        <v>245</v>
      </c>
      <c r="AEI15" s="48"/>
      <c r="AEJ15" s="49"/>
      <c r="AEK15" s="49"/>
      <c r="AEL15" s="49"/>
      <c r="AEM15" s="49">
        <v>761</v>
      </c>
      <c r="AEN15" s="49"/>
      <c r="AEO15" s="67">
        <f t="shared" si="324"/>
        <v>761</v>
      </c>
      <c r="AEP15" s="68">
        <f t="shared" si="325"/>
        <v>126.83333333333333</v>
      </c>
      <c r="AEQ15" s="48"/>
      <c r="AER15" s="49">
        <v>791</v>
      </c>
      <c r="AES15" s="49"/>
      <c r="AET15" s="49"/>
      <c r="AEU15" s="49"/>
      <c r="AEV15" s="49"/>
      <c r="AEW15" s="67">
        <f t="shared" si="326"/>
        <v>791</v>
      </c>
      <c r="AEX15" s="68">
        <f t="shared" si="327"/>
        <v>131.83333333333334</v>
      </c>
      <c r="AEY15" s="48"/>
      <c r="AEZ15" s="49">
        <v>1375</v>
      </c>
      <c r="AFA15" s="49"/>
      <c r="AFB15" s="49"/>
      <c r="AFC15" s="49"/>
      <c r="AFD15" s="49"/>
      <c r="AFE15" s="67">
        <f t="shared" si="328"/>
        <v>1375</v>
      </c>
      <c r="AFF15" s="68">
        <f t="shared" si="329"/>
        <v>229.16666666666666</v>
      </c>
      <c r="AFG15" s="48"/>
      <c r="AFH15" s="49"/>
      <c r="AFI15" s="49">
        <v>1398</v>
      </c>
      <c r="AFJ15" s="49"/>
      <c r="AFK15" s="49"/>
      <c r="AFL15" s="49">
        <v>366</v>
      </c>
      <c r="AFM15" s="67">
        <f t="shared" si="330"/>
        <v>1764</v>
      </c>
      <c r="AFN15" s="68">
        <f t="shared" si="331"/>
        <v>294</v>
      </c>
      <c r="AFO15" s="48"/>
      <c r="AFP15" s="49"/>
      <c r="AFQ15" s="49"/>
      <c r="AFR15" s="49"/>
      <c r="AFS15" s="49">
        <v>1341</v>
      </c>
      <c r="AFT15" s="49"/>
      <c r="AFU15" s="67">
        <f t="shared" si="332"/>
        <v>1341</v>
      </c>
      <c r="AFV15" s="68">
        <f t="shared" si="333"/>
        <v>223.5</v>
      </c>
      <c r="AFW15" s="48"/>
      <c r="AFX15" s="49"/>
      <c r="AFY15" s="49">
        <v>374</v>
      </c>
      <c r="AFZ15" s="49"/>
      <c r="AGA15" s="49"/>
      <c r="AGB15" s="49"/>
      <c r="AGC15" s="67">
        <f t="shared" si="334"/>
        <v>374</v>
      </c>
      <c r="AGD15" s="68">
        <f t="shared" si="335"/>
        <v>62.333333333333336</v>
      </c>
      <c r="AGE15" s="48"/>
      <c r="AGF15" s="49"/>
      <c r="AGG15" s="49">
        <v>1460</v>
      </c>
      <c r="AGH15" s="49"/>
      <c r="AGI15" s="49">
        <v>198</v>
      </c>
      <c r="AGJ15" s="49"/>
      <c r="AGK15" s="67">
        <f t="shared" si="336"/>
        <v>1658</v>
      </c>
      <c r="AGL15" s="68">
        <f t="shared" si="337"/>
        <v>276.33333333333331</v>
      </c>
      <c r="AGM15" s="48"/>
      <c r="AGN15" s="49"/>
      <c r="AGO15" s="49"/>
      <c r="AGP15" s="49"/>
      <c r="AGQ15" s="49">
        <v>844</v>
      </c>
      <c r="AGR15" s="49"/>
      <c r="AGS15" s="49"/>
      <c r="AGT15" s="67">
        <f t="shared" si="338"/>
        <v>844</v>
      </c>
      <c r="AGU15" s="68">
        <f t="shared" si="339"/>
        <v>140.66666666666666</v>
      </c>
      <c r="AGV15" s="48"/>
      <c r="AGW15" s="49"/>
      <c r="AGX15" s="49">
        <v>1567</v>
      </c>
      <c r="AGY15" s="49"/>
      <c r="AGZ15" s="49"/>
      <c r="AHA15" s="49"/>
      <c r="AHB15" s="67">
        <f t="shared" si="340"/>
        <v>1567</v>
      </c>
      <c r="AHC15" s="68">
        <f t="shared" si="341"/>
        <v>54.03448275862069</v>
      </c>
      <c r="AHD15" s="48">
        <v>425</v>
      </c>
      <c r="AHE15" s="49"/>
      <c r="AHF15" s="49"/>
      <c r="AHG15" s="49">
        <v>850</v>
      </c>
      <c r="AHH15" s="49"/>
      <c r="AHI15" s="49"/>
      <c r="AHJ15" s="67">
        <f t="shared" si="342"/>
        <v>1275</v>
      </c>
      <c r="AHK15" s="68">
        <f t="shared" si="343"/>
        <v>43.96551724137931</v>
      </c>
      <c r="AHL15" s="48"/>
      <c r="AHM15" s="49"/>
      <c r="AHN15" s="49"/>
      <c r="AHO15" s="49">
        <v>1001</v>
      </c>
      <c r="AHP15" s="49"/>
      <c r="AHQ15" s="49"/>
      <c r="AHR15" s="67">
        <f t="shared" si="344"/>
        <v>1001</v>
      </c>
      <c r="AHS15" s="68">
        <f t="shared" si="345"/>
        <v>34.517241379310342</v>
      </c>
      <c r="AHT15" s="48"/>
      <c r="AHU15" s="49"/>
      <c r="AHV15" s="49">
        <v>660</v>
      </c>
      <c r="AHW15" s="49">
        <v>670</v>
      </c>
      <c r="AHX15" s="49"/>
      <c r="AHY15" s="49"/>
      <c r="AHZ15" s="67">
        <f t="shared" si="346"/>
        <v>1330</v>
      </c>
      <c r="AIA15" s="68">
        <f t="shared" si="347"/>
        <v>45.862068965517238</v>
      </c>
      <c r="AIB15" s="48"/>
      <c r="AIC15" s="49"/>
      <c r="AID15" s="49"/>
      <c r="AIE15" s="49">
        <v>1210</v>
      </c>
      <c r="AIF15" s="49"/>
      <c r="AIG15" s="49"/>
      <c r="AIH15" s="67">
        <f t="shared" si="348"/>
        <v>1210</v>
      </c>
      <c r="AII15" s="68">
        <f t="shared" si="349"/>
        <v>41.724137931034484</v>
      </c>
      <c r="AIJ15" s="48">
        <v>220</v>
      </c>
      <c r="AIK15" s="49"/>
      <c r="AIL15" s="49"/>
      <c r="AIM15" s="49">
        <v>862</v>
      </c>
      <c r="AIN15" s="49"/>
      <c r="AIO15" s="49"/>
      <c r="AIP15" s="67">
        <f t="shared" si="350"/>
        <v>1082</v>
      </c>
      <c r="AIQ15" s="68">
        <f t="shared" si="351"/>
        <v>37.310344827586206</v>
      </c>
      <c r="AIR15" s="48"/>
      <c r="AIS15" s="49"/>
      <c r="AIT15" s="49">
        <v>1600</v>
      </c>
      <c r="AIU15" s="49"/>
      <c r="AIV15" s="49"/>
      <c r="AIW15" s="49"/>
      <c r="AIX15" s="67">
        <f t="shared" si="352"/>
        <v>1600</v>
      </c>
      <c r="AIY15" s="68">
        <f t="shared" si="353"/>
        <v>55.172413793103445</v>
      </c>
      <c r="AIZ15" s="48">
        <v>1447</v>
      </c>
      <c r="AJA15" s="49"/>
      <c r="AJB15" s="49"/>
      <c r="AJC15" s="49">
        <v>980</v>
      </c>
      <c r="AJD15" s="49"/>
      <c r="AJE15" s="49"/>
      <c r="AJF15" s="67">
        <f t="shared" si="354"/>
        <v>2427</v>
      </c>
      <c r="AJG15" s="68">
        <f t="shared" si="355"/>
        <v>83.689655172413794</v>
      </c>
      <c r="AJH15" s="48"/>
      <c r="AJI15" s="49">
        <v>422</v>
      </c>
      <c r="AJJ15" s="49"/>
      <c r="AJK15" s="49">
        <v>20</v>
      </c>
      <c r="AJL15" s="49">
        <v>837</v>
      </c>
      <c r="AJM15" s="49"/>
      <c r="AJN15" s="42">
        <f t="shared" si="356"/>
        <v>1279</v>
      </c>
      <c r="AJO15" s="43">
        <f t="shared" si="357"/>
        <v>44.103448275862071</v>
      </c>
      <c r="AJP15" s="48">
        <v>660</v>
      </c>
      <c r="AJQ15" s="49"/>
      <c r="AJR15" s="49"/>
      <c r="AJS15" s="49"/>
      <c r="AJT15" s="49">
        <v>1394</v>
      </c>
      <c r="AJU15" s="49"/>
      <c r="AJV15" s="42">
        <f t="shared" si="358"/>
        <v>2054</v>
      </c>
      <c r="AJW15" s="43">
        <f t="shared" si="359"/>
        <v>70.827586206896555</v>
      </c>
      <c r="AJX15" s="48"/>
      <c r="AJY15" s="49">
        <v>451</v>
      </c>
      <c r="AJZ15" s="49"/>
      <c r="AKA15" s="49"/>
      <c r="AKB15" s="49"/>
      <c r="AKC15" s="49"/>
      <c r="AKD15" s="67">
        <f t="shared" si="360"/>
        <v>451</v>
      </c>
      <c r="AKE15" s="68">
        <f t="shared" si="361"/>
        <v>15.551724137931034</v>
      </c>
      <c r="AKF15" s="48"/>
      <c r="AKG15" s="49">
        <v>858</v>
      </c>
      <c r="AKH15" s="49"/>
      <c r="AKI15" s="49"/>
      <c r="AKJ15" s="49"/>
      <c r="AKK15" s="49"/>
      <c r="AKL15" s="67">
        <f t="shared" si="362"/>
        <v>858</v>
      </c>
      <c r="AKM15" s="184">
        <f t="shared" si="363"/>
        <v>143</v>
      </c>
      <c r="AKN15" s="195">
        <v>387</v>
      </c>
      <c r="AKO15" s="49"/>
      <c r="AKP15" s="49"/>
      <c r="AKQ15" s="49">
        <v>1210</v>
      </c>
      <c r="AKR15" s="49"/>
      <c r="AKS15" s="49"/>
      <c r="AKT15" s="67">
        <f t="shared" si="364"/>
        <v>1597</v>
      </c>
      <c r="AKU15" s="184">
        <f t="shared" si="365"/>
        <v>266.16666666666669</v>
      </c>
      <c r="AKV15" s="48"/>
      <c r="AKW15" s="49"/>
      <c r="AKX15" s="49"/>
      <c r="AKY15" s="49"/>
      <c r="AKZ15" s="49"/>
      <c r="ALA15" s="49"/>
      <c r="ALB15" s="67">
        <f t="shared" si="366"/>
        <v>0</v>
      </c>
      <c r="ALC15" s="68">
        <f t="shared" si="367"/>
        <v>0</v>
      </c>
      <c r="ALD15" s="48"/>
      <c r="ALE15" s="49">
        <v>880</v>
      </c>
      <c r="ALF15" s="49"/>
      <c r="ALG15" s="49"/>
      <c r="ALH15" s="49">
        <v>897</v>
      </c>
      <c r="ALI15" s="49"/>
      <c r="ALJ15" s="67">
        <f t="shared" si="368"/>
        <v>1777</v>
      </c>
      <c r="ALK15" s="68">
        <f t="shared" si="369"/>
        <v>296.16666666666669</v>
      </c>
      <c r="ALL15" s="48"/>
      <c r="ALM15" s="49"/>
      <c r="ALN15" s="49">
        <v>440</v>
      </c>
      <c r="ALO15" s="49"/>
      <c r="ALP15" s="49"/>
      <c r="ALQ15" s="49"/>
      <c r="ALR15" s="67">
        <f t="shared" si="370"/>
        <v>440</v>
      </c>
      <c r="ALS15" s="68">
        <f t="shared" si="371"/>
        <v>73.333333333333329</v>
      </c>
      <c r="ALT15" s="48"/>
      <c r="ALU15" s="49"/>
      <c r="ALV15" s="49"/>
      <c r="ALW15" s="49"/>
      <c r="ALX15" s="49"/>
      <c r="ALY15" s="49"/>
      <c r="ALZ15" s="67">
        <f t="shared" si="372"/>
        <v>0</v>
      </c>
      <c r="AMA15" s="68">
        <f t="shared" si="373"/>
        <v>0</v>
      </c>
      <c r="AMB15" s="48"/>
      <c r="AMC15" s="49"/>
      <c r="AMD15" s="49"/>
      <c r="AME15" s="49">
        <v>893</v>
      </c>
      <c r="AMF15" s="49"/>
      <c r="AMG15" s="49"/>
      <c r="AMH15" s="67">
        <f t="shared" si="374"/>
        <v>893</v>
      </c>
      <c r="AMI15" s="68">
        <f t="shared" si="375"/>
        <v>148.83333333333334</v>
      </c>
      <c r="AMJ15" s="48"/>
      <c r="AMK15" s="49">
        <v>1071</v>
      </c>
      <c r="AML15" s="49"/>
      <c r="AMM15" s="49"/>
      <c r="AMN15" s="49"/>
      <c r="AMO15" s="49"/>
      <c r="AMP15" s="67">
        <f t="shared" si="376"/>
        <v>1071</v>
      </c>
      <c r="AMQ15" s="68">
        <f t="shared" si="377"/>
        <v>178.5</v>
      </c>
      <c r="AMR15" s="48">
        <v>330</v>
      </c>
      <c r="AMS15" s="49">
        <v>679</v>
      </c>
      <c r="AMT15" s="49"/>
      <c r="AMU15" s="49"/>
      <c r="AMV15" s="49"/>
      <c r="AMW15" s="49"/>
      <c r="AMX15" s="67">
        <f t="shared" si="378"/>
        <v>1009</v>
      </c>
      <c r="AMY15" s="68">
        <f t="shared" si="379"/>
        <v>168.16666666666666</v>
      </c>
      <c r="AMZ15" s="48">
        <v>405</v>
      </c>
      <c r="ANA15" s="49"/>
      <c r="ANB15" s="49"/>
      <c r="ANC15" s="49">
        <v>1409</v>
      </c>
      <c r="AND15" s="49"/>
      <c r="ANE15" s="49">
        <v>311</v>
      </c>
      <c r="ANF15" s="67">
        <f t="shared" si="380"/>
        <v>2125</v>
      </c>
      <c r="ANG15" s="68">
        <f t="shared" si="381"/>
        <v>354.16666666666669</v>
      </c>
      <c r="ANH15" s="48">
        <v>1417</v>
      </c>
      <c r="ANI15" s="49"/>
      <c r="ANJ15" s="49"/>
      <c r="ANK15" s="49"/>
      <c r="ANL15" s="49"/>
      <c r="ANM15" s="49"/>
      <c r="ANN15" s="67">
        <f t="shared" si="382"/>
        <v>1417</v>
      </c>
      <c r="ANO15" s="68">
        <f t="shared" si="383"/>
        <v>236.16666666666666</v>
      </c>
      <c r="ANP15" s="48"/>
      <c r="ANQ15" s="49"/>
      <c r="ANR15" s="49"/>
      <c r="ANS15" s="49">
        <v>1230</v>
      </c>
      <c r="ANT15" s="49"/>
      <c r="ANU15" s="49"/>
      <c r="ANV15" s="67">
        <f t="shared" si="384"/>
        <v>1230</v>
      </c>
      <c r="ANW15" s="68">
        <f t="shared" si="385"/>
        <v>205</v>
      </c>
      <c r="ANX15" s="82"/>
      <c r="ANY15" s="83"/>
      <c r="ANZ15" s="83">
        <v>116</v>
      </c>
      <c r="AOA15" s="83">
        <v>1177</v>
      </c>
      <c r="AOB15" s="83">
        <v>397</v>
      </c>
      <c r="AOC15" s="83"/>
      <c r="AOD15" s="67">
        <f t="shared" si="386"/>
        <v>1690</v>
      </c>
      <c r="AOE15" s="68">
        <f t="shared" si="387"/>
        <v>281.66666666666669</v>
      </c>
      <c r="AOF15" s="48"/>
      <c r="AOG15" s="49"/>
      <c r="AOH15" s="49"/>
      <c r="AOI15" s="49"/>
      <c r="AOJ15" s="49"/>
      <c r="AOK15" s="49">
        <v>219</v>
      </c>
      <c r="AOL15" s="67">
        <f t="shared" si="388"/>
        <v>219</v>
      </c>
      <c r="AOM15" s="68">
        <f t="shared" si="389"/>
        <v>36.5</v>
      </c>
      <c r="AON15" s="48"/>
      <c r="AOO15" s="49"/>
      <c r="AOP15" s="49">
        <v>1144</v>
      </c>
      <c r="AOQ15" s="49"/>
      <c r="AOR15" s="49"/>
      <c r="AOS15" s="49"/>
      <c r="AOT15" s="67">
        <f t="shared" si="390"/>
        <v>1144</v>
      </c>
      <c r="AOU15" s="68">
        <f t="shared" si="391"/>
        <v>190.66666666666666</v>
      </c>
      <c r="AOV15" s="48"/>
      <c r="AOW15" s="49"/>
      <c r="AOX15" s="49">
        <v>803</v>
      </c>
      <c r="AOY15" s="49"/>
      <c r="AOZ15" s="49">
        <v>438</v>
      </c>
      <c r="APA15" s="49"/>
      <c r="APB15" s="67">
        <f t="shared" si="392"/>
        <v>1241</v>
      </c>
      <c r="APC15" s="68">
        <f t="shared" si="393"/>
        <v>206.83333333333334</v>
      </c>
      <c r="APD15" s="48"/>
      <c r="APE15" s="49">
        <v>373</v>
      </c>
      <c r="APF15" s="49"/>
      <c r="APG15" s="49"/>
      <c r="APH15" s="49"/>
      <c r="API15" s="49"/>
      <c r="APJ15" s="67">
        <f t="shared" si="394"/>
        <v>373</v>
      </c>
      <c r="APK15" s="68">
        <f t="shared" si="395"/>
        <v>62.166666666666664</v>
      </c>
      <c r="APL15" s="48">
        <v>1290</v>
      </c>
      <c r="APM15" s="49"/>
      <c r="APN15" s="49"/>
      <c r="APO15" s="49">
        <v>879</v>
      </c>
      <c r="APP15" s="49"/>
      <c r="APQ15" s="49"/>
      <c r="APR15" s="67">
        <f t="shared" si="396"/>
        <v>2169</v>
      </c>
      <c r="APS15" s="68">
        <f t="shared" si="397"/>
        <v>361.5</v>
      </c>
      <c r="APT15" s="48"/>
      <c r="APU15" s="49"/>
      <c r="APV15" s="49">
        <v>894</v>
      </c>
      <c r="APW15" s="49"/>
      <c r="APX15" s="49"/>
      <c r="APY15" s="49">
        <v>887</v>
      </c>
      <c r="APZ15" s="67">
        <f t="shared" si="398"/>
        <v>1781</v>
      </c>
      <c r="AQA15" s="68">
        <f t="shared" si="399"/>
        <v>296.83333333333331</v>
      </c>
      <c r="AQB15" s="48"/>
      <c r="AQC15" s="49"/>
      <c r="AQD15" s="49"/>
      <c r="AQE15" s="49"/>
      <c r="AQF15" s="49">
        <v>660</v>
      </c>
      <c r="AQG15" s="49"/>
      <c r="AQH15" s="67">
        <f t="shared" si="400"/>
        <v>660</v>
      </c>
      <c r="AQI15" s="68">
        <f t="shared" si="401"/>
        <v>110</v>
      </c>
      <c r="AQJ15" s="48"/>
      <c r="AQK15" s="49">
        <v>1377</v>
      </c>
      <c r="AQL15" s="49"/>
      <c r="AQM15" s="49">
        <v>440</v>
      </c>
      <c r="AQN15" s="49"/>
      <c r="AQO15" s="49"/>
      <c r="AQP15" s="67">
        <f t="shared" si="402"/>
        <v>1817</v>
      </c>
      <c r="AQQ15" s="68">
        <f t="shared" si="403"/>
        <v>302.83333333333331</v>
      </c>
      <c r="AQR15" s="48"/>
      <c r="AQS15" s="49"/>
      <c r="AQT15" s="49">
        <v>587</v>
      </c>
      <c r="AQU15" s="49"/>
      <c r="AQV15" s="49">
        <v>1033</v>
      </c>
      <c r="AQW15" s="49"/>
      <c r="AQX15" s="67">
        <f t="shared" si="404"/>
        <v>1620</v>
      </c>
      <c r="AQY15" s="68">
        <f t="shared" si="405"/>
        <v>270</v>
      </c>
      <c r="AQZ15" s="48"/>
      <c r="ARA15" s="49"/>
      <c r="ARB15" s="49">
        <v>1009</v>
      </c>
      <c r="ARC15" s="49"/>
      <c r="ARD15" s="49"/>
      <c r="ARE15" s="49">
        <v>221</v>
      </c>
      <c r="ARF15" s="67">
        <f t="shared" si="406"/>
        <v>1230</v>
      </c>
      <c r="ARG15" s="68">
        <f t="shared" si="407"/>
        <v>205</v>
      </c>
      <c r="ARH15" s="48"/>
      <c r="ARI15" s="49"/>
      <c r="ARJ15" s="49"/>
      <c r="ARK15" s="49">
        <v>880</v>
      </c>
      <c r="ARL15" s="49"/>
      <c r="ARM15" s="49">
        <v>1131</v>
      </c>
      <c r="ARN15" s="67">
        <f t="shared" si="408"/>
        <v>2011</v>
      </c>
      <c r="ARO15" s="68">
        <f t="shared" si="409"/>
        <v>335.16666666666669</v>
      </c>
      <c r="ARP15" s="48">
        <v>891</v>
      </c>
      <c r="ARQ15" s="49">
        <v>261</v>
      </c>
      <c r="ARR15" s="49">
        <v>516</v>
      </c>
      <c r="ARS15" s="49"/>
      <c r="ART15" s="49"/>
      <c r="ARU15" s="49"/>
      <c r="ARV15" s="67">
        <f t="shared" si="410"/>
        <v>1668</v>
      </c>
      <c r="ARW15" s="68">
        <f t="shared" si="411"/>
        <v>278</v>
      </c>
      <c r="ARX15" s="48"/>
      <c r="ARY15" s="49">
        <v>474</v>
      </c>
      <c r="ARZ15" s="49"/>
      <c r="ASA15" s="49">
        <v>873</v>
      </c>
      <c r="ASB15" s="49"/>
      <c r="ASC15" s="49"/>
      <c r="ASD15" s="67">
        <f t="shared" si="412"/>
        <v>1347</v>
      </c>
      <c r="ASE15" s="68">
        <f t="shared" si="413"/>
        <v>224.5</v>
      </c>
      <c r="ASF15" s="48"/>
      <c r="ASG15" s="49"/>
      <c r="ASH15" s="49">
        <v>1313</v>
      </c>
      <c r="ASI15" s="49">
        <v>815</v>
      </c>
      <c r="ASJ15" s="49"/>
      <c r="ASK15" s="49"/>
      <c r="ASL15" s="67">
        <f t="shared" si="414"/>
        <v>2128</v>
      </c>
      <c r="ASM15" s="68">
        <f t="shared" si="415"/>
        <v>354.66666666666669</v>
      </c>
      <c r="ASN15" s="48">
        <v>1136</v>
      </c>
      <c r="ASO15" s="49"/>
      <c r="ASP15" s="49"/>
      <c r="ASQ15" s="49"/>
      <c r="ASR15" s="49"/>
      <c r="ASS15" s="49"/>
      <c r="AST15" s="67">
        <f t="shared" si="416"/>
        <v>1136</v>
      </c>
      <c r="ASU15" s="68">
        <f t="shared" si="417"/>
        <v>189.33333333333334</v>
      </c>
      <c r="ASV15" s="48"/>
      <c r="ASW15" s="49"/>
      <c r="ASX15" s="49">
        <v>880</v>
      </c>
      <c r="ASY15" s="49"/>
      <c r="ASZ15" s="49"/>
      <c r="ATA15" s="49"/>
      <c r="ATB15" s="67">
        <f t="shared" si="418"/>
        <v>880</v>
      </c>
      <c r="ATC15" s="68">
        <f t="shared" si="419"/>
        <v>146.66666666666666</v>
      </c>
      <c r="ATD15" s="48">
        <v>877</v>
      </c>
      <c r="ATE15" s="49"/>
      <c r="ATF15" s="49"/>
      <c r="ATG15" s="49"/>
      <c r="ATH15" s="49"/>
      <c r="ATI15" s="49"/>
      <c r="ATJ15" s="67">
        <f t="shared" si="420"/>
        <v>877</v>
      </c>
      <c r="ATK15" s="68">
        <f t="shared" si="421"/>
        <v>146.16666666666666</v>
      </c>
      <c r="ATL15" s="48">
        <v>440</v>
      </c>
      <c r="ATM15" s="49">
        <v>534</v>
      </c>
      <c r="ATN15" s="49"/>
      <c r="ATO15" s="49"/>
      <c r="ATP15" s="49"/>
      <c r="ATQ15" s="49">
        <v>221</v>
      </c>
      <c r="ATR15" s="67">
        <f t="shared" si="422"/>
        <v>1195</v>
      </c>
      <c r="ATS15" s="68">
        <f t="shared" si="423"/>
        <v>199.16666666666666</v>
      </c>
      <c r="ATT15" s="48"/>
      <c r="ATU15" s="49">
        <v>880</v>
      </c>
      <c r="ATV15" s="49"/>
      <c r="ATW15" s="49"/>
      <c r="ATX15" s="49">
        <v>1328</v>
      </c>
      <c r="ATY15" s="49"/>
      <c r="ATZ15" s="67">
        <f t="shared" si="424"/>
        <v>2208</v>
      </c>
      <c r="AUA15" s="68">
        <f t="shared" si="425"/>
        <v>368</v>
      </c>
      <c r="AUB15" s="48"/>
      <c r="AUC15" s="49"/>
      <c r="AUD15" s="49"/>
      <c r="AUE15" s="49">
        <v>900</v>
      </c>
      <c r="AUF15" s="49"/>
      <c r="AUG15" s="49"/>
      <c r="AUH15" s="67">
        <f t="shared" si="426"/>
        <v>900</v>
      </c>
      <c r="AUI15" s="68">
        <f t="shared" si="427"/>
        <v>150</v>
      </c>
      <c r="AUJ15" s="48">
        <v>494</v>
      </c>
      <c r="AUK15" s="49"/>
      <c r="AUL15" s="49"/>
      <c r="AUM15" s="49"/>
      <c r="AUN15" s="49"/>
      <c r="AUO15" s="49">
        <v>900</v>
      </c>
      <c r="AUP15" s="67">
        <f t="shared" si="428"/>
        <v>1394</v>
      </c>
      <c r="AUQ15" s="68">
        <f t="shared" si="429"/>
        <v>232.33333333333334</v>
      </c>
      <c r="AUR15" s="48"/>
      <c r="AUS15" s="49">
        <v>440</v>
      </c>
      <c r="AUT15" s="49"/>
      <c r="AUU15" s="49"/>
      <c r="AUV15" s="49"/>
      <c r="AUW15" s="49"/>
      <c r="AUX15" s="67">
        <f t="shared" si="430"/>
        <v>440</v>
      </c>
      <c r="AUY15" s="68">
        <f t="shared" si="431"/>
        <v>73.333333333333329</v>
      </c>
      <c r="AUZ15" s="48">
        <v>880</v>
      </c>
      <c r="AVA15" s="49">
        <v>222</v>
      </c>
      <c r="AVB15" s="49">
        <v>555</v>
      </c>
      <c r="AVC15" s="49"/>
      <c r="AVD15" s="49"/>
      <c r="AVE15" s="49"/>
      <c r="AVF15" s="67">
        <f t="shared" si="432"/>
        <v>1657</v>
      </c>
      <c r="AVG15" s="68">
        <f t="shared" si="433"/>
        <v>276.16666666666669</v>
      </c>
      <c r="AVH15" s="48"/>
      <c r="AVI15" s="49"/>
      <c r="AVJ15" s="49">
        <v>643</v>
      </c>
      <c r="AVK15" s="49"/>
      <c r="AVL15" s="49">
        <v>852</v>
      </c>
      <c r="AVM15" s="49"/>
      <c r="AVN15" s="67">
        <f t="shared" si="434"/>
        <v>1495</v>
      </c>
      <c r="AVO15" s="68">
        <f t="shared" si="435"/>
        <v>249.16666666666666</v>
      </c>
      <c r="AVP15" s="48"/>
      <c r="AVQ15" s="49"/>
      <c r="AVR15" s="49">
        <v>472</v>
      </c>
      <c r="AVS15" s="49">
        <v>2</v>
      </c>
      <c r="AVT15" s="49"/>
      <c r="AVU15" s="49"/>
      <c r="AVV15" s="67">
        <f t="shared" si="436"/>
        <v>474</v>
      </c>
      <c r="AVW15" s="68">
        <f t="shared" si="437"/>
        <v>79</v>
      </c>
      <c r="AVX15" s="48">
        <v>660</v>
      </c>
      <c r="AVY15" s="49"/>
      <c r="AVZ15" s="49">
        <v>440</v>
      </c>
      <c r="AWA15" s="49"/>
      <c r="AWB15" s="49"/>
      <c r="AWC15" s="49">
        <v>918</v>
      </c>
      <c r="AWD15" s="67">
        <f t="shared" si="438"/>
        <v>2018</v>
      </c>
      <c r="AWE15" s="68">
        <f t="shared" si="439"/>
        <v>336.33333333333331</v>
      </c>
      <c r="AWF15" s="48"/>
      <c r="AWG15" s="49"/>
      <c r="AWH15" s="49"/>
      <c r="AWI15" s="49"/>
      <c r="AWJ15" s="49"/>
      <c r="AWK15" s="49">
        <v>877</v>
      </c>
      <c r="AWL15" s="67">
        <f t="shared" si="440"/>
        <v>877</v>
      </c>
      <c r="AWM15" s="68">
        <f t="shared" si="441"/>
        <v>146.16666666666666</v>
      </c>
      <c r="AWN15" s="48"/>
      <c r="AWO15" s="49"/>
      <c r="AWP15" s="49"/>
      <c r="AWQ15" s="49"/>
      <c r="AWR15" s="49">
        <v>878</v>
      </c>
      <c r="AWS15" s="49">
        <v>219</v>
      </c>
      <c r="AWT15" s="42">
        <f t="shared" si="442"/>
        <v>1097</v>
      </c>
      <c r="AWU15" s="43">
        <f t="shared" si="443"/>
        <v>182.83333333333334</v>
      </c>
      <c r="AWV15" s="48"/>
      <c r="AWW15" s="49"/>
      <c r="AWX15" s="49">
        <v>894</v>
      </c>
      <c r="AWY15" s="49"/>
      <c r="AWZ15" s="49"/>
      <c r="AXA15" s="49"/>
      <c r="AXB15" s="42">
        <f t="shared" si="444"/>
        <v>894</v>
      </c>
      <c r="AXC15" s="43">
        <f t="shared" si="445"/>
        <v>149</v>
      </c>
      <c r="AXD15" s="48"/>
      <c r="AXE15" s="49"/>
      <c r="AXF15" s="49">
        <v>1210</v>
      </c>
      <c r="AXG15" s="49"/>
      <c r="AXH15" s="49"/>
      <c r="AXI15" s="49"/>
      <c r="AXJ15" s="42">
        <f t="shared" si="446"/>
        <v>1210</v>
      </c>
      <c r="AXK15" s="43">
        <f t="shared" si="447"/>
        <v>201.66666666666666</v>
      </c>
      <c r="AXL15" s="48"/>
      <c r="AXM15" s="49">
        <v>441</v>
      </c>
      <c r="AXN15" s="49"/>
      <c r="AXO15" s="49"/>
      <c r="AXP15" s="49"/>
      <c r="AXQ15" s="49">
        <v>539</v>
      </c>
      <c r="AXR15" s="42">
        <f t="shared" si="448"/>
        <v>980</v>
      </c>
      <c r="AXS15" s="43">
        <f t="shared" si="449"/>
        <v>163.33333333333334</v>
      </c>
      <c r="AXT15" s="48"/>
      <c r="AXU15" s="49"/>
      <c r="AXV15" s="49"/>
      <c r="AXW15" s="49"/>
      <c r="AXX15" s="49"/>
      <c r="AXY15" s="49">
        <v>859</v>
      </c>
      <c r="AXZ15" s="42">
        <f t="shared" si="450"/>
        <v>859</v>
      </c>
      <c r="AYA15" s="43">
        <f t="shared" si="451"/>
        <v>143.16666666666666</v>
      </c>
      <c r="AYB15" s="48"/>
      <c r="AYC15" s="49"/>
      <c r="AYD15" s="49">
        <v>5</v>
      </c>
      <c r="AYE15" s="49"/>
      <c r="AYF15" s="49">
        <v>878</v>
      </c>
      <c r="AYG15" s="49"/>
      <c r="AYH15" s="42">
        <f t="shared" si="452"/>
        <v>883</v>
      </c>
      <c r="AYI15" s="43">
        <f t="shared" si="453"/>
        <v>147.16666666666666</v>
      </c>
      <c r="AYJ15" s="48"/>
      <c r="AYK15" s="49"/>
      <c r="AYL15" s="49">
        <v>891</v>
      </c>
      <c r="AYM15" s="49"/>
      <c r="AYN15" s="49"/>
      <c r="AYO15" s="49"/>
      <c r="AYP15" s="42">
        <f t="shared" si="454"/>
        <v>891</v>
      </c>
      <c r="AYQ15" s="43">
        <f t="shared" si="455"/>
        <v>148.5</v>
      </c>
      <c r="AYR15" s="48"/>
      <c r="AYS15" s="49"/>
      <c r="AYT15" s="49">
        <v>641</v>
      </c>
      <c r="AYU15" s="49"/>
      <c r="AYV15" s="49"/>
      <c r="AYW15" s="49"/>
      <c r="AYX15" s="42">
        <f t="shared" si="456"/>
        <v>641</v>
      </c>
      <c r="AYY15" s="43">
        <f t="shared" si="457"/>
        <v>106.83333333333333</v>
      </c>
      <c r="AYZ15" s="48"/>
      <c r="AZA15" s="49"/>
      <c r="AZB15" s="49">
        <v>1052</v>
      </c>
      <c r="AZC15" s="49"/>
      <c r="AZD15" s="49"/>
      <c r="AZE15" s="49"/>
      <c r="AZF15" s="42">
        <f t="shared" si="458"/>
        <v>1052</v>
      </c>
      <c r="AZG15" s="43">
        <f t="shared" si="459"/>
        <v>175.33333333333334</v>
      </c>
      <c r="AZH15" s="48"/>
      <c r="AZI15" s="49"/>
      <c r="AZJ15" s="49"/>
      <c r="AZK15" s="49"/>
      <c r="AZL15" s="49"/>
      <c r="AZM15" s="49"/>
      <c r="AZN15" s="42">
        <f t="shared" si="460"/>
        <v>0</v>
      </c>
      <c r="AZO15" s="43">
        <f t="shared" si="461"/>
        <v>0</v>
      </c>
      <c r="AZP15" s="48">
        <v>897</v>
      </c>
      <c r="AZQ15" s="49"/>
      <c r="AZR15" s="49">
        <v>400</v>
      </c>
      <c r="AZS15" s="49"/>
      <c r="AZT15" s="49"/>
      <c r="AZU15" s="49"/>
      <c r="AZV15" s="42">
        <f t="shared" si="462"/>
        <v>1297</v>
      </c>
      <c r="AZW15" s="43">
        <f t="shared" si="463"/>
        <v>216.16666666666666</v>
      </c>
      <c r="AZX15" s="82"/>
      <c r="AZY15" s="83">
        <v>440</v>
      </c>
      <c r="AZZ15" s="83"/>
      <c r="BAA15" s="83"/>
      <c r="BAB15" s="83"/>
      <c r="BAC15" s="83"/>
      <c r="BAD15" s="42">
        <f t="shared" si="464"/>
        <v>440</v>
      </c>
      <c r="BAE15" s="43">
        <f t="shared" si="465"/>
        <v>73.333333333333329</v>
      </c>
      <c r="BAF15" s="48"/>
      <c r="BAG15" s="49"/>
      <c r="BAH15" s="49"/>
      <c r="BAI15" s="49"/>
      <c r="BAJ15" s="49">
        <v>727</v>
      </c>
      <c r="BAK15" s="49"/>
      <c r="BAL15" s="42">
        <f t="shared" si="466"/>
        <v>727</v>
      </c>
      <c r="BAM15" s="43">
        <f t="shared" si="467"/>
        <v>121.16666666666667</v>
      </c>
      <c r="BAN15" s="48"/>
      <c r="BAO15" s="49"/>
      <c r="BAP15" s="49"/>
      <c r="BAQ15" s="49"/>
      <c r="BAR15" s="49">
        <v>636</v>
      </c>
      <c r="BAS15" s="49"/>
      <c r="BAT15" s="42">
        <f t="shared" si="468"/>
        <v>636</v>
      </c>
      <c r="BAU15" s="43">
        <f t="shared" si="469"/>
        <v>106</v>
      </c>
      <c r="BAV15" s="48"/>
      <c r="BAW15" s="49"/>
      <c r="BAX15" s="49"/>
      <c r="BAY15" s="49"/>
      <c r="BAZ15" s="49">
        <v>660</v>
      </c>
      <c r="BBA15" s="49">
        <v>335</v>
      </c>
      <c r="BBB15" s="42">
        <f t="shared" si="470"/>
        <v>995</v>
      </c>
      <c r="BBC15" s="43">
        <f t="shared" si="471"/>
        <v>165.83333333333334</v>
      </c>
      <c r="BBD15" s="48"/>
      <c r="BBE15" s="49"/>
      <c r="BBF15" s="49"/>
      <c r="BBG15" s="49"/>
      <c r="BBH15" s="49">
        <v>702</v>
      </c>
      <c r="BBI15" s="49"/>
      <c r="BBJ15" s="42">
        <f t="shared" si="472"/>
        <v>702</v>
      </c>
      <c r="BBK15" s="43">
        <f t="shared" si="473"/>
        <v>117</v>
      </c>
      <c r="BBL15" s="48"/>
      <c r="BBM15" s="49"/>
      <c r="BBN15" s="49"/>
      <c r="BBO15" s="49"/>
      <c r="BBP15" s="49"/>
      <c r="BBQ15" s="49"/>
      <c r="BBR15" s="42">
        <f t="shared" si="474"/>
        <v>0</v>
      </c>
      <c r="BBS15" s="43">
        <f t="shared" si="475"/>
        <v>0</v>
      </c>
      <c r="BBT15" s="48"/>
      <c r="BBU15" s="49"/>
      <c r="BBV15" s="49">
        <v>899</v>
      </c>
      <c r="BBW15" s="49"/>
      <c r="BBX15" s="49"/>
      <c r="BBY15" s="49"/>
      <c r="BBZ15" s="42">
        <f t="shared" si="476"/>
        <v>899</v>
      </c>
      <c r="BCA15" s="43">
        <f t="shared" si="477"/>
        <v>149.83333333333334</v>
      </c>
      <c r="BCB15" s="48"/>
      <c r="BCC15" s="49"/>
      <c r="BCD15" s="49"/>
      <c r="BCE15" s="49">
        <v>434</v>
      </c>
      <c r="BCF15" s="49"/>
      <c r="BCG15" s="49"/>
      <c r="BCH15" s="42">
        <f t="shared" si="478"/>
        <v>434</v>
      </c>
      <c r="BCI15" s="43">
        <f t="shared" si="479"/>
        <v>72.333333333333329</v>
      </c>
      <c r="BCJ15" s="48"/>
      <c r="BCK15" s="49">
        <v>945</v>
      </c>
      <c r="BCL15" s="49"/>
      <c r="BCM15" s="49"/>
      <c r="BCN15" s="49"/>
      <c r="BCO15" s="49"/>
      <c r="BCP15" s="42">
        <f t="shared" si="480"/>
        <v>945</v>
      </c>
      <c r="BCQ15" s="43">
        <f t="shared" si="481"/>
        <v>157.5</v>
      </c>
      <c r="BCR15" s="48"/>
      <c r="BCS15" s="49"/>
      <c r="BCT15" s="49"/>
      <c r="BCU15" s="49"/>
      <c r="BCV15" s="49"/>
      <c r="BCW15" s="49"/>
      <c r="BCX15" s="42">
        <f t="shared" si="482"/>
        <v>0</v>
      </c>
      <c r="BCY15" s="43">
        <f t="shared" si="483"/>
        <v>0</v>
      </c>
      <c r="BCZ15" s="48">
        <v>772</v>
      </c>
      <c r="BDA15" s="49"/>
      <c r="BDB15" s="49"/>
      <c r="BDC15" s="49">
        <v>220</v>
      </c>
      <c r="BDD15" s="49"/>
      <c r="BDE15" s="49"/>
      <c r="BDF15" s="42">
        <f t="shared" si="484"/>
        <v>992</v>
      </c>
      <c r="BDG15" s="43">
        <f t="shared" si="485"/>
        <v>165.33333333333334</v>
      </c>
      <c r="BDH15" s="48"/>
      <c r="BDI15" s="49"/>
      <c r="BDJ15" s="49"/>
      <c r="BDK15" s="49"/>
      <c r="BDL15" s="49">
        <v>396</v>
      </c>
      <c r="BDM15" s="49"/>
      <c r="BDN15" s="42">
        <f t="shared" si="486"/>
        <v>396</v>
      </c>
      <c r="BDO15" s="43">
        <f t="shared" si="487"/>
        <v>66</v>
      </c>
      <c r="BDP15" s="48"/>
      <c r="BDQ15" s="49"/>
      <c r="BDR15" s="49"/>
      <c r="BDS15" s="49"/>
      <c r="BDT15" s="49"/>
      <c r="BDU15" s="49"/>
      <c r="BDV15" s="42">
        <f t="shared" si="488"/>
        <v>0</v>
      </c>
      <c r="BDW15" s="43">
        <f t="shared" si="489"/>
        <v>0</v>
      </c>
      <c r="BDX15" s="48"/>
      <c r="BDY15" s="49">
        <v>1012</v>
      </c>
      <c r="BDZ15" s="49"/>
      <c r="BEA15" s="49"/>
      <c r="BEB15" s="49"/>
      <c r="BEC15" s="49">
        <v>434</v>
      </c>
      <c r="BED15" s="42">
        <f t="shared" si="490"/>
        <v>1446</v>
      </c>
      <c r="BEE15" s="43">
        <f t="shared" si="491"/>
        <v>241</v>
      </c>
      <c r="BEF15" s="48"/>
      <c r="BEG15" s="49"/>
      <c r="BEH15" s="49">
        <v>451</v>
      </c>
      <c r="BEI15" s="49"/>
      <c r="BEJ15" s="49"/>
      <c r="BEK15" s="49"/>
      <c r="BEL15" s="42">
        <f t="shared" si="492"/>
        <v>451</v>
      </c>
      <c r="BEM15" s="43">
        <f t="shared" si="493"/>
        <v>75.166666666666671</v>
      </c>
      <c r="BEN15" s="48"/>
      <c r="BEO15" s="49"/>
      <c r="BEP15" s="49"/>
      <c r="BEQ15" s="49"/>
      <c r="BER15" s="49">
        <v>436</v>
      </c>
      <c r="BES15" s="49"/>
      <c r="BET15" s="42">
        <f t="shared" si="494"/>
        <v>436</v>
      </c>
      <c r="BEU15" s="43">
        <f t="shared" si="495"/>
        <v>72.666666666666671</v>
      </c>
      <c r="BEV15" s="82"/>
      <c r="BEW15" s="83"/>
      <c r="BEX15" s="83"/>
      <c r="BEY15" s="83"/>
      <c r="BEZ15" s="83"/>
      <c r="BFA15" s="83"/>
      <c r="BFB15" s="42">
        <f t="shared" si="496"/>
        <v>0</v>
      </c>
      <c r="BFC15" s="43">
        <f t="shared" si="497"/>
        <v>0</v>
      </c>
      <c r="BFD15" s="48"/>
      <c r="BFE15" s="49"/>
      <c r="BFF15" s="49"/>
      <c r="BFG15" s="49">
        <v>359</v>
      </c>
      <c r="BFH15" s="49"/>
      <c r="BFI15" s="49">
        <v>429</v>
      </c>
      <c r="BFJ15" s="42">
        <f t="shared" si="498"/>
        <v>788</v>
      </c>
      <c r="BFK15" s="43">
        <f t="shared" si="499"/>
        <v>131.33333333333334</v>
      </c>
      <c r="BFL15" s="48"/>
      <c r="BFM15" s="49"/>
      <c r="BFN15" s="49"/>
      <c r="BFO15" s="49">
        <v>597</v>
      </c>
      <c r="BFP15" s="49"/>
      <c r="BFQ15" s="49"/>
      <c r="BFR15" s="42">
        <f t="shared" si="500"/>
        <v>597</v>
      </c>
      <c r="BFS15" s="43">
        <f t="shared" si="501"/>
        <v>99.5</v>
      </c>
      <c r="BFT15" s="48">
        <v>441</v>
      </c>
      <c r="BFU15" s="49"/>
      <c r="BFV15" s="49"/>
      <c r="BFW15" s="49"/>
      <c r="BFX15" s="49"/>
      <c r="BFY15" s="49"/>
      <c r="BFZ15" s="42">
        <f t="shared" si="502"/>
        <v>441</v>
      </c>
      <c r="BGA15" s="43">
        <f t="shared" si="503"/>
        <v>73.5</v>
      </c>
      <c r="BGB15" s="48"/>
      <c r="BGC15" s="49">
        <v>304</v>
      </c>
      <c r="BGD15" s="49"/>
      <c r="BGE15" s="49">
        <v>220</v>
      </c>
      <c r="BGF15" s="49">
        <v>193</v>
      </c>
      <c r="BGG15" s="49"/>
      <c r="BGH15" s="42">
        <f t="shared" si="504"/>
        <v>717</v>
      </c>
      <c r="BGI15" s="43">
        <f t="shared" si="505"/>
        <v>119.5</v>
      </c>
      <c r="BGJ15" s="48">
        <v>660</v>
      </c>
      <c r="BGK15" s="49"/>
      <c r="BGL15" s="49">
        <v>221</v>
      </c>
      <c r="BGM15" s="49"/>
      <c r="BGN15" s="49"/>
      <c r="BGO15" s="49"/>
      <c r="BGP15" s="42">
        <f t="shared" si="506"/>
        <v>881</v>
      </c>
      <c r="BGQ15" s="43">
        <f t="shared" si="507"/>
        <v>146.83333333333334</v>
      </c>
      <c r="BGR15" s="48"/>
      <c r="BGS15" s="49"/>
      <c r="BGT15" s="49">
        <v>400</v>
      </c>
      <c r="BGU15" s="49"/>
      <c r="BGV15" s="49"/>
      <c r="BGW15" s="49"/>
      <c r="BGX15" s="42">
        <f t="shared" si="508"/>
        <v>400</v>
      </c>
      <c r="BGY15" s="43">
        <f t="shared" si="509"/>
        <v>66.666666666666671</v>
      </c>
      <c r="BGZ15" s="48"/>
      <c r="BHA15" s="49"/>
      <c r="BHB15" s="49">
        <v>1089</v>
      </c>
      <c r="BHC15" s="49"/>
      <c r="BHD15" s="49"/>
      <c r="BHE15" s="49"/>
      <c r="BHF15" s="42">
        <f t="shared" si="510"/>
        <v>1089</v>
      </c>
      <c r="BHG15" s="43">
        <f t="shared" si="511"/>
        <v>181.5</v>
      </c>
      <c r="BHH15" s="63"/>
      <c r="BHI15" s="64">
        <v>229</v>
      </c>
      <c r="BHJ15" s="64">
        <v>220</v>
      </c>
      <c r="BHK15" s="64">
        <v>207</v>
      </c>
      <c r="BHL15" s="64"/>
      <c r="BHM15" s="64"/>
      <c r="BHN15" s="42">
        <f t="shared" si="512"/>
        <v>656</v>
      </c>
      <c r="BHO15" s="43">
        <f t="shared" si="513"/>
        <v>109.33333333333333</v>
      </c>
      <c r="BHP15" s="48"/>
      <c r="BHQ15" s="49"/>
      <c r="BHR15" s="49"/>
      <c r="BHS15" s="49"/>
      <c r="BHT15" s="49">
        <v>655</v>
      </c>
      <c r="BHU15" s="49"/>
      <c r="BHV15" s="42">
        <f t="shared" si="514"/>
        <v>655</v>
      </c>
      <c r="BHW15" s="43">
        <f t="shared" si="515"/>
        <v>109.16666666666667</v>
      </c>
      <c r="BHX15" s="48"/>
      <c r="BHY15" s="49"/>
      <c r="BHZ15" s="49"/>
      <c r="BIA15" s="49"/>
      <c r="BIB15" s="49"/>
      <c r="BIC15" s="49"/>
      <c r="BID15" s="42">
        <f t="shared" si="516"/>
        <v>0</v>
      </c>
      <c r="BIE15" s="43">
        <f t="shared" si="517"/>
        <v>0</v>
      </c>
      <c r="BIF15" s="48">
        <v>362</v>
      </c>
      <c r="BIG15" s="49"/>
      <c r="BIH15" s="49">
        <v>391</v>
      </c>
      <c r="BII15" s="49"/>
      <c r="BIJ15" s="49">
        <v>278</v>
      </c>
      <c r="BIK15" s="49"/>
      <c r="BIL15" s="42">
        <f t="shared" si="518"/>
        <v>1031</v>
      </c>
      <c r="BIM15" s="43">
        <f t="shared" si="519"/>
        <v>171.83333333333334</v>
      </c>
      <c r="BIN15" s="48"/>
      <c r="BIO15" s="49">
        <v>310</v>
      </c>
      <c r="BIP15" s="49">
        <v>218</v>
      </c>
      <c r="BIQ15" s="49"/>
      <c r="BIR15" s="49"/>
      <c r="BIS15" s="49">
        <v>220</v>
      </c>
      <c r="BIT15" s="42">
        <f t="shared" si="520"/>
        <v>748</v>
      </c>
      <c r="BIU15" s="43">
        <f t="shared" si="521"/>
        <v>124.66666666666667</v>
      </c>
      <c r="BIV15" s="48">
        <v>219</v>
      </c>
      <c r="BIW15" s="49"/>
      <c r="BIX15" s="49">
        <v>220</v>
      </c>
      <c r="BIY15" s="49"/>
      <c r="BIZ15" s="49"/>
      <c r="BJA15" s="49"/>
      <c r="BJB15" s="42">
        <f t="shared" si="522"/>
        <v>439</v>
      </c>
      <c r="BJC15" s="43">
        <f t="shared" si="523"/>
        <v>73.166666666666671</v>
      </c>
      <c r="BJD15" s="48">
        <v>440</v>
      </c>
      <c r="BJE15" s="49"/>
      <c r="BJF15" s="49"/>
      <c r="BJG15" s="49"/>
      <c r="BJH15" s="49">
        <v>438</v>
      </c>
      <c r="BJI15" s="49"/>
      <c r="BJJ15" s="42">
        <f t="shared" si="524"/>
        <v>878</v>
      </c>
      <c r="BJK15" s="43">
        <f t="shared" si="525"/>
        <v>146.33333333333334</v>
      </c>
      <c r="BJL15" s="48"/>
      <c r="BJM15" s="49">
        <v>385</v>
      </c>
      <c r="BJN15" s="49"/>
      <c r="BJO15" s="49"/>
      <c r="BJP15" s="49">
        <v>220</v>
      </c>
      <c r="BJQ15" s="49"/>
      <c r="BJR15" s="42">
        <f t="shared" si="526"/>
        <v>605</v>
      </c>
      <c r="BJS15" s="43">
        <f t="shared" si="527"/>
        <v>100.83333333333333</v>
      </c>
      <c r="BJT15" s="63"/>
      <c r="BJU15" s="64"/>
      <c r="BJV15" s="64"/>
      <c r="BJW15" s="64"/>
      <c r="BJX15" s="64">
        <v>438</v>
      </c>
      <c r="BJY15" s="64"/>
      <c r="BJZ15" s="42">
        <f t="shared" si="528"/>
        <v>438</v>
      </c>
      <c r="BKA15" s="43">
        <f t="shared" si="529"/>
        <v>87.6</v>
      </c>
      <c r="BKB15" s="48">
        <v>212</v>
      </c>
      <c r="BKC15" s="49"/>
      <c r="BKD15" s="49"/>
      <c r="BKE15" s="49"/>
      <c r="BKF15" s="49"/>
      <c r="BKG15" s="49"/>
      <c r="BKH15" s="67">
        <f t="shared" si="530"/>
        <v>212</v>
      </c>
      <c r="BKI15" s="68">
        <f t="shared" si="531"/>
        <v>35.333333333333336</v>
      </c>
      <c r="BKJ15" s="48"/>
      <c r="BKK15" s="49"/>
      <c r="BKL15" s="49">
        <v>390</v>
      </c>
      <c r="BKM15" s="49"/>
      <c r="BKN15" s="49">
        <v>397</v>
      </c>
      <c r="BKO15" s="49"/>
      <c r="BKP15" s="42">
        <f t="shared" si="532"/>
        <v>787</v>
      </c>
      <c r="BKQ15" s="43">
        <f t="shared" si="533"/>
        <v>131.16666666666666</v>
      </c>
      <c r="BKR15" s="48"/>
      <c r="BKS15" s="49"/>
      <c r="BKT15" s="49"/>
      <c r="BKU15" s="49"/>
      <c r="BKV15" s="49">
        <v>640</v>
      </c>
      <c r="BKW15" s="49"/>
      <c r="BKX15" s="42">
        <f t="shared" si="534"/>
        <v>640</v>
      </c>
      <c r="BKY15" s="43">
        <f t="shared" si="535"/>
        <v>106.66666666666667</v>
      </c>
      <c r="BKZ15" s="48"/>
      <c r="BLA15" s="49"/>
      <c r="BLB15" s="49"/>
      <c r="BLC15" s="49">
        <v>440</v>
      </c>
      <c r="BLD15" s="49"/>
      <c r="BLE15" s="49"/>
      <c r="BLF15" s="42">
        <f t="shared" si="536"/>
        <v>440</v>
      </c>
      <c r="BLG15" s="43">
        <f t="shared" si="537"/>
        <v>73.333333333333329</v>
      </c>
      <c r="BLH15" s="48"/>
      <c r="BLI15" s="49"/>
      <c r="BLJ15" s="49"/>
      <c r="BLK15" s="49">
        <v>219</v>
      </c>
      <c r="BLL15" s="49"/>
      <c r="BLM15" s="49"/>
      <c r="BLN15" s="42">
        <f t="shared" si="538"/>
        <v>219</v>
      </c>
      <c r="BLO15" s="43">
        <f t="shared" si="539"/>
        <v>36.5</v>
      </c>
      <c r="BLP15" s="48"/>
      <c r="BLQ15" s="49">
        <v>442</v>
      </c>
      <c r="BLR15" s="49"/>
      <c r="BLS15" s="49"/>
      <c r="BLT15" s="49"/>
      <c r="BLU15" s="49"/>
      <c r="BLV15" s="42">
        <f t="shared" si="540"/>
        <v>442</v>
      </c>
      <c r="BLW15" s="43">
        <f t="shared" si="541"/>
        <v>73.666666666666671</v>
      </c>
      <c r="BLX15" s="63"/>
      <c r="BLY15" s="64">
        <v>440</v>
      </c>
      <c r="BLZ15" s="64"/>
      <c r="BMA15" s="64"/>
      <c r="BMB15" s="64"/>
      <c r="BMC15" s="64">
        <v>267</v>
      </c>
      <c r="BMD15" s="42">
        <f t="shared" si="542"/>
        <v>707</v>
      </c>
      <c r="BME15" s="43">
        <f t="shared" si="543"/>
        <v>117.83333333333333</v>
      </c>
      <c r="BMF15" s="48">
        <v>200</v>
      </c>
      <c r="BMG15" s="49"/>
      <c r="BMH15" s="49"/>
      <c r="BMI15" s="49"/>
      <c r="BMJ15" s="49"/>
      <c r="BMK15" s="49"/>
      <c r="BML15" s="42">
        <f t="shared" si="544"/>
        <v>200</v>
      </c>
      <c r="BMM15" s="43">
        <f t="shared" si="545"/>
        <v>33.333333333333336</v>
      </c>
      <c r="BMN15" s="63">
        <v>660</v>
      </c>
      <c r="BMO15" s="64"/>
      <c r="BMP15" s="64">
        <v>388</v>
      </c>
      <c r="BMQ15" s="64"/>
      <c r="BMR15" s="64"/>
      <c r="BMS15" s="64"/>
      <c r="BMT15" s="42">
        <f t="shared" si="546"/>
        <v>1048</v>
      </c>
      <c r="BMU15" s="43">
        <f t="shared" si="547"/>
        <v>174.66666666666666</v>
      </c>
      <c r="BMV15" s="48"/>
      <c r="BMW15" s="49">
        <v>438</v>
      </c>
      <c r="BMX15" s="49"/>
      <c r="BMY15" s="49">
        <v>856</v>
      </c>
      <c r="BMZ15" s="49"/>
      <c r="BNA15" s="49"/>
      <c r="BNB15" s="42">
        <f t="shared" si="548"/>
        <v>1294</v>
      </c>
      <c r="BNC15" s="43">
        <f t="shared" si="549"/>
        <v>215.66666666666666</v>
      </c>
      <c r="BND15" s="48"/>
      <c r="BNE15" s="49"/>
      <c r="BNF15" s="49"/>
      <c r="BNG15" s="49"/>
      <c r="BNH15" s="49"/>
      <c r="BNI15" s="49"/>
      <c r="BNJ15" s="42">
        <f t="shared" si="550"/>
        <v>0</v>
      </c>
      <c r="BNK15" s="43">
        <f t="shared" si="551"/>
        <v>0</v>
      </c>
      <c r="BNL15" s="48"/>
      <c r="BNM15" s="49"/>
      <c r="BNN15" s="49">
        <v>445</v>
      </c>
      <c r="BNO15" s="49"/>
      <c r="BNP15" s="49"/>
      <c r="BNQ15" s="49">
        <v>220</v>
      </c>
      <c r="BNR15" s="42">
        <f t="shared" si="552"/>
        <v>665</v>
      </c>
      <c r="BNS15" s="43">
        <f t="shared" si="553"/>
        <v>110.83333333333333</v>
      </c>
      <c r="BNT15" s="48"/>
      <c r="BNU15" s="49"/>
      <c r="BNV15" s="49">
        <v>2</v>
      </c>
      <c r="BNW15" s="49">
        <v>401</v>
      </c>
      <c r="BNX15" s="49"/>
      <c r="BNY15" s="49">
        <v>146</v>
      </c>
      <c r="BNZ15" s="42">
        <f t="shared" si="554"/>
        <v>549</v>
      </c>
      <c r="BOA15" s="43">
        <f t="shared" si="555"/>
        <v>91.5</v>
      </c>
      <c r="BOB15" s="48"/>
      <c r="BOC15" s="49"/>
      <c r="BOD15" s="49">
        <v>231</v>
      </c>
      <c r="BOE15" s="49"/>
      <c r="BOF15" s="49">
        <v>220</v>
      </c>
      <c r="BOG15" s="49"/>
      <c r="BOH15" s="42">
        <f t="shared" si="556"/>
        <v>451</v>
      </c>
      <c r="BOI15" s="43">
        <f t="shared" si="557"/>
        <v>75.166666666666671</v>
      </c>
      <c r="BOJ15" s="48"/>
      <c r="BOK15" s="49"/>
      <c r="BOL15" s="49">
        <v>800</v>
      </c>
      <c r="BOM15" s="49"/>
      <c r="BON15" s="49">
        <v>705</v>
      </c>
      <c r="BOO15" s="49"/>
      <c r="BOP15" s="42">
        <f t="shared" si="558"/>
        <v>1505</v>
      </c>
      <c r="BOQ15" s="43">
        <f t="shared" si="559"/>
        <v>250.83333333333334</v>
      </c>
      <c r="BOR15" s="48"/>
      <c r="BOS15" s="49"/>
      <c r="BOT15" s="49"/>
      <c r="BOU15" s="49">
        <v>816</v>
      </c>
      <c r="BOV15" s="49"/>
      <c r="BOW15" s="49"/>
      <c r="BOX15" s="42">
        <f t="shared" si="560"/>
        <v>816</v>
      </c>
      <c r="BOY15" s="43">
        <f t="shared" si="561"/>
        <v>136</v>
      </c>
      <c r="BOZ15" s="63">
        <v>599</v>
      </c>
      <c r="BPA15" s="64"/>
      <c r="BPB15" s="64">
        <v>400</v>
      </c>
      <c r="BPC15" s="64"/>
      <c r="BPD15" s="64"/>
      <c r="BPE15" s="64"/>
      <c r="BPF15" s="42">
        <f t="shared" si="562"/>
        <v>999</v>
      </c>
      <c r="BPG15" s="43">
        <f t="shared" si="563"/>
        <v>166.5</v>
      </c>
      <c r="BPH15" s="48"/>
      <c r="BPI15" s="49">
        <v>960</v>
      </c>
      <c r="BPJ15" s="49"/>
      <c r="BPK15" s="49">
        <v>770</v>
      </c>
      <c r="BPL15" s="49">
        <v>242</v>
      </c>
      <c r="BPM15" s="49"/>
      <c r="BPN15" s="42">
        <f t="shared" si="564"/>
        <v>1972</v>
      </c>
      <c r="BPO15" s="43">
        <f t="shared" si="565"/>
        <v>328.66666666666669</v>
      </c>
      <c r="BPP15" s="48"/>
      <c r="BPQ15" s="49"/>
      <c r="BPR15" s="49"/>
      <c r="BPS15" s="49">
        <v>572</v>
      </c>
      <c r="BPT15" s="49"/>
      <c r="BPU15" s="49"/>
      <c r="BPV15" s="42">
        <f t="shared" si="566"/>
        <v>572</v>
      </c>
      <c r="BPW15" s="43">
        <f t="shared" si="567"/>
        <v>95.333333333333329</v>
      </c>
      <c r="BPX15" s="48"/>
      <c r="BPY15" s="49"/>
      <c r="BPZ15" s="49"/>
      <c r="BQA15" s="49">
        <v>846</v>
      </c>
      <c r="BQB15" s="49"/>
      <c r="BQC15" s="49"/>
      <c r="BQD15" s="67">
        <f t="shared" si="568"/>
        <v>846</v>
      </c>
      <c r="BQE15" s="43">
        <f t="shared" si="569"/>
        <v>141</v>
      </c>
      <c r="BQF15" s="63">
        <v>803</v>
      </c>
      <c r="BQG15" s="64"/>
      <c r="BQH15" s="64"/>
      <c r="BQI15" s="64">
        <v>340</v>
      </c>
      <c r="BQJ15" s="64">
        <v>212</v>
      </c>
      <c r="BQK15" s="64"/>
      <c r="BQL15" s="67">
        <f t="shared" si="570"/>
        <v>1355</v>
      </c>
      <c r="BQM15" s="43">
        <f t="shared" si="571"/>
        <v>225.83333333333334</v>
      </c>
      <c r="BQN15" s="63"/>
      <c r="BQO15" s="64"/>
      <c r="BQP15" s="64"/>
      <c r="BQQ15" s="64"/>
      <c r="BQR15" s="64"/>
      <c r="BQS15" s="64"/>
      <c r="BQT15" s="67">
        <f t="shared" si="572"/>
        <v>0</v>
      </c>
      <c r="BQU15" s="43">
        <f t="shared" si="573"/>
        <v>0</v>
      </c>
      <c r="BQV15" s="48"/>
      <c r="BQW15" s="49">
        <v>598</v>
      </c>
      <c r="BQX15" s="49"/>
      <c r="BQY15" s="49"/>
      <c r="BQZ15" s="49"/>
      <c r="BRA15" s="49">
        <v>200</v>
      </c>
      <c r="BRB15" s="67">
        <f t="shared" si="574"/>
        <v>798</v>
      </c>
      <c r="BRC15" s="43">
        <f t="shared" si="575"/>
        <v>133</v>
      </c>
      <c r="BRD15" s="48"/>
      <c r="BRE15" s="49">
        <v>400</v>
      </c>
      <c r="BRF15" s="49"/>
      <c r="BRG15" s="49">
        <v>216</v>
      </c>
      <c r="BRH15" s="49"/>
      <c r="BRI15" s="49"/>
      <c r="BRJ15" s="67">
        <f t="shared" si="576"/>
        <v>616</v>
      </c>
      <c r="BRK15" s="43">
        <f t="shared" si="577"/>
        <v>102.66666666666667</v>
      </c>
      <c r="BRL15" s="48"/>
      <c r="BRM15" s="49"/>
      <c r="BRN15" s="49">
        <v>599</v>
      </c>
      <c r="BRO15" s="49"/>
      <c r="BRP15" s="49"/>
      <c r="BRQ15" s="49">
        <v>600</v>
      </c>
      <c r="BRR15" s="67">
        <f t="shared" si="578"/>
        <v>1199</v>
      </c>
      <c r="BRS15" s="68">
        <f t="shared" si="579"/>
        <v>199.83333333333334</v>
      </c>
      <c r="BRT15" s="63"/>
      <c r="BRU15" s="64"/>
      <c r="BRV15" s="64">
        <v>332</v>
      </c>
      <c r="BRW15" s="64"/>
      <c r="BRX15" s="64"/>
      <c r="BRY15" s="64">
        <v>441</v>
      </c>
      <c r="BRZ15" s="67">
        <f t="shared" si="580"/>
        <v>773</v>
      </c>
      <c r="BSA15" s="43">
        <f t="shared" si="581"/>
        <v>128.83333333333334</v>
      </c>
      <c r="BSB15" s="63"/>
      <c r="BSC15" s="64"/>
      <c r="BSD15" s="64"/>
      <c r="BSE15" s="64"/>
      <c r="BSF15" s="64">
        <v>237</v>
      </c>
      <c r="BSG15" s="64"/>
      <c r="BSH15" s="67">
        <f t="shared" si="582"/>
        <v>237</v>
      </c>
      <c r="BSI15" s="43">
        <f t="shared" si="583"/>
        <v>39.5</v>
      </c>
      <c r="BSJ15" s="63"/>
      <c r="BSK15" s="64"/>
      <c r="BSL15" s="64"/>
      <c r="BSM15" s="64">
        <v>388</v>
      </c>
      <c r="BSN15" s="64"/>
      <c r="BSO15" s="64">
        <v>399</v>
      </c>
      <c r="BSP15" s="67">
        <f t="shared" si="584"/>
        <v>787</v>
      </c>
      <c r="BSQ15" s="43">
        <f t="shared" si="585"/>
        <v>131.16666666666666</v>
      </c>
      <c r="BSR15" s="63"/>
      <c r="BSS15" s="64"/>
      <c r="BST15" s="64">
        <v>220</v>
      </c>
      <c r="BSU15" s="64"/>
      <c r="BSV15" s="64">
        <v>882</v>
      </c>
      <c r="BSW15" s="64"/>
      <c r="BSX15" s="67">
        <f t="shared" si="586"/>
        <v>1102</v>
      </c>
      <c r="BSY15" s="43">
        <f t="shared" si="587"/>
        <v>183.66666666666666</v>
      </c>
      <c r="BSZ15" s="63">
        <v>220</v>
      </c>
      <c r="BTA15" s="64">
        <v>643</v>
      </c>
      <c r="BTB15" s="64"/>
      <c r="BTC15" s="64"/>
      <c r="BTD15" s="64"/>
      <c r="BTE15" s="64"/>
      <c r="BTF15" s="67">
        <f t="shared" si="588"/>
        <v>863</v>
      </c>
      <c r="BTG15" s="43">
        <f t="shared" si="589"/>
        <v>143.83333333333334</v>
      </c>
      <c r="BTH15" s="63">
        <v>635</v>
      </c>
      <c r="BTI15" s="64"/>
      <c r="BTJ15" s="64"/>
      <c r="BTK15" s="64"/>
      <c r="BTL15" s="64"/>
      <c r="BTM15" s="64"/>
      <c r="BTN15" s="67">
        <f t="shared" si="590"/>
        <v>635</v>
      </c>
      <c r="BTO15" s="68">
        <f t="shared" si="591"/>
        <v>105.83333333333333</v>
      </c>
      <c r="BTP15" s="48">
        <v>440</v>
      </c>
      <c r="BTQ15" s="49"/>
      <c r="BTR15" s="49"/>
      <c r="BTS15" s="49"/>
      <c r="BTT15" s="49">
        <v>442</v>
      </c>
      <c r="BTU15" s="49"/>
      <c r="BTV15" s="67">
        <f t="shared" si="592"/>
        <v>882</v>
      </c>
      <c r="BTW15" s="43">
        <f t="shared" si="593"/>
        <v>147</v>
      </c>
      <c r="BTX15" s="63"/>
      <c r="BTY15" s="64">
        <v>950</v>
      </c>
      <c r="BTZ15" s="64"/>
      <c r="BUA15" s="64"/>
      <c r="BUB15" s="64"/>
      <c r="BUC15" s="64"/>
      <c r="BUD15" s="67">
        <f t="shared" si="594"/>
        <v>950</v>
      </c>
      <c r="BUE15" s="68">
        <f t="shared" si="595"/>
        <v>158.33333333333334</v>
      </c>
      <c r="BUF15" s="48"/>
      <c r="BUG15" s="49"/>
      <c r="BUH15" s="49"/>
      <c r="BUI15" s="49">
        <v>801</v>
      </c>
      <c r="BUJ15" s="49">
        <v>814</v>
      </c>
      <c r="BUK15" s="49"/>
      <c r="BUL15" s="67">
        <f t="shared" si="596"/>
        <v>1615</v>
      </c>
      <c r="BUM15" s="68">
        <f t="shared" si="597"/>
        <v>269.16666666666669</v>
      </c>
      <c r="BUN15" s="63">
        <v>440</v>
      </c>
      <c r="BUO15" s="64"/>
      <c r="BUP15" s="64">
        <v>232</v>
      </c>
      <c r="BUQ15" s="64"/>
      <c r="BUR15" s="64"/>
      <c r="BUS15" s="64"/>
      <c r="BUT15" s="67">
        <f t="shared" si="598"/>
        <v>672</v>
      </c>
      <c r="BUU15" s="68">
        <f t="shared" si="599"/>
        <v>112</v>
      </c>
      <c r="BUV15" s="48"/>
      <c r="BUW15" s="49"/>
      <c r="BUX15" s="49"/>
      <c r="BUY15" s="49"/>
      <c r="BUZ15" s="49"/>
      <c r="BVA15" s="49"/>
      <c r="BVB15" s="67">
        <f t="shared" si="600"/>
        <v>0</v>
      </c>
      <c r="BVC15" s="68">
        <f t="shared" si="601"/>
        <v>0</v>
      </c>
      <c r="BVD15" s="48"/>
      <c r="BVE15" s="49"/>
      <c r="BVF15" s="49">
        <v>629</v>
      </c>
      <c r="BVG15" s="49"/>
      <c r="BVH15" s="49"/>
      <c r="BVI15" s="49"/>
      <c r="BVJ15" s="67">
        <f t="shared" si="602"/>
        <v>629</v>
      </c>
      <c r="BVK15" s="68">
        <f t="shared" si="603"/>
        <v>104.83333333333333</v>
      </c>
      <c r="BVL15" s="48"/>
      <c r="BVM15" s="49">
        <v>600</v>
      </c>
      <c r="BVN15" s="49"/>
      <c r="BVO15" s="49"/>
      <c r="BVP15" s="49"/>
      <c r="BVQ15" s="49"/>
      <c r="BVR15" s="67">
        <f t="shared" si="604"/>
        <v>600</v>
      </c>
      <c r="BVS15" s="68">
        <f t="shared" si="605"/>
        <v>100</v>
      </c>
      <c r="BVT15" s="48"/>
      <c r="BVU15" s="49"/>
      <c r="BVV15" s="49">
        <v>605</v>
      </c>
      <c r="BVW15" s="49"/>
      <c r="BVX15" s="49">
        <v>219</v>
      </c>
      <c r="BVY15" s="49">
        <f>271+323</f>
        <v>594</v>
      </c>
      <c r="BVZ15" s="67">
        <f t="shared" si="606"/>
        <v>1418</v>
      </c>
      <c r="BWA15" s="68">
        <f t="shared" si="607"/>
        <v>236.33333333333334</v>
      </c>
      <c r="BWB15" s="48"/>
      <c r="BWC15" s="49"/>
      <c r="BWD15" s="49"/>
      <c r="BWE15" s="49"/>
      <c r="BWF15" s="49"/>
      <c r="BWG15" s="49">
        <v>444</v>
      </c>
      <c r="BWH15" s="67">
        <f t="shared" si="608"/>
        <v>444</v>
      </c>
      <c r="BWI15" s="68">
        <f t="shared" si="609"/>
        <v>74</v>
      </c>
      <c r="BWJ15" s="48"/>
      <c r="BWK15" s="49">
        <v>554</v>
      </c>
      <c r="BWL15" s="49"/>
      <c r="BWM15" s="49"/>
      <c r="BWN15" s="49">
        <v>440</v>
      </c>
      <c r="BWO15" s="49"/>
      <c r="BWP15" s="67">
        <f t="shared" si="610"/>
        <v>994</v>
      </c>
      <c r="BWQ15" s="68">
        <f t="shared" si="611"/>
        <v>165.66666666666666</v>
      </c>
      <c r="BWR15" s="48">
        <v>549</v>
      </c>
      <c r="BWS15" s="49"/>
      <c r="BWT15" s="49">
        <v>222</v>
      </c>
      <c r="BWU15" s="49"/>
      <c r="BWV15" s="49">
        <v>219</v>
      </c>
      <c r="BWW15" s="49">
        <v>221</v>
      </c>
      <c r="BWX15" s="67">
        <f t="shared" si="612"/>
        <v>1211</v>
      </c>
      <c r="BWY15" s="68">
        <f t="shared" si="613"/>
        <v>201.83333333333334</v>
      </c>
      <c r="BWZ15" s="48"/>
      <c r="BXA15" s="49"/>
      <c r="BXB15" s="49">
        <v>464</v>
      </c>
      <c r="BXC15" s="49"/>
      <c r="BXD15" s="49"/>
      <c r="BXE15" s="49">
        <v>499</v>
      </c>
      <c r="BXF15" s="67">
        <f t="shared" si="614"/>
        <v>963</v>
      </c>
      <c r="BXG15" s="68">
        <f t="shared" si="615"/>
        <v>160.5</v>
      </c>
      <c r="BXH15" s="48"/>
      <c r="BXI15" s="49"/>
      <c r="BXJ15" s="49">
        <v>398</v>
      </c>
      <c r="BXK15" s="49"/>
      <c r="BXL15" s="49"/>
      <c r="BXM15" s="49">
        <v>350</v>
      </c>
      <c r="BXN15" s="67">
        <f t="shared" si="616"/>
        <v>748</v>
      </c>
      <c r="BXO15" s="68">
        <f t="shared" si="617"/>
        <v>124.66666666666667</v>
      </c>
      <c r="BXP15" s="63"/>
      <c r="BXQ15" s="64"/>
      <c r="BXR15" s="64"/>
      <c r="BXS15" s="64">
        <v>660</v>
      </c>
      <c r="BXT15" s="64"/>
      <c r="BXU15" s="1"/>
      <c r="BXV15" s="67">
        <f t="shared" si="73"/>
        <v>660</v>
      </c>
      <c r="BXW15" s="68">
        <f t="shared" si="618"/>
        <v>110</v>
      </c>
      <c r="BXX15" s="48">
        <v>96</v>
      </c>
      <c r="BXY15" s="49">
        <v>950</v>
      </c>
      <c r="BXZ15" s="49"/>
      <c r="BYA15" s="49"/>
      <c r="BYB15" s="49">
        <v>200</v>
      </c>
      <c r="BYC15" s="49"/>
      <c r="BYD15" s="67">
        <f t="shared" si="619"/>
        <v>1246</v>
      </c>
      <c r="BYE15" s="68">
        <f t="shared" si="620"/>
        <v>207.66666666666666</v>
      </c>
      <c r="BYF15" s="63"/>
      <c r="BYG15" s="64"/>
      <c r="BYH15" s="64">
        <v>219</v>
      </c>
      <c r="BYI15" s="64">
        <v>600</v>
      </c>
      <c r="BYJ15" s="64"/>
      <c r="BYK15" s="64"/>
      <c r="BYL15" s="67">
        <f t="shared" si="621"/>
        <v>819</v>
      </c>
      <c r="BYM15" s="68">
        <f t="shared" si="622"/>
        <v>136.5</v>
      </c>
      <c r="BYN15" s="48"/>
      <c r="BYO15" s="49">
        <v>679</v>
      </c>
      <c r="BYP15" s="49"/>
      <c r="BYQ15" s="49">
        <v>700</v>
      </c>
      <c r="BYR15" s="49"/>
      <c r="BYS15" s="49"/>
      <c r="BYT15" s="67">
        <f t="shared" si="623"/>
        <v>1379</v>
      </c>
      <c r="BYU15" s="68">
        <f t="shared" si="624"/>
        <v>229.83333333333334</v>
      </c>
      <c r="BYV15" s="48"/>
      <c r="BYW15" s="49">
        <v>630</v>
      </c>
      <c r="BYX15" s="49"/>
      <c r="BYY15" s="49"/>
      <c r="BYZ15" s="49">
        <v>660</v>
      </c>
      <c r="BZA15" s="49"/>
      <c r="BZB15" s="67">
        <f t="shared" si="625"/>
        <v>1290</v>
      </c>
      <c r="BZC15" s="68">
        <f t="shared" si="626"/>
        <v>215</v>
      </c>
      <c r="BZD15" s="48"/>
      <c r="BZE15" s="49">
        <v>857</v>
      </c>
      <c r="BZF15" s="49"/>
      <c r="BZG15" s="49"/>
      <c r="BZH15" s="49">
        <v>334</v>
      </c>
      <c r="BZI15" s="49"/>
      <c r="BZJ15" s="67">
        <f t="shared" si="627"/>
        <v>1191</v>
      </c>
      <c r="BZK15" s="68">
        <f t="shared" si="628"/>
        <v>198.5</v>
      </c>
      <c r="BZL15" s="48">
        <v>220</v>
      </c>
      <c r="BZM15" s="49">
        <v>650</v>
      </c>
      <c r="BZN15" s="49"/>
      <c r="BZO15" s="49">
        <v>220</v>
      </c>
      <c r="BZP15" s="49"/>
      <c r="BZQ15" s="49"/>
      <c r="BZR15" s="67">
        <f t="shared" si="629"/>
        <v>1090</v>
      </c>
      <c r="BZS15" s="68">
        <f t="shared" si="630"/>
        <v>181.66666666666666</v>
      </c>
      <c r="BZT15" s="48">
        <v>445</v>
      </c>
      <c r="BZU15" s="49"/>
      <c r="BZV15" s="49">
        <v>440</v>
      </c>
      <c r="BZW15" s="49"/>
      <c r="BZX15" s="49"/>
      <c r="BZY15" s="49"/>
      <c r="BZZ15" s="67">
        <f t="shared" si="631"/>
        <v>885</v>
      </c>
      <c r="CAA15" s="68">
        <f t="shared" si="632"/>
        <v>147.5</v>
      </c>
      <c r="CAB15" s="48">
        <v>560</v>
      </c>
      <c r="CAC15" s="49"/>
      <c r="CAD15" s="49"/>
      <c r="CAE15" s="49">
        <v>539</v>
      </c>
      <c r="CAF15" s="49">
        <v>325</v>
      </c>
      <c r="CAG15" s="49"/>
      <c r="CAH15" s="67">
        <f t="shared" si="633"/>
        <v>1424</v>
      </c>
      <c r="CAI15" s="68">
        <f t="shared" si="634"/>
        <v>237.33333333333334</v>
      </c>
      <c r="CAJ15" s="63">
        <v>574</v>
      </c>
      <c r="CAK15" s="64">
        <v>117</v>
      </c>
      <c r="CAL15" s="64"/>
      <c r="CAM15" s="64">
        <v>203</v>
      </c>
      <c r="CAN15" s="64"/>
      <c r="CAO15" s="64">
        <v>778</v>
      </c>
      <c r="CAP15" s="67">
        <f t="shared" si="635"/>
        <v>1672</v>
      </c>
      <c r="CAQ15" s="68">
        <f t="shared" si="636"/>
        <v>278.66666666666669</v>
      </c>
      <c r="CAR15" s="63">
        <v>440</v>
      </c>
      <c r="CAS15" s="64"/>
      <c r="CAT15" s="64"/>
      <c r="CAU15" s="64"/>
      <c r="CAV15" s="64">
        <v>888</v>
      </c>
      <c r="CAW15" s="64">
        <v>1000</v>
      </c>
      <c r="CAX15" s="67">
        <f t="shared" si="637"/>
        <v>2328</v>
      </c>
      <c r="CAY15" s="68">
        <f t="shared" si="638"/>
        <v>388</v>
      </c>
      <c r="CAZ15" s="48"/>
      <c r="CBA15" s="49"/>
      <c r="CBB15" s="49"/>
      <c r="CBC15" s="49">
        <v>109</v>
      </c>
      <c r="CBD15" s="49"/>
      <c r="CBE15" s="49">
        <v>471</v>
      </c>
      <c r="CBF15" s="67">
        <f t="shared" si="639"/>
        <v>580</v>
      </c>
      <c r="CBG15" s="68">
        <f t="shared" si="640"/>
        <v>96.666666666666671</v>
      </c>
      <c r="CBH15" s="48"/>
      <c r="CBI15" s="49">
        <v>329</v>
      </c>
      <c r="CBJ15" s="49">
        <v>34</v>
      </c>
      <c r="CBK15" s="49">
        <v>904</v>
      </c>
      <c r="CBL15" s="49"/>
      <c r="CBM15" s="49">
        <v>221</v>
      </c>
      <c r="CBN15" s="67">
        <f t="shared" si="641"/>
        <v>1488</v>
      </c>
      <c r="CBO15" s="68">
        <f t="shared" si="642"/>
        <v>248</v>
      </c>
      <c r="CBP15" s="48"/>
      <c r="CBQ15" s="49">
        <v>640</v>
      </c>
      <c r="CBR15" s="49"/>
      <c r="CBS15" s="49"/>
      <c r="CBT15" s="49">
        <v>550</v>
      </c>
      <c r="CBU15" s="49"/>
      <c r="CBV15" s="67">
        <f t="shared" si="643"/>
        <v>1190</v>
      </c>
      <c r="CBW15" s="68">
        <f t="shared" si="644"/>
        <v>198.33333333333334</v>
      </c>
      <c r="CBX15" s="48"/>
      <c r="CBY15" s="49"/>
      <c r="CBZ15" s="49"/>
      <c r="CCA15" s="49">
        <v>440</v>
      </c>
      <c r="CCB15" s="49"/>
      <c r="CCC15" s="49">
        <v>901</v>
      </c>
      <c r="CCD15" s="67">
        <f t="shared" si="645"/>
        <v>1341</v>
      </c>
      <c r="CCE15" s="68">
        <f t="shared" si="646"/>
        <v>223.5</v>
      </c>
      <c r="CCF15" s="48"/>
      <c r="CCG15" s="49">
        <v>90</v>
      </c>
      <c r="CCH15" s="49">
        <v>768</v>
      </c>
      <c r="CCI15" s="49"/>
      <c r="CCJ15" s="49"/>
      <c r="CCK15" s="49"/>
      <c r="CCL15" s="67">
        <f t="shared" si="647"/>
        <v>858</v>
      </c>
      <c r="CCM15" s="68">
        <f t="shared" si="648"/>
        <v>143</v>
      </c>
      <c r="CCN15" s="48">
        <v>332</v>
      </c>
      <c r="CCO15" s="49">
        <v>217</v>
      </c>
      <c r="CCP15" s="49"/>
      <c r="CCQ15" s="49"/>
      <c r="CCR15" s="49">
        <v>1021</v>
      </c>
      <c r="CCS15" s="49"/>
      <c r="CCT15" s="67">
        <f t="shared" si="649"/>
        <v>1570</v>
      </c>
      <c r="CCU15" s="68">
        <f t="shared" si="650"/>
        <v>261.66666666666669</v>
      </c>
      <c r="CCV15" s="48">
        <v>219</v>
      </c>
      <c r="CCW15" s="49"/>
      <c r="CCX15" s="49">
        <v>220</v>
      </c>
      <c r="CCY15" s="49">
        <v>220</v>
      </c>
      <c r="CCZ15" s="49"/>
      <c r="CDA15" s="49"/>
      <c r="CDB15" s="67">
        <f t="shared" si="651"/>
        <v>659</v>
      </c>
      <c r="CDC15" s="68">
        <f t="shared" si="652"/>
        <v>109.83333333333333</v>
      </c>
      <c r="CDD15" s="48">
        <v>880</v>
      </c>
      <c r="CDE15" s="49">
        <v>985</v>
      </c>
      <c r="CDF15" s="49"/>
      <c r="CDG15" s="49"/>
      <c r="CDH15" s="49"/>
      <c r="CDI15" s="49"/>
      <c r="CDJ15" s="67">
        <f t="shared" si="653"/>
        <v>1865</v>
      </c>
      <c r="CDK15" s="68">
        <f t="shared" si="654"/>
        <v>310.83333333333331</v>
      </c>
      <c r="CDL15" s="48"/>
      <c r="CDM15" s="49">
        <v>330</v>
      </c>
      <c r="CDN15" s="49"/>
      <c r="CDO15" s="49">
        <v>220</v>
      </c>
      <c r="CDP15" s="49">
        <v>244</v>
      </c>
      <c r="CDQ15" s="49">
        <v>813</v>
      </c>
      <c r="CDR15" s="67">
        <f t="shared" si="655"/>
        <v>1607</v>
      </c>
      <c r="CDS15" s="68">
        <f t="shared" si="656"/>
        <v>267.83333333333331</v>
      </c>
      <c r="CDT15" s="48"/>
      <c r="CDU15" s="49">
        <v>217</v>
      </c>
      <c r="CDV15" s="49"/>
      <c r="CDW15" s="49">
        <v>814</v>
      </c>
      <c r="CDX15" s="49"/>
      <c r="CDY15" s="49">
        <v>239</v>
      </c>
      <c r="CDZ15" s="67">
        <f t="shared" si="657"/>
        <v>1270</v>
      </c>
      <c r="CEA15" s="68">
        <f t="shared" si="658"/>
        <v>211.66666666666666</v>
      </c>
      <c r="CEB15" s="48"/>
      <c r="CEC15" s="49"/>
      <c r="CED15" s="49"/>
      <c r="CEE15" s="49">
        <v>217</v>
      </c>
      <c r="CEF15" s="49">
        <v>452</v>
      </c>
      <c r="CEG15" s="49"/>
      <c r="CEH15" s="67">
        <f t="shared" si="659"/>
        <v>669</v>
      </c>
      <c r="CEI15" s="68">
        <f t="shared" si="660"/>
        <v>111.5</v>
      </c>
      <c r="CEJ15" s="48"/>
      <c r="CEK15" s="49">
        <v>1699</v>
      </c>
      <c r="CEL15" s="49"/>
      <c r="CEM15" s="49"/>
      <c r="CEN15" s="49"/>
      <c r="CEO15" s="49">
        <v>430</v>
      </c>
      <c r="CEP15" s="67">
        <f t="shared" si="661"/>
        <v>2129</v>
      </c>
      <c r="CEQ15" s="68">
        <f t="shared" si="662"/>
        <v>354.83333333333331</v>
      </c>
      <c r="CER15" s="48">
        <v>439</v>
      </c>
      <c r="CES15" s="49"/>
      <c r="CET15" s="49"/>
      <c r="CEU15" s="49">
        <v>660</v>
      </c>
      <c r="CEV15" s="49">
        <v>107</v>
      </c>
      <c r="CEW15" s="49"/>
      <c r="CEX15" s="67">
        <f t="shared" si="663"/>
        <v>1206</v>
      </c>
      <c r="CEY15" s="68">
        <f t="shared" si="664"/>
        <v>201</v>
      </c>
      <c r="CEZ15" s="48"/>
      <c r="CFA15" s="49">
        <v>1347</v>
      </c>
      <c r="CFB15" s="49"/>
      <c r="CFC15" s="49"/>
      <c r="CFD15" s="49"/>
      <c r="CFE15" s="49">
        <v>856</v>
      </c>
      <c r="CFF15" s="67">
        <f t="shared" si="665"/>
        <v>2203</v>
      </c>
      <c r="CFG15" s="68">
        <f t="shared" si="666"/>
        <v>367.16666666666669</v>
      </c>
      <c r="CFH15" s="48"/>
      <c r="CFI15" s="49"/>
      <c r="CFJ15" s="49"/>
      <c r="CFK15" s="49"/>
      <c r="CFL15" s="49"/>
      <c r="CFM15" s="49">
        <v>1320</v>
      </c>
      <c r="CFN15" s="67">
        <f t="shared" si="667"/>
        <v>1320</v>
      </c>
      <c r="CFO15" s="68">
        <f t="shared" si="668"/>
        <v>220</v>
      </c>
      <c r="CFP15" s="48"/>
      <c r="CFQ15" s="49"/>
      <c r="CFR15" s="49"/>
      <c r="CFS15" s="49">
        <v>672</v>
      </c>
      <c r="CFT15" s="49"/>
      <c r="CFU15" s="49">
        <v>1599</v>
      </c>
      <c r="CFV15" s="67">
        <f t="shared" si="669"/>
        <v>2271</v>
      </c>
      <c r="CFW15" s="68">
        <f t="shared" si="670"/>
        <v>378.5</v>
      </c>
      <c r="CFX15" s="48"/>
      <c r="CFY15" s="49"/>
      <c r="CFZ15" s="49"/>
      <c r="CGA15" s="49">
        <v>450</v>
      </c>
      <c r="CGB15" s="49"/>
      <c r="CGC15" s="49">
        <v>949</v>
      </c>
      <c r="CGD15" s="67">
        <f t="shared" si="671"/>
        <v>1399</v>
      </c>
      <c r="CGE15" s="68">
        <f t="shared" si="672"/>
        <v>233.16666666666666</v>
      </c>
      <c r="CGF15" s="48"/>
      <c r="CGG15" s="49"/>
      <c r="CGH15" s="49">
        <v>448</v>
      </c>
      <c r="CGI15" s="49">
        <v>437</v>
      </c>
      <c r="CGJ15" s="49"/>
      <c r="CGK15" s="49"/>
      <c r="CGL15" s="67">
        <f t="shared" si="673"/>
        <v>885</v>
      </c>
      <c r="CGM15" s="68">
        <f t="shared" si="674"/>
        <v>147.5</v>
      </c>
      <c r="CGN15" s="63"/>
      <c r="CGO15" s="64">
        <v>1404</v>
      </c>
      <c r="CGP15" s="64">
        <v>424</v>
      </c>
      <c r="CGQ15" s="64"/>
      <c r="CGR15" s="64"/>
      <c r="CGS15" s="64"/>
      <c r="CGT15" s="67">
        <f t="shared" si="675"/>
        <v>1828</v>
      </c>
      <c r="CGU15" s="68">
        <f t="shared" si="676"/>
        <v>304.66666666666669</v>
      </c>
      <c r="CGV15" s="48">
        <v>85</v>
      </c>
      <c r="CGW15" s="49"/>
      <c r="CGX15" s="49">
        <v>1320</v>
      </c>
      <c r="CGY15" s="49"/>
      <c r="CGZ15" s="49">
        <v>703</v>
      </c>
      <c r="CHA15" s="49"/>
      <c r="CHB15" s="67">
        <f t="shared" si="677"/>
        <v>2108</v>
      </c>
      <c r="CHC15" s="68">
        <f t="shared" si="678"/>
        <v>351.33333333333331</v>
      </c>
      <c r="CHD15" s="48">
        <v>449</v>
      </c>
      <c r="CHE15" s="49"/>
      <c r="CHF15" s="49"/>
      <c r="CHG15" s="49">
        <v>1355</v>
      </c>
      <c r="CHH15" s="49"/>
      <c r="CHI15" s="49">
        <v>868</v>
      </c>
      <c r="CHJ15" s="67">
        <f t="shared" si="679"/>
        <v>2672</v>
      </c>
      <c r="CHK15" s="68">
        <f t="shared" si="680"/>
        <v>445.33333333333331</v>
      </c>
      <c r="CHL15" s="63"/>
      <c r="CHM15" s="64"/>
      <c r="CHN15" s="64"/>
      <c r="CHO15" s="64">
        <v>526</v>
      </c>
      <c r="CHP15" s="64"/>
      <c r="CHQ15" s="64"/>
      <c r="CHR15" s="67">
        <f t="shared" si="681"/>
        <v>526</v>
      </c>
      <c r="CHS15" s="68">
        <f t="shared" si="682"/>
        <v>87.666666666666671</v>
      </c>
      <c r="CHT15" s="48"/>
      <c r="CHU15" s="49"/>
      <c r="CHV15" s="49"/>
      <c r="CHW15" s="49"/>
      <c r="CHX15" s="49"/>
      <c r="CHY15" s="49">
        <v>1426</v>
      </c>
      <c r="CHZ15" s="67">
        <f t="shared" si="683"/>
        <v>1426</v>
      </c>
      <c r="CIA15" s="68">
        <f t="shared" si="684"/>
        <v>237.66666666666666</v>
      </c>
      <c r="CIB15" s="63"/>
      <c r="CIC15" s="64">
        <v>997</v>
      </c>
      <c r="CID15" s="64"/>
      <c r="CIE15" s="64"/>
      <c r="CIF15" s="64"/>
      <c r="CIG15" s="64">
        <v>1318</v>
      </c>
      <c r="CIH15" s="67">
        <f t="shared" si="685"/>
        <v>2315</v>
      </c>
      <c r="CII15" s="68">
        <f t="shared" si="686"/>
        <v>385.83333333333331</v>
      </c>
      <c r="CIJ15" s="63"/>
      <c r="CIK15" s="64"/>
      <c r="CIL15" s="64">
        <v>660</v>
      </c>
      <c r="CIM15" s="64">
        <v>278</v>
      </c>
      <c r="CIN15" s="64"/>
      <c r="CIO15" s="64"/>
      <c r="CIP15" s="67">
        <f t="shared" si="687"/>
        <v>938</v>
      </c>
      <c r="CIQ15" s="68">
        <f t="shared" si="688"/>
        <v>156.33333333333334</v>
      </c>
      <c r="CIR15" s="48"/>
      <c r="CIS15" s="49">
        <v>486</v>
      </c>
      <c r="CIT15" s="49">
        <v>215</v>
      </c>
      <c r="CIU15" s="49"/>
      <c r="CIV15" s="49"/>
      <c r="CIW15" s="49">
        <v>763</v>
      </c>
      <c r="CIX15" s="67">
        <f t="shared" si="689"/>
        <v>1464</v>
      </c>
      <c r="CIY15" s="68">
        <f t="shared" si="690"/>
        <v>244</v>
      </c>
      <c r="CIZ15" s="48"/>
      <c r="CJA15" s="49"/>
      <c r="CJB15" s="49">
        <v>440</v>
      </c>
      <c r="CJC15" s="49">
        <v>1390</v>
      </c>
      <c r="CJD15" s="49"/>
      <c r="CJE15" s="49"/>
      <c r="CJF15" s="67">
        <f t="shared" si="691"/>
        <v>1830</v>
      </c>
      <c r="CJG15" s="68">
        <f t="shared" si="1200"/>
        <v>305</v>
      </c>
      <c r="CJH15" s="48">
        <v>898</v>
      </c>
      <c r="CJI15" s="49"/>
      <c r="CJJ15" s="49">
        <v>426</v>
      </c>
      <c r="CJK15" s="49"/>
      <c r="CJL15" s="49"/>
      <c r="CJM15" s="49"/>
      <c r="CJN15" s="67">
        <f t="shared" si="692"/>
        <v>1324</v>
      </c>
      <c r="CJO15" s="68">
        <f t="shared" si="693"/>
        <v>220.66666666666666</v>
      </c>
      <c r="CJP15" s="48">
        <v>438</v>
      </c>
      <c r="CJQ15" s="49"/>
      <c r="CJR15" s="49"/>
      <c r="CJS15" s="49"/>
      <c r="CJT15" s="49"/>
      <c r="CJU15" s="49">
        <v>715</v>
      </c>
      <c r="CJV15" s="67">
        <f t="shared" si="694"/>
        <v>1153</v>
      </c>
      <c r="CJW15" s="68">
        <f t="shared" si="695"/>
        <v>192.16666666666666</v>
      </c>
      <c r="CJX15" s="48"/>
      <c r="CJY15" s="49"/>
      <c r="CJZ15" s="49">
        <v>897</v>
      </c>
      <c r="CKA15" s="49"/>
      <c r="CKB15" s="49"/>
      <c r="CKC15" s="49">
        <v>888</v>
      </c>
      <c r="CKD15" s="67">
        <f t="shared" si="696"/>
        <v>1785</v>
      </c>
      <c r="CKE15" s="68">
        <f t="shared" si="697"/>
        <v>297.5</v>
      </c>
      <c r="CKF15" s="63"/>
      <c r="CKG15" s="64">
        <v>999</v>
      </c>
      <c r="CKH15" s="64"/>
      <c r="CKI15" s="64"/>
      <c r="CKJ15" s="64">
        <v>1188</v>
      </c>
      <c r="CKK15" s="64"/>
      <c r="CKL15" s="67">
        <f t="shared" si="698"/>
        <v>2187</v>
      </c>
      <c r="CKM15" s="68">
        <f t="shared" si="699"/>
        <v>364.5</v>
      </c>
      <c r="CKN15" s="48"/>
      <c r="CKO15" s="49">
        <v>601</v>
      </c>
      <c r="CKP15" s="49"/>
      <c r="CKQ15" s="49">
        <v>1383</v>
      </c>
      <c r="CKR15" s="49"/>
      <c r="CKS15" s="47"/>
      <c r="CKT15" s="67">
        <f t="shared" si="700"/>
        <v>1984</v>
      </c>
      <c r="CKU15" s="68">
        <f t="shared" si="701"/>
        <v>330.66666666666669</v>
      </c>
      <c r="CKV15" s="48">
        <v>4</v>
      </c>
      <c r="CKW15" s="49"/>
      <c r="CKX15" s="49">
        <v>655</v>
      </c>
      <c r="CKY15" s="49"/>
      <c r="CKZ15" s="49"/>
      <c r="CLA15" s="49"/>
      <c r="CLB15" s="67">
        <f t="shared" si="702"/>
        <v>659</v>
      </c>
      <c r="CLC15" s="68">
        <f t="shared" si="703"/>
        <v>109.83333333333333</v>
      </c>
      <c r="CLD15" s="48">
        <v>644</v>
      </c>
      <c r="CLE15" s="49">
        <v>1044</v>
      </c>
      <c r="CLF15" s="49"/>
      <c r="CLG15" s="49"/>
      <c r="CLH15" s="49"/>
      <c r="CLI15" s="49"/>
      <c r="CLJ15" s="67">
        <f t="shared" si="704"/>
        <v>1688</v>
      </c>
      <c r="CLK15" s="68">
        <f t="shared" si="705"/>
        <v>281.33333333333331</v>
      </c>
      <c r="CLL15" s="48">
        <v>873</v>
      </c>
      <c r="CLM15" s="49"/>
      <c r="CLN15" s="49"/>
      <c r="CLO15" s="49"/>
      <c r="CLP15" s="49">
        <v>879</v>
      </c>
      <c r="CLQ15" s="49"/>
      <c r="CLR15" s="67">
        <f t="shared" si="706"/>
        <v>1752</v>
      </c>
      <c r="CLS15" s="68">
        <f t="shared" si="707"/>
        <v>292</v>
      </c>
      <c r="CLT15" s="63"/>
      <c r="CLU15" s="64">
        <v>658</v>
      </c>
      <c r="CLV15" s="64"/>
      <c r="CLW15" s="64"/>
      <c r="CLX15" s="64">
        <v>442</v>
      </c>
      <c r="CLY15" s="64"/>
      <c r="CLZ15" s="67">
        <f t="shared" si="708"/>
        <v>1100</v>
      </c>
      <c r="CMA15" s="68">
        <f t="shared" si="709"/>
        <v>183.33333333333334</v>
      </c>
      <c r="CMB15" s="48">
        <v>899</v>
      </c>
      <c r="CMC15" s="49"/>
      <c r="CMD15" s="49">
        <v>823</v>
      </c>
      <c r="CME15" s="49"/>
      <c r="CMF15" s="49"/>
      <c r="CMG15" s="49">
        <v>872</v>
      </c>
      <c r="CMH15" s="67">
        <f t="shared" si="710"/>
        <v>2594</v>
      </c>
      <c r="CMI15" s="68">
        <f t="shared" si="711"/>
        <v>432.33333333333331</v>
      </c>
      <c r="CMJ15" s="48"/>
      <c r="CMK15" s="49"/>
      <c r="CML15" s="49">
        <v>444</v>
      </c>
      <c r="CMM15" s="49"/>
      <c r="CMN15" s="49"/>
      <c r="CMO15" s="49">
        <v>558</v>
      </c>
      <c r="CMP15" s="67">
        <f t="shared" si="712"/>
        <v>1002</v>
      </c>
      <c r="CMQ15" s="68">
        <f t="shared" si="713"/>
        <v>167</v>
      </c>
      <c r="CMR15" s="48">
        <v>901</v>
      </c>
      <c r="CMS15" s="49"/>
      <c r="CMT15" s="49"/>
      <c r="CMU15" s="49"/>
      <c r="CMV15" s="49">
        <v>994</v>
      </c>
      <c r="CMW15" s="49"/>
      <c r="CMX15" s="67">
        <f t="shared" si="714"/>
        <v>1895</v>
      </c>
      <c r="CMY15" s="68">
        <f t="shared" si="715"/>
        <v>315.83333333333331</v>
      </c>
      <c r="CMZ15" s="63">
        <v>1116</v>
      </c>
      <c r="CNA15" s="64"/>
      <c r="CNB15" s="64"/>
      <c r="CNC15" s="64"/>
      <c r="CND15" s="64"/>
      <c r="CNE15" s="64">
        <v>881</v>
      </c>
      <c r="CNF15" s="67">
        <f t="shared" si="716"/>
        <v>1997</v>
      </c>
      <c r="CNG15" s="68">
        <f t="shared" si="717"/>
        <v>332.83333333333331</v>
      </c>
      <c r="CNH15" s="48"/>
      <c r="CNI15" s="49">
        <v>440</v>
      </c>
      <c r="CNJ15" s="49"/>
      <c r="CNK15" s="49">
        <v>1266</v>
      </c>
      <c r="CNL15" s="49"/>
      <c r="CNM15" s="49">
        <v>338</v>
      </c>
      <c r="CNN15" s="67">
        <f t="shared" si="718"/>
        <v>2044</v>
      </c>
      <c r="CNO15" s="68">
        <f t="shared" si="719"/>
        <v>340.66666666666669</v>
      </c>
      <c r="CNP15" s="63"/>
      <c r="CNQ15" s="64"/>
      <c r="CNR15" s="64">
        <v>355</v>
      </c>
      <c r="CNS15" s="64"/>
      <c r="CNT15" s="64"/>
      <c r="CNU15" s="64"/>
      <c r="CNV15" s="67">
        <f t="shared" si="720"/>
        <v>355</v>
      </c>
      <c r="CNW15" s="68">
        <f t="shared" si="721"/>
        <v>59.166666666666664</v>
      </c>
      <c r="CNX15" s="48">
        <v>621</v>
      </c>
      <c r="CNY15" s="49"/>
      <c r="CNZ15" s="49">
        <v>41</v>
      </c>
      <c r="COA15" s="49">
        <v>547</v>
      </c>
      <c r="COB15" s="49"/>
      <c r="COC15" s="49">
        <v>632</v>
      </c>
      <c r="COD15" s="67">
        <f t="shared" si="722"/>
        <v>1841</v>
      </c>
      <c r="COE15" s="68">
        <f t="shared" si="723"/>
        <v>306.83333333333331</v>
      </c>
      <c r="COF15" s="48"/>
      <c r="COG15" s="49">
        <v>875</v>
      </c>
      <c r="COH15" s="49"/>
      <c r="COI15" s="49">
        <v>898</v>
      </c>
      <c r="COJ15" s="49"/>
      <c r="COK15" s="49">
        <v>438</v>
      </c>
      <c r="COL15" s="67">
        <f t="shared" si="724"/>
        <v>2211</v>
      </c>
      <c r="COM15" s="68">
        <f t="shared" si="725"/>
        <v>368.5</v>
      </c>
      <c r="CON15" s="48">
        <v>600</v>
      </c>
      <c r="COO15" s="49"/>
      <c r="COP15" s="49"/>
      <c r="COQ15" s="49">
        <v>990</v>
      </c>
      <c r="COR15" s="49">
        <v>170</v>
      </c>
      <c r="COS15" s="49"/>
      <c r="COT15" s="67">
        <f t="shared" si="726"/>
        <v>1760</v>
      </c>
      <c r="COU15" s="68">
        <f t="shared" si="727"/>
        <v>293.33333333333331</v>
      </c>
      <c r="COV15" s="48">
        <v>330</v>
      </c>
      <c r="COW15" s="49"/>
      <c r="COX15" s="49"/>
      <c r="COY15" s="49"/>
      <c r="COZ15" s="49"/>
      <c r="CPA15" s="49">
        <v>0</v>
      </c>
      <c r="CPB15" s="67">
        <f t="shared" si="728"/>
        <v>330</v>
      </c>
      <c r="CPC15" s="68">
        <f t="shared" si="729"/>
        <v>55</v>
      </c>
      <c r="CPD15" s="48">
        <v>0</v>
      </c>
      <c r="CPE15" s="49">
        <v>0</v>
      </c>
      <c r="CPF15" s="49">
        <v>584</v>
      </c>
      <c r="CPG15" s="49">
        <v>813</v>
      </c>
      <c r="CPH15" s="49">
        <v>0</v>
      </c>
      <c r="CPI15" s="49">
        <v>744</v>
      </c>
      <c r="CPJ15" s="67">
        <f t="shared" si="730"/>
        <v>2141</v>
      </c>
      <c r="CPK15" s="68">
        <f t="shared" si="731"/>
        <v>356.83333333333331</v>
      </c>
      <c r="CPL15" s="48"/>
      <c r="CPM15" s="49">
        <v>0</v>
      </c>
      <c r="CPN15" s="49">
        <v>448</v>
      </c>
      <c r="CPO15" s="49">
        <v>0</v>
      </c>
      <c r="CPP15" s="49">
        <v>244</v>
      </c>
      <c r="CPQ15" s="49">
        <v>0</v>
      </c>
      <c r="CPR15" s="67">
        <f t="shared" si="732"/>
        <v>692</v>
      </c>
      <c r="CPS15" s="68">
        <f t="shared" si="733"/>
        <v>115.33333333333333</v>
      </c>
      <c r="CPT15" s="63">
        <v>1048</v>
      </c>
      <c r="CPU15" s="64">
        <v>0</v>
      </c>
      <c r="CPV15" s="64">
        <v>419</v>
      </c>
      <c r="CPW15" s="64">
        <v>600</v>
      </c>
      <c r="CPX15" s="64">
        <v>0</v>
      </c>
      <c r="CPY15" s="64">
        <v>1249</v>
      </c>
      <c r="CPZ15" s="67">
        <f t="shared" si="734"/>
        <v>3316</v>
      </c>
      <c r="CQA15" s="68">
        <f t="shared" si="735"/>
        <v>552.66666666666663</v>
      </c>
      <c r="CQB15" s="48">
        <v>0</v>
      </c>
      <c r="CQC15" s="49">
        <v>0</v>
      </c>
      <c r="CQD15" s="49">
        <v>0</v>
      </c>
      <c r="CQE15" s="49">
        <v>0</v>
      </c>
      <c r="CQF15" s="49">
        <v>1067</v>
      </c>
      <c r="CQG15" s="49">
        <v>0</v>
      </c>
      <c r="CQH15" s="67">
        <f t="shared" si="736"/>
        <v>1067</v>
      </c>
      <c r="CQI15" s="68">
        <f t="shared" si="737"/>
        <v>177.83333333333334</v>
      </c>
      <c r="CQJ15" s="82">
        <v>0</v>
      </c>
      <c r="CQK15" s="83">
        <v>902</v>
      </c>
      <c r="CQL15" s="83">
        <v>0</v>
      </c>
      <c r="CQM15" s="83">
        <v>0</v>
      </c>
      <c r="CQN15" s="83">
        <v>1036</v>
      </c>
      <c r="CQO15" s="83"/>
      <c r="CQP15" s="67">
        <f t="shared" si="738"/>
        <v>1938</v>
      </c>
      <c r="CQQ15" s="68">
        <f t="shared" si="739"/>
        <v>323</v>
      </c>
      <c r="CQR15" s="48"/>
      <c r="CQS15" s="49">
        <v>0</v>
      </c>
      <c r="CQT15" s="49">
        <v>448</v>
      </c>
      <c r="CQU15" s="49">
        <v>0</v>
      </c>
      <c r="CQV15" s="49">
        <v>0</v>
      </c>
      <c r="CQW15" s="49">
        <v>248</v>
      </c>
      <c r="CQX15" s="67">
        <f t="shared" si="740"/>
        <v>696</v>
      </c>
      <c r="CQY15" s="68">
        <f t="shared" si="741"/>
        <v>116</v>
      </c>
      <c r="CQZ15" s="48">
        <v>437</v>
      </c>
      <c r="CRA15" s="49"/>
      <c r="CRB15" s="49">
        <v>329</v>
      </c>
      <c r="CRC15" s="49"/>
      <c r="CRD15" s="49">
        <v>0</v>
      </c>
      <c r="CRE15" s="49">
        <v>682</v>
      </c>
      <c r="CRF15" s="67">
        <f t="shared" si="742"/>
        <v>1448</v>
      </c>
      <c r="CRG15" s="68">
        <f t="shared" si="743"/>
        <v>241.33333333333334</v>
      </c>
      <c r="CRH15" s="48">
        <v>0</v>
      </c>
      <c r="CRI15" s="49">
        <v>0</v>
      </c>
      <c r="CRJ15" s="49">
        <v>894</v>
      </c>
      <c r="CRK15" s="49">
        <v>0</v>
      </c>
      <c r="CRL15" s="49">
        <v>0</v>
      </c>
      <c r="CRM15" s="49">
        <v>706</v>
      </c>
      <c r="CRN15" s="67">
        <f t="shared" si="744"/>
        <v>1600</v>
      </c>
      <c r="CRO15" s="68">
        <f t="shared" si="745"/>
        <v>266.66666666666669</v>
      </c>
      <c r="CRP15" s="48">
        <v>0</v>
      </c>
      <c r="CRQ15" s="49">
        <v>0</v>
      </c>
      <c r="CRR15" s="49">
        <v>0</v>
      </c>
      <c r="CRS15" s="49">
        <v>1096</v>
      </c>
      <c r="CRT15" s="49">
        <v>0</v>
      </c>
      <c r="CRU15" s="49">
        <v>0</v>
      </c>
      <c r="CRV15" s="47">
        <f t="shared" si="746"/>
        <v>1096</v>
      </c>
      <c r="CRW15" s="68">
        <f t="shared" si="747"/>
        <v>182.66666666666666</v>
      </c>
      <c r="CRX15" s="63">
        <v>338</v>
      </c>
      <c r="CRY15" s="64">
        <v>663</v>
      </c>
      <c r="CRZ15" s="64">
        <v>0</v>
      </c>
      <c r="CSA15" s="64">
        <v>0</v>
      </c>
      <c r="CSB15" s="64">
        <v>0</v>
      </c>
      <c r="CSC15" s="64">
        <v>900</v>
      </c>
      <c r="CSD15" s="67">
        <f t="shared" si="748"/>
        <v>1901</v>
      </c>
      <c r="CSE15" s="68">
        <f t="shared" si="749"/>
        <v>316.83333333333331</v>
      </c>
      <c r="CSF15" s="48">
        <v>0</v>
      </c>
      <c r="CSG15" s="49">
        <v>0</v>
      </c>
      <c r="CSH15" s="49">
        <v>0</v>
      </c>
      <c r="CSI15" s="49">
        <v>826</v>
      </c>
      <c r="CSJ15" s="49">
        <v>0</v>
      </c>
      <c r="CSK15" s="49">
        <v>878</v>
      </c>
      <c r="CSL15" s="64">
        <f t="shared" si="750"/>
        <v>1704</v>
      </c>
      <c r="CSM15" s="68">
        <f t="shared" si="751"/>
        <v>284</v>
      </c>
      <c r="CSN15" s="48">
        <v>324</v>
      </c>
      <c r="CSO15" s="49">
        <v>0</v>
      </c>
      <c r="CSP15" s="49">
        <v>2</v>
      </c>
      <c r="CSQ15" s="49">
        <v>0</v>
      </c>
      <c r="CSR15" s="49">
        <v>440</v>
      </c>
      <c r="CSS15" s="49">
        <v>0</v>
      </c>
      <c r="CST15" s="64">
        <f t="shared" si="752"/>
        <v>766</v>
      </c>
      <c r="CSU15" s="68">
        <f t="shared" si="753"/>
        <v>127.66666666666667</v>
      </c>
      <c r="CSV15" s="48">
        <v>959</v>
      </c>
      <c r="CSW15" s="49">
        <v>0</v>
      </c>
      <c r="CSX15" s="49">
        <v>220</v>
      </c>
      <c r="CSY15" s="49">
        <v>0</v>
      </c>
      <c r="CSZ15" s="49"/>
      <c r="CTA15" s="49">
        <v>0</v>
      </c>
      <c r="CTB15" s="64">
        <f t="shared" si="754"/>
        <v>1179</v>
      </c>
      <c r="CTC15" s="68">
        <f t="shared" si="755"/>
        <v>196.5</v>
      </c>
      <c r="CTD15" s="48">
        <v>0</v>
      </c>
      <c r="CTE15" s="49">
        <v>983</v>
      </c>
      <c r="CTF15" s="49">
        <v>400</v>
      </c>
      <c r="CTG15" s="49">
        <v>0</v>
      </c>
      <c r="CTH15" s="49">
        <v>0</v>
      </c>
      <c r="CTI15" s="49"/>
      <c r="CTJ15" s="64">
        <f t="shared" si="756"/>
        <v>1383</v>
      </c>
      <c r="CTK15" s="68">
        <f t="shared" si="757"/>
        <v>230.5</v>
      </c>
      <c r="CTL15" s="48">
        <v>0</v>
      </c>
      <c r="CTM15" s="49">
        <v>220</v>
      </c>
      <c r="CTN15" s="49">
        <v>0</v>
      </c>
      <c r="CTO15" s="49">
        <v>830</v>
      </c>
      <c r="CTP15" s="49">
        <v>0</v>
      </c>
      <c r="CTQ15" s="49"/>
      <c r="CTR15" s="64">
        <f t="shared" si="758"/>
        <v>1050</v>
      </c>
      <c r="CTS15" s="68">
        <f t="shared" si="759"/>
        <v>175</v>
      </c>
      <c r="CTT15" s="48">
        <v>0</v>
      </c>
      <c r="CTU15" s="49">
        <v>486</v>
      </c>
      <c r="CTV15" s="49">
        <v>0</v>
      </c>
      <c r="CTW15" s="49">
        <v>1704</v>
      </c>
      <c r="CTX15" s="49"/>
      <c r="CTY15" s="49"/>
      <c r="CTZ15" s="64">
        <f t="shared" si="760"/>
        <v>2190</v>
      </c>
      <c r="CUA15" s="68">
        <f t="shared" si="761"/>
        <v>365</v>
      </c>
      <c r="CUB15" s="48">
        <v>0</v>
      </c>
      <c r="CUC15" s="49"/>
      <c r="CUD15" s="49"/>
      <c r="CUE15" s="49">
        <v>956</v>
      </c>
      <c r="CUF15" s="49">
        <v>0</v>
      </c>
      <c r="CUG15" s="49">
        <v>0</v>
      </c>
      <c r="CUH15" s="64">
        <f t="shared" si="762"/>
        <v>956</v>
      </c>
      <c r="CUI15" s="68">
        <f t="shared" si="763"/>
        <v>159.33333333333334</v>
      </c>
      <c r="CUJ15" s="48"/>
      <c r="CUK15" s="49">
        <v>900</v>
      </c>
      <c r="CUL15" s="49">
        <v>327</v>
      </c>
      <c r="CUM15" s="49">
        <v>0</v>
      </c>
      <c r="CUN15" s="49">
        <v>442</v>
      </c>
      <c r="CUO15" s="49">
        <v>0</v>
      </c>
      <c r="CUP15" s="64">
        <f t="shared" si="764"/>
        <v>1669</v>
      </c>
      <c r="CUQ15" s="68">
        <f t="shared" si="765"/>
        <v>278.16666666666669</v>
      </c>
      <c r="CUR15" s="48">
        <v>877</v>
      </c>
      <c r="CUS15" s="49"/>
      <c r="CUT15" s="49"/>
      <c r="CUU15" s="49">
        <v>0</v>
      </c>
      <c r="CUV15" s="49">
        <v>0</v>
      </c>
      <c r="CUW15" s="49">
        <v>824</v>
      </c>
      <c r="CUX15" s="64">
        <f t="shared" si="766"/>
        <v>1701</v>
      </c>
      <c r="CUY15" s="68">
        <f t="shared" si="767"/>
        <v>283.5</v>
      </c>
      <c r="CUZ15" s="48">
        <v>0</v>
      </c>
      <c r="CVA15" s="49">
        <v>0</v>
      </c>
      <c r="CVB15" s="49">
        <v>900</v>
      </c>
      <c r="CVC15" s="49">
        <v>0</v>
      </c>
      <c r="CVD15" s="49">
        <v>663</v>
      </c>
      <c r="CVE15" s="49">
        <v>0</v>
      </c>
      <c r="CVF15" s="64">
        <f t="shared" si="768"/>
        <v>1563</v>
      </c>
      <c r="CVG15" s="68">
        <f t="shared" si="769"/>
        <v>260.5</v>
      </c>
      <c r="CVH15" s="48">
        <v>0</v>
      </c>
      <c r="CVI15" s="49">
        <v>800</v>
      </c>
      <c r="CVJ15" s="49">
        <v>0</v>
      </c>
      <c r="CVK15" s="49">
        <v>0</v>
      </c>
      <c r="CVL15" s="49">
        <v>660</v>
      </c>
      <c r="CVM15" s="49">
        <v>0</v>
      </c>
      <c r="CVN15" s="64">
        <f t="shared" si="770"/>
        <v>1460</v>
      </c>
      <c r="CVO15" s="68">
        <f t="shared" si="771"/>
        <v>243.33333333333334</v>
      </c>
      <c r="CVP15" s="48"/>
      <c r="CVQ15" s="49">
        <v>941</v>
      </c>
      <c r="CVR15" s="49">
        <v>0</v>
      </c>
      <c r="CVS15" s="49">
        <v>0</v>
      </c>
      <c r="CVT15" s="49">
        <v>0</v>
      </c>
      <c r="CVU15" s="49">
        <v>1400</v>
      </c>
      <c r="CVV15" s="64">
        <f t="shared" si="772"/>
        <v>2341</v>
      </c>
      <c r="CVW15" s="68">
        <f t="shared" si="773"/>
        <v>390.16666666666669</v>
      </c>
      <c r="CVX15" s="48">
        <v>0</v>
      </c>
      <c r="CVY15" s="49">
        <v>0</v>
      </c>
      <c r="CVZ15" s="49">
        <v>520</v>
      </c>
      <c r="CWA15" s="49">
        <v>0</v>
      </c>
      <c r="CWB15" s="49">
        <v>1012</v>
      </c>
      <c r="CWC15" s="49">
        <v>0</v>
      </c>
      <c r="CWD15" s="64">
        <f t="shared" si="774"/>
        <v>1532</v>
      </c>
      <c r="CWE15" s="68">
        <f t="shared" si="775"/>
        <v>255.33333333333334</v>
      </c>
      <c r="CWF15" s="48">
        <v>799</v>
      </c>
      <c r="CWG15" s="49">
        <v>0</v>
      </c>
      <c r="CWH15" s="49">
        <v>801</v>
      </c>
      <c r="CWI15" s="49">
        <v>0</v>
      </c>
      <c r="CWJ15" s="49">
        <v>0</v>
      </c>
      <c r="CWK15" s="49">
        <v>699</v>
      </c>
      <c r="CWL15" s="64">
        <f t="shared" si="776"/>
        <v>2299</v>
      </c>
      <c r="CWM15" s="68">
        <f t="shared" si="777"/>
        <v>383.16666666666669</v>
      </c>
      <c r="CWN15" s="48">
        <v>936</v>
      </c>
      <c r="CWO15" s="49">
        <v>456</v>
      </c>
      <c r="CWP15" s="49">
        <v>0</v>
      </c>
      <c r="CWQ15" s="49">
        <v>678</v>
      </c>
      <c r="CWR15" s="49">
        <v>0</v>
      </c>
      <c r="CWS15" s="49">
        <v>220</v>
      </c>
      <c r="CWT15" s="64">
        <f t="shared" si="778"/>
        <v>2290</v>
      </c>
      <c r="CWU15" s="68">
        <f t="shared" si="779"/>
        <v>381.66666666666669</v>
      </c>
      <c r="CWV15" s="48">
        <v>0</v>
      </c>
      <c r="CWW15" s="49">
        <v>1072</v>
      </c>
      <c r="CWX15" s="49">
        <v>0</v>
      </c>
      <c r="CWY15" s="49">
        <v>0</v>
      </c>
      <c r="CWZ15" s="49">
        <v>0</v>
      </c>
      <c r="CXA15" s="49">
        <v>0</v>
      </c>
      <c r="CXB15" s="127">
        <f t="shared" si="780"/>
        <v>1072</v>
      </c>
      <c r="CXC15" s="43">
        <f t="shared" si="781"/>
        <v>178.66666666666666</v>
      </c>
      <c r="CXD15" s="48">
        <v>0</v>
      </c>
      <c r="CXE15" s="49">
        <v>0</v>
      </c>
      <c r="CXF15" s="49">
        <v>1017</v>
      </c>
      <c r="CXG15" s="49">
        <v>0</v>
      </c>
      <c r="CXH15" s="49">
        <v>0</v>
      </c>
      <c r="CXI15" s="49">
        <v>821</v>
      </c>
      <c r="CXJ15" s="127">
        <f t="shared" si="782"/>
        <v>1838</v>
      </c>
      <c r="CXK15" s="43">
        <f t="shared" si="783"/>
        <v>306.33333333333331</v>
      </c>
      <c r="CXL15" s="48">
        <v>110</v>
      </c>
      <c r="CXM15" s="49">
        <v>0</v>
      </c>
      <c r="CXN15" s="49">
        <v>332</v>
      </c>
      <c r="CXO15" s="49">
        <v>982</v>
      </c>
      <c r="CXP15" s="49">
        <v>441</v>
      </c>
      <c r="CXQ15" s="49">
        <v>661</v>
      </c>
      <c r="CXR15" s="127">
        <f t="shared" si="784"/>
        <v>2526</v>
      </c>
      <c r="CXS15" s="43">
        <f t="shared" si="785"/>
        <v>421</v>
      </c>
      <c r="CXT15" s="48">
        <v>0</v>
      </c>
      <c r="CXU15" s="49">
        <v>0</v>
      </c>
      <c r="CXV15" s="49">
        <v>0</v>
      </c>
      <c r="CXW15" s="49">
        <v>461</v>
      </c>
      <c r="CXX15" s="49">
        <v>1371</v>
      </c>
      <c r="CXY15" s="49">
        <v>0</v>
      </c>
      <c r="CXZ15" s="127">
        <f t="shared" si="786"/>
        <v>1832</v>
      </c>
      <c r="CYA15" s="43">
        <f t="shared" si="787"/>
        <v>305.33333333333331</v>
      </c>
      <c r="CYB15" s="48">
        <v>0</v>
      </c>
      <c r="CYC15" s="49">
        <v>0</v>
      </c>
      <c r="CYD15" s="49">
        <v>439</v>
      </c>
      <c r="CYE15" s="49">
        <v>613</v>
      </c>
      <c r="CYF15" s="49">
        <v>330</v>
      </c>
      <c r="CYG15" s="49">
        <v>330</v>
      </c>
      <c r="CYH15" s="127">
        <f t="shared" si="788"/>
        <v>1712</v>
      </c>
      <c r="CYI15" s="43">
        <f t="shared" si="789"/>
        <v>285.33333333333331</v>
      </c>
      <c r="CYJ15" s="48"/>
      <c r="CYK15" s="49">
        <v>331</v>
      </c>
      <c r="CYL15" s="49">
        <v>331</v>
      </c>
      <c r="CYM15" s="49">
        <v>0</v>
      </c>
      <c r="CYN15" s="49">
        <v>977</v>
      </c>
      <c r="CYO15" s="49">
        <v>1603</v>
      </c>
      <c r="CYP15" s="127">
        <f t="shared" si="790"/>
        <v>3242</v>
      </c>
      <c r="CYQ15" s="43">
        <f t="shared" si="791"/>
        <v>540.33333333333337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0</v>
      </c>
      <c r="CYX15" s="127">
        <f t="shared" si="792"/>
        <v>0</v>
      </c>
      <c r="CYY15" s="43">
        <f t="shared" si="793"/>
        <v>0</v>
      </c>
      <c r="CYZ15" s="48">
        <v>662</v>
      </c>
      <c r="CZA15" s="49">
        <v>0</v>
      </c>
      <c r="CZB15" s="49">
        <v>0</v>
      </c>
      <c r="CZC15" s="49">
        <v>440</v>
      </c>
      <c r="CZD15" s="49"/>
      <c r="CZE15" s="49">
        <v>0</v>
      </c>
      <c r="CZF15" s="127">
        <f t="shared" si="794"/>
        <v>1102</v>
      </c>
      <c r="CZG15" s="43">
        <f t="shared" si="795"/>
        <v>220.4</v>
      </c>
      <c r="CZH15" s="48">
        <v>440</v>
      </c>
      <c r="CZI15" s="49">
        <v>0</v>
      </c>
      <c r="CZJ15" s="49">
        <v>0</v>
      </c>
      <c r="CZK15" s="49">
        <v>438</v>
      </c>
      <c r="CZL15" s="49">
        <v>0</v>
      </c>
      <c r="CZM15" s="49">
        <v>816</v>
      </c>
      <c r="CZN15" s="127">
        <f t="shared" si="796"/>
        <v>1694</v>
      </c>
      <c r="CZO15" s="43">
        <f t="shared" si="797"/>
        <v>282.33333333333331</v>
      </c>
      <c r="CZP15" s="48">
        <v>0</v>
      </c>
      <c r="CZQ15" s="49"/>
      <c r="CZR15" s="49"/>
      <c r="CZS15" s="49">
        <v>0</v>
      </c>
      <c r="CZT15" s="49">
        <v>443</v>
      </c>
      <c r="CZU15" s="49">
        <v>0</v>
      </c>
      <c r="CZV15" s="127">
        <f t="shared" si="798"/>
        <v>443</v>
      </c>
      <c r="CZW15" s="43">
        <f t="shared" si="799"/>
        <v>73.833333333333329</v>
      </c>
      <c r="CZX15" s="48">
        <v>659</v>
      </c>
      <c r="CZY15" s="49">
        <v>221</v>
      </c>
      <c r="CZZ15" s="49">
        <v>0</v>
      </c>
      <c r="DAA15" s="49">
        <v>0</v>
      </c>
      <c r="DAB15" s="49">
        <v>0</v>
      </c>
      <c r="DAC15" s="49">
        <v>0</v>
      </c>
      <c r="DAD15" s="64">
        <f t="shared" si="800"/>
        <v>880</v>
      </c>
      <c r="DAE15" s="68">
        <f t="shared" si="801"/>
        <v>146.66666666666666</v>
      </c>
      <c r="DAF15" s="48">
        <v>915</v>
      </c>
      <c r="DAG15" s="49">
        <v>0</v>
      </c>
      <c r="DAH15" s="49">
        <v>0</v>
      </c>
      <c r="DAI15" s="49">
        <v>0</v>
      </c>
      <c r="DAJ15" s="49">
        <v>909</v>
      </c>
      <c r="DAK15" s="49">
        <v>0</v>
      </c>
      <c r="DAL15" s="64">
        <f t="shared" si="802"/>
        <v>1824</v>
      </c>
      <c r="DAM15" s="68">
        <f t="shared" si="803"/>
        <v>304</v>
      </c>
      <c r="DAN15" s="48">
        <v>0</v>
      </c>
      <c r="DAO15" s="49">
        <v>0</v>
      </c>
      <c r="DAP15" s="49">
        <v>0</v>
      </c>
      <c r="DAQ15" s="49">
        <v>0</v>
      </c>
      <c r="DAR15" s="49">
        <v>0</v>
      </c>
      <c r="DAS15" s="49"/>
      <c r="DAT15" s="64">
        <f t="shared" si="804"/>
        <v>0</v>
      </c>
      <c r="DAU15" s="68">
        <f t="shared" si="805"/>
        <v>0</v>
      </c>
      <c r="DAV15" s="48">
        <v>0</v>
      </c>
      <c r="DAW15" s="49">
        <v>0</v>
      </c>
      <c r="DAX15" s="49">
        <v>0</v>
      </c>
      <c r="DAY15" s="49">
        <v>0</v>
      </c>
      <c r="DAZ15" s="49">
        <v>439</v>
      </c>
      <c r="DBA15" s="49">
        <v>0</v>
      </c>
      <c r="DBB15" s="64">
        <f t="shared" si="806"/>
        <v>439</v>
      </c>
      <c r="DBC15" s="68">
        <f t="shared" si="807"/>
        <v>73.166666666666671</v>
      </c>
      <c r="DBD15" s="48">
        <v>0</v>
      </c>
      <c r="DBE15" s="49">
        <v>0</v>
      </c>
      <c r="DBF15" s="49">
        <v>519</v>
      </c>
      <c r="DBG15" s="49">
        <v>440</v>
      </c>
      <c r="DBH15" s="49">
        <v>0</v>
      </c>
      <c r="DBI15" s="49">
        <v>0</v>
      </c>
      <c r="DBJ15" s="64">
        <f t="shared" si="808"/>
        <v>959</v>
      </c>
      <c r="DBK15" s="68">
        <f t="shared" si="809"/>
        <v>159.83333333333334</v>
      </c>
      <c r="DBL15" s="48">
        <v>0</v>
      </c>
      <c r="DBM15" s="49"/>
      <c r="DBN15" s="49">
        <v>898</v>
      </c>
      <c r="DBO15" s="49">
        <v>0</v>
      </c>
      <c r="DBP15" s="49">
        <v>0</v>
      </c>
      <c r="DBQ15" s="49">
        <v>660</v>
      </c>
      <c r="DBR15" s="64">
        <f t="shared" si="810"/>
        <v>1558</v>
      </c>
      <c r="DBS15" s="68">
        <f t="shared" si="811"/>
        <v>259.66666666666669</v>
      </c>
      <c r="DBT15" s="48">
        <v>0</v>
      </c>
      <c r="DBU15" s="49"/>
      <c r="DBV15" s="49"/>
      <c r="DBW15" s="49">
        <v>219</v>
      </c>
      <c r="DBX15" s="49">
        <v>368</v>
      </c>
      <c r="DBY15" s="49"/>
      <c r="DBZ15" s="64">
        <f t="shared" si="812"/>
        <v>587</v>
      </c>
      <c r="DCA15" s="68">
        <f t="shared" si="813"/>
        <v>117.4</v>
      </c>
      <c r="DCB15" s="48">
        <f>600+628</f>
        <v>1228</v>
      </c>
      <c r="DCC15" s="49"/>
      <c r="DCD15" s="49">
        <v>0</v>
      </c>
      <c r="DCE15" s="49">
        <v>660</v>
      </c>
      <c r="DCF15" s="49">
        <v>305</v>
      </c>
      <c r="DCG15" s="49">
        <v>567</v>
      </c>
      <c r="DCH15" s="64">
        <f t="shared" si="814"/>
        <v>2760</v>
      </c>
      <c r="DCI15" s="68">
        <f t="shared" si="815"/>
        <v>460</v>
      </c>
      <c r="DCJ15" s="48">
        <v>0</v>
      </c>
      <c r="DCK15" s="49">
        <v>0</v>
      </c>
      <c r="DCL15" s="49">
        <v>0</v>
      </c>
      <c r="DCM15" s="49">
        <v>776</v>
      </c>
      <c r="DCN15" s="49">
        <v>0</v>
      </c>
      <c r="DCO15" s="49">
        <v>702</v>
      </c>
      <c r="DCP15" s="64">
        <f t="shared" si="816"/>
        <v>1478</v>
      </c>
      <c r="DCQ15" s="68">
        <f t="shared" si="817"/>
        <v>246.33333333333334</v>
      </c>
      <c r="DCR15" s="48">
        <v>0</v>
      </c>
      <c r="DCS15" s="49">
        <v>0</v>
      </c>
      <c r="DCT15" s="49">
        <v>385</v>
      </c>
      <c r="DCU15" s="49">
        <v>1020</v>
      </c>
      <c r="DCV15" s="49">
        <v>0</v>
      </c>
      <c r="DCW15" s="49">
        <v>0</v>
      </c>
      <c r="DCX15" s="64">
        <f t="shared" si="818"/>
        <v>1405</v>
      </c>
      <c r="DCY15" s="68">
        <f t="shared" si="819"/>
        <v>234.16666666666666</v>
      </c>
      <c r="DCZ15" s="48">
        <v>0</v>
      </c>
      <c r="DDA15" s="49">
        <v>220</v>
      </c>
      <c r="DDB15" s="49">
        <v>0</v>
      </c>
      <c r="DDC15" s="49">
        <v>663</v>
      </c>
      <c r="DDD15" s="49"/>
      <c r="DDE15" s="49">
        <v>0</v>
      </c>
      <c r="DDF15" s="64">
        <f t="shared" si="820"/>
        <v>883</v>
      </c>
      <c r="DDG15" s="68">
        <f t="shared" si="821"/>
        <v>147.16666666666666</v>
      </c>
      <c r="DDH15" s="48">
        <v>0</v>
      </c>
      <c r="DDI15" s="49">
        <v>1010</v>
      </c>
      <c r="DDJ15" s="49">
        <v>0</v>
      </c>
      <c r="DDK15" s="49">
        <v>0</v>
      </c>
      <c r="DDL15" s="49">
        <v>407</v>
      </c>
      <c r="DDM15" s="49">
        <v>0</v>
      </c>
      <c r="DDN15" s="127">
        <f t="shared" si="822"/>
        <v>1417</v>
      </c>
      <c r="DDO15" s="43">
        <f t="shared" si="823"/>
        <v>236.16666666666666</v>
      </c>
      <c r="DDP15" s="48">
        <v>0</v>
      </c>
      <c r="DDQ15" s="49">
        <v>440</v>
      </c>
      <c r="DDR15" s="49">
        <v>0</v>
      </c>
      <c r="DDS15" s="49"/>
      <c r="DDT15" s="49">
        <v>1000</v>
      </c>
      <c r="DDU15" s="49">
        <v>0</v>
      </c>
      <c r="DDV15" s="127">
        <f t="shared" si="824"/>
        <v>1440</v>
      </c>
      <c r="DDW15" s="43">
        <f t="shared" si="825"/>
        <v>240</v>
      </c>
      <c r="DDX15" s="48">
        <v>0</v>
      </c>
      <c r="DDY15" s="49">
        <v>0</v>
      </c>
      <c r="DDZ15" s="49">
        <v>330</v>
      </c>
      <c r="DEA15" s="49">
        <v>0</v>
      </c>
      <c r="DEB15" s="49">
        <v>880</v>
      </c>
      <c r="DEC15" s="49">
        <v>0</v>
      </c>
      <c r="DED15" s="127">
        <f t="shared" si="826"/>
        <v>1210</v>
      </c>
      <c r="DEE15" s="43">
        <f t="shared" si="827"/>
        <v>201.66666666666666</v>
      </c>
      <c r="DEF15" s="48">
        <v>0</v>
      </c>
      <c r="DEG15" s="49">
        <v>439</v>
      </c>
      <c r="DEH15" s="49"/>
      <c r="DEI15" s="49">
        <v>0</v>
      </c>
      <c r="DEJ15" s="49">
        <v>486</v>
      </c>
      <c r="DEK15" s="49">
        <v>327</v>
      </c>
      <c r="DEL15" s="127">
        <f t="shared" si="828"/>
        <v>1252</v>
      </c>
      <c r="DEM15" s="43">
        <f t="shared" si="829"/>
        <v>208.66666666666666</v>
      </c>
      <c r="DEN15" s="48">
        <v>0</v>
      </c>
      <c r="DEO15" s="49">
        <v>656</v>
      </c>
      <c r="DEP15" s="49">
        <v>0</v>
      </c>
      <c r="DEQ15" s="49">
        <v>0</v>
      </c>
      <c r="DER15" s="49"/>
      <c r="DES15" s="49">
        <v>881</v>
      </c>
      <c r="DET15" s="127">
        <f t="shared" si="830"/>
        <v>1537</v>
      </c>
      <c r="DEU15" s="43">
        <f t="shared" si="831"/>
        <v>256.16666666666669</v>
      </c>
      <c r="DEV15" s="48">
        <v>0</v>
      </c>
      <c r="DEW15" s="49"/>
      <c r="DEX15" s="49">
        <v>0</v>
      </c>
      <c r="DEY15" s="49">
        <v>882</v>
      </c>
      <c r="DEZ15" s="49">
        <v>0</v>
      </c>
      <c r="DFA15" s="49">
        <v>0</v>
      </c>
      <c r="DFB15" s="127">
        <f t="shared" si="832"/>
        <v>882</v>
      </c>
      <c r="DFC15" s="43">
        <f t="shared" si="833"/>
        <v>147</v>
      </c>
      <c r="DFD15" s="48">
        <v>0</v>
      </c>
      <c r="DFE15" s="49">
        <v>890</v>
      </c>
      <c r="DFF15" s="49">
        <v>0</v>
      </c>
      <c r="DFG15" s="49">
        <v>0</v>
      </c>
      <c r="DFH15" s="49">
        <v>970</v>
      </c>
      <c r="DFI15" s="49"/>
      <c r="DFJ15" s="127">
        <f t="shared" si="834"/>
        <v>1860</v>
      </c>
      <c r="DFK15" s="43">
        <f t="shared" si="835"/>
        <v>310</v>
      </c>
      <c r="DFL15" s="63"/>
      <c r="DFM15" s="64">
        <v>0</v>
      </c>
      <c r="DFN15" s="64">
        <v>1017</v>
      </c>
      <c r="DFO15" s="64">
        <v>0</v>
      </c>
      <c r="DFP15" s="64">
        <v>550</v>
      </c>
      <c r="DFQ15" s="64">
        <v>110</v>
      </c>
      <c r="DFR15" s="64">
        <f t="shared" si="836"/>
        <v>1677</v>
      </c>
      <c r="DFS15" s="68">
        <f t="shared" si="837"/>
        <v>279.5</v>
      </c>
      <c r="DFT15" s="48">
        <v>0</v>
      </c>
      <c r="DFU15" s="49">
        <v>0</v>
      </c>
      <c r="DFV15" s="49">
        <v>0</v>
      </c>
      <c r="DFW15" s="49">
        <v>1000</v>
      </c>
      <c r="DFX15" s="49"/>
      <c r="DFY15" s="49">
        <v>220</v>
      </c>
      <c r="DFZ15" s="127">
        <f t="shared" si="838"/>
        <v>1220</v>
      </c>
      <c r="DGA15" s="43">
        <f t="shared" si="839"/>
        <v>203.33333333333334</v>
      </c>
      <c r="DGB15" s="48">
        <v>895</v>
      </c>
      <c r="DGC15" s="49">
        <v>0</v>
      </c>
      <c r="DGD15" s="49">
        <v>0</v>
      </c>
      <c r="DGE15" s="49"/>
      <c r="DGF15" s="49">
        <v>536</v>
      </c>
      <c r="DGG15" s="49">
        <v>0</v>
      </c>
      <c r="DGH15" s="127">
        <f t="shared" si="840"/>
        <v>1431</v>
      </c>
      <c r="DGI15" s="43">
        <f t="shared" si="841"/>
        <v>238.5</v>
      </c>
      <c r="DGJ15" s="48">
        <v>144</v>
      </c>
      <c r="DGK15" s="49">
        <v>326</v>
      </c>
      <c r="DGL15" s="49">
        <v>0</v>
      </c>
      <c r="DGM15" s="49">
        <v>0</v>
      </c>
      <c r="DGN15" s="49">
        <v>0</v>
      </c>
      <c r="DGO15" s="49"/>
      <c r="DGP15" s="64">
        <f t="shared" si="842"/>
        <v>470</v>
      </c>
      <c r="DGQ15" s="68">
        <f t="shared" si="843"/>
        <v>78.333333333333329</v>
      </c>
      <c r="DGR15" s="48">
        <v>902</v>
      </c>
      <c r="DGS15" s="49">
        <v>0</v>
      </c>
      <c r="DGT15" s="49">
        <v>221</v>
      </c>
      <c r="DGU15" s="49">
        <v>0</v>
      </c>
      <c r="DGV15" s="49">
        <v>549</v>
      </c>
      <c r="DGW15" s="49"/>
      <c r="DGX15" s="64">
        <f t="shared" si="844"/>
        <v>1672</v>
      </c>
      <c r="DGY15" s="68">
        <f t="shared" si="845"/>
        <v>278.66666666666669</v>
      </c>
      <c r="DGZ15" s="48">
        <v>900</v>
      </c>
      <c r="DHA15" s="49">
        <v>0</v>
      </c>
      <c r="DHB15" s="49">
        <v>220</v>
      </c>
      <c r="DHC15" s="49">
        <v>0</v>
      </c>
      <c r="DHD15" s="49">
        <v>0</v>
      </c>
      <c r="DHE15" s="49">
        <v>647</v>
      </c>
      <c r="DHF15" s="64">
        <f t="shared" si="846"/>
        <v>1767</v>
      </c>
      <c r="DHG15" s="68">
        <f t="shared" si="847"/>
        <v>294.5</v>
      </c>
      <c r="DHH15" s="63"/>
      <c r="DHI15" s="64">
        <v>404</v>
      </c>
      <c r="DHJ15" s="64">
        <v>0</v>
      </c>
      <c r="DHK15" s="64">
        <v>802</v>
      </c>
      <c r="DHL15" s="64">
        <v>0</v>
      </c>
      <c r="DHM15" s="64">
        <v>0</v>
      </c>
      <c r="DHN15" s="64">
        <f t="shared" si="848"/>
        <v>1206</v>
      </c>
      <c r="DHO15" s="68">
        <f t="shared" si="849"/>
        <v>201</v>
      </c>
      <c r="DHP15" s="48">
        <v>0</v>
      </c>
      <c r="DHQ15" s="49">
        <v>0</v>
      </c>
      <c r="DHR15" s="49">
        <v>0</v>
      </c>
      <c r="DHS15" s="49">
        <v>953</v>
      </c>
      <c r="DHT15" s="49">
        <v>0</v>
      </c>
      <c r="DHU15" s="49">
        <v>440</v>
      </c>
      <c r="DHV15" s="64">
        <f t="shared" si="850"/>
        <v>1393</v>
      </c>
      <c r="DHW15" s="68">
        <f t="shared" si="851"/>
        <v>232.16666666666666</v>
      </c>
      <c r="DHX15" s="48">
        <v>222</v>
      </c>
      <c r="DHY15" s="49"/>
      <c r="DHZ15" s="49">
        <v>0</v>
      </c>
      <c r="DIA15" s="49">
        <v>0</v>
      </c>
      <c r="DIB15" s="49">
        <v>0</v>
      </c>
      <c r="DIC15" s="49">
        <v>991</v>
      </c>
      <c r="DID15" s="64">
        <f t="shared" si="852"/>
        <v>1213</v>
      </c>
      <c r="DIE15" s="68">
        <f t="shared" si="853"/>
        <v>202.16666666666666</v>
      </c>
      <c r="DIF15" s="48"/>
      <c r="DIG15" s="49">
        <v>219</v>
      </c>
      <c r="DIH15" s="49">
        <v>0</v>
      </c>
      <c r="DII15" s="49">
        <v>0</v>
      </c>
      <c r="DIJ15" s="49">
        <v>1000</v>
      </c>
      <c r="DIK15" s="49"/>
      <c r="DIL15" s="64">
        <f t="shared" si="854"/>
        <v>1219</v>
      </c>
      <c r="DIM15" s="68">
        <f t="shared" si="855"/>
        <v>203.16666666666666</v>
      </c>
      <c r="DIN15" s="48">
        <v>0</v>
      </c>
      <c r="DIO15" s="49"/>
      <c r="DIP15" s="49">
        <v>0</v>
      </c>
      <c r="DIQ15" s="49">
        <v>0</v>
      </c>
      <c r="DIR15" s="49">
        <v>0</v>
      </c>
      <c r="DIS15" s="49">
        <v>897</v>
      </c>
      <c r="DIT15" s="64">
        <f t="shared" si="856"/>
        <v>897</v>
      </c>
      <c r="DIU15" s="68">
        <f t="shared" si="857"/>
        <v>149.5</v>
      </c>
      <c r="DIV15" s="48">
        <f>SUMIF(SUMPK!$B:$B,$B:$B,SUMPK!$O:$O)</f>
        <v>0</v>
      </c>
      <c r="DIW15" s="49">
        <v>599</v>
      </c>
      <c r="DIX15" s="49">
        <v>0</v>
      </c>
      <c r="DIY15" s="49">
        <v>0</v>
      </c>
      <c r="DIZ15" s="49">
        <v>835</v>
      </c>
      <c r="DJA15" s="49">
        <v>0</v>
      </c>
      <c r="DJB15" s="64">
        <f t="shared" si="858"/>
        <v>1434</v>
      </c>
      <c r="DJC15" s="68">
        <f t="shared" si="859"/>
        <v>239</v>
      </c>
      <c r="DJD15" s="48">
        <v>0</v>
      </c>
      <c r="DJE15" s="49">
        <v>0</v>
      </c>
      <c r="DJF15" s="49">
        <v>878</v>
      </c>
      <c r="DJG15" s="49">
        <v>0</v>
      </c>
      <c r="DJH15" s="49">
        <v>442</v>
      </c>
      <c r="DJI15" s="49"/>
      <c r="DJJ15" s="64">
        <f t="shared" si="860"/>
        <v>1320</v>
      </c>
      <c r="DJK15" s="68">
        <f t="shared" si="861"/>
        <v>220</v>
      </c>
      <c r="DJL15" s="48">
        <v>0</v>
      </c>
      <c r="DJM15" s="49">
        <v>0</v>
      </c>
      <c r="DJN15" s="49">
        <v>633</v>
      </c>
      <c r="DJO15" s="49">
        <v>0</v>
      </c>
      <c r="DJP15" s="49">
        <v>246</v>
      </c>
      <c r="DJQ15" s="49">
        <v>4</v>
      </c>
      <c r="DJR15" s="64">
        <f t="shared" si="862"/>
        <v>883</v>
      </c>
      <c r="DJS15" s="68">
        <f t="shared" si="863"/>
        <v>147.16666666666666</v>
      </c>
      <c r="DJT15" s="48"/>
      <c r="DJU15" s="49">
        <v>0</v>
      </c>
      <c r="DJV15" s="49">
        <v>0</v>
      </c>
      <c r="DJW15" s="49">
        <v>0</v>
      </c>
      <c r="DJX15" s="49">
        <v>791</v>
      </c>
      <c r="DJY15" s="49">
        <v>238</v>
      </c>
      <c r="DJZ15" s="64">
        <f t="shared" si="864"/>
        <v>1029</v>
      </c>
      <c r="DKA15" s="68">
        <f t="shared" si="865"/>
        <v>171.5</v>
      </c>
      <c r="DKB15" s="48">
        <v>438</v>
      </c>
      <c r="DKC15" s="49">
        <v>0</v>
      </c>
      <c r="DKD15" s="49">
        <v>0</v>
      </c>
      <c r="DKE15" s="49">
        <v>977</v>
      </c>
      <c r="DKF15" s="49">
        <v>0</v>
      </c>
      <c r="DKG15" s="49">
        <v>226</v>
      </c>
      <c r="DKH15" s="64">
        <f t="shared" si="866"/>
        <v>1641</v>
      </c>
      <c r="DKI15" s="68">
        <f t="shared" si="867"/>
        <v>273.5</v>
      </c>
      <c r="DKJ15" s="48"/>
      <c r="DKK15" s="49">
        <v>0</v>
      </c>
      <c r="DKL15" s="49">
        <v>0</v>
      </c>
      <c r="DKM15" s="49">
        <v>0</v>
      </c>
      <c r="DKN15" s="49">
        <v>520</v>
      </c>
      <c r="DKO15" s="49">
        <v>1101</v>
      </c>
      <c r="DKP15" s="64">
        <f t="shared" si="868"/>
        <v>1621</v>
      </c>
      <c r="DKQ15" s="68">
        <f t="shared" si="869"/>
        <v>270.16666666666669</v>
      </c>
      <c r="DKR15" s="48">
        <v>0</v>
      </c>
      <c r="DKS15" s="49">
        <v>0</v>
      </c>
      <c r="DKT15" s="49">
        <v>435</v>
      </c>
      <c r="DKU15" s="49">
        <v>0</v>
      </c>
      <c r="DKV15" s="49">
        <v>0</v>
      </c>
      <c r="DKW15" s="49">
        <v>0</v>
      </c>
      <c r="DKX15" s="64">
        <f t="shared" si="870"/>
        <v>435</v>
      </c>
      <c r="DKY15" s="68">
        <f t="shared" si="871"/>
        <v>72.5</v>
      </c>
      <c r="DKZ15" s="48">
        <v>919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2"/>
        <v>919</v>
      </c>
      <c r="DLG15" s="68">
        <f t="shared" si="873"/>
        <v>153.16666666666666</v>
      </c>
      <c r="DLH15" s="48"/>
      <c r="DLI15" s="49">
        <v>0</v>
      </c>
      <c r="DLJ15" s="49">
        <v>977</v>
      </c>
      <c r="DLK15" s="49">
        <f>SUMIF(SUMPK!$B:$B,$B:$B,SUMPK!$O:$O)</f>
        <v>0</v>
      </c>
      <c r="DLL15" s="49"/>
      <c r="DLM15" s="49">
        <v>1024</v>
      </c>
      <c r="DLN15" s="64">
        <f t="shared" si="874"/>
        <v>2001</v>
      </c>
      <c r="DLO15" s="68">
        <f t="shared" si="875"/>
        <v>333.5</v>
      </c>
      <c r="DLP15" s="48">
        <v>0</v>
      </c>
      <c r="DLR15" s="49">
        <v>0</v>
      </c>
      <c r="DLS15" s="49">
        <v>440</v>
      </c>
      <c r="DLT15" s="49">
        <v>0</v>
      </c>
      <c r="DLU15" s="49">
        <v>0</v>
      </c>
      <c r="DLV15" s="64">
        <f t="shared" si="876"/>
        <v>440</v>
      </c>
      <c r="DLW15" s="68">
        <f t="shared" si="877"/>
        <v>73.333333333333329</v>
      </c>
      <c r="DLX15" s="48">
        <v>0</v>
      </c>
      <c r="DLY15" s="49">
        <v>0</v>
      </c>
      <c r="DLZ15" s="49">
        <v>550</v>
      </c>
      <c r="DMA15" s="49">
        <v>331</v>
      </c>
      <c r="DMB15" s="49">
        <v>353</v>
      </c>
      <c r="DMC15" s="49"/>
      <c r="DMD15" s="64">
        <f t="shared" si="878"/>
        <v>1234</v>
      </c>
      <c r="DME15" s="68">
        <f t="shared" si="879"/>
        <v>205.66666666666666</v>
      </c>
      <c r="DMF15" s="48"/>
      <c r="DMG15" s="49"/>
      <c r="DMH15" s="49"/>
      <c r="DMI15" s="49">
        <v>0</v>
      </c>
      <c r="DMJ15" s="49">
        <v>870</v>
      </c>
      <c r="DMK15" s="49">
        <v>0</v>
      </c>
      <c r="DML15" s="64">
        <f t="shared" si="880"/>
        <v>870</v>
      </c>
      <c r="DMM15" s="68">
        <f t="shared" si="881"/>
        <v>145</v>
      </c>
      <c r="DMN15" s="48">
        <v>0</v>
      </c>
      <c r="DMO15" s="49">
        <v>883</v>
      </c>
      <c r="DMP15" s="49">
        <v>0</v>
      </c>
      <c r="DMQ15" s="49">
        <v>0</v>
      </c>
      <c r="DMR15" s="49">
        <v>551</v>
      </c>
      <c r="DMS15" s="49">
        <v>220</v>
      </c>
      <c r="DMT15" s="64">
        <f t="shared" si="882"/>
        <v>1654</v>
      </c>
      <c r="DMU15" s="68">
        <f t="shared" si="883"/>
        <v>275.66666666666669</v>
      </c>
      <c r="DMV15" s="48">
        <v>0</v>
      </c>
      <c r="DMW15" s="49">
        <v>0</v>
      </c>
      <c r="DMX15" s="49">
        <v>600</v>
      </c>
      <c r="DMY15" s="49">
        <v>400</v>
      </c>
      <c r="DMZ15" s="49">
        <v>0</v>
      </c>
      <c r="DNA15" s="49">
        <v>0</v>
      </c>
      <c r="DNB15" s="64">
        <f t="shared" si="884"/>
        <v>1000</v>
      </c>
      <c r="DNC15" s="68">
        <f t="shared" si="885"/>
        <v>166.66666666666666</v>
      </c>
      <c r="DND15" s="48"/>
      <c r="DNE15" s="49">
        <v>0</v>
      </c>
      <c r="DNF15" s="49">
        <v>900</v>
      </c>
      <c r="DNG15" s="49"/>
      <c r="DNH15" s="49">
        <v>0</v>
      </c>
      <c r="DNI15" s="49">
        <v>1060</v>
      </c>
      <c r="DNJ15" s="64">
        <f t="shared" si="886"/>
        <v>1960</v>
      </c>
      <c r="DNK15" s="68">
        <f t="shared" si="887"/>
        <v>326.66666666666669</v>
      </c>
      <c r="DNL15" s="48"/>
      <c r="DNM15" s="49"/>
      <c r="DNN15" s="49">
        <v>0</v>
      </c>
      <c r="DNO15" s="49">
        <v>1247</v>
      </c>
      <c r="DNP15" s="49">
        <v>0</v>
      </c>
      <c r="DNQ15" s="49">
        <v>0</v>
      </c>
      <c r="DNR15" s="64">
        <f t="shared" si="888"/>
        <v>1247</v>
      </c>
      <c r="DNS15" s="68">
        <f t="shared" si="889"/>
        <v>207.83333333333334</v>
      </c>
      <c r="DNT15" s="48"/>
      <c r="DNU15" s="49">
        <v>468</v>
      </c>
      <c r="DNV15" s="49">
        <v>0</v>
      </c>
      <c r="DNW15" s="49"/>
      <c r="DNX15" s="49">
        <v>220</v>
      </c>
      <c r="DNY15" s="49">
        <v>828</v>
      </c>
      <c r="DNZ15" s="64">
        <f t="shared" si="890"/>
        <v>1516</v>
      </c>
      <c r="DOA15" s="68">
        <f t="shared" si="891"/>
        <v>252.66666666666666</v>
      </c>
      <c r="DOB15" s="48">
        <v>0</v>
      </c>
      <c r="DOC15" s="49">
        <v>219</v>
      </c>
      <c r="DOD15" s="49"/>
      <c r="DOE15" s="49">
        <v>0</v>
      </c>
      <c r="DOF15" s="49">
        <v>0</v>
      </c>
      <c r="DOG15" s="49">
        <v>1012</v>
      </c>
      <c r="DOH15" s="64">
        <f t="shared" si="892"/>
        <v>1231</v>
      </c>
      <c r="DOI15" s="68">
        <f t="shared" si="893"/>
        <v>205.16666666666666</v>
      </c>
      <c r="DOJ15" s="48">
        <v>0</v>
      </c>
      <c r="DOK15" s="49">
        <v>0</v>
      </c>
      <c r="DOL15" s="49"/>
      <c r="DOM15" s="49">
        <v>637</v>
      </c>
      <c r="DON15" s="49">
        <v>0</v>
      </c>
      <c r="DOO15" s="49">
        <v>0</v>
      </c>
      <c r="DOP15" s="64">
        <f t="shared" si="894"/>
        <v>637</v>
      </c>
      <c r="DOQ15" s="68">
        <f t="shared" si="895"/>
        <v>106.16666666666667</v>
      </c>
      <c r="DOR15" s="48">
        <v>1200</v>
      </c>
      <c r="DOS15" s="49">
        <v>0</v>
      </c>
      <c r="DOT15" s="49"/>
      <c r="DOU15" s="49">
        <v>0</v>
      </c>
      <c r="DOV15" s="49"/>
      <c r="DOW15" s="49">
        <v>1042</v>
      </c>
      <c r="DOX15" s="64">
        <f t="shared" si="896"/>
        <v>2242</v>
      </c>
      <c r="DOY15" s="68">
        <f t="shared" si="897"/>
        <v>373.66666666666669</v>
      </c>
      <c r="DOZ15" s="48"/>
      <c r="DPA15" s="49">
        <v>0</v>
      </c>
      <c r="DPB15" s="49">
        <v>902</v>
      </c>
      <c r="DPC15" s="49">
        <v>0</v>
      </c>
      <c r="DPD15" s="49">
        <v>800</v>
      </c>
      <c r="DPE15" s="49">
        <v>0</v>
      </c>
      <c r="DPF15" s="64">
        <f t="shared" si="898"/>
        <v>1702</v>
      </c>
      <c r="DPG15" s="68">
        <f t="shared" si="899"/>
        <v>283.66666666666669</v>
      </c>
      <c r="DPH15" s="48">
        <v>0</v>
      </c>
      <c r="DPI15" s="49">
        <v>0</v>
      </c>
      <c r="DPJ15" s="49">
        <v>0</v>
      </c>
      <c r="DPK15" s="49">
        <v>901</v>
      </c>
      <c r="DPL15" s="49">
        <v>0</v>
      </c>
      <c r="DPM15" s="49">
        <v>440</v>
      </c>
      <c r="DPN15" s="64">
        <f t="shared" si="900"/>
        <v>1341</v>
      </c>
      <c r="DPO15" s="68">
        <f t="shared" si="901"/>
        <v>223.5</v>
      </c>
      <c r="DPP15" s="48">
        <v>0</v>
      </c>
      <c r="DPQ15" s="49">
        <v>0</v>
      </c>
      <c r="DPR15" s="49">
        <v>0</v>
      </c>
      <c r="DPS15" s="49">
        <v>868</v>
      </c>
      <c r="DPT15" s="49">
        <v>0</v>
      </c>
      <c r="DPU15" s="49">
        <v>0</v>
      </c>
      <c r="DPV15" s="491">
        <f t="shared" si="902"/>
        <v>868</v>
      </c>
      <c r="DPW15" s="492">
        <f t="shared" si="903"/>
        <v>144.66666666666666</v>
      </c>
      <c r="DPX15" s="48">
        <v>0</v>
      </c>
      <c r="DPY15" s="49">
        <v>1711</v>
      </c>
      <c r="DPZ15" s="49">
        <v>0</v>
      </c>
      <c r="DQA15" s="49">
        <v>223</v>
      </c>
      <c r="DQB15" s="49">
        <v>0</v>
      </c>
      <c r="DQC15" s="49"/>
      <c r="DQD15" s="491">
        <f t="shared" si="904"/>
        <v>1934</v>
      </c>
      <c r="DQE15" s="492">
        <f t="shared" si="905"/>
        <v>322.33333333333331</v>
      </c>
      <c r="DQF15" s="48">
        <v>0</v>
      </c>
      <c r="DQG15" s="49">
        <v>0</v>
      </c>
      <c r="DQH15" s="49">
        <v>442</v>
      </c>
      <c r="DQI15" s="49"/>
      <c r="DQJ15" s="49">
        <v>724</v>
      </c>
      <c r="DQK15" s="49">
        <v>853</v>
      </c>
      <c r="DQL15" s="489">
        <f t="shared" si="906"/>
        <v>2019</v>
      </c>
      <c r="DQM15" s="492">
        <f t="shared" si="907"/>
        <v>336.5</v>
      </c>
      <c r="DQN15" s="48">
        <v>0</v>
      </c>
      <c r="DQO15" s="49">
        <v>0</v>
      </c>
      <c r="DQP15" s="49">
        <v>0</v>
      </c>
      <c r="DQQ15" s="49">
        <v>0</v>
      </c>
      <c r="DQR15" s="49">
        <v>671</v>
      </c>
      <c r="DQS15" s="49">
        <v>0</v>
      </c>
      <c r="DQT15" s="64">
        <f t="shared" si="908"/>
        <v>671</v>
      </c>
      <c r="DQU15" s="68">
        <f t="shared" si="909"/>
        <v>111.83333333333333</v>
      </c>
      <c r="DQV15" s="48">
        <v>0</v>
      </c>
      <c r="DQW15" s="49">
        <v>0</v>
      </c>
      <c r="DQX15" s="49">
        <v>0</v>
      </c>
      <c r="DQY15" s="49">
        <v>803</v>
      </c>
      <c r="DQZ15" s="49">
        <v>0</v>
      </c>
      <c r="DRA15" s="49">
        <v>0</v>
      </c>
      <c r="DRB15" s="491">
        <f t="shared" si="910"/>
        <v>803</v>
      </c>
      <c r="DRC15" s="492">
        <f t="shared" si="911"/>
        <v>133.83333333333334</v>
      </c>
      <c r="DRD15" s="48">
        <v>0</v>
      </c>
      <c r="DRE15" s="49">
        <v>1007</v>
      </c>
      <c r="DRF15" s="49">
        <v>0</v>
      </c>
      <c r="DRG15" s="49">
        <v>0</v>
      </c>
      <c r="DRH15" s="49">
        <v>0</v>
      </c>
      <c r="DRI15" s="49"/>
      <c r="DRJ15" s="491">
        <f t="shared" si="912"/>
        <v>1007</v>
      </c>
      <c r="DRK15" s="492">
        <f t="shared" si="913"/>
        <v>167.83333333333334</v>
      </c>
      <c r="DRL15" s="48"/>
      <c r="DRM15" s="49">
        <v>220</v>
      </c>
      <c r="DRN15" s="49"/>
      <c r="DRO15" s="49">
        <v>0</v>
      </c>
      <c r="DRP15" s="49">
        <v>0</v>
      </c>
      <c r="DRQ15" s="49">
        <v>442</v>
      </c>
      <c r="DRR15" s="64">
        <f t="shared" si="914"/>
        <v>662</v>
      </c>
      <c r="DRS15" s="68">
        <f t="shared" si="915"/>
        <v>110.33333333333333</v>
      </c>
      <c r="DRT15" s="48">
        <v>0</v>
      </c>
      <c r="DRU15" s="49">
        <v>0</v>
      </c>
      <c r="DRV15" s="49">
        <v>0</v>
      </c>
      <c r="DRW15" s="49">
        <v>0</v>
      </c>
      <c r="DRX15" s="49">
        <v>330</v>
      </c>
      <c r="DRY15" s="49"/>
      <c r="DRZ15" s="491">
        <f t="shared" si="916"/>
        <v>330</v>
      </c>
      <c r="DSA15" s="68">
        <f t="shared" si="917"/>
        <v>55</v>
      </c>
      <c r="DSB15" s="82">
        <v>0</v>
      </c>
      <c r="DSC15" s="83">
        <v>0</v>
      </c>
      <c r="DSD15" s="83">
        <v>0</v>
      </c>
      <c r="DSE15" s="83"/>
      <c r="DSF15" s="83"/>
      <c r="DSG15" s="83">
        <v>660</v>
      </c>
      <c r="DSH15" s="64">
        <f t="shared" si="918"/>
        <v>660</v>
      </c>
      <c r="DSI15" s="68">
        <f t="shared" si="919"/>
        <v>110</v>
      </c>
      <c r="DSJ15" s="48">
        <v>0</v>
      </c>
      <c r="DSK15" s="49">
        <v>0</v>
      </c>
      <c r="DSL15" s="49">
        <v>0</v>
      </c>
      <c r="DSM15" s="49">
        <v>0</v>
      </c>
      <c r="DSN15" s="49">
        <v>0</v>
      </c>
      <c r="DSO15" s="49">
        <v>641</v>
      </c>
      <c r="DSP15" s="64">
        <f t="shared" si="920"/>
        <v>641</v>
      </c>
      <c r="DSQ15" s="68">
        <f t="shared" si="921"/>
        <v>106.83333333333333</v>
      </c>
      <c r="DSR15" s="48">
        <v>0</v>
      </c>
      <c r="DSS15" s="49">
        <v>0</v>
      </c>
      <c r="DST15" s="49">
        <v>668</v>
      </c>
      <c r="DSU15" s="49">
        <v>0</v>
      </c>
      <c r="DSV15" s="49">
        <v>0</v>
      </c>
      <c r="DSW15" s="49">
        <v>0</v>
      </c>
      <c r="DSX15" s="64">
        <f t="shared" si="922"/>
        <v>668</v>
      </c>
      <c r="DSY15" s="68">
        <f t="shared" si="923"/>
        <v>111.33333333333333</v>
      </c>
      <c r="DSZ15" s="48">
        <v>0</v>
      </c>
      <c r="DTA15" s="49"/>
      <c r="DTB15" s="49">
        <v>651</v>
      </c>
      <c r="DTC15" s="49">
        <v>0</v>
      </c>
      <c r="DTD15" s="49">
        <v>0</v>
      </c>
      <c r="DTE15" s="49">
        <v>0</v>
      </c>
      <c r="DTF15" s="64">
        <f t="shared" si="924"/>
        <v>651</v>
      </c>
      <c r="DTG15" s="68">
        <f t="shared" si="925"/>
        <v>108.5</v>
      </c>
      <c r="DTH15" s="48"/>
      <c r="DTI15" s="49">
        <v>383</v>
      </c>
      <c r="DTJ15" s="49">
        <v>747</v>
      </c>
      <c r="DTK15" s="49">
        <v>0</v>
      </c>
      <c r="DTL15" s="49">
        <v>0</v>
      </c>
      <c r="DTM15" s="49">
        <v>0</v>
      </c>
      <c r="DTN15" s="64">
        <f t="shared" si="926"/>
        <v>1130</v>
      </c>
      <c r="DTO15" s="68">
        <f t="shared" si="927"/>
        <v>188.33333333333334</v>
      </c>
      <c r="DTP15" s="48">
        <v>0</v>
      </c>
      <c r="DTQ15" s="49">
        <v>0</v>
      </c>
      <c r="DTR15" s="49"/>
      <c r="DTS15" s="49">
        <v>0</v>
      </c>
      <c r="DTT15" s="49">
        <v>629</v>
      </c>
      <c r="DTU15" s="49">
        <v>0</v>
      </c>
      <c r="DTV15" s="64">
        <f t="shared" si="928"/>
        <v>629</v>
      </c>
      <c r="DTW15" s="68">
        <f t="shared" si="929"/>
        <v>104.83333333333333</v>
      </c>
      <c r="DTX15" s="48">
        <v>0</v>
      </c>
      <c r="DTY15" s="49">
        <v>438</v>
      </c>
      <c r="DTZ15" s="49"/>
      <c r="DUA15" s="49">
        <v>0</v>
      </c>
      <c r="DUB15" s="49">
        <v>0</v>
      </c>
      <c r="DUC15" s="49">
        <v>601</v>
      </c>
      <c r="DUD15" s="64">
        <f t="shared" si="930"/>
        <v>1039</v>
      </c>
      <c r="DUE15" s="68">
        <f t="shared" si="931"/>
        <v>173.16666666666666</v>
      </c>
      <c r="DUF15" s="48">
        <v>363</v>
      </c>
      <c r="DUG15" s="49">
        <v>0</v>
      </c>
      <c r="DUH15" s="49"/>
      <c r="DUI15" s="49">
        <v>426</v>
      </c>
      <c r="DUJ15" s="49">
        <v>665</v>
      </c>
      <c r="DUK15" s="49">
        <v>0</v>
      </c>
      <c r="DUL15" s="64">
        <f t="shared" si="932"/>
        <v>1454</v>
      </c>
      <c r="DUM15" s="68">
        <f t="shared" si="933"/>
        <v>242.33333333333334</v>
      </c>
      <c r="DUN15" s="48"/>
      <c r="DUO15" s="49">
        <v>0</v>
      </c>
      <c r="DUP15" s="49">
        <v>0</v>
      </c>
      <c r="DUQ15" s="49">
        <v>0</v>
      </c>
      <c r="DUR15" s="49"/>
      <c r="DUS15" s="49">
        <v>441</v>
      </c>
      <c r="DUT15" s="64">
        <f t="shared" si="934"/>
        <v>441</v>
      </c>
      <c r="DUU15" s="184">
        <f t="shared" si="935"/>
        <v>73.5</v>
      </c>
      <c r="DUV15" s="48"/>
      <c r="DUW15" s="49">
        <v>0</v>
      </c>
      <c r="DUX15" s="49">
        <v>441</v>
      </c>
      <c r="DUY15" s="49">
        <v>728</v>
      </c>
      <c r="DUZ15" s="49">
        <v>0</v>
      </c>
      <c r="DVA15" s="49"/>
      <c r="DVB15" s="64">
        <f t="shared" si="936"/>
        <v>1169</v>
      </c>
      <c r="DVC15" s="68">
        <f t="shared" si="937"/>
        <v>194.83333333333334</v>
      </c>
      <c r="DVD15" s="48"/>
      <c r="DVE15" s="49">
        <v>0</v>
      </c>
      <c r="DVF15" s="49">
        <v>332</v>
      </c>
      <c r="DVG15" s="49">
        <v>0</v>
      </c>
      <c r="DVH15" s="49">
        <v>0</v>
      </c>
      <c r="DVI15" s="49"/>
      <c r="DVJ15" s="64">
        <f t="shared" si="938"/>
        <v>332</v>
      </c>
      <c r="DVK15" s="68">
        <f t="shared" si="939"/>
        <v>55.333333333333336</v>
      </c>
      <c r="DVL15" s="48">
        <v>0</v>
      </c>
      <c r="DVM15" s="49">
        <v>0</v>
      </c>
      <c r="DVN15" s="49">
        <v>437</v>
      </c>
      <c r="DVO15" s="49">
        <v>0</v>
      </c>
      <c r="DVP15" s="49">
        <v>0</v>
      </c>
      <c r="DVQ15" s="49"/>
      <c r="DVR15" s="64">
        <f t="shared" si="940"/>
        <v>437</v>
      </c>
      <c r="DVS15" s="68">
        <f t="shared" si="941"/>
        <v>72.833333333333329</v>
      </c>
      <c r="DVT15" s="48"/>
      <c r="DVU15" s="49">
        <v>0</v>
      </c>
      <c r="DVV15" s="49">
        <v>655</v>
      </c>
      <c r="DVW15" s="49">
        <v>0</v>
      </c>
      <c r="DVX15" s="49"/>
      <c r="DVY15" s="49">
        <v>0</v>
      </c>
      <c r="DVZ15" s="64">
        <f t="shared" si="942"/>
        <v>655</v>
      </c>
      <c r="DWA15" s="68">
        <f t="shared" si="943"/>
        <v>109.16666666666667</v>
      </c>
      <c r="DWB15" s="48"/>
      <c r="DWC15" s="49">
        <v>632</v>
      </c>
      <c r="DWD15" s="49">
        <v>0</v>
      </c>
      <c r="DWE15" s="49">
        <v>0</v>
      </c>
      <c r="DWF15" s="49">
        <v>659</v>
      </c>
      <c r="DWG15" s="49">
        <v>0</v>
      </c>
      <c r="DWH15" s="64">
        <f t="shared" si="944"/>
        <v>1291</v>
      </c>
      <c r="DWI15" s="68">
        <f t="shared" si="945"/>
        <v>215.16666666666666</v>
      </c>
      <c r="DWJ15" s="48">
        <v>661</v>
      </c>
      <c r="DWK15" s="49"/>
      <c r="DWL15" s="49">
        <v>0</v>
      </c>
      <c r="DWM15" s="49">
        <v>341</v>
      </c>
      <c r="DWN15" s="49">
        <v>0</v>
      </c>
      <c r="DWO15" s="49">
        <v>0</v>
      </c>
      <c r="DWP15" s="64">
        <f t="shared" si="946"/>
        <v>1002</v>
      </c>
      <c r="DWQ15" s="68">
        <f t="shared" si="947"/>
        <v>167</v>
      </c>
      <c r="DWR15" s="48"/>
      <c r="DWS15" s="49"/>
      <c r="DWT15" s="49">
        <v>0</v>
      </c>
      <c r="DWU15" s="49">
        <v>878</v>
      </c>
      <c r="DWV15" s="49">
        <v>0</v>
      </c>
      <c r="DWW15" s="49">
        <v>0</v>
      </c>
      <c r="DWX15" s="64">
        <f t="shared" si="948"/>
        <v>878</v>
      </c>
      <c r="DWY15" s="68">
        <f t="shared" si="1201"/>
        <v>146.33333333333334</v>
      </c>
      <c r="DWZ15" s="48">
        <v>0</v>
      </c>
      <c r="DXA15" s="49"/>
      <c r="DXB15" s="49">
        <v>762</v>
      </c>
      <c r="DXC15" s="49">
        <v>0</v>
      </c>
      <c r="DXD15" s="49">
        <v>0</v>
      </c>
      <c r="DXE15" s="49"/>
      <c r="DXF15" s="64">
        <f t="shared" si="949"/>
        <v>762</v>
      </c>
      <c r="DXG15" s="68">
        <f t="shared" si="950"/>
        <v>127</v>
      </c>
      <c r="DXH15" s="48">
        <v>631</v>
      </c>
      <c r="DXI15" s="49">
        <v>0</v>
      </c>
      <c r="DXJ15" s="49">
        <v>0</v>
      </c>
      <c r="DXK15" s="49">
        <v>0</v>
      </c>
      <c r="DXL15" s="49"/>
      <c r="DXM15" s="49">
        <v>879</v>
      </c>
      <c r="DXN15" s="64">
        <f t="shared" si="951"/>
        <v>1510</v>
      </c>
      <c r="DXO15" s="68">
        <f t="shared" si="952"/>
        <v>251.66666666666666</v>
      </c>
      <c r="DXP15" s="48">
        <v>0</v>
      </c>
      <c r="DXQ15" s="49">
        <v>220</v>
      </c>
      <c r="DXR15" s="49">
        <v>0</v>
      </c>
      <c r="DXS15" s="49">
        <v>0</v>
      </c>
      <c r="DXT15" s="49"/>
      <c r="DXU15" s="49"/>
      <c r="DXV15" s="64">
        <f t="shared" si="953"/>
        <v>220</v>
      </c>
      <c r="DXW15" s="68">
        <f t="shared" si="954"/>
        <v>36.666666666666664</v>
      </c>
      <c r="DXX15" s="48">
        <v>841</v>
      </c>
      <c r="DXY15" s="49">
        <v>0</v>
      </c>
      <c r="DXZ15" s="49">
        <v>0</v>
      </c>
      <c r="DYA15" s="49">
        <v>331</v>
      </c>
      <c r="DYB15" s="49">
        <v>0</v>
      </c>
      <c r="DYC15" s="49">
        <v>993</v>
      </c>
      <c r="DYD15" s="64">
        <f t="shared" si="955"/>
        <v>2165</v>
      </c>
      <c r="DYE15" s="68">
        <f t="shared" si="956"/>
        <v>360.83333333333331</v>
      </c>
      <c r="DYF15" s="48"/>
      <c r="DYG15" s="49">
        <v>0</v>
      </c>
      <c r="DYH15" s="49">
        <v>435</v>
      </c>
      <c r="DYI15" s="49">
        <v>0</v>
      </c>
      <c r="DYJ15" s="49">
        <v>0</v>
      </c>
      <c r="DYK15" s="49"/>
      <c r="DYL15" s="64">
        <f t="shared" si="957"/>
        <v>435</v>
      </c>
      <c r="DYM15" s="68">
        <f t="shared" si="958"/>
        <v>72.5</v>
      </c>
      <c r="DYN15" s="48">
        <v>0</v>
      </c>
      <c r="DYO15" s="49">
        <v>434</v>
      </c>
      <c r="DYP15" s="49">
        <v>435</v>
      </c>
      <c r="DYQ15" s="49">
        <v>0</v>
      </c>
      <c r="DYR15" s="49">
        <v>0</v>
      </c>
      <c r="DYS15" s="49">
        <v>0</v>
      </c>
      <c r="DYT15" s="64">
        <f t="shared" si="959"/>
        <v>869</v>
      </c>
      <c r="DYU15" s="68">
        <f t="shared" si="960"/>
        <v>144.83333333333334</v>
      </c>
      <c r="DYV15" s="48">
        <v>634</v>
      </c>
      <c r="DYW15" s="49">
        <v>0</v>
      </c>
      <c r="DYX15" s="49">
        <v>0</v>
      </c>
      <c r="DYY15" s="49">
        <v>0</v>
      </c>
      <c r="DYZ15" s="49">
        <v>461</v>
      </c>
      <c r="DZA15" s="49">
        <v>0</v>
      </c>
      <c r="DZB15" s="64">
        <f t="shared" si="961"/>
        <v>1095</v>
      </c>
      <c r="DZC15" s="68">
        <f t="shared" si="962"/>
        <v>182.5</v>
      </c>
      <c r="DZD15" s="48">
        <v>0</v>
      </c>
      <c r="DZE15" s="49">
        <v>0</v>
      </c>
      <c r="DZF15" s="49">
        <v>0</v>
      </c>
      <c r="DZG15" s="49"/>
      <c r="DZH15" s="49">
        <f>SUMIF(SUMPK!$B:$B,$B:$B,SUMPK!$O:$O)</f>
        <v>0</v>
      </c>
      <c r="DZI15" s="49"/>
      <c r="DZJ15" s="64">
        <f t="shared" si="963"/>
        <v>0</v>
      </c>
      <c r="DZK15" s="68">
        <f t="shared" si="964"/>
        <v>0</v>
      </c>
      <c r="DZL15" s="48">
        <v>0</v>
      </c>
      <c r="DZM15" s="49">
        <v>0</v>
      </c>
      <c r="DZN15" s="49"/>
      <c r="DZO15" s="49">
        <v>0</v>
      </c>
      <c r="DZP15" s="49">
        <v>450</v>
      </c>
      <c r="DZQ15" s="49"/>
      <c r="DZR15" s="64">
        <f t="shared" si="965"/>
        <v>450</v>
      </c>
      <c r="DZS15" s="68">
        <f t="shared" si="966"/>
        <v>75</v>
      </c>
      <c r="DZT15" s="48">
        <v>439</v>
      </c>
      <c r="DZU15" s="49">
        <v>0</v>
      </c>
      <c r="DZV15" s="49">
        <v>0</v>
      </c>
      <c r="DZW15" s="49">
        <v>800</v>
      </c>
      <c r="DZX15" s="49">
        <v>0</v>
      </c>
      <c r="DZY15" s="49"/>
      <c r="DZZ15" s="64">
        <f t="shared" si="967"/>
        <v>1239</v>
      </c>
      <c r="EAA15" s="68">
        <f t="shared" si="968"/>
        <v>206.5</v>
      </c>
      <c r="EAB15" s="48"/>
      <c r="EAC15" s="49">
        <v>439</v>
      </c>
      <c r="EAD15" s="49"/>
      <c r="EAE15" s="49"/>
      <c r="EAF15" s="49">
        <v>0</v>
      </c>
      <c r="EAG15" s="49">
        <v>439</v>
      </c>
      <c r="EAH15" s="64">
        <f t="shared" si="969"/>
        <v>878</v>
      </c>
      <c r="EAI15" s="68">
        <f t="shared" si="970"/>
        <v>146.33333333333334</v>
      </c>
      <c r="EAJ15" s="48"/>
      <c r="EAK15" s="49">
        <v>0</v>
      </c>
      <c r="EAL15" s="49">
        <v>0</v>
      </c>
      <c r="EAM15" s="49">
        <v>220</v>
      </c>
      <c r="EAN15" s="49">
        <v>0</v>
      </c>
      <c r="EAO15" s="49">
        <v>0</v>
      </c>
      <c r="EAP15" s="64">
        <f t="shared" si="971"/>
        <v>220</v>
      </c>
      <c r="EAQ15" s="68">
        <f t="shared" si="1202"/>
        <v>36.666666666666664</v>
      </c>
      <c r="EAR15" s="48">
        <v>879</v>
      </c>
      <c r="EAS15" s="49">
        <v>0</v>
      </c>
      <c r="EAT15" s="49">
        <v>0</v>
      </c>
      <c r="EAU15" s="49">
        <v>0</v>
      </c>
      <c r="EAV15" s="49">
        <v>440</v>
      </c>
      <c r="EAW15" s="49"/>
      <c r="EAX15" s="64">
        <f t="shared" si="972"/>
        <v>1319</v>
      </c>
      <c r="EAY15" s="68">
        <f t="shared" si="973"/>
        <v>219.83333333333334</v>
      </c>
      <c r="EAZ15" s="48"/>
      <c r="EBA15" s="49">
        <v>0</v>
      </c>
      <c r="EBB15" s="49">
        <v>0</v>
      </c>
      <c r="EBC15" s="49"/>
      <c r="EBD15" s="49">
        <v>330</v>
      </c>
      <c r="EBE15" s="49">
        <v>112</v>
      </c>
      <c r="EBF15" s="64">
        <f t="shared" si="974"/>
        <v>442</v>
      </c>
      <c r="EBG15" s="68">
        <f t="shared" si="975"/>
        <v>73.666666666666671</v>
      </c>
      <c r="EBH15" s="48"/>
      <c r="EBI15" s="49">
        <v>440</v>
      </c>
      <c r="EBJ15" s="49">
        <v>0</v>
      </c>
      <c r="EBK15" s="49"/>
      <c r="EBL15" s="49">
        <v>0</v>
      </c>
      <c r="EBM15" s="49">
        <v>0</v>
      </c>
      <c r="EBN15" s="64">
        <f t="shared" si="976"/>
        <v>440</v>
      </c>
      <c r="EBO15" s="68">
        <f t="shared" si="1131"/>
        <v>73.333333333333329</v>
      </c>
      <c r="EBP15" s="48">
        <v>220</v>
      </c>
      <c r="EBQ15" s="49">
        <v>580</v>
      </c>
      <c r="EBR15" s="49"/>
      <c r="EBS15" s="49">
        <v>220</v>
      </c>
      <c r="EBT15" s="49">
        <v>0</v>
      </c>
      <c r="EBU15" s="49">
        <v>0</v>
      </c>
      <c r="EBV15" s="64">
        <f t="shared" si="977"/>
        <v>1020</v>
      </c>
      <c r="EBW15" s="68">
        <f t="shared" si="978"/>
        <v>170</v>
      </c>
      <c r="EBX15" s="48">
        <v>0</v>
      </c>
      <c r="EBY15" s="49">
        <v>0</v>
      </c>
      <c r="EBZ15" s="49">
        <v>440</v>
      </c>
      <c r="ECA15" s="49">
        <v>0</v>
      </c>
      <c r="ECB15" s="49">
        <v>0</v>
      </c>
      <c r="ECC15" s="49">
        <v>220</v>
      </c>
      <c r="ECD15" s="64">
        <f t="shared" si="979"/>
        <v>660</v>
      </c>
      <c r="ECE15" s="68">
        <f t="shared" si="980"/>
        <v>110</v>
      </c>
      <c r="ECF15" s="48">
        <v>601</v>
      </c>
      <c r="ECG15" s="49">
        <v>0</v>
      </c>
      <c r="ECH15" s="49">
        <v>0</v>
      </c>
      <c r="ECI15" s="49"/>
      <c r="ECJ15" s="49"/>
      <c r="ECK15" s="49">
        <v>770</v>
      </c>
      <c r="ECL15" s="64">
        <f t="shared" si="981"/>
        <v>1371</v>
      </c>
      <c r="ECM15" s="68">
        <f t="shared" si="982"/>
        <v>228.5</v>
      </c>
      <c r="ECN15" s="48">
        <v>0</v>
      </c>
      <c r="ECO15" s="49">
        <v>440</v>
      </c>
      <c r="ECP15" s="49">
        <v>0</v>
      </c>
      <c r="ECQ15" s="49"/>
      <c r="ECR15" s="49"/>
      <c r="ECS15" s="49">
        <v>688</v>
      </c>
      <c r="ECT15" s="64">
        <f t="shared" si="983"/>
        <v>1128</v>
      </c>
      <c r="ECU15" s="68">
        <f t="shared" si="984"/>
        <v>188</v>
      </c>
      <c r="ECV15" s="48">
        <v>0</v>
      </c>
      <c r="ECW15" s="49">
        <v>324</v>
      </c>
      <c r="ECX15" s="49">
        <v>0</v>
      </c>
      <c r="ECY15" s="49">
        <v>552</v>
      </c>
      <c r="ECZ15" s="49"/>
      <c r="EDA15" s="49">
        <v>0</v>
      </c>
      <c r="EDB15" s="64">
        <f t="shared" si="985"/>
        <v>876</v>
      </c>
      <c r="EDC15" s="68">
        <f t="shared" si="986"/>
        <v>146</v>
      </c>
      <c r="EDD15" s="48">
        <v>0</v>
      </c>
      <c r="EDE15" s="49">
        <v>0</v>
      </c>
      <c r="EDF15" s="49">
        <v>0</v>
      </c>
      <c r="EDG15" s="49">
        <v>0</v>
      </c>
      <c r="EDH15" s="49"/>
      <c r="EDI15" s="49">
        <v>439</v>
      </c>
      <c r="EDJ15" s="64">
        <f t="shared" si="987"/>
        <v>439</v>
      </c>
      <c r="EDK15" s="68">
        <f t="shared" si="988"/>
        <v>73.166666666666671</v>
      </c>
      <c r="EDL15" s="48">
        <v>0</v>
      </c>
      <c r="EDM15" s="49">
        <v>0</v>
      </c>
      <c r="EDN15" s="49">
        <v>720</v>
      </c>
      <c r="EDO15" s="49">
        <f>SUMIF(SUMPK!$B:$B,$B:$B,SUMPK!$O:$O)</f>
        <v>0</v>
      </c>
      <c r="EDP15" s="49"/>
      <c r="EDQ15" s="49">
        <v>0</v>
      </c>
      <c r="EDR15" s="64">
        <f t="shared" si="989"/>
        <v>720</v>
      </c>
      <c r="EDS15" s="184">
        <f t="shared" si="990"/>
        <v>120</v>
      </c>
      <c r="EDT15" s="195">
        <v>0</v>
      </c>
      <c r="EDU15" s="49">
        <v>0</v>
      </c>
      <c r="EDV15" s="49">
        <v>329</v>
      </c>
      <c r="EDW15" s="49">
        <v>440</v>
      </c>
      <c r="EDX15" s="49"/>
      <c r="EDY15" s="49"/>
      <c r="EDZ15" s="64">
        <f t="shared" si="991"/>
        <v>769</v>
      </c>
      <c r="EEA15" s="184">
        <f t="shared" si="992"/>
        <v>128.16666666666666</v>
      </c>
      <c r="EEB15" s="48">
        <v>0</v>
      </c>
      <c r="EEC15" s="49">
        <v>0</v>
      </c>
      <c r="EED15" s="49">
        <v>440</v>
      </c>
      <c r="EEE15" s="49">
        <v>0</v>
      </c>
      <c r="EEF15" s="49">
        <v>0</v>
      </c>
      <c r="EEG15" s="49"/>
      <c r="EEH15" s="64">
        <f t="shared" si="993"/>
        <v>440</v>
      </c>
      <c r="EEI15" s="68">
        <f t="shared" si="994"/>
        <v>73.333333333333329</v>
      </c>
      <c r="EEJ15" s="48">
        <v>829</v>
      </c>
      <c r="EEK15" s="49">
        <v>0</v>
      </c>
      <c r="EEL15" s="49">
        <v>0</v>
      </c>
      <c r="EEM15" s="49"/>
      <c r="EEN15" s="49"/>
      <c r="EEO15" s="49">
        <v>330</v>
      </c>
      <c r="EEP15" s="64">
        <f t="shared" si="995"/>
        <v>1159</v>
      </c>
      <c r="EEQ15" s="68">
        <f t="shared" si="996"/>
        <v>193.16666666666666</v>
      </c>
      <c r="EER15" s="48">
        <v>0</v>
      </c>
      <c r="EES15" s="49">
        <v>0</v>
      </c>
      <c r="EET15" s="49"/>
      <c r="EEU15" s="49">
        <v>330</v>
      </c>
      <c r="EEV15" s="49">
        <v>0</v>
      </c>
      <c r="EEW15" s="49"/>
      <c r="EEX15" s="64">
        <f t="shared" si="997"/>
        <v>330</v>
      </c>
      <c r="EEY15" s="68">
        <f t="shared" si="998"/>
        <v>55</v>
      </c>
      <c r="EEZ15" s="48">
        <v>0</v>
      </c>
      <c r="EFA15" s="49">
        <v>0</v>
      </c>
      <c r="EFB15" s="49">
        <v>0</v>
      </c>
      <c r="EFC15" s="49">
        <v>0</v>
      </c>
      <c r="EFD15" s="49">
        <v>0</v>
      </c>
      <c r="EFE15" s="49">
        <v>0</v>
      </c>
      <c r="EFF15" s="64">
        <f t="shared" si="999"/>
        <v>0</v>
      </c>
      <c r="EFG15" s="68">
        <f t="shared" si="1000"/>
        <v>0</v>
      </c>
      <c r="EFH15" s="48"/>
      <c r="EFI15" s="49">
        <v>880</v>
      </c>
      <c r="EFJ15" s="49">
        <v>0</v>
      </c>
      <c r="EFK15" s="49">
        <v>220</v>
      </c>
      <c r="EFL15" s="49">
        <v>0</v>
      </c>
      <c r="EFM15" s="49">
        <v>220</v>
      </c>
      <c r="EFN15" s="64">
        <f t="shared" si="1001"/>
        <v>1320</v>
      </c>
      <c r="EFO15" s="68">
        <f t="shared" si="1002"/>
        <v>220</v>
      </c>
      <c r="EFP15" s="48">
        <v>319</v>
      </c>
      <c r="EFQ15" s="49"/>
      <c r="EFR15" s="49"/>
      <c r="EFS15" s="49">
        <v>0</v>
      </c>
      <c r="EFT15" s="49">
        <v>0</v>
      </c>
      <c r="EFU15" s="49"/>
      <c r="EFV15" s="64">
        <f t="shared" si="1003"/>
        <v>319</v>
      </c>
      <c r="EFW15" s="68">
        <f t="shared" si="1004"/>
        <v>53.166666666666664</v>
      </c>
      <c r="EFX15" s="48"/>
      <c r="EFY15" s="49">
        <v>600</v>
      </c>
      <c r="EFZ15" s="49"/>
      <c r="EGA15" s="49">
        <v>0</v>
      </c>
      <c r="EGB15" s="49">
        <v>0</v>
      </c>
      <c r="EGC15" s="49">
        <v>604</v>
      </c>
      <c r="EGD15" s="64">
        <f t="shared" si="1005"/>
        <v>1204</v>
      </c>
      <c r="EGE15" s="68">
        <f t="shared" si="1006"/>
        <v>200.66666666666666</v>
      </c>
      <c r="EGF15" s="48">
        <v>0</v>
      </c>
      <c r="EGG15" s="49">
        <v>0</v>
      </c>
      <c r="EGH15" s="49"/>
      <c r="EGI15" s="49">
        <v>439</v>
      </c>
      <c r="EGJ15" s="49">
        <v>0</v>
      </c>
      <c r="EGK15" s="49">
        <v>0</v>
      </c>
      <c r="EGL15" s="64">
        <f t="shared" si="1007"/>
        <v>439</v>
      </c>
      <c r="EGM15" s="68">
        <f t="shared" si="1008"/>
        <v>73.166666666666671</v>
      </c>
      <c r="EGN15" s="48">
        <v>0</v>
      </c>
      <c r="EGO15" s="49">
        <v>0</v>
      </c>
      <c r="EGP15" s="49"/>
      <c r="EGQ15" s="49">
        <v>660</v>
      </c>
      <c r="EGR15" s="49"/>
      <c r="EGS15" s="49">
        <v>0</v>
      </c>
      <c r="EGT15" s="64">
        <f t="shared" si="1009"/>
        <v>660</v>
      </c>
      <c r="EGU15" s="68">
        <f t="shared" si="1203"/>
        <v>110</v>
      </c>
      <c r="EGV15" s="48">
        <v>212</v>
      </c>
      <c r="EGW15" s="49">
        <v>0</v>
      </c>
      <c r="EGX15" s="49"/>
      <c r="EGY15" s="49">
        <v>0</v>
      </c>
      <c r="EGZ15" s="49">
        <v>880</v>
      </c>
      <c r="EHA15" s="49"/>
      <c r="EHB15" s="64">
        <f t="shared" si="1010"/>
        <v>1092</v>
      </c>
      <c r="EHC15" s="68">
        <f t="shared" si="1011"/>
        <v>182</v>
      </c>
      <c r="EHD15" s="48">
        <v>0</v>
      </c>
      <c r="EHE15" s="49">
        <v>0</v>
      </c>
      <c r="EHF15" s="49"/>
      <c r="EHG15" s="49">
        <v>0</v>
      </c>
      <c r="EHH15" s="49">
        <v>0</v>
      </c>
      <c r="EHI15" s="49">
        <v>235</v>
      </c>
      <c r="EHJ15" s="64">
        <f t="shared" si="1012"/>
        <v>235</v>
      </c>
      <c r="EHK15" s="68">
        <f t="shared" si="1013"/>
        <v>39.166666666666664</v>
      </c>
      <c r="EHL15" s="48">
        <v>0</v>
      </c>
      <c r="EHM15" s="49">
        <v>588</v>
      </c>
      <c r="EHN15" s="49">
        <v>0</v>
      </c>
      <c r="EHO15" s="49"/>
      <c r="EHP15" s="49">
        <v>442</v>
      </c>
      <c r="EHQ15" s="49">
        <v>0</v>
      </c>
      <c r="EHR15" s="64">
        <f t="shared" si="1014"/>
        <v>1030</v>
      </c>
      <c r="EHS15" s="68">
        <f t="shared" si="1015"/>
        <v>171.66666666666666</v>
      </c>
      <c r="EHT15" s="48">
        <v>0</v>
      </c>
      <c r="EHU15" s="49"/>
      <c r="EHV15" s="49"/>
      <c r="EHW15" s="49">
        <v>0</v>
      </c>
      <c r="EHX15" s="49"/>
      <c r="EHY15" s="49">
        <v>221</v>
      </c>
      <c r="EHZ15" s="64">
        <f t="shared" si="1016"/>
        <v>221</v>
      </c>
      <c r="EIA15" s="68">
        <f t="shared" si="1017"/>
        <v>36.833333333333336</v>
      </c>
      <c r="EIB15" s="48"/>
      <c r="EIC15" s="49"/>
      <c r="EID15" s="49">
        <v>0</v>
      </c>
      <c r="EIE15" s="49">
        <v>920</v>
      </c>
      <c r="EIF15" s="49">
        <v>441</v>
      </c>
      <c r="EIG15" s="49">
        <v>0</v>
      </c>
      <c r="EIH15" s="64">
        <f t="shared" si="1018"/>
        <v>1361</v>
      </c>
      <c r="EII15" s="68">
        <f t="shared" si="1019"/>
        <v>226.83333333333334</v>
      </c>
      <c r="EIJ15" s="48">
        <v>338</v>
      </c>
      <c r="EIK15" s="49">
        <v>0</v>
      </c>
      <c r="EIL15" s="49"/>
      <c r="EIM15" s="49">
        <v>656</v>
      </c>
      <c r="EIN15" s="49">
        <v>0</v>
      </c>
      <c r="EIO15" s="49">
        <v>0</v>
      </c>
      <c r="EIP15" s="64">
        <f t="shared" si="1020"/>
        <v>994</v>
      </c>
      <c r="EIQ15" s="68">
        <f t="shared" si="1021"/>
        <v>165.66666666666666</v>
      </c>
      <c r="EIR15" s="48">
        <v>581</v>
      </c>
      <c r="EIS15" s="49">
        <v>0</v>
      </c>
      <c r="EIT15" s="49">
        <v>0</v>
      </c>
      <c r="EIU15" s="49">
        <v>763</v>
      </c>
      <c r="EIV15" s="49"/>
      <c r="EIW15" s="49"/>
      <c r="EIX15" s="64">
        <f t="shared" si="1022"/>
        <v>1344</v>
      </c>
      <c r="EIY15" s="68">
        <f t="shared" si="1023"/>
        <v>224</v>
      </c>
      <c r="EIZ15" s="48">
        <v>0</v>
      </c>
      <c r="EJA15" s="49">
        <v>0</v>
      </c>
      <c r="EJB15" s="49">
        <v>0</v>
      </c>
      <c r="EJC15" s="49">
        <v>0</v>
      </c>
      <c r="EJD15" s="49">
        <v>0</v>
      </c>
      <c r="EJE15" s="49">
        <v>895</v>
      </c>
      <c r="EJF15" s="64">
        <f t="shared" si="1024"/>
        <v>895</v>
      </c>
      <c r="EJG15" s="68">
        <f t="shared" si="1025"/>
        <v>149.16666666666666</v>
      </c>
      <c r="EJH15" s="48">
        <v>0</v>
      </c>
      <c r="EJI15" s="49">
        <v>0</v>
      </c>
      <c r="EJJ15" s="49"/>
      <c r="EJK15" s="49">
        <v>219</v>
      </c>
      <c r="EJL15" s="49"/>
      <c r="EJM15" s="49"/>
      <c r="EJN15" s="64">
        <f t="shared" si="1026"/>
        <v>219</v>
      </c>
      <c r="EJO15" s="68">
        <f t="shared" si="1027"/>
        <v>36.5</v>
      </c>
      <c r="EJP15" s="48">
        <v>0</v>
      </c>
      <c r="EJQ15" s="49">
        <v>0</v>
      </c>
      <c r="EJR15" s="49">
        <v>110</v>
      </c>
      <c r="EJS15" s="49">
        <v>0</v>
      </c>
      <c r="EJT15" s="49">
        <v>550</v>
      </c>
      <c r="EJU15" s="49">
        <v>440</v>
      </c>
      <c r="EJV15" s="64">
        <f t="shared" si="1028"/>
        <v>1100</v>
      </c>
      <c r="EJW15" s="68">
        <f t="shared" si="1029"/>
        <v>183.33333333333334</v>
      </c>
      <c r="EJX15" s="48"/>
      <c r="EJY15" s="49">
        <v>0</v>
      </c>
      <c r="EJZ15" s="49">
        <v>0</v>
      </c>
      <c r="EKA15" s="49">
        <v>0</v>
      </c>
      <c r="EKB15" s="49"/>
      <c r="EKC15" s="49"/>
      <c r="EKD15" s="64">
        <f t="shared" si="1030"/>
        <v>0</v>
      </c>
      <c r="EKE15" s="68">
        <f t="shared" si="1031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2"/>
        <v>0</v>
      </c>
      <c r="EKM15" s="68">
        <f t="shared" si="1033"/>
        <v>0</v>
      </c>
      <c r="EKN15" s="48"/>
      <c r="EKO15" s="49">
        <v>0</v>
      </c>
      <c r="EKP15" s="49">
        <v>332</v>
      </c>
      <c r="EKQ15" s="49">
        <v>0</v>
      </c>
      <c r="EKR15" s="49"/>
      <c r="EKS15" s="49">
        <v>641</v>
      </c>
      <c r="EKT15" s="64">
        <f t="shared" si="1034"/>
        <v>973</v>
      </c>
      <c r="EKU15" s="184">
        <f t="shared" si="1035"/>
        <v>162.16666666666666</v>
      </c>
      <c r="EKV15" s="665"/>
      <c r="EKW15" s="195">
        <v>0</v>
      </c>
      <c r="EKX15" s="49">
        <v>0</v>
      </c>
      <c r="EKY15" s="49">
        <v>220</v>
      </c>
      <c r="EKZ15" s="49">
        <v>144</v>
      </c>
      <c r="ELA15" s="49"/>
      <c r="ELB15" s="49">
        <v>0</v>
      </c>
      <c r="ELC15" s="64">
        <f t="shared" si="1036"/>
        <v>364</v>
      </c>
      <c r="ELD15" s="211">
        <f t="shared" si="1037"/>
        <v>60.666666666666664</v>
      </c>
      <c r="ELE15" s="195">
        <v>440</v>
      </c>
      <c r="ELF15" s="49">
        <v>0</v>
      </c>
      <c r="ELG15" s="49">
        <v>220</v>
      </c>
      <c r="ELH15" s="49">
        <v>0</v>
      </c>
      <c r="ELI15" s="49">
        <v>219</v>
      </c>
      <c r="ELJ15" s="49">
        <v>0</v>
      </c>
      <c r="ELK15" s="64">
        <f t="shared" si="1038"/>
        <v>879</v>
      </c>
      <c r="ELL15" s="211">
        <f t="shared" si="1039"/>
        <v>146.5</v>
      </c>
      <c r="ELM15" s="195">
        <v>659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0"/>
        <v>659</v>
      </c>
      <c r="ELT15" s="211">
        <f t="shared" si="1041"/>
        <v>109.83333333333333</v>
      </c>
      <c r="ELU15" s="195">
        <v>439</v>
      </c>
      <c r="ELV15" s="49">
        <v>0</v>
      </c>
      <c r="ELW15" s="49">
        <v>0</v>
      </c>
      <c r="ELX15" s="49">
        <v>901</v>
      </c>
      <c r="ELY15" s="49"/>
      <c r="ELZ15" s="49">
        <v>0</v>
      </c>
      <c r="EMA15" s="64">
        <f t="shared" si="1042"/>
        <v>1340</v>
      </c>
      <c r="EMB15" s="211">
        <f t="shared" si="1043"/>
        <v>223.33333333333334</v>
      </c>
      <c r="EMC15" s="195"/>
      <c r="EMD15" s="49">
        <v>0</v>
      </c>
      <c r="EME15" s="49">
        <v>132</v>
      </c>
      <c r="EMF15" s="49">
        <v>0</v>
      </c>
      <c r="EMG15" s="49">
        <v>0</v>
      </c>
      <c r="EMH15" s="49">
        <v>689</v>
      </c>
      <c r="EMI15" s="64">
        <f t="shared" si="1044"/>
        <v>821</v>
      </c>
      <c r="EMJ15" s="211">
        <f t="shared" si="1045"/>
        <v>136.83333333333334</v>
      </c>
      <c r="EMK15" s="195">
        <v>0</v>
      </c>
      <c r="EML15" s="49"/>
      <c r="EMM15" s="49">
        <v>0</v>
      </c>
      <c r="EMN15" s="49">
        <v>0</v>
      </c>
      <c r="EMO15" s="49">
        <v>330</v>
      </c>
      <c r="EMP15" s="49">
        <v>542</v>
      </c>
      <c r="EMQ15" s="64">
        <f t="shared" si="1046"/>
        <v>872</v>
      </c>
      <c r="EMR15" s="211">
        <f t="shared" si="1047"/>
        <v>145.33333333333334</v>
      </c>
      <c r="EMS15" s="195">
        <v>0</v>
      </c>
      <c r="EMT15" s="49">
        <v>0</v>
      </c>
      <c r="EMU15" s="49">
        <v>454</v>
      </c>
      <c r="EMV15" s="49">
        <v>0</v>
      </c>
      <c r="EMW15" s="49"/>
      <c r="EMX15" s="49">
        <v>0</v>
      </c>
      <c r="EMY15" s="64">
        <f t="shared" si="1048"/>
        <v>454</v>
      </c>
      <c r="EMZ15" s="211">
        <f t="shared" si="1049"/>
        <v>75.666666666666671</v>
      </c>
      <c r="ENA15" s="195">
        <v>110</v>
      </c>
      <c r="ENB15" s="49">
        <v>0</v>
      </c>
      <c r="ENC15" s="49">
        <v>292</v>
      </c>
      <c r="END15" s="49">
        <v>371</v>
      </c>
      <c r="ENE15" s="49"/>
      <c r="ENF15" s="49">
        <v>0</v>
      </c>
      <c r="ENG15" s="64">
        <f t="shared" si="1050"/>
        <v>773</v>
      </c>
      <c r="ENH15" s="211">
        <f t="shared" si="1051"/>
        <v>128.83333333333334</v>
      </c>
      <c r="ENI15" s="195">
        <v>0</v>
      </c>
      <c r="ENJ15" s="49"/>
      <c r="ENK15" s="49">
        <v>0</v>
      </c>
      <c r="ENL15" s="49">
        <v>0</v>
      </c>
      <c r="ENM15" s="49">
        <v>0</v>
      </c>
      <c r="ENN15" s="49">
        <v>0</v>
      </c>
      <c r="ENO15" s="64">
        <f t="shared" si="1052"/>
        <v>0</v>
      </c>
      <c r="ENP15" s="211">
        <f t="shared" si="1053"/>
        <v>0</v>
      </c>
      <c r="ENQ15" s="195">
        <v>220</v>
      </c>
      <c r="ENR15" s="49">
        <v>0</v>
      </c>
      <c r="ENS15" s="49">
        <v>0</v>
      </c>
      <c r="ENT15" s="49">
        <v>612</v>
      </c>
      <c r="ENU15" s="49">
        <v>0</v>
      </c>
      <c r="ENV15" s="49">
        <v>0</v>
      </c>
      <c r="ENW15" s="64">
        <f t="shared" si="1054"/>
        <v>832</v>
      </c>
      <c r="ENX15" s="211">
        <f t="shared" si="1055"/>
        <v>138.66666666666666</v>
      </c>
      <c r="ENY15" s="195"/>
      <c r="ENZ15" s="49">
        <v>0</v>
      </c>
      <c r="EOA15" s="49">
        <v>450</v>
      </c>
      <c r="EOB15" s="49">
        <v>0</v>
      </c>
      <c r="EOC15" s="49">
        <v>221</v>
      </c>
      <c r="EOD15" s="49">
        <v>0</v>
      </c>
      <c r="EOE15" s="64">
        <f t="shared" si="1056"/>
        <v>671</v>
      </c>
      <c r="EOF15" s="211">
        <f t="shared" si="1057"/>
        <v>111.83333333333333</v>
      </c>
      <c r="EOG15" s="195"/>
      <c r="EOH15" s="360">
        <f>SUMIF(SUMPK!$B:$B,$B:$B,SUMPK!$O:$O)</f>
        <v>0</v>
      </c>
      <c r="EOI15" s="49">
        <v>440</v>
      </c>
      <c r="EOJ15" s="49">
        <v>0</v>
      </c>
      <c r="EOK15" s="49">
        <v>0</v>
      </c>
      <c r="EOL15" s="49">
        <v>440</v>
      </c>
      <c r="EOM15" s="64">
        <f t="shared" si="1058"/>
        <v>880</v>
      </c>
      <c r="EON15" s="211">
        <f t="shared" si="1059"/>
        <v>146.66666666666666</v>
      </c>
      <c r="EOO15" s="195">
        <v>0</v>
      </c>
      <c r="EOP15" s="49">
        <v>220</v>
      </c>
      <c r="EOQ15" s="49">
        <v>0</v>
      </c>
      <c r="EOR15" s="49">
        <v>0</v>
      </c>
      <c r="EOS15" s="49">
        <v>662</v>
      </c>
      <c r="EOT15" s="49">
        <v>0</v>
      </c>
      <c r="EOU15" s="64">
        <f t="shared" si="1060"/>
        <v>882</v>
      </c>
      <c r="EOV15" s="211">
        <f t="shared" si="1061"/>
        <v>147</v>
      </c>
      <c r="EOW15" s="195">
        <v>0</v>
      </c>
      <c r="EOX15" s="49">
        <v>432</v>
      </c>
      <c r="EOY15" s="49">
        <v>0</v>
      </c>
      <c r="EOZ15" s="49">
        <v>440</v>
      </c>
      <c r="EPA15" s="49">
        <v>0</v>
      </c>
      <c r="EPB15" s="49">
        <v>211</v>
      </c>
      <c r="EPC15" s="64">
        <f t="shared" si="1062"/>
        <v>1083</v>
      </c>
      <c r="EPD15" s="211">
        <f t="shared" si="1063"/>
        <v>180.5</v>
      </c>
      <c r="EPE15" s="195">
        <v>259</v>
      </c>
      <c r="EPF15" s="49">
        <f>SUMIF(SUMPK!$B:$B,$B:$B,SUMPK!$O:$O)</f>
        <v>0</v>
      </c>
      <c r="EPG15" s="49">
        <v>0</v>
      </c>
      <c r="EPH15" s="49">
        <v>0</v>
      </c>
      <c r="EPI15" s="49">
        <v>439</v>
      </c>
      <c r="EPJ15" s="49">
        <v>0</v>
      </c>
      <c r="EPK15" s="64">
        <f t="shared" si="1064"/>
        <v>698</v>
      </c>
      <c r="EPL15" s="211">
        <f t="shared" si="1065"/>
        <v>116.33333333333333</v>
      </c>
      <c r="EPM15" s="195"/>
      <c r="EPN15" s="49">
        <v>0</v>
      </c>
      <c r="EPO15" s="49">
        <v>0</v>
      </c>
      <c r="EPP15" s="49">
        <v>438</v>
      </c>
      <c r="EPQ15" s="49">
        <v>0</v>
      </c>
      <c r="EPR15" s="49">
        <v>0</v>
      </c>
      <c r="EPS15" s="64">
        <f t="shared" si="1066"/>
        <v>438</v>
      </c>
      <c r="EPT15" s="211">
        <f t="shared" si="1067"/>
        <v>73</v>
      </c>
      <c r="EPU15" s="195">
        <v>221</v>
      </c>
      <c r="EPV15" s="49">
        <v>0</v>
      </c>
      <c r="EPW15" s="49"/>
      <c r="EPX15" s="49">
        <v>639</v>
      </c>
      <c r="EPY15" s="49">
        <v>0</v>
      </c>
      <c r="EPZ15" s="49">
        <v>0</v>
      </c>
      <c r="EQA15" s="64">
        <f t="shared" si="1068"/>
        <v>860</v>
      </c>
      <c r="EQB15" s="211">
        <f t="shared" si="1069"/>
        <v>143.33333333333334</v>
      </c>
      <c r="EQC15" s="195">
        <v>0</v>
      </c>
      <c r="EQD15" s="49">
        <v>0</v>
      </c>
      <c r="EQE15" s="49">
        <v>430</v>
      </c>
      <c r="EQF15" s="49">
        <v>0</v>
      </c>
      <c r="EQG15" s="49">
        <v>218</v>
      </c>
      <c r="EQH15" s="49">
        <v>0</v>
      </c>
      <c r="EQI15" s="64">
        <f t="shared" si="1070"/>
        <v>648</v>
      </c>
      <c r="EQJ15" s="211">
        <f t="shared" si="1071"/>
        <v>108</v>
      </c>
      <c r="EQK15" s="195"/>
      <c r="EQL15" s="49">
        <v>0</v>
      </c>
      <c r="EQM15" s="49">
        <v>329</v>
      </c>
      <c r="EQN15" s="49"/>
      <c r="EQO15" s="49">
        <v>0</v>
      </c>
      <c r="EQP15" s="49">
        <v>0</v>
      </c>
      <c r="EQQ15" s="64">
        <f t="shared" si="1072"/>
        <v>329</v>
      </c>
      <c r="EQR15" s="211">
        <f t="shared" si="1073"/>
        <v>54.833333333333336</v>
      </c>
      <c r="EQS15" s="195">
        <v>0</v>
      </c>
      <c r="EQT15" s="49">
        <v>0</v>
      </c>
      <c r="EQU15" s="49">
        <v>550</v>
      </c>
      <c r="EQV15" s="49"/>
      <c r="EQW15" s="49">
        <v>0</v>
      </c>
      <c r="EQX15" s="49">
        <v>0</v>
      </c>
      <c r="EQY15" s="64">
        <f t="shared" si="1074"/>
        <v>550</v>
      </c>
      <c r="EQZ15" s="211">
        <f t="shared" si="1075"/>
        <v>91.666666666666671</v>
      </c>
      <c r="ERA15" s="195">
        <v>0</v>
      </c>
      <c r="ERB15" s="49">
        <v>0</v>
      </c>
      <c r="ERC15" s="49">
        <v>0</v>
      </c>
      <c r="ERD15" s="49">
        <v>0</v>
      </c>
      <c r="ERE15" s="49">
        <v>0</v>
      </c>
      <c r="ERF15" s="49"/>
      <c r="ERG15" s="64">
        <f t="shared" si="1076"/>
        <v>0</v>
      </c>
      <c r="ERH15" s="211">
        <f t="shared" si="1077"/>
        <v>0</v>
      </c>
      <c r="ERI15" s="195">
        <v>0</v>
      </c>
      <c r="ERJ15" s="49"/>
      <c r="ERK15" s="49"/>
      <c r="ERL15" s="49">
        <v>0</v>
      </c>
      <c r="ERM15" s="49">
        <v>223</v>
      </c>
      <c r="ERN15" s="49"/>
      <c r="ERO15" s="64">
        <f t="shared" si="1078"/>
        <v>223</v>
      </c>
      <c r="ERP15" s="211">
        <f t="shared" si="1079"/>
        <v>37.166666666666664</v>
      </c>
      <c r="ERQ15" s="195"/>
      <c r="ERR15" s="49">
        <v>0</v>
      </c>
      <c r="ERS15" s="49">
        <v>0</v>
      </c>
      <c r="ERT15" s="49">
        <v>0</v>
      </c>
      <c r="ERU15" s="49">
        <v>0</v>
      </c>
      <c r="ERV15" s="49">
        <v>110</v>
      </c>
      <c r="ERW15" s="64">
        <f t="shared" si="1080"/>
        <v>110</v>
      </c>
      <c r="ERX15" s="211">
        <f t="shared" si="1081"/>
        <v>18.333333333333332</v>
      </c>
      <c r="ERY15" s="195">
        <v>0</v>
      </c>
      <c r="ERZ15" s="49">
        <v>0</v>
      </c>
      <c r="ESA15" s="49">
        <v>220</v>
      </c>
      <c r="ESB15" s="49"/>
      <c r="ESC15" s="49"/>
      <c r="ESD15" s="49">
        <v>0</v>
      </c>
      <c r="ESE15" s="64">
        <f t="shared" si="1082"/>
        <v>220</v>
      </c>
      <c r="ESF15" s="211">
        <f t="shared" si="1083"/>
        <v>36.666666666666664</v>
      </c>
      <c r="ESG15" s="195">
        <v>0</v>
      </c>
      <c r="ESH15" s="49"/>
      <c r="ESI15" s="49">
        <v>403</v>
      </c>
      <c r="ESJ15" s="49">
        <v>329</v>
      </c>
      <c r="ESK15" s="49"/>
      <c r="ESL15" s="49">
        <v>0</v>
      </c>
      <c r="ESM15" s="64">
        <f t="shared" si="1084"/>
        <v>732</v>
      </c>
      <c r="ESN15" s="211">
        <f t="shared" si="1085"/>
        <v>122</v>
      </c>
      <c r="ESO15" s="458">
        <v>221</v>
      </c>
      <c r="ESP15" s="83"/>
      <c r="ESQ15" s="83">
        <v>219</v>
      </c>
      <c r="ESR15" s="83">
        <v>0</v>
      </c>
      <c r="ESS15" s="83"/>
      <c r="EST15" s="83">
        <v>0</v>
      </c>
      <c r="ESU15" s="64">
        <f t="shared" si="1086"/>
        <v>440</v>
      </c>
      <c r="ESV15" s="211">
        <f t="shared" si="1087"/>
        <v>73.333333333333329</v>
      </c>
      <c r="ESW15" s="195"/>
      <c r="ESX15" s="49"/>
      <c r="ESY15" s="49"/>
      <c r="ESZ15" s="49">
        <v>0</v>
      </c>
      <c r="ETA15" s="49">
        <v>0</v>
      </c>
      <c r="ETB15" s="49">
        <v>220</v>
      </c>
      <c r="ETC15" s="808">
        <f t="shared" si="1088"/>
        <v>220</v>
      </c>
      <c r="ETD15" s="211">
        <f t="shared" si="1089"/>
        <v>36.666666666666664</v>
      </c>
      <c r="ETE15" s="195">
        <v>0</v>
      </c>
      <c r="ETF15" s="49">
        <v>220</v>
      </c>
      <c r="ETG15" s="49">
        <v>0</v>
      </c>
      <c r="ETH15" s="49">
        <v>0</v>
      </c>
      <c r="ETI15" s="49"/>
      <c r="ETJ15" s="49">
        <v>220</v>
      </c>
      <c r="ETK15" s="808">
        <f t="shared" si="1090"/>
        <v>440</v>
      </c>
      <c r="ETL15" s="211">
        <f t="shared" si="1091"/>
        <v>73.333333333333329</v>
      </c>
      <c r="ETM15" s="814"/>
      <c r="ETN15" s="815">
        <v>221</v>
      </c>
      <c r="ETO15" s="815">
        <v>0</v>
      </c>
      <c r="ETP15" s="815">
        <v>0</v>
      </c>
      <c r="ETQ15" s="815">
        <v>0</v>
      </c>
      <c r="ETR15" s="815">
        <v>220</v>
      </c>
      <c r="ETS15" s="808">
        <f t="shared" si="1092"/>
        <v>441</v>
      </c>
      <c r="ETT15" s="211">
        <f t="shared" si="1093"/>
        <v>73.5</v>
      </c>
      <c r="ETU15" s="458">
        <v>0</v>
      </c>
      <c r="ETV15" s="83">
        <v>109</v>
      </c>
      <c r="ETW15" s="83"/>
      <c r="ETX15" s="83">
        <v>218</v>
      </c>
      <c r="ETY15" s="83">
        <v>331</v>
      </c>
      <c r="ETZ15" s="83">
        <v>0</v>
      </c>
      <c r="EUA15" s="808">
        <f t="shared" si="1094"/>
        <v>658</v>
      </c>
      <c r="EUB15" s="211">
        <f t="shared" si="1095"/>
        <v>109.66666666666667</v>
      </c>
      <c r="EUC15" s="458">
        <v>0</v>
      </c>
      <c r="EUD15" s="83">
        <v>0</v>
      </c>
      <c r="EUE15" s="83"/>
      <c r="EUF15" s="83">
        <v>599</v>
      </c>
      <c r="EUG15" s="83">
        <v>0</v>
      </c>
      <c r="EUH15" s="83">
        <v>0</v>
      </c>
      <c r="EUI15" s="808">
        <f t="shared" si="1096"/>
        <v>599</v>
      </c>
      <c r="EUJ15" s="211">
        <f t="shared" si="1097"/>
        <v>99.833333333333329</v>
      </c>
      <c r="EUK15" s="195"/>
      <c r="EUL15" s="49">
        <v>220</v>
      </c>
      <c r="EUM15" s="49">
        <v>0</v>
      </c>
      <c r="EUN15" s="49">
        <f>SUMIF(SUMPK!$B:$B,$B:$B,SUMPK!$O:$O)</f>
        <v>0</v>
      </c>
      <c r="EUO15" s="49">
        <v>442</v>
      </c>
      <c r="EUP15" s="49">
        <v>0</v>
      </c>
      <c r="EUQ15" s="808">
        <f t="shared" si="1098"/>
        <v>662</v>
      </c>
      <c r="EUR15" s="211">
        <f t="shared" si="1099"/>
        <v>110.33333333333333</v>
      </c>
      <c r="EUS15" s="195">
        <v>330</v>
      </c>
      <c r="EUT15" s="49">
        <v>0</v>
      </c>
      <c r="EUU15" s="49">
        <v>0</v>
      </c>
      <c r="EUV15" s="49">
        <v>0</v>
      </c>
      <c r="EUW15" s="49"/>
      <c r="EUX15" s="49">
        <v>647</v>
      </c>
      <c r="EUY15" s="808">
        <f t="shared" si="1100"/>
        <v>977</v>
      </c>
      <c r="EUZ15" s="211">
        <f t="shared" si="1101"/>
        <v>162.83333333333334</v>
      </c>
      <c r="EVA15" s="195">
        <v>0</v>
      </c>
      <c r="EVB15" s="49"/>
      <c r="EVC15" s="49"/>
      <c r="EVD15" s="49"/>
      <c r="EVE15" s="49">
        <v>437</v>
      </c>
      <c r="EVF15" s="49">
        <v>0</v>
      </c>
      <c r="EVG15" s="808">
        <f t="shared" si="1102"/>
        <v>437</v>
      </c>
      <c r="EVH15" s="211">
        <f t="shared" si="1103"/>
        <v>72.833333333333329</v>
      </c>
      <c r="EVI15" s="195">
        <v>0</v>
      </c>
      <c r="EVJ15" s="49">
        <v>0</v>
      </c>
      <c r="EVK15" s="49">
        <v>220</v>
      </c>
      <c r="EVL15" s="49"/>
      <c r="EVM15" s="49"/>
      <c r="EVN15" s="49">
        <v>0</v>
      </c>
      <c r="EVO15" s="808">
        <f t="shared" si="1104"/>
        <v>220</v>
      </c>
      <c r="EVP15" s="211">
        <f t="shared" si="1105"/>
        <v>36.666666666666664</v>
      </c>
      <c r="EVQ15" s="195">
        <v>681</v>
      </c>
      <c r="EVR15" s="49">
        <v>0</v>
      </c>
      <c r="EVS15" s="49">
        <v>608</v>
      </c>
      <c r="EVT15" s="49"/>
      <c r="EVU15" s="49">
        <v>0</v>
      </c>
      <c r="EVV15" s="49">
        <v>219</v>
      </c>
      <c r="EVW15" s="808">
        <f t="shared" si="1106"/>
        <v>1508</v>
      </c>
      <c r="EVX15" s="211">
        <f t="shared" si="1107"/>
        <v>251.33333333333334</v>
      </c>
      <c r="EVY15" s="195">
        <v>0</v>
      </c>
      <c r="EVZ15" s="49">
        <v>0</v>
      </c>
      <c r="EWA15" s="49"/>
      <c r="EWB15" s="49">
        <v>220</v>
      </c>
      <c r="EWC15" s="49">
        <v>0</v>
      </c>
      <c r="EWD15" s="49">
        <v>326</v>
      </c>
      <c r="EWE15" s="808">
        <f t="shared" si="1108"/>
        <v>546</v>
      </c>
      <c r="EWF15" s="211">
        <f t="shared" si="1109"/>
        <v>91</v>
      </c>
      <c r="EWG15" s="195"/>
      <c r="EWH15" s="49">
        <v>0</v>
      </c>
      <c r="EWI15" s="49">
        <v>0</v>
      </c>
      <c r="EWJ15" s="49"/>
      <c r="EWK15" s="49">
        <v>0</v>
      </c>
      <c r="EWL15" s="49">
        <v>0</v>
      </c>
      <c r="EWM15" s="808">
        <f t="shared" si="1110"/>
        <v>0</v>
      </c>
      <c r="EWN15" s="211">
        <f t="shared" si="175"/>
        <v>0</v>
      </c>
      <c r="EWO15" s="195">
        <v>666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1"/>
        <v>666</v>
      </c>
      <c r="EWV15" s="211">
        <f t="shared" si="1112"/>
        <v>111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3"/>
        <v>0</v>
      </c>
      <c r="EXD15" s="211">
        <f t="shared" si="1114"/>
        <v>0</v>
      </c>
      <c r="EXE15" s="195">
        <v>0</v>
      </c>
      <c r="EXF15" s="49">
        <v>228</v>
      </c>
      <c r="EXG15" s="49"/>
      <c r="EXH15" s="49">
        <v>0</v>
      </c>
      <c r="EXI15" s="49">
        <v>110</v>
      </c>
      <c r="EXJ15" s="49">
        <v>329</v>
      </c>
      <c r="EXK15" s="808">
        <f t="shared" si="1115"/>
        <v>667</v>
      </c>
      <c r="EXL15" s="211">
        <f t="shared" si="1116"/>
        <v>111.16666666666667</v>
      </c>
      <c r="EXM15" s="458">
        <v>0</v>
      </c>
      <c r="EXN15" s="83">
        <v>341</v>
      </c>
      <c r="EXO15" s="83"/>
      <c r="EXP15" s="83">
        <v>0</v>
      </c>
      <c r="EXQ15" s="83"/>
      <c r="EXR15" s="83">
        <v>0</v>
      </c>
      <c r="EXS15" s="808">
        <f t="shared" si="1117"/>
        <v>341</v>
      </c>
      <c r="EXT15" s="211">
        <f t="shared" si="1118"/>
        <v>56.833333333333336</v>
      </c>
      <c r="EXU15" s="195">
        <v>434</v>
      </c>
      <c r="EXV15" s="49"/>
      <c r="EXW15" s="49"/>
      <c r="EXX15" s="49">
        <v>0</v>
      </c>
      <c r="EXY15" s="49"/>
      <c r="EXZ15" s="49">
        <v>0</v>
      </c>
      <c r="EYA15" s="808">
        <f t="shared" si="1119"/>
        <v>434</v>
      </c>
      <c r="EYB15" s="211">
        <f t="shared" si="1120"/>
        <v>72.333333333333329</v>
      </c>
      <c r="EYC15" s="195">
        <v>0</v>
      </c>
      <c r="EYD15" s="49"/>
      <c r="EYE15" s="49">
        <v>437</v>
      </c>
      <c r="EYF15" s="49">
        <v>0</v>
      </c>
      <c r="EYG15" s="49">
        <v>338</v>
      </c>
      <c r="EYH15" s="49">
        <v>0</v>
      </c>
      <c r="EYI15" s="808">
        <f t="shared" si="1121"/>
        <v>775</v>
      </c>
      <c r="EYJ15" s="211">
        <f t="shared" si="1122"/>
        <v>129.16666666666666</v>
      </c>
      <c r="EYK15" s="195">
        <v>0</v>
      </c>
      <c r="EYL15" s="49">
        <v>438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3"/>
        <v>438</v>
      </c>
      <c r="EYR15" s="211">
        <f t="shared" si="1124"/>
        <v>73</v>
      </c>
      <c r="EYS15" s="195">
        <v>220</v>
      </c>
      <c r="EYT15" s="49">
        <v>0</v>
      </c>
      <c r="EYU15" s="49">
        <v>0</v>
      </c>
      <c r="EYV15" s="49"/>
      <c r="EYW15" s="49">
        <v>329</v>
      </c>
      <c r="EYX15" s="49"/>
      <c r="EYY15" s="872">
        <f t="shared" si="1125"/>
        <v>549</v>
      </c>
      <c r="EYZ15" s="873">
        <f t="shared" si="1126"/>
        <v>91.5</v>
      </c>
      <c r="EZA15" s="195">
        <v>0</v>
      </c>
      <c r="EZB15" s="49">
        <v>0</v>
      </c>
      <c r="EZC15" s="49">
        <v>206</v>
      </c>
      <c r="EZD15" s="49">
        <v>0</v>
      </c>
      <c r="EZE15" s="49"/>
      <c r="EZF15" s="49">
        <v>0</v>
      </c>
      <c r="EZG15" s="872">
        <f t="shared" si="1127"/>
        <v>206</v>
      </c>
      <c r="EZH15" s="873">
        <f t="shared" si="1128"/>
        <v>34.333333333333336</v>
      </c>
      <c r="EZI15" s="195"/>
      <c r="EZJ15" s="49">
        <v>109</v>
      </c>
      <c r="EZK15" s="49">
        <v>0</v>
      </c>
      <c r="EZL15" s="49"/>
      <c r="EZM15" s="49"/>
      <c r="EZN15" s="49"/>
      <c r="EZO15" s="872">
        <f t="shared" si="1129"/>
        <v>109</v>
      </c>
      <c r="EZP15" s="873">
        <f t="shared" si="1130"/>
        <v>18.166666666666668</v>
      </c>
    </row>
    <row r="16" spans="1:4072" s="8" customFormat="1" ht="15" customHeight="1" x14ac:dyDescent="0.2">
      <c r="A16" s="301">
        <v>10</v>
      </c>
      <c r="B16" s="21" t="s">
        <v>125</v>
      </c>
      <c r="C16" s="275" t="s">
        <v>126</v>
      </c>
      <c r="D16" s="21">
        <v>25</v>
      </c>
      <c r="E16" s="24"/>
      <c r="F16" s="24">
        <v>1404</v>
      </c>
      <c r="G16" s="24"/>
      <c r="H16" s="24"/>
      <c r="I16" s="360"/>
      <c r="J16" s="360">
        <f>SUMIF(SUMPK!$B:$B,$B:$B,SUMPK!$O:$O)</f>
        <v>0</v>
      </c>
      <c r="K16" s="15">
        <f t="shared" si="1204"/>
        <v>0</v>
      </c>
      <c r="L16" s="24">
        <f t="shared" si="187"/>
        <v>1404</v>
      </c>
      <c r="M16" s="24">
        <f t="shared" si="188"/>
        <v>1404</v>
      </c>
      <c r="N16" s="15">
        <v>0</v>
      </c>
      <c r="O16" s="276">
        <f t="shared" si="189"/>
        <v>0</v>
      </c>
      <c r="P16" s="712">
        <v>35.833333333333336</v>
      </c>
      <c r="Q16" s="276">
        <f t="shared" si="190"/>
        <v>235.08837209302322</v>
      </c>
      <c r="R16" s="277">
        <f t="shared" si="191"/>
        <v>30.76923076923077</v>
      </c>
      <c r="S16" s="222">
        <v>800</v>
      </c>
      <c r="T16" s="276">
        <f t="shared" si="192"/>
        <v>45.629999999999995</v>
      </c>
      <c r="U16" s="303"/>
      <c r="V16" s="302">
        <f t="shared" ref="V16:V20" si="1205">IF(R16=0,0,(M16+U16)/R16)</f>
        <v>45.629999999999995</v>
      </c>
      <c r="W16" s="304">
        <f t="shared" si="0"/>
        <v>1</v>
      </c>
      <c r="X16" s="305"/>
      <c r="Y16" s="280"/>
      <c r="Z16" s="280"/>
      <c r="AA16" s="280"/>
      <c r="AB16" s="280"/>
      <c r="AC16" s="662">
        <v>17</v>
      </c>
      <c r="AD16" s="649"/>
      <c r="AE16" s="49"/>
      <c r="AF16" s="49"/>
      <c r="AG16" s="49"/>
      <c r="AH16" s="49"/>
      <c r="AI16" s="49"/>
      <c r="AJ16" s="42">
        <f t="shared" si="1137"/>
        <v>0</v>
      </c>
      <c r="AK16" s="43">
        <f t="shared" si="1138"/>
        <v>0</v>
      </c>
      <c r="AL16" s="48"/>
      <c r="AM16" s="49"/>
      <c r="AN16" s="49"/>
      <c r="AO16" s="49"/>
      <c r="AP16" s="49">
        <v>611</v>
      </c>
      <c r="AQ16" s="49"/>
      <c r="AR16" s="42">
        <f t="shared" si="1139"/>
        <v>611</v>
      </c>
      <c r="AS16" s="43">
        <f t="shared" si="1140"/>
        <v>101.83333333333333</v>
      </c>
      <c r="AT16" s="48"/>
      <c r="AU16" s="49"/>
      <c r="AV16" s="49"/>
      <c r="AW16" s="49">
        <v>1269</v>
      </c>
      <c r="AX16" s="49"/>
      <c r="AY16" s="49"/>
      <c r="AZ16" s="42">
        <f t="shared" si="1141"/>
        <v>1269</v>
      </c>
      <c r="BA16" s="43">
        <f t="shared" si="1142"/>
        <v>211.5</v>
      </c>
      <c r="BB16" s="48"/>
      <c r="BC16" s="49"/>
      <c r="BD16" s="49"/>
      <c r="BE16" s="49">
        <v>776</v>
      </c>
      <c r="BF16" s="49"/>
      <c r="BG16" s="49"/>
      <c r="BH16" s="42">
        <f t="shared" si="1143"/>
        <v>776</v>
      </c>
      <c r="BI16" s="43">
        <f t="shared" si="1144"/>
        <v>129.33333333333334</v>
      </c>
      <c r="BJ16" s="48"/>
      <c r="BK16" s="49"/>
      <c r="BL16" s="49">
        <v>1194</v>
      </c>
      <c r="BM16" s="49"/>
      <c r="BN16" s="49"/>
      <c r="BO16" s="49"/>
      <c r="BP16" s="42">
        <f t="shared" si="1145"/>
        <v>1194</v>
      </c>
      <c r="BQ16" s="43">
        <f t="shared" si="1146"/>
        <v>199</v>
      </c>
      <c r="BR16" s="48"/>
      <c r="BS16" s="49"/>
      <c r="BT16" s="49">
        <v>800</v>
      </c>
      <c r="BU16" s="49"/>
      <c r="BV16" s="49"/>
      <c r="BW16" s="49"/>
      <c r="BX16" s="42">
        <f t="shared" si="1147"/>
        <v>800</v>
      </c>
      <c r="BY16" s="43">
        <f t="shared" si="3"/>
        <v>133.33333333333334</v>
      </c>
      <c r="BZ16" s="48"/>
      <c r="CA16" s="49"/>
      <c r="CB16" s="49">
        <v>996</v>
      </c>
      <c r="CC16" s="49"/>
      <c r="CD16" s="49"/>
      <c r="CE16" s="49"/>
      <c r="CF16" s="42">
        <f t="shared" si="1148"/>
        <v>996</v>
      </c>
      <c r="CG16" s="43">
        <f t="shared" si="1149"/>
        <v>166</v>
      </c>
      <c r="CH16" s="48"/>
      <c r="CI16" s="49"/>
      <c r="CJ16" s="49"/>
      <c r="CK16" s="49">
        <v>1189</v>
      </c>
      <c r="CL16" s="49"/>
      <c r="CM16" s="49"/>
      <c r="CN16" s="42">
        <f t="shared" si="1150"/>
        <v>1189</v>
      </c>
      <c r="CO16" s="43">
        <f t="shared" si="1151"/>
        <v>198.16666666666666</v>
      </c>
      <c r="CP16" s="48"/>
      <c r="CQ16" s="49"/>
      <c r="CR16" s="49">
        <v>785</v>
      </c>
      <c r="CS16" s="49"/>
      <c r="CT16" s="49"/>
      <c r="CU16" s="49"/>
      <c r="CV16" s="42">
        <f t="shared" si="1152"/>
        <v>785</v>
      </c>
      <c r="CW16" s="43">
        <f t="shared" si="1153"/>
        <v>130.83333333333334</v>
      </c>
      <c r="CX16" s="48"/>
      <c r="CY16" s="49"/>
      <c r="CZ16" s="49"/>
      <c r="DA16" s="49"/>
      <c r="DB16" s="49">
        <v>800</v>
      </c>
      <c r="DC16" s="49"/>
      <c r="DD16" s="42">
        <f t="shared" si="1154"/>
        <v>800</v>
      </c>
      <c r="DE16" s="43">
        <f t="shared" si="1155"/>
        <v>133.33333333333334</v>
      </c>
      <c r="DF16" s="48"/>
      <c r="DG16" s="49">
        <v>200</v>
      </c>
      <c r="DH16" s="49"/>
      <c r="DI16" s="49"/>
      <c r="DJ16" s="49"/>
      <c r="DK16" s="49"/>
      <c r="DL16" s="42">
        <f t="shared" si="1156"/>
        <v>200</v>
      </c>
      <c r="DM16" s="43">
        <f t="shared" si="1157"/>
        <v>33.333333333333336</v>
      </c>
      <c r="DN16" s="48"/>
      <c r="DO16" s="49"/>
      <c r="DP16" s="49"/>
      <c r="DQ16" s="49"/>
      <c r="DR16" s="49"/>
      <c r="DS16" s="49">
        <v>599</v>
      </c>
      <c r="DT16" s="42">
        <f t="shared" si="1158"/>
        <v>599</v>
      </c>
      <c r="DU16" s="43">
        <f t="shared" si="1159"/>
        <v>99.833333333333329</v>
      </c>
      <c r="DV16" s="48"/>
      <c r="DW16" s="49"/>
      <c r="DX16" s="49"/>
      <c r="DY16" s="49"/>
      <c r="DZ16" s="49">
        <v>600</v>
      </c>
      <c r="EA16" s="49"/>
      <c r="EB16" s="42">
        <f t="shared" si="1160"/>
        <v>600</v>
      </c>
      <c r="EC16" s="43">
        <f t="shared" si="1161"/>
        <v>100</v>
      </c>
      <c r="ED16" s="48">
        <v>361</v>
      </c>
      <c r="EE16" s="49"/>
      <c r="EF16" s="49"/>
      <c r="EG16" s="49"/>
      <c r="EH16" s="49"/>
      <c r="EI16" s="49"/>
      <c r="EJ16" s="42">
        <f t="shared" si="1162"/>
        <v>361</v>
      </c>
      <c r="EK16" s="43">
        <f t="shared" si="1163"/>
        <v>60.166666666666664</v>
      </c>
      <c r="EL16" s="48"/>
      <c r="EM16" s="49">
        <v>299</v>
      </c>
      <c r="EN16" s="49"/>
      <c r="EO16" s="49"/>
      <c r="EP16" s="49"/>
      <c r="EQ16" s="49"/>
      <c r="ER16" s="42">
        <f t="shared" si="1164"/>
        <v>299</v>
      </c>
      <c r="ES16" s="43">
        <f t="shared" si="1165"/>
        <v>49.833333333333336</v>
      </c>
      <c r="ET16" s="48">
        <v>1052</v>
      </c>
      <c r="EU16" s="49"/>
      <c r="EV16" s="49"/>
      <c r="EW16" s="49"/>
      <c r="EX16" s="49">
        <v>631</v>
      </c>
      <c r="EY16" s="49"/>
      <c r="EZ16" s="42">
        <f t="shared" si="1166"/>
        <v>1683</v>
      </c>
      <c r="FA16" s="43">
        <f t="shared" si="1167"/>
        <v>280.5</v>
      </c>
      <c r="FB16" s="48"/>
      <c r="FC16" s="49"/>
      <c r="FD16" s="49"/>
      <c r="FE16" s="49"/>
      <c r="FF16" s="49"/>
      <c r="FG16" s="49">
        <v>319</v>
      </c>
      <c r="FH16" s="42">
        <f t="shared" si="1168"/>
        <v>319</v>
      </c>
      <c r="FI16" s="43">
        <f t="shared" si="1169"/>
        <v>53.166666666666664</v>
      </c>
      <c r="FJ16" s="48"/>
      <c r="FK16" s="49"/>
      <c r="FL16" s="49"/>
      <c r="FM16" s="49">
        <v>823</v>
      </c>
      <c r="FN16" s="49"/>
      <c r="FO16" s="49"/>
      <c r="FP16" s="42">
        <f t="shared" si="1170"/>
        <v>823</v>
      </c>
      <c r="FQ16" s="43">
        <f t="shared" si="1171"/>
        <v>137.16666666666666</v>
      </c>
      <c r="FR16" s="48"/>
      <c r="FS16" s="49"/>
      <c r="FT16" s="49"/>
      <c r="FU16" s="49"/>
      <c r="FV16" s="49">
        <v>434</v>
      </c>
      <c r="FW16" s="49"/>
      <c r="FX16" s="42">
        <f t="shared" si="1172"/>
        <v>434</v>
      </c>
      <c r="FY16" s="43">
        <f t="shared" si="1173"/>
        <v>72.333333333333329</v>
      </c>
      <c r="FZ16" s="48"/>
      <c r="GA16" s="49"/>
      <c r="GB16" s="49"/>
      <c r="GC16" s="49"/>
      <c r="GD16" s="49"/>
      <c r="GE16" s="49"/>
      <c r="GF16" s="42">
        <f t="shared" si="1174"/>
        <v>0</v>
      </c>
      <c r="GG16" s="43">
        <f t="shared" si="1175"/>
        <v>0</v>
      </c>
      <c r="GH16" s="48">
        <v>381</v>
      </c>
      <c r="GI16" s="49"/>
      <c r="GJ16" s="49"/>
      <c r="GK16" s="49"/>
      <c r="GL16" s="49"/>
      <c r="GM16" s="49"/>
      <c r="GN16" s="42">
        <f t="shared" si="1176"/>
        <v>381</v>
      </c>
      <c r="GO16" s="43">
        <f t="shared" si="1177"/>
        <v>63.5</v>
      </c>
      <c r="GP16" s="48"/>
      <c r="GQ16" s="49"/>
      <c r="GR16" s="49"/>
      <c r="GS16" s="49"/>
      <c r="GT16" s="49"/>
      <c r="GU16" s="49"/>
      <c r="GV16" s="42">
        <f t="shared" si="1178"/>
        <v>0</v>
      </c>
      <c r="GW16" s="43">
        <f t="shared" si="1179"/>
        <v>0</v>
      </c>
      <c r="GX16" s="48"/>
      <c r="GY16" s="49"/>
      <c r="GZ16" s="49"/>
      <c r="HA16" s="49"/>
      <c r="HB16" s="49"/>
      <c r="HC16" s="49"/>
      <c r="HD16" s="42">
        <f t="shared" si="1180"/>
        <v>0</v>
      </c>
      <c r="HE16" s="43">
        <f t="shared" si="1181"/>
        <v>0</v>
      </c>
      <c r="HF16" s="48"/>
      <c r="HG16" s="49"/>
      <c r="HH16" s="49"/>
      <c r="HI16" s="49"/>
      <c r="HJ16" s="49"/>
      <c r="HK16" s="49"/>
      <c r="HL16" s="42">
        <f t="shared" si="1182"/>
        <v>0</v>
      </c>
      <c r="HM16" s="43">
        <f t="shared" si="1183"/>
        <v>0</v>
      </c>
      <c r="HN16" s="82"/>
      <c r="HO16" s="83"/>
      <c r="HP16" s="83"/>
      <c r="HQ16" s="83"/>
      <c r="HR16" s="83">
        <v>211</v>
      </c>
      <c r="HS16" s="83"/>
      <c r="HT16" s="42">
        <f t="shared" si="1184"/>
        <v>211</v>
      </c>
      <c r="HU16" s="43">
        <f t="shared" si="1185"/>
        <v>35.166666666666664</v>
      </c>
      <c r="HV16" s="48"/>
      <c r="HW16" s="49"/>
      <c r="HX16" s="49"/>
      <c r="HY16" s="49"/>
      <c r="HZ16" s="49">
        <v>200</v>
      </c>
      <c r="IA16" s="49"/>
      <c r="IB16" s="42">
        <f t="shared" si="1186"/>
        <v>200</v>
      </c>
      <c r="IC16" s="43">
        <f t="shared" si="1187"/>
        <v>33.333333333333336</v>
      </c>
      <c r="ID16" s="48"/>
      <c r="IE16" s="49">
        <v>302</v>
      </c>
      <c r="IF16" s="49"/>
      <c r="IG16" s="49"/>
      <c r="IH16" s="49"/>
      <c r="II16" s="49"/>
      <c r="IJ16" s="42">
        <f t="shared" si="1188"/>
        <v>302</v>
      </c>
      <c r="IK16" s="43">
        <f t="shared" si="1189"/>
        <v>50.333333333333336</v>
      </c>
      <c r="IL16" s="48"/>
      <c r="IM16" s="49">
        <v>209</v>
      </c>
      <c r="IN16" s="49"/>
      <c r="IO16" s="49"/>
      <c r="IP16" s="49"/>
      <c r="IQ16" s="49"/>
      <c r="IR16" s="67">
        <f t="shared" si="1190"/>
        <v>209</v>
      </c>
      <c r="IS16" s="68">
        <f t="shared" si="1191"/>
        <v>34.833333333333336</v>
      </c>
      <c r="IT16" s="48"/>
      <c r="IU16" s="49"/>
      <c r="IV16" s="49"/>
      <c r="IW16" s="49"/>
      <c r="IX16" s="49"/>
      <c r="IY16" s="49"/>
      <c r="IZ16" s="67">
        <f t="shared" si="1192"/>
        <v>0</v>
      </c>
      <c r="JA16" s="68">
        <f t="shared" si="1193"/>
        <v>0</v>
      </c>
      <c r="JB16" s="48"/>
      <c r="JC16" s="49"/>
      <c r="JD16" s="49"/>
      <c r="JE16" s="49"/>
      <c r="JF16" s="49"/>
      <c r="JG16" s="49"/>
      <c r="JH16" s="67">
        <f t="shared" si="1194"/>
        <v>0</v>
      </c>
      <c r="JI16" s="68">
        <f t="shared" si="1195"/>
        <v>0</v>
      </c>
      <c r="JJ16" s="48"/>
      <c r="JK16" s="49"/>
      <c r="JL16" s="49"/>
      <c r="JM16" s="49"/>
      <c r="JN16" s="49"/>
      <c r="JO16" s="49"/>
      <c r="JP16" s="42">
        <f t="shared" si="1196"/>
        <v>0</v>
      </c>
      <c r="JQ16" s="43">
        <f t="shared" si="1197"/>
        <v>0</v>
      </c>
      <c r="JR16" s="48"/>
      <c r="JS16" s="49">
        <v>629</v>
      </c>
      <c r="JT16" s="49"/>
      <c r="JU16" s="49"/>
      <c r="JV16" s="49"/>
      <c r="JW16" s="49">
        <v>542</v>
      </c>
      <c r="JX16" s="42">
        <f t="shared" si="1198"/>
        <v>1171</v>
      </c>
      <c r="JY16" s="43">
        <f t="shared" si="1199"/>
        <v>195.16666666666666</v>
      </c>
      <c r="JZ16" s="48"/>
      <c r="KA16" s="49"/>
      <c r="KB16" s="49"/>
      <c r="KC16" s="49"/>
      <c r="KD16" s="49"/>
      <c r="KE16" s="49"/>
      <c r="KF16" s="42">
        <f t="shared" si="194"/>
        <v>0</v>
      </c>
      <c r="KG16" s="43">
        <f t="shared" si="195"/>
        <v>0</v>
      </c>
      <c r="KH16" s="48"/>
      <c r="KI16" s="49">
        <v>101</v>
      </c>
      <c r="KJ16" s="49"/>
      <c r="KK16" s="49"/>
      <c r="KL16" s="49"/>
      <c r="KM16" s="49">
        <v>797</v>
      </c>
      <c r="KN16" s="67">
        <f t="shared" si="196"/>
        <v>898</v>
      </c>
      <c r="KO16" s="68">
        <f t="shared" si="197"/>
        <v>149.66666666666666</v>
      </c>
      <c r="KP16" s="48"/>
      <c r="KQ16" s="49"/>
      <c r="KR16" s="49"/>
      <c r="KS16" s="49"/>
      <c r="KT16" s="49"/>
      <c r="KU16" s="49">
        <v>602</v>
      </c>
      <c r="KV16" s="67">
        <f t="shared" si="198"/>
        <v>602</v>
      </c>
      <c r="KW16" s="68">
        <f t="shared" si="199"/>
        <v>100.33333333333333</v>
      </c>
      <c r="KX16" s="48"/>
      <c r="KY16" s="49"/>
      <c r="KZ16" s="49"/>
      <c r="LA16" s="49"/>
      <c r="LB16" s="49"/>
      <c r="LC16" s="49"/>
      <c r="LD16" s="67">
        <f t="shared" si="200"/>
        <v>0</v>
      </c>
      <c r="LE16" s="68">
        <f t="shared" si="201"/>
        <v>0</v>
      </c>
      <c r="LF16" s="48">
        <v>196</v>
      </c>
      <c r="LG16" s="49"/>
      <c r="LH16" s="49"/>
      <c r="LI16" s="49"/>
      <c r="LJ16" s="49">
        <v>199</v>
      </c>
      <c r="LK16" s="49"/>
      <c r="LL16" s="67">
        <f t="shared" si="202"/>
        <v>395</v>
      </c>
      <c r="LM16" s="68">
        <f t="shared" si="203"/>
        <v>65.833333333333329</v>
      </c>
      <c r="LN16" s="48"/>
      <c r="LO16" s="49"/>
      <c r="LP16" s="49"/>
      <c r="LQ16" s="49"/>
      <c r="LR16" s="49"/>
      <c r="LS16" s="49"/>
      <c r="LT16" s="67">
        <f t="shared" si="204"/>
        <v>0</v>
      </c>
      <c r="LU16" s="68">
        <f t="shared" si="205"/>
        <v>0</v>
      </c>
      <c r="LV16" s="48">
        <v>398</v>
      </c>
      <c r="LW16" s="49"/>
      <c r="LX16" s="49"/>
      <c r="LY16" s="49"/>
      <c r="LZ16" s="49">
        <v>390</v>
      </c>
      <c r="MA16" s="49"/>
      <c r="MB16" s="67">
        <f t="shared" si="206"/>
        <v>788</v>
      </c>
      <c r="MC16" s="68">
        <f t="shared" si="207"/>
        <v>131.33333333333334</v>
      </c>
      <c r="MD16" s="48"/>
      <c r="ME16" s="49">
        <v>288</v>
      </c>
      <c r="MF16" s="49"/>
      <c r="MG16" s="49"/>
      <c r="MH16" s="49"/>
      <c r="MI16" s="49"/>
      <c r="MJ16" s="67">
        <f t="shared" si="208"/>
        <v>288</v>
      </c>
      <c r="MK16" s="68">
        <f t="shared" si="209"/>
        <v>48</v>
      </c>
      <c r="ML16" s="48"/>
      <c r="MM16" s="49"/>
      <c r="MN16" s="49"/>
      <c r="MO16" s="49">
        <v>500</v>
      </c>
      <c r="MP16" s="49">
        <v>176</v>
      </c>
      <c r="MQ16" s="49"/>
      <c r="MR16" s="67">
        <f t="shared" si="210"/>
        <v>676</v>
      </c>
      <c r="MS16" s="68">
        <f t="shared" si="211"/>
        <v>112.66666666666667</v>
      </c>
      <c r="MT16" s="48"/>
      <c r="MU16" s="49"/>
      <c r="MV16" s="49"/>
      <c r="MW16" s="49"/>
      <c r="MX16" s="49"/>
      <c r="MY16" s="49">
        <v>400</v>
      </c>
      <c r="MZ16" s="67">
        <f t="shared" si="212"/>
        <v>400</v>
      </c>
      <c r="NA16" s="68">
        <f t="shared" si="213"/>
        <v>66.666666666666671</v>
      </c>
      <c r="NB16" s="48"/>
      <c r="NC16" s="49"/>
      <c r="ND16" s="49"/>
      <c r="NE16" s="49"/>
      <c r="NF16" s="49"/>
      <c r="NG16" s="49"/>
      <c r="NH16" s="67">
        <f t="shared" si="214"/>
        <v>0</v>
      </c>
      <c r="NI16" s="68">
        <f t="shared" si="215"/>
        <v>0</v>
      </c>
      <c r="NJ16" s="48"/>
      <c r="NK16" s="49"/>
      <c r="NL16" s="49">
        <v>826</v>
      </c>
      <c r="NM16" s="49"/>
      <c r="NN16" s="49"/>
      <c r="NO16" s="49"/>
      <c r="NP16" s="67">
        <f t="shared" si="216"/>
        <v>826</v>
      </c>
      <c r="NQ16" s="68">
        <f t="shared" si="217"/>
        <v>137.66666666666666</v>
      </c>
      <c r="NR16" s="48"/>
      <c r="NS16" s="49"/>
      <c r="NT16" s="49"/>
      <c r="NU16" s="49"/>
      <c r="NV16" s="49"/>
      <c r="NW16" s="49"/>
      <c r="NX16" s="67">
        <f t="shared" si="218"/>
        <v>0</v>
      </c>
      <c r="NY16" s="68">
        <f t="shared" si="219"/>
        <v>0</v>
      </c>
      <c r="NZ16" s="48"/>
      <c r="OA16" s="49"/>
      <c r="OB16" s="49"/>
      <c r="OC16" s="49"/>
      <c r="OD16" s="49"/>
      <c r="OE16" s="49"/>
      <c r="OF16" s="67">
        <f t="shared" si="220"/>
        <v>0</v>
      </c>
      <c r="OG16" s="68">
        <f t="shared" si="221"/>
        <v>0</v>
      </c>
      <c r="OH16" s="48"/>
      <c r="OI16" s="49"/>
      <c r="OJ16" s="49"/>
      <c r="OK16" s="49"/>
      <c r="OL16" s="49"/>
      <c r="OM16" s="49"/>
      <c r="ON16" s="67">
        <f t="shared" si="222"/>
        <v>0</v>
      </c>
      <c r="OO16" s="68">
        <f t="shared" si="223"/>
        <v>0</v>
      </c>
      <c r="OP16" s="48"/>
      <c r="OQ16" s="49">
        <v>198</v>
      </c>
      <c r="OR16" s="49"/>
      <c r="OS16" s="49"/>
      <c r="OT16" s="49"/>
      <c r="OU16" s="49"/>
      <c r="OV16" s="67">
        <f t="shared" si="224"/>
        <v>198</v>
      </c>
      <c r="OW16" s="68">
        <f t="shared" si="225"/>
        <v>33</v>
      </c>
      <c r="OX16" s="48"/>
      <c r="OY16" s="49"/>
      <c r="OZ16" s="49"/>
      <c r="PA16" s="49"/>
      <c r="PB16" s="49"/>
      <c r="PC16" s="49">
        <v>400</v>
      </c>
      <c r="PD16" s="67">
        <f t="shared" si="226"/>
        <v>400</v>
      </c>
      <c r="PE16" s="68">
        <f t="shared" si="227"/>
        <v>66.666666666666671</v>
      </c>
      <c r="PF16" s="48"/>
      <c r="PG16" s="49"/>
      <c r="PH16" s="49"/>
      <c r="PI16" s="49"/>
      <c r="PJ16" s="49"/>
      <c r="PK16" s="49"/>
      <c r="PL16" s="67">
        <f t="shared" si="228"/>
        <v>0</v>
      </c>
      <c r="PM16" s="68">
        <f t="shared" si="229"/>
        <v>0</v>
      </c>
      <c r="PN16" s="48"/>
      <c r="PO16" s="49"/>
      <c r="PP16" s="49">
        <v>599</v>
      </c>
      <c r="PQ16" s="49"/>
      <c r="PR16" s="49"/>
      <c r="PS16" s="49"/>
      <c r="PT16" s="104">
        <f t="shared" si="230"/>
        <v>599</v>
      </c>
      <c r="PU16" s="105">
        <f t="shared" si="231"/>
        <v>99.833333333333329</v>
      </c>
      <c r="PV16" s="106"/>
      <c r="PW16" s="107"/>
      <c r="PX16" s="107"/>
      <c r="PY16" s="107"/>
      <c r="PZ16" s="107"/>
      <c r="QA16" s="107"/>
      <c r="QB16" s="104">
        <f t="shared" si="232"/>
        <v>0</v>
      </c>
      <c r="QC16" s="105">
        <f t="shared" si="233"/>
        <v>0</v>
      </c>
      <c r="QD16" s="106"/>
      <c r="QE16" s="107"/>
      <c r="QF16" s="107">
        <v>384</v>
      </c>
      <c r="QG16" s="107"/>
      <c r="QH16" s="107"/>
      <c r="QI16" s="107"/>
      <c r="QJ16" s="104">
        <f t="shared" si="234"/>
        <v>384</v>
      </c>
      <c r="QK16" s="105">
        <f t="shared" si="235"/>
        <v>64</v>
      </c>
      <c r="QL16" s="106">
        <v>403</v>
      </c>
      <c r="QM16" s="107"/>
      <c r="QN16" s="107"/>
      <c r="QO16" s="107"/>
      <c r="QP16" s="107"/>
      <c r="QQ16" s="107"/>
      <c r="QR16" s="104">
        <f t="shared" si="236"/>
        <v>403</v>
      </c>
      <c r="QS16" s="105">
        <f t="shared" si="237"/>
        <v>67.166666666666671</v>
      </c>
      <c r="QT16" s="106"/>
      <c r="QU16" s="107"/>
      <c r="QV16" s="107">
        <v>389</v>
      </c>
      <c r="QW16" s="107"/>
      <c r="QX16" s="107"/>
      <c r="QY16" s="107">
        <v>297</v>
      </c>
      <c r="QZ16" s="104">
        <f t="shared" si="238"/>
        <v>686</v>
      </c>
      <c r="RA16" s="105">
        <f t="shared" si="239"/>
        <v>114.33333333333333</v>
      </c>
      <c r="RB16" s="106"/>
      <c r="RC16" s="107"/>
      <c r="RD16" s="107"/>
      <c r="RE16" s="107"/>
      <c r="RF16" s="107"/>
      <c r="RG16" s="107">
        <v>599</v>
      </c>
      <c r="RH16" s="104">
        <f t="shared" si="240"/>
        <v>599</v>
      </c>
      <c r="RI16" s="105">
        <f t="shared" si="241"/>
        <v>99.833333333333329</v>
      </c>
      <c r="RJ16" s="106"/>
      <c r="RK16" s="107">
        <v>567</v>
      </c>
      <c r="RL16" s="107"/>
      <c r="RM16" s="107"/>
      <c r="RN16" s="107">
        <v>600</v>
      </c>
      <c r="RO16" s="107"/>
      <c r="RP16" s="104">
        <f t="shared" si="242"/>
        <v>1167</v>
      </c>
      <c r="RQ16" s="105">
        <f t="shared" si="243"/>
        <v>194.5</v>
      </c>
      <c r="RR16" s="106"/>
      <c r="RS16" s="107"/>
      <c r="RT16" s="107"/>
      <c r="RU16" s="107"/>
      <c r="RV16" s="107"/>
      <c r="RW16" s="107"/>
      <c r="RX16" s="104">
        <f t="shared" si="244"/>
        <v>0</v>
      </c>
      <c r="RY16" s="105">
        <f t="shared" si="245"/>
        <v>0</v>
      </c>
      <c r="RZ16" s="106"/>
      <c r="SA16" s="107"/>
      <c r="SB16" s="107"/>
      <c r="SC16" s="107"/>
      <c r="SD16" s="107"/>
      <c r="SE16" s="107"/>
      <c r="SF16" s="104">
        <f t="shared" si="246"/>
        <v>0</v>
      </c>
      <c r="SG16" s="105">
        <f t="shared" si="247"/>
        <v>0</v>
      </c>
      <c r="SH16" s="106"/>
      <c r="SI16" s="107"/>
      <c r="SJ16" s="107"/>
      <c r="SK16" s="107"/>
      <c r="SL16" s="107"/>
      <c r="SM16" s="107"/>
      <c r="SN16" s="104">
        <f t="shared" si="248"/>
        <v>0</v>
      </c>
      <c r="SO16" s="105">
        <f t="shared" si="249"/>
        <v>0</v>
      </c>
      <c r="SP16" s="106">
        <v>245</v>
      </c>
      <c r="SQ16" s="107"/>
      <c r="SR16" s="107"/>
      <c r="SS16" s="107">
        <v>533</v>
      </c>
      <c r="ST16" s="107"/>
      <c r="SU16" s="107"/>
      <c r="SV16" s="104">
        <f t="shared" si="250"/>
        <v>778</v>
      </c>
      <c r="SW16" s="105">
        <f t="shared" si="251"/>
        <v>129.66666666666666</v>
      </c>
      <c r="SX16" s="106"/>
      <c r="SY16" s="107"/>
      <c r="SZ16" s="107"/>
      <c r="TA16" s="107"/>
      <c r="TB16" s="107">
        <v>398</v>
      </c>
      <c r="TC16" s="107"/>
      <c r="TD16" s="104">
        <f t="shared" si="252"/>
        <v>398</v>
      </c>
      <c r="TE16" s="105">
        <f t="shared" si="253"/>
        <v>66.333333333333329</v>
      </c>
      <c r="TF16" s="106"/>
      <c r="TG16" s="107">
        <v>196</v>
      </c>
      <c r="TH16" s="107"/>
      <c r="TI16" s="107"/>
      <c r="TJ16" s="107"/>
      <c r="TK16" s="107">
        <v>401</v>
      </c>
      <c r="TL16" s="104">
        <f t="shared" si="254"/>
        <v>597</v>
      </c>
      <c r="TM16" s="105">
        <f t="shared" si="255"/>
        <v>99.5</v>
      </c>
      <c r="TN16" s="106"/>
      <c r="TO16" s="107"/>
      <c r="TP16" s="107"/>
      <c r="TQ16" s="107"/>
      <c r="TR16" s="107"/>
      <c r="TS16" s="107"/>
      <c r="TT16" s="104">
        <f t="shared" si="256"/>
        <v>0</v>
      </c>
      <c r="TU16" s="105">
        <f t="shared" si="257"/>
        <v>0</v>
      </c>
      <c r="TV16" s="106"/>
      <c r="TW16" s="107"/>
      <c r="TX16" s="107"/>
      <c r="TY16" s="107"/>
      <c r="TZ16" s="107">
        <v>394</v>
      </c>
      <c r="UA16" s="107"/>
      <c r="UB16" s="104">
        <f t="shared" si="258"/>
        <v>394</v>
      </c>
      <c r="UC16" s="105">
        <f t="shared" si="259"/>
        <v>65.666666666666671</v>
      </c>
      <c r="UD16" s="106"/>
      <c r="UE16" s="107"/>
      <c r="UF16" s="107"/>
      <c r="UG16" s="107"/>
      <c r="UH16" s="107"/>
      <c r="UI16" s="107"/>
      <c r="UJ16" s="104">
        <f t="shared" si="260"/>
        <v>0</v>
      </c>
      <c r="UK16" s="105">
        <f t="shared" si="261"/>
        <v>0</v>
      </c>
      <c r="UL16" s="106"/>
      <c r="UM16" s="107">
        <v>599</v>
      </c>
      <c r="UN16" s="107"/>
      <c r="UO16" s="107"/>
      <c r="UP16" s="107"/>
      <c r="UQ16" s="107"/>
      <c r="UR16" s="107"/>
      <c r="US16" s="104">
        <f t="shared" si="262"/>
        <v>599</v>
      </c>
      <c r="UT16" s="105">
        <f t="shared" si="263"/>
        <v>99.833333333333329</v>
      </c>
      <c r="UU16" s="106"/>
      <c r="UV16" s="107"/>
      <c r="UW16" s="107"/>
      <c r="UX16" s="107"/>
      <c r="UY16" s="107"/>
      <c r="UZ16" s="107"/>
      <c r="VA16" s="104">
        <f t="shared" si="264"/>
        <v>0</v>
      </c>
      <c r="VB16" s="105">
        <f t="shared" si="265"/>
        <v>0</v>
      </c>
      <c r="VC16" s="106"/>
      <c r="VD16" s="107"/>
      <c r="VE16" s="107"/>
      <c r="VF16" s="107"/>
      <c r="VG16" s="107">
        <v>193</v>
      </c>
      <c r="VH16" s="107">
        <v>822</v>
      </c>
      <c r="VI16" s="104">
        <f t="shared" si="266"/>
        <v>1015</v>
      </c>
      <c r="VJ16" s="105">
        <f t="shared" si="267"/>
        <v>169.16666666666666</v>
      </c>
      <c r="VK16" s="106"/>
      <c r="VL16" s="107"/>
      <c r="VM16" s="107"/>
      <c r="VN16" s="107"/>
      <c r="VO16" s="107">
        <v>201</v>
      </c>
      <c r="VP16" s="107"/>
      <c r="VQ16" s="104">
        <f t="shared" si="268"/>
        <v>201</v>
      </c>
      <c r="VR16" s="105">
        <f t="shared" si="269"/>
        <v>33.5</v>
      </c>
      <c r="VS16" s="106"/>
      <c r="VT16" s="107"/>
      <c r="VU16" s="107"/>
      <c r="VV16" s="107"/>
      <c r="VW16" s="107"/>
      <c r="VX16" s="107"/>
      <c r="VY16" s="104">
        <f t="shared" si="270"/>
        <v>0</v>
      </c>
      <c r="VZ16" s="105">
        <f t="shared" si="271"/>
        <v>0</v>
      </c>
      <c r="WA16" s="63"/>
      <c r="WB16" s="64"/>
      <c r="WC16" s="64"/>
      <c r="WD16" s="64"/>
      <c r="WE16" s="64"/>
      <c r="WF16" s="64">
        <v>192</v>
      </c>
      <c r="WG16" s="67">
        <f t="shared" si="272"/>
        <v>192</v>
      </c>
      <c r="WH16" s="68">
        <f t="shared" si="273"/>
        <v>32</v>
      </c>
      <c r="WI16" s="48"/>
      <c r="WJ16" s="49"/>
      <c r="WK16" s="49"/>
      <c r="WL16" s="49"/>
      <c r="WM16" s="49"/>
      <c r="WN16" s="49"/>
      <c r="WO16" s="67">
        <f t="shared" si="274"/>
        <v>0</v>
      </c>
      <c r="WP16" s="68">
        <f t="shared" si="275"/>
        <v>0</v>
      </c>
      <c r="WQ16" s="48"/>
      <c r="WR16" s="49"/>
      <c r="WS16" s="49"/>
      <c r="WT16" s="49"/>
      <c r="WU16" s="49"/>
      <c r="WV16" s="49"/>
      <c r="WW16" s="49"/>
      <c r="WX16" s="67">
        <f t="shared" si="276"/>
        <v>0</v>
      </c>
      <c r="WY16" s="68">
        <f t="shared" si="277"/>
        <v>0</v>
      </c>
      <c r="WZ16" s="48"/>
      <c r="XA16" s="49"/>
      <c r="XB16" s="49"/>
      <c r="XC16" s="49"/>
      <c r="XD16" s="49"/>
      <c r="XE16" s="49"/>
      <c r="XF16" s="49"/>
      <c r="XG16" s="67">
        <f t="shared" si="278"/>
        <v>0</v>
      </c>
      <c r="XH16" s="68">
        <f t="shared" si="279"/>
        <v>0</v>
      </c>
      <c r="XI16" s="106"/>
      <c r="XJ16" s="107"/>
      <c r="XK16" s="107"/>
      <c r="XL16" s="107"/>
      <c r="XM16" s="107"/>
      <c r="XN16" s="107"/>
      <c r="XO16" s="107"/>
      <c r="XP16" s="104">
        <f t="shared" si="280"/>
        <v>0</v>
      </c>
      <c r="XQ16" s="105">
        <f t="shared" si="281"/>
        <v>0</v>
      </c>
      <c r="XR16" s="48"/>
      <c r="XS16" s="49">
        <v>1593</v>
      </c>
      <c r="XT16" s="49"/>
      <c r="XU16" s="49"/>
      <c r="XV16" s="49"/>
      <c r="XW16" s="49">
        <v>388</v>
      </c>
      <c r="XX16" s="49"/>
      <c r="XY16" s="67">
        <f t="shared" si="282"/>
        <v>1981</v>
      </c>
      <c r="XZ16" s="68">
        <f t="shared" si="283"/>
        <v>330.16666666666669</v>
      </c>
      <c r="YA16" s="48"/>
      <c r="YB16" s="49"/>
      <c r="YC16" s="49">
        <v>397</v>
      </c>
      <c r="YD16" s="49"/>
      <c r="YE16" s="49"/>
      <c r="YF16" s="49"/>
      <c r="YG16" s="49"/>
      <c r="YH16" s="67">
        <f t="shared" si="284"/>
        <v>397</v>
      </c>
      <c r="YI16" s="68">
        <f t="shared" si="285"/>
        <v>66.166666666666671</v>
      </c>
      <c r="YJ16" s="180"/>
      <c r="YK16" s="49"/>
      <c r="YL16" s="49"/>
      <c r="YM16" s="49">
        <v>480</v>
      </c>
      <c r="YN16" s="49"/>
      <c r="YO16" s="49"/>
      <c r="YP16" s="49"/>
      <c r="YQ16" s="67">
        <f t="shared" si="286"/>
        <v>480</v>
      </c>
      <c r="YR16" s="68">
        <f t="shared" si="287"/>
        <v>80</v>
      </c>
      <c r="YS16" s="48"/>
      <c r="YT16" s="49"/>
      <c r="YU16" s="49">
        <v>200</v>
      </c>
      <c r="YV16" s="49"/>
      <c r="YW16" s="49"/>
      <c r="YX16" s="49"/>
      <c r="YY16" s="67">
        <f t="shared" si="288"/>
        <v>200</v>
      </c>
      <c r="YZ16" s="68">
        <f t="shared" si="289"/>
        <v>33.333333333333336</v>
      </c>
      <c r="ZA16" s="48"/>
      <c r="ZB16" s="49"/>
      <c r="ZC16" s="49"/>
      <c r="ZD16" s="49"/>
      <c r="ZE16" s="49"/>
      <c r="ZF16" s="49"/>
      <c r="ZG16" s="67">
        <f t="shared" si="290"/>
        <v>0</v>
      </c>
      <c r="ZH16" s="68">
        <f t="shared" si="291"/>
        <v>0</v>
      </c>
      <c r="ZI16" s="48"/>
      <c r="ZJ16" s="49"/>
      <c r="ZK16" s="49"/>
      <c r="ZL16" s="49"/>
      <c r="ZM16" s="24">
        <v>517</v>
      </c>
      <c r="ZN16" s="24"/>
      <c r="ZO16" s="67">
        <f t="shared" si="292"/>
        <v>517</v>
      </c>
      <c r="ZP16" s="68">
        <f t="shared" si="293"/>
        <v>86.166666666666671</v>
      </c>
      <c r="ZQ16" s="48"/>
      <c r="ZR16" s="49"/>
      <c r="ZS16" s="49"/>
      <c r="ZT16" s="49"/>
      <c r="ZU16" s="49"/>
      <c r="ZV16" s="49"/>
      <c r="ZW16" s="49"/>
      <c r="ZX16" s="67">
        <f t="shared" si="294"/>
        <v>0</v>
      </c>
      <c r="ZY16" s="68">
        <f t="shared" si="295"/>
        <v>0</v>
      </c>
      <c r="ZZ16" s="48"/>
      <c r="AAA16" s="49">
        <v>40</v>
      </c>
      <c r="AAB16" s="49"/>
      <c r="AAC16" s="49"/>
      <c r="AAD16" s="49"/>
      <c r="AAE16" s="49"/>
      <c r="AAF16" s="49">
        <v>419</v>
      </c>
      <c r="AAG16" s="67">
        <f t="shared" si="296"/>
        <v>459</v>
      </c>
      <c r="AAH16" s="68">
        <f t="shared" si="297"/>
        <v>76.5</v>
      </c>
      <c r="AAI16" s="48"/>
      <c r="AAJ16" s="49"/>
      <c r="AAK16" s="49"/>
      <c r="AAL16" s="49"/>
      <c r="AAM16" s="49"/>
      <c r="AAN16" s="49">
        <v>400</v>
      </c>
      <c r="AAO16" s="67">
        <f t="shared" si="298"/>
        <v>400</v>
      </c>
      <c r="AAP16" s="68">
        <f t="shared" si="299"/>
        <v>66.666666666666671</v>
      </c>
      <c r="AAQ16" s="48"/>
      <c r="AAR16" s="49"/>
      <c r="AAS16" s="49">
        <v>385</v>
      </c>
      <c r="AAT16" s="49"/>
      <c r="AAU16" s="49"/>
      <c r="AAV16" s="49"/>
      <c r="AAW16" s="67">
        <f t="shared" si="300"/>
        <v>385</v>
      </c>
      <c r="AAX16" s="68">
        <f t="shared" si="301"/>
        <v>64.166666666666671</v>
      </c>
      <c r="AAY16" s="48"/>
      <c r="AAZ16" s="49"/>
      <c r="ABA16" s="49"/>
      <c r="ABB16" s="49"/>
      <c r="ABC16" s="49"/>
      <c r="ABD16" s="49"/>
      <c r="ABE16" s="67">
        <f t="shared" si="302"/>
        <v>0</v>
      </c>
      <c r="ABF16" s="68">
        <f t="shared" si="303"/>
        <v>0</v>
      </c>
      <c r="ABG16" s="48"/>
      <c r="ABH16" s="49"/>
      <c r="ABI16" s="49"/>
      <c r="ABJ16" s="49"/>
      <c r="ABK16" s="49"/>
      <c r="ABL16" s="49"/>
      <c r="ABM16" s="67">
        <f t="shared" si="304"/>
        <v>0</v>
      </c>
      <c r="ABN16" s="68">
        <f t="shared" si="305"/>
        <v>0</v>
      </c>
      <c r="ABO16" s="48"/>
      <c r="ABP16" s="49"/>
      <c r="ABQ16" s="49"/>
      <c r="ABR16" s="49">
        <v>400</v>
      </c>
      <c r="ABS16" s="49"/>
      <c r="ABT16" s="49"/>
      <c r="ABU16" s="67">
        <f t="shared" si="306"/>
        <v>400</v>
      </c>
      <c r="ABV16" s="68">
        <f t="shared" si="307"/>
        <v>66.666666666666671</v>
      </c>
      <c r="ABW16" s="48"/>
      <c r="ABX16" s="49"/>
      <c r="ABY16" s="49">
        <v>687</v>
      </c>
      <c r="ABZ16" s="49"/>
      <c r="ACA16" s="49"/>
      <c r="ACB16" s="49"/>
      <c r="ACC16" s="67">
        <f t="shared" si="308"/>
        <v>687</v>
      </c>
      <c r="ACD16" s="68">
        <f t="shared" si="309"/>
        <v>114.5</v>
      </c>
      <c r="ACE16" s="48"/>
      <c r="ACF16" s="49"/>
      <c r="ACG16" s="49"/>
      <c r="ACH16" s="49"/>
      <c r="ACI16" s="49"/>
      <c r="ACJ16" s="49"/>
      <c r="ACK16" s="67">
        <f t="shared" si="310"/>
        <v>0</v>
      </c>
      <c r="ACL16" s="68">
        <f t="shared" si="311"/>
        <v>0</v>
      </c>
      <c r="ACM16" s="48"/>
      <c r="ACN16" s="49">
        <v>400</v>
      </c>
      <c r="ACO16" s="49"/>
      <c r="ACP16" s="49"/>
      <c r="ACQ16" s="49"/>
      <c r="ACR16" s="49">
        <v>398</v>
      </c>
      <c r="ACS16" s="67">
        <f t="shared" si="312"/>
        <v>798</v>
      </c>
      <c r="ACT16" s="68">
        <f t="shared" si="313"/>
        <v>133</v>
      </c>
      <c r="ACU16" s="48"/>
      <c r="ACV16" s="49"/>
      <c r="ACW16" s="49"/>
      <c r="ACX16" s="49"/>
      <c r="ACY16" s="49"/>
      <c r="ACZ16" s="49"/>
      <c r="ADA16" s="67">
        <f t="shared" si="314"/>
        <v>0</v>
      </c>
      <c r="ADB16" s="68">
        <f t="shared" si="315"/>
        <v>0</v>
      </c>
      <c r="ADC16" s="48">
        <v>400</v>
      </c>
      <c r="ADD16" s="49"/>
      <c r="ADE16" s="49"/>
      <c r="ADF16" s="49"/>
      <c r="ADG16" s="49"/>
      <c r="ADH16" s="49">
        <v>690</v>
      </c>
      <c r="ADI16" s="67">
        <f t="shared" si="316"/>
        <v>1090</v>
      </c>
      <c r="ADJ16" s="68">
        <f t="shared" si="317"/>
        <v>181.66666666666666</v>
      </c>
      <c r="ADK16" s="48"/>
      <c r="ADL16" s="49"/>
      <c r="ADM16" s="49"/>
      <c r="ADN16" s="49"/>
      <c r="ADO16" s="49"/>
      <c r="ADP16" s="49"/>
      <c r="ADQ16" s="67">
        <f t="shared" si="318"/>
        <v>0</v>
      </c>
      <c r="ADR16" s="68">
        <f t="shared" si="319"/>
        <v>0</v>
      </c>
      <c r="ADS16" s="48"/>
      <c r="ADT16" s="49">
        <v>649</v>
      </c>
      <c r="ADU16" s="49"/>
      <c r="ADV16" s="49"/>
      <c r="ADW16" s="49">
        <v>750</v>
      </c>
      <c r="ADX16" s="49"/>
      <c r="ADY16" s="67">
        <f t="shared" si="320"/>
        <v>1399</v>
      </c>
      <c r="ADZ16" s="68">
        <f t="shared" si="321"/>
        <v>233.16666666666666</v>
      </c>
      <c r="AEA16" s="48"/>
      <c r="AEB16" s="49"/>
      <c r="AEC16" s="49"/>
      <c r="AED16" s="49">
        <v>702</v>
      </c>
      <c r="AEE16" s="49"/>
      <c r="AEF16" s="49"/>
      <c r="AEG16" s="67">
        <f t="shared" si="322"/>
        <v>702</v>
      </c>
      <c r="AEH16" s="68">
        <f t="shared" si="323"/>
        <v>117</v>
      </c>
      <c r="AEI16" s="48"/>
      <c r="AEJ16" s="49"/>
      <c r="AEK16" s="49"/>
      <c r="AEL16" s="49"/>
      <c r="AEM16" s="49"/>
      <c r="AEN16" s="49"/>
      <c r="AEO16" s="67">
        <f t="shared" si="324"/>
        <v>0</v>
      </c>
      <c r="AEP16" s="68">
        <f t="shared" si="325"/>
        <v>0</v>
      </c>
      <c r="AEQ16" s="48"/>
      <c r="AER16" s="49"/>
      <c r="AES16" s="49"/>
      <c r="AET16" s="49"/>
      <c r="AEU16" s="49"/>
      <c r="AEV16" s="49"/>
      <c r="AEW16" s="67">
        <f t="shared" si="326"/>
        <v>0</v>
      </c>
      <c r="AEX16" s="68">
        <f t="shared" si="327"/>
        <v>0</v>
      </c>
      <c r="AEY16" s="48"/>
      <c r="AEZ16" s="49"/>
      <c r="AFA16" s="49"/>
      <c r="AFB16" s="49">
        <v>497</v>
      </c>
      <c r="AFC16" s="49"/>
      <c r="AFD16" s="49"/>
      <c r="AFE16" s="67">
        <f t="shared" si="328"/>
        <v>497</v>
      </c>
      <c r="AFF16" s="68">
        <f t="shared" si="329"/>
        <v>82.833333333333329</v>
      </c>
      <c r="AFG16" s="48"/>
      <c r="AFH16" s="49">
        <v>198</v>
      </c>
      <c r="AFI16" s="49"/>
      <c r="AFJ16" s="49"/>
      <c r="AFK16" s="49"/>
      <c r="AFL16" s="49"/>
      <c r="AFM16" s="67">
        <f t="shared" si="330"/>
        <v>198</v>
      </c>
      <c r="AFN16" s="68">
        <f t="shared" si="331"/>
        <v>33</v>
      </c>
      <c r="AFO16" s="48"/>
      <c r="AFP16" s="49"/>
      <c r="AFQ16" s="49">
        <v>430</v>
      </c>
      <c r="AFR16" s="49"/>
      <c r="AFS16" s="49"/>
      <c r="AFT16" s="49"/>
      <c r="AFU16" s="67">
        <f t="shared" si="332"/>
        <v>430</v>
      </c>
      <c r="AFV16" s="68">
        <f t="shared" si="333"/>
        <v>71.666666666666671</v>
      </c>
      <c r="AFW16" s="48"/>
      <c r="AFX16" s="49"/>
      <c r="AFY16" s="49">
        <v>438</v>
      </c>
      <c r="AFZ16" s="49"/>
      <c r="AGA16" s="49"/>
      <c r="AGB16" s="49"/>
      <c r="AGC16" s="67">
        <f t="shared" si="334"/>
        <v>438</v>
      </c>
      <c r="AGD16" s="68">
        <f t="shared" si="335"/>
        <v>73</v>
      </c>
      <c r="AGE16" s="48"/>
      <c r="AGF16" s="49"/>
      <c r="AGG16" s="49"/>
      <c r="AGH16" s="49"/>
      <c r="AGI16" s="49"/>
      <c r="AGJ16" s="49">
        <v>121</v>
      </c>
      <c r="AGK16" s="67">
        <f t="shared" si="336"/>
        <v>121</v>
      </c>
      <c r="AGL16" s="68">
        <f t="shared" si="337"/>
        <v>20.166666666666668</v>
      </c>
      <c r="AGM16" s="48"/>
      <c r="AGN16" s="49">
        <v>375</v>
      </c>
      <c r="AGO16" s="49"/>
      <c r="AGP16" s="49"/>
      <c r="AGQ16" s="49"/>
      <c r="AGR16" s="49"/>
      <c r="AGS16" s="49"/>
      <c r="AGT16" s="67">
        <f t="shared" si="338"/>
        <v>375</v>
      </c>
      <c r="AGU16" s="68">
        <f t="shared" si="339"/>
        <v>62.5</v>
      </c>
      <c r="AGV16" s="48">
        <v>208</v>
      </c>
      <c r="AGW16" s="49"/>
      <c r="AGX16" s="49"/>
      <c r="AGY16" s="49"/>
      <c r="AGZ16" s="49"/>
      <c r="AHA16" s="49"/>
      <c r="AHB16" s="67">
        <f t="shared" si="340"/>
        <v>208</v>
      </c>
      <c r="AHC16" s="68">
        <f t="shared" si="341"/>
        <v>7.1724137931034484</v>
      </c>
      <c r="AHD16" s="48"/>
      <c r="AHE16" s="49"/>
      <c r="AHF16" s="49">
        <v>440</v>
      </c>
      <c r="AHG16" s="49"/>
      <c r="AHH16" s="49"/>
      <c r="AHI16" s="49"/>
      <c r="AHJ16" s="67">
        <f t="shared" si="342"/>
        <v>440</v>
      </c>
      <c r="AHK16" s="68">
        <f t="shared" si="343"/>
        <v>15.172413793103448</v>
      </c>
      <c r="AHL16" s="48"/>
      <c r="AHM16" s="49"/>
      <c r="AHN16" s="49"/>
      <c r="AHO16" s="49">
        <v>220</v>
      </c>
      <c r="AHP16" s="49"/>
      <c r="AHQ16" s="49"/>
      <c r="AHR16" s="67">
        <f t="shared" si="344"/>
        <v>220</v>
      </c>
      <c r="AHS16" s="68">
        <f t="shared" si="345"/>
        <v>7.5862068965517242</v>
      </c>
      <c r="AHT16" s="48"/>
      <c r="AHU16" s="49">
        <v>330</v>
      </c>
      <c r="AHV16" s="49"/>
      <c r="AHW16" s="49"/>
      <c r="AHX16" s="49"/>
      <c r="AHY16" s="49"/>
      <c r="AHZ16" s="67">
        <f t="shared" si="346"/>
        <v>330</v>
      </c>
      <c r="AIA16" s="68">
        <f t="shared" si="347"/>
        <v>11.379310344827585</v>
      </c>
      <c r="AIB16" s="48"/>
      <c r="AIC16" s="49"/>
      <c r="AID16" s="49"/>
      <c r="AIE16" s="49"/>
      <c r="AIF16" s="49"/>
      <c r="AIG16" s="49">
        <v>220</v>
      </c>
      <c r="AIH16" s="67">
        <f t="shared" si="348"/>
        <v>220</v>
      </c>
      <c r="AII16" s="68">
        <f t="shared" si="349"/>
        <v>7.5862068965517242</v>
      </c>
      <c r="AIJ16" s="48"/>
      <c r="AIK16" s="49"/>
      <c r="AIL16" s="49"/>
      <c r="AIM16" s="49">
        <v>440</v>
      </c>
      <c r="AIN16" s="49"/>
      <c r="AIO16" s="49"/>
      <c r="AIP16" s="67">
        <f t="shared" si="350"/>
        <v>440</v>
      </c>
      <c r="AIQ16" s="68">
        <f t="shared" si="351"/>
        <v>15.172413793103448</v>
      </c>
      <c r="AIR16" s="48"/>
      <c r="AIS16" s="49"/>
      <c r="AIT16" s="49"/>
      <c r="AIU16" s="49"/>
      <c r="AIV16" s="49">
        <v>450</v>
      </c>
      <c r="AIW16" s="49"/>
      <c r="AIX16" s="67">
        <f t="shared" si="352"/>
        <v>450</v>
      </c>
      <c r="AIY16" s="68">
        <f t="shared" si="353"/>
        <v>15.517241379310345</v>
      </c>
      <c r="AIZ16" s="48"/>
      <c r="AJA16" s="49"/>
      <c r="AJB16" s="49"/>
      <c r="AJC16" s="49"/>
      <c r="AJD16" s="49"/>
      <c r="AJE16" s="49"/>
      <c r="AJF16" s="67">
        <f t="shared" si="354"/>
        <v>0</v>
      </c>
      <c r="AJG16" s="68">
        <f t="shared" si="355"/>
        <v>0</v>
      </c>
      <c r="AJH16" s="48"/>
      <c r="AJI16" s="49">
        <v>439</v>
      </c>
      <c r="AJJ16" s="49"/>
      <c r="AJK16" s="49">
        <v>466</v>
      </c>
      <c r="AJL16" s="49"/>
      <c r="AJM16" s="49"/>
      <c r="AJN16" s="42">
        <f t="shared" si="356"/>
        <v>905</v>
      </c>
      <c r="AJO16" s="43">
        <f t="shared" si="357"/>
        <v>31.206896551724139</v>
      </c>
      <c r="AJP16" s="48"/>
      <c r="AJQ16" s="49"/>
      <c r="AJR16" s="49"/>
      <c r="AJS16" s="49"/>
      <c r="AJT16" s="49"/>
      <c r="AJU16" s="49"/>
      <c r="AJV16" s="42">
        <f t="shared" si="358"/>
        <v>0</v>
      </c>
      <c r="AJW16" s="43">
        <f t="shared" si="359"/>
        <v>0</v>
      </c>
      <c r="AJX16" s="48">
        <v>202</v>
      </c>
      <c r="AJY16" s="49"/>
      <c r="AJZ16" s="49"/>
      <c r="AKA16" s="49"/>
      <c r="AKB16" s="49"/>
      <c r="AKC16" s="49"/>
      <c r="AKD16" s="67">
        <f t="shared" si="360"/>
        <v>202</v>
      </c>
      <c r="AKE16" s="68">
        <f t="shared" si="361"/>
        <v>6.9655172413793105</v>
      </c>
      <c r="AKF16" s="48"/>
      <c r="AKG16" s="49"/>
      <c r="AKH16" s="49"/>
      <c r="AKI16" s="49"/>
      <c r="AKJ16" s="49">
        <v>199</v>
      </c>
      <c r="AKK16" s="49"/>
      <c r="AKL16" s="67">
        <f t="shared" si="362"/>
        <v>199</v>
      </c>
      <c r="AKM16" s="184">
        <f t="shared" si="363"/>
        <v>33.166666666666664</v>
      </c>
      <c r="AKN16" s="195"/>
      <c r="AKO16" s="49"/>
      <c r="AKP16" s="49"/>
      <c r="AKQ16" s="49"/>
      <c r="AKR16" s="49"/>
      <c r="AKS16" s="49"/>
      <c r="AKT16" s="67">
        <f t="shared" si="364"/>
        <v>0</v>
      </c>
      <c r="AKU16" s="184">
        <f t="shared" si="365"/>
        <v>0</v>
      </c>
      <c r="AKV16" s="48"/>
      <c r="AKW16" s="49"/>
      <c r="AKX16" s="49"/>
      <c r="AKY16" s="49"/>
      <c r="AKZ16" s="49"/>
      <c r="ALA16" s="49"/>
      <c r="ALB16" s="67">
        <f t="shared" si="366"/>
        <v>0</v>
      </c>
      <c r="ALC16" s="68">
        <f t="shared" si="367"/>
        <v>0</v>
      </c>
      <c r="ALD16" s="48">
        <v>330</v>
      </c>
      <c r="ALE16" s="49"/>
      <c r="ALF16" s="49"/>
      <c r="ALG16" s="49"/>
      <c r="ALH16" s="49"/>
      <c r="ALI16" s="49"/>
      <c r="ALJ16" s="67">
        <f t="shared" si="368"/>
        <v>330</v>
      </c>
      <c r="ALK16" s="68">
        <f t="shared" si="369"/>
        <v>55</v>
      </c>
      <c r="ALL16" s="48">
        <v>220</v>
      </c>
      <c r="ALM16" s="49"/>
      <c r="ALN16" s="49"/>
      <c r="ALO16" s="49"/>
      <c r="ALP16" s="49"/>
      <c r="ALQ16" s="49"/>
      <c r="ALR16" s="67">
        <f t="shared" si="370"/>
        <v>220</v>
      </c>
      <c r="ALS16" s="68">
        <f t="shared" si="371"/>
        <v>36.666666666666664</v>
      </c>
      <c r="ALT16" s="48"/>
      <c r="ALU16" s="49">
        <v>347</v>
      </c>
      <c r="ALV16" s="49"/>
      <c r="ALW16" s="49"/>
      <c r="ALX16" s="49"/>
      <c r="ALY16" s="49"/>
      <c r="ALZ16" s="67">
        <f t="shared" si="372"/>
        <v>347</v>
      </c>
      <c r="AMA16" s="68">
        <f t="shared" si="373"/>
        <v>57.833333333333336</v>
      </c>
      <c r="AMB16" s="48"/>
      <c r="AMC16" s="49"/>
      <c r="AMD16" s="49">
        <v>330</v>
      </c>
      <c r="AME16" s="49"/>
      <c r="AMF16" s="49"/>
      <c r="AMG16" s="49"/>
      <c r="AMH16" s="67">
        <f t="shared" si="374"/>
        <v>330</v>
      </c>
      <c r="AMI16" s="68">
        <f t="shared" si="375"/>
        <v>55</v>
      </c>
      <c r="AMJ16" s="48"/>
      <c r="AMK16" s="49"/>
      <c r="AML16" s="49">
        <v>228</v>
      </c>
      <c r="AMM16" s="49"/>
      <c r="AMN16" s="49"/>
      <c r="AMO16" s="49"/>
      <c r="AMP16" s="67">
        <f t="shared" si="376"/>
        <v>228</v>
      </c>
      <c r="AMQ16" s="68">
        <f t="shared" si="377"/>
        <v>38</v>
      </c>
      <c r="AMR16" s="48"/>
      <c r="AMS16" s="49"/>
      <c r="AMT16" s="49">
        <v>365</v>
      </c>
      <c r="AMU16" s="49"/>
      <c r="AMV16" s="49"/>
      <c r="AMW16" s="49"/>
      <c r="AMX16" s="67">
        <f t="shared" si="378"/>
        <v>365</v>
      </c>
      <c r="AMY16" s="68">
        <f t="shared" si="379"/>
        <v>60.833333333333336</v>
      </c>
      <c r="AMZ16" s="48"/>
      <c r="ANA16" s="49"/>
      <c r="ANB16" s="49">
        <v>330</v>
      </c>
      <c r="ANC16" s="49"/>
      <c r="AND16" s="49"/>
      <c r="ANE16" s="49"/>
      <c r="ANF16" s="67">
        <f t="shared" si="380"/>
        <v>330</v>
      </c>
      <c r="ANG16" s="68">
        <f t="shared" si="381"/>
        <v>55</v>
      </c>
      <c r="ANH16" s="48"/>
      <c r="ANI16" s="49"/>
      <c r="ANJ16" s="49"/>
      <c r="ANK16" s="49"/>
      <c r="ANL16" s="49"/>
      <c r="ANM16" s="49"/>
      <c r="ANN16" s="67">
        <f t="shared" si="382"/>
        <v>0</v>
      </c>
      <c r="ANO16" s="68">
        <f t="shared" si="383"/>
        <v>0</v>
      </c>
      <c r="ANP16" s="48"/>
      <c r="ANQ16" s="49"/>
      <c r="ANR16" s="49"/>
      <c r="ANS16" s="49">
        <v>329</v>
      </c>
      <c r="ANT16" s="49"/>
      <c r="ANU16" s="49"/>
      <c r="ANV16" s="67">
        <f t="shared" si="384"/>
        <v>329</v>
      </c>
      <c r="ANW16" s="68">
        <f t="shared" si="385"/>
        <v>54.833333333333336</v>
      </c>
      <c r="ANX16" s="82">
        <v>2</v>
      </c>
      <c r="ANY16" s="83">
        <v>200</v>
      </c>
      <c r="ANZ16" s="83"/>
      <c r="AOA16" s="83"/>
      <c r="AOB16" s="83"/>
      <c r="AOC16" s="83"/>
      <c r="AOD16" s="67">
        <f t="shared" si="386"/>
        <v>202</v>
      </c>
      <c r="AOE16" s="68">
        <f t="shared" si="387"/>
        <v>33.666666666666664</v>
      </c>
      <c r="AOF16" s="48"/>
      <c r="AOG16" s="49"/>
      <c r="AOH16" s="49"/>
      <c r="AOI16" s="49"/>
      <c r="AOJ16" s="49"/>
      <c r="AOK16" s="49"/>
      <c r="AOL16" s="67">
        <f t="shared" si="388"/>
        <v>0</v>
      </c>
      <c r="AOM16" s="68">
        <f t="shared" si="389"/>
        <v>0</v>
      </c>
      <c r="AON16" s="48"/>
      <c r="AOO16" s="49"/>
      <c r="AOP16" s="49">
        <v>330</v>
      </c>
      <c r="AOQ16" s="49"/>
      <c r="AOR16" s="49"/>
      <c r="AOS16" s="49"/>
      <c r="AOT16" s="67">
        <f t="shared" si="390"/>
        <v>330</v>
      </c>
      <c r="AOU16" s="68">
        <f t="shared" si="391"/>
        <v>55</v>
      </c>
      <c r="AOV16" s="48"/>
      <c r="AOW16" s="49"/>
      <c r="AOX16" s="49"/>
      <c r="AOY16" s="49">
        <v>315</v>
      </c>
      <c r="AOZ16" s="49"/>
      <c r="APA16" s="49"/>
      <c r="APB16" s="67">
        <f t="shared" si="392"/>
        <v>315</v>
      </c>
      <c r="APC16" s="68">
        <f t="shared" si="393"/>
        <v>52.5</v>
      </c>
      <c r="APD16" s="48"/>
      <c r="APE16" s="49"/>
      <c r="APF16" s="49">
        <v>570</v>
      </c>
      <c r="APG16" s="49"/>
      <c r="APH16" s="49"/>
      <c r="API16" s="49"/>
      <c r="APJ16" s="67">
        <f t="shared" si="394"/>
        <v>570</v>
      </c>
      <c r="APK16" s="68">
        <f t="shared" si="395"/>
        <v>95</v>
      </c>
      <c r="APL16" s="48">
        <v>401</v>
      </c>
      <c r="APM16" s="49"/>
      <c r="APN16" s="49"/>
      <c r="APO16" s="49"/>
      <c r="APP16" s="49"/>
      <c r="APQ16" s="49"/>
      <c r="APR16" s="67">
        <f t="shared" si="396"/>
        <v>401</v>
      </c>
      <c r="APS16" s="68">
        <f t="shared" si="397"/>
        <v>66.833333333333329</v>
      </c>
      <c r="APT16" s="48"/>
      <c r="APU16" s="49">
        <v>218</v>
      </c>
      <c r="APV16" s="49"/>
      <c r="APW16" s="49"/>
      <c r="APX16" s="49"/>
      <c r="APY16" s="49"/>
      <c r="APZ16" s="67">
        <f t="shared" si="398"/>
        <v>218</v>
      </c>
      <c r="AQA16" s="68">
        <f t="shared" si="399"/>
        <v>36.333333333333336</v>
      </c>
      <c r="AQB16" s="48"/>
      <c r="AQC16" s="49">
        <v>330</v>
      </c>
      <c r="AQD16" s="49"/>
      <c r="AQE16" s="49"/>
      <c r="AQF16" s="49"/>
      <c r="AQG16" s="49"/>
      <c r="AQH16" s="67">
        <f t="shared" si="400"/>
        <v>330</v>
      </c>
      <c r="AQI16" s="68">
        <f t="shared" si="401"/>
        <v>55</v>
      </c>
      <c r="AQJ16" s="48"/>
      <c r="AQK16" s="49"/>
      <c r="AQL16" s="49"/>
      <c r="AQM16" s="49"/>
      <c r="AQN16" s="49">
        <v>440</v>
      </c>
      <c r="AQO16" s="49"/>
      <c r="AQP16" s="67">
        <f t="shared" si="402"/>
        <v>440</v>
      </c>
      <c r="AQQ16" s="68">
        <f t="shared" si="403"/>
        <v>73.333333333333329</v>
      </c>
      <c r="AQR16" s="48"/>
      <c r="AQS16" s="49"/>
      <c r="AQT16" s="49"/>
      <c r="AQU16" s="49">
        <v>460</v>
      </c>
      <c r="AQV16" s="49"/>
      <c r="AQW16" s="49"/>
      <c r="AQX16" s="67">
        <f t="shared" si="404"/>
        <v>460</v>
      </c>
      <c r="AQY16" s="68">
        <f t="shared" si="405"/>
        <v>76.666666666666671</v>
      </c>
      <c r="AQZ16" s="48"/>
      <c r="ARA16" s="49"/>
      <c r="ARB16" s="49"/>
      <c r="ARC16" s="49"/>
      <c r="ARD16" s="49"/>
      <c r="ARE16" s="49"/>
      <c r="ARF16" s="67">
        <f t="shared" si="406"/>
        <v>0</v>
      </c>
      <c r="ARG16" s="68">
        <f t="shared" si="407"/>
        <v>0</v>
      </c>
      <c r="ARH16" s="48"/>
      <c r="ARI16" s="49">
        <v>397</v>
      </c>
      <c r="ARJ16" s="49"/>
      <c r="ARK16" s="49"/>
      <c r="ARL16" s="49"/>
      <c r="ARM16" s="49"/>
      <c r="ARN16" s="67">
        <f t="shared" si="408"/>
        <v>397</v>
      </c>
      <c r="ARO16" s="68">
        <f t="shared" si="409"/>
        <v>66.166666666666671</v>
      </c>
      <c r="ARP16" s="48"/>
      <c r="ARQ16" s="49"/>
      <c r="ARR16" s="49"/>
      <c r="ARS16" s="49">
        <v>636</v>
      </c>
      <c r="ART16" s="49"/>
      <c r="ARU16" s="49"/>
      <c r="ARV16" s="67">
        <f t="shared" si="410"/>
        <v>636</v>
      </c>
      <c r="ARW16" s="68">
        <f t="shared" si="411"/>
        <v>106</v>
      </c>
      <c r="ARX16" s="48"/>
      <c r="ARY16" s="49">
        <v>500</v>
      </c>
      <c r="ARZ16" s="49"/>
      <c r="ASA16" s="49"/>
      <c r="ASB16" s="49">
        <v>360</v>
      </c>
      <c r="ASC16" s="49"/>
      <c r="ASD16" s="67">
        <f t="shared" si="412"/>
        <v>860</v>
      </c>
      <c r="ASE16" s="68">
        <f t="shared" si="413"/>
        <v>143.33333333333334</v>
      </c>
      <c r="ASF16" s="48"/>
      <c r="ASG16" s="49"/>
      <c r="ASH16" s="49">
        <v>218</v>
      </c>
      <c r="ASI16" s="49"/>
      <c r="ASJ16" s="49"/>
      <c r="ASK16" s="49"/>
      <c r="ASL16" s="67">
        <f t="shared" si="414"/>
        <v>218</v>
      </c>
      <c r="ASM16" s="68">
        <f t="shared" si="415"/>
        <v>36.333333333333336</v>
      </c>
      <c r="ASN16" s="48">
        <v>436</v>
      </c>
      <c r="ASO16" s="49"/>
      <c r="ASP16" s="49"/>
      <c r="ASQ16" s="49"/>
      <c r="ASR16" s="49">
        <v>392</v>
      </c>
      <c r="ASS16" s="49"/>
      <c r="AST16" s="67">
        <f t="shared" si="416"/>
        <v>828</v>
      </c>
      <c r="ASU16" s="68">
        <f t="shared" si="417"/>
        <v>138</v>
      </c>
      <c r="ASV16" s="48"/>
      <c r="ASW16" s="49"/>
      <c r="ASX16" s="49"/>
      <c r="ASY16" s="49"/>
      <c r="ASZ16" s="49"/>
      <c r="ATA16" s="49"/>
      <c r="ATB16" s="67">
        <f t="shared" si="418"/>
        <v>0</v>
      </c>
      <c r="ATC16" s="68">
        <f t="shared" si="419"/>
        <v>0</v>
      </c>
      <c r="ATD16" s="48"/>
      <c r="ATE16" s="49"/>
      <c r="ATF16" s="49"/>
      <c r="ATG16" s="49"/>
      <c r="ATH16" s="49">
        <v>393</v>
      </c>
      <c r="ATI16" s="49"/>
      <c r="ATJ16" s="67">
        <f t="shared" si="420"/>
        <v>393</v>
      </c>
      <c r="ATK16" s="68">
        <f t="shared" si="421"/>
        <v>65.5</v>
      </c>
      <c r="ATL16" s="48"/>
      <c r="ATM16" s="49"/>
      <c r="ATN16" s="49"/>
      <c r="ATO16" s="49"/>
      <c r="ATP16" s="49">
        <v>440</v>
      </c>
      <c r="ATQ16" s="49"/>
      <c r="ATR16" s="67">
        <f t="shared" si="422"/>
        <v>440</v>
      </c>
      <c r="ATS16" s="68">
        <f t="shared" si="423"/>
        <v>73.333333333333329</v>
      </c>
      <c r="ATT16" s="48"/>
      <c r="ATU16" s="49"/>
      <c r="ATV16" s="49"/>
      <c r="ATW16" s="49"/>
      <c r="ATX16" s="49"/>
      <c r="ATY16" s="49"/>
      <c r="ATZ16" s="67">
        <f t="shared" si="424"/>
        <v>0</v>
      </c>
      <c r="AUA16" s="68">
        <f t="shared" si="425"/>
        <v>0</v>
      </c>
      <c r="AUB16" s="48"/>
      <c r="AUC16" s="49"/>
      <c r="AUD16" s="49">
        <v>295</v>
      </c>
      <c r="AUE16" s="49"/>
      <c r="AUF16" s="49"/>
      <c r="AUG16" s="49"/>
      <c r="AUH16" s="67">
        <f t="shared" si="426"/>
        <v>295</v>
      </c>
      <c r="AUI16" s="68">
        <f t="shared" si="427"/>
        <v>49.166666666666664</v>
      </c>
      <c r="AUJ16" s="48"/>
      <c r="AUK16" s="49">
        <v>274</v>
      </c>
      <c r="AUL16" s="49"/>
      <c r="AUM16" s="49"/>
      <c r="AUN16" s="49"/>
      <c r="AUO16" s="49"/>
      <c r="AUP16" s="67">
        <f t="shared" si="428"/>
        <v>274</v>
      </c>
      <c r="AUQ16" s="68">
        <f t="shared" si="429"/>
        <v>45.666666666666664</v>
      </c>
      <c r="AUR16" s="48">
        <v>220</v>
      </c>
      <c r="AUS16" s="49"/>
      <c r="AUT16" s="49"/>
      <c r="AUU16" s="49"/>
      <c r="AUV16" s="49"/>
      <c r="AUW16" s="49"/>
      <c r="AUX16" s="67">
        <f t="shared" si="430"/>
        <v>220</v>
      </c>
      <c r="AUY16" s="68">
        <f t="shared" si="431"/>
        <v>36.666666666666664</v>
      </c>
      <c r="AUZ16" s="48"/>
      <c r="AVA16" s="49"/>
      <c r="AVB16" s="49"/>
      <c r="AVC16" s="49">
        <v>217</v>
      </c>
      <c r="AVD16" s="49"/>
      <c r="AVE16" s="49"/>
      <c r="AVF16" s="67">
        <f t="shared" si="432"/>
        <v>217</v>
      </c>
      <c r="AVG16" s="68">
        <f t="shared" si="433"/>
        <v>36.166666666666664</v>
      </c>
      <c r="AVH16" s="48"/>
      <c r="AVI16" s="49"/>
      <c r="AVJ16" s="49"/>
      <c r="AVK16" s="49">
        <v>268</v>
      </c>
      <c r="AVL16" s="49"/>
      <c r="AVM16" s="49"/>
      <c r="AVN16" s="67">
        <f t="shared" si="434"/>
        <v>268</v>
      </c>
      <c r="AVO16" s="68">
        <f t="shared" si="435"/>
        <v>44.666666666666664</v>
      </c>
      <c r="AVP16" s="48"/>
      <c r="AVQ16" s="49"/>
      <c r="AVR16" s="49"/>
      <c r="AVS16" s="49">
        <v>107</v>
      </c>
      <c r="AVT16" s="49"/>
      <c r="AVU16" s="49"/>
      <c r="AVV16" s="67">
        <f t="shared" si="436"/>
        <v>107</v>
      </c>
      <c r="AVW16" s="68">
        <f t="shared" si="437"/>
        <v>17.833333333333332</v>
      </c>
      <c r="AVX16" s="48"/>
      <c r="AVY16" s="49"/>
      <c r="AVZ16" s="49"/>
      <c r="AWA16" s="49">
        <v>110</v>
      </c>
      <c r="AWB16" s="49"/>
      <c r="AWC16" s="49"/>
      <c r="AWD16" s="67">
        <f t="shared" si="438"/>
        <v>110</v>
      </c>
      <c r="AWE16" s="68">
        <f t="shared" si="439"/>
        <v>18.333333333333332</v>
      </c>
      <c r="AWF16" s="48"/>
      <c r="AWG16" s="49"/>
      <c r="AWH16" s="49">
        <v>92</v>
      </c>
      <c r="AWI16" s="49"/>
      <c r="AWJ16" s="49"/>
      <c r="AWK16" s="49"/>
      <c r="AWL16" s="67">
        <f t="shared" si="440"/>
        <v>92</v>
      </c>
      <c r="AWM16" s="68">
        <f t="shared" si="441"/>
        <v>15.333333333333334</v>
      </c>
      <c r="AWN16" s="48"/>
      <c r="AWO16" s="49">
        <v>212</v>
      </c>
      <c r="AWP16" s="49"/>
      <c r="AWQ16" s="49"/>
      <c r="AWR16" s="49">
        <v>211</v>
      </c>
      <c r="AWS16" s="49"/>
      <c r="AWT16" s="42">
        <f t="shared" si="442"/>
        <v>423</v>
      </c>
      <c r="AWU16" s="43">
        <f t="shared" si="443"/>
        <v>70.5</v>
      </c>
      <c r="AWV16" s="48"/>
      <c r="AWW16" s="49"/>
      <c r="AWX16" s="49"/>
      <c r="AWY16" s="49"/>
      <c r="AWZ16" s="49"/>
      <c r="AXA16" s="49">
        <v>216</v>
      </c>
      <c r="AXB16" s="42">
        <f t="shared" si="444"/>
        <v>216</v>
      </c>
      <c r="AXC16" s="43">
        <f t="shared" si="445"/>
        <v>36</v>
      </c>
      <c r="AXD16" s="48"/>
      <c r="AXE16" s="49"/>
      <c r="AXF16" s="49">
        <v>3</v>
      </c>
      <c r="AXG16" s="49"/>
      <c r="AXH16" s="49">
        <v>217</v>
      </c>
      <c r="AXI16" s="49"/>
      <c r="AXJ16" s="42">
        <f t="shared" si="446"/>
        <v>220</v>
      </c>
      <c r="AXK16" s="43">
        <f t="shared" si="447"/>
        <v>36.666666666666664</v>
      </c>
      <c r="AXL16" s="48"/>
      <c r="AXM16" s="49">
        <v>108</v>
      </c>
      <c r="AXN16" s="49">
        <v>109</v>
      </c>
      <c r="AXO16" s="49"/>
      <c r="AXP16" s="49"/>
      <c r="AXQ16" s="49"/>
      <c r="AXR16" s="42">
        <f t="shared" si="448"/>
        <v>217</v>
      </c>
      <c r="AXS16" s="43">
        <f t="shared" si="449"/>
        <v>36.166666666666664</v>
      </c>
      <c r="AXT16" s="48"/>
      <c r="AXU16" s="49"/>
      <c r="AXV16" s="49"/>
      <c r="AXW16" s="49"/>
      <c r="AXX16" s="49">
        <v>218</v>
      </c>
      <c r="AXY16" s="49">
        <v>239</v>
      </c>
      <c r="AXZ16" s="42">
        <f t="shared" si="450"/>
        <v>457</v>
      </c>
      <c r="AYA16" s="43">
        <f t="shared" si="451"/>
        <v>76.166666666666671</v>
      </c>
      <c r="AYB16" s="48"/>
      <c r="AYC16" s="49"/>
      <c r="AYD16" s="49"/>
      <c r="AYE16" s="49"/>
      <c r="AYF16" s="49"/>
      <c r="AYG16" s="49"/>
      <c r="AYH16" s="42">
        <f t="shared" si="452"/>
        <v>0</v>
      </c>
      <c r="AYI16" s="43">
        <f t="shared" si="453"/>
        <v>0</v>
      </c>
      <c r="AYJ16" s="48"/>
      <c r="AYK16" s="49"/>
      <c r="AYL16" s="49"/>
      <c r="AYM16" s="49"/>
      <c r="AYN16" s="49"/>
      <c r="AYO16" s="49"/>
      <c r="AYP16" s="42">
        <f t="shared" si="454"/>
        <v>0</v>
      </c>
      <c r="AYQ16" s="43">
        <f t="shared" si="455"/>
        <v>0</v>
      </c>
      <c r="AYR16" s="48"/>
      <c r="AYS16" s="49"/>
      <c r="AYT16" s="49"/>
      <c r="AYU16" s="49">
        <v>330</v>
      </c>
      <c r="AYV16" s="49"/>
      <c r="AYW16" s="49"/>
      <c r="AYX16" s="42">
        <f t="shared" si="456"/>
        <v>330</v>
      </c>
      <c r="AYY16" s="43">
        <f t="shared" si="457"/>
        <v>55</v>
      </c>
      <c r="AYZ16" s="48">
        <v>457</v>
      </c>
      <c r="AZA16" s="49"/>
      <c r="AZB16" s="49"/>
      <c r="AZC16" s="49"/>
      <c r="AZD16" s="49"/>
      <c r="AZE16" s="49"/>
      <c r="AZF16" s="42">
        <f t="shared" si="458"/>
        <v>457</v>
      </c>
      <c r="AZG16" s="43">
        <f t="shared" si="459"/>
        <v>76.166666666666671</v>
      </c>
      <c r="AZH16" s="48"/>
      <c r="AZI16" s="49"/>
      <c r="AZJ16" s="49"/>
      <c r="AZK16" s="49"/>
      <c r="AZL16" s="49"/>
      <c r="AZM16" s="49">
        <v>219</v>
      </c>
      <c r="AZN16" s="42">
        <f t="shared" si="460"/>
        <v>219</v>
      </c>
      <c r="AZO16" s="43">
        <f t="shared" si="461"/>
        <v>36.5</v>
      </c>
      <c r="AZP16" s="48"/>
      <c r="AZQ16" s="49">
        <v>213</v>
      </c>
      <c r="AZR16" s="49"/>
      <c r="AZS16" s="49"/>
      <c r="AZT16" s="49">
        <v>17</v>
      </c>
      <c r="AZU16" s="49">
        <v>220</v>
      </c>
      <c r="AZV16" s="42">
        <f t="shared" si="462"/>
        <v>450</v>
      </c>
      <c r="AZW16" s="43">
        <f t="shared" si="463"/>
        <v>75</v>
      </c>
      <c r="AZX16" s="82"/>
      <c r="AZY16" s="83"/>
      <c r="AZZ16" s="83"/>
      <c r="BAA16" s="83"/>
      <c r="BAB16" s="83"/>
      <c r="BAC16" s="83"/>
      <c r="BAD16" s="42">
        <f t="shared" si="464"/>
        <v>0</v>
      </c>
      <c r="BAE16" s="43">
        <f t="shared" si="465"/>
        <v>0</v>
      </c>
      <c r="BAF16" s="48"/>
      <c r="BAG16" s="49"/>
      <c r="BAH16" s="49"/>
      <c r="BAI16" s="49"/>
      <c r="BAJ16" s="49"/>
      <c r="BAK16" s="49"/>
      <c r="BAL16" s="42">
        <f t="shared" si="466"/>
        <v>0</v>
      </c>
      <c r="BAM16" s="43">
        <f t="shared" si="467"/>
        <v>0</v>
      </c>
      <c r="BAN16" s="48"/>
      <c r="BAO16" s="49"/>
      <c r="BAP16" s="49">
        <v>214</v>
      </c>
      <c r="BAQ16" s="49"/>
      <c r="BAR16" s="49"/>
      <c r="BAS16" s="49">
        <v>209</v>
      </c>
      <c r="BAT16" s="42">
        <f t="shared" si="468"/>
        <v>423</v>
      </c>
      <c r="BAU16" s="43">
        <f t="shared" si="469"/>
        <v>70.5</v>
      </c>
      <c r="BAV16" s="48"/>
      <c r="BAW16" s="49"/>
      <c r="BAX16" s="49"/>
      <c r="BAY16" s="49"/>
      <c r="BAZ16" s="49"/>
      <c r="BBA16" s="49">
        <v>110</v>
      </c>
      <c r="BBB16" s="42">
        <f t="shared" si="470"/>
        <v>110</v>
      </c>
      <c r="BBC16" s="43">
        <f t="shared" si="471"/>
        <v>18.333333333333332</v>
      </c>
      <c r="BBD16" s="48"/>
      <c r="BBE16" s="49"/>
      <c r="BBF16" s="49">
        <v>440</v>
      </c>
      <c r="BBG16" s="49"/>
      <c r="BBH16" s="49"/>
      <c r="BBI16" s="49"/>
      <c r="BBJ16" s="42">
        <f t="shared" si="472"/>
        <v>440</v>
      </c>
      <c r="BBK16" s="43">
        <f t="shared" si="473"/>
        <v>73.333333333333329</v>
      </c>
      <c r="BBL16" s="48"/>
      <c r="BBM16" s="49"/>
      <c r="BBN16" s="49"/>
      <c r="BBO16" s="49"/>
      <c r="BBP16" s="49"/>
      <c r="BBQ16" s="49"/>
      <c r="BBR16" s="42">
        <f t="shared" si="474"/>
        <v>0</v>
      </c>
      <c r="BBS16" s="43">
        <f t="shared" si="475"/>
        <v>0</v>
      </c>
      <c r="BBT16" s="48"/>
      <c r="BBU16" s="49"/>
      <c r="BBV16" s="49"/>
      <c r="BBW16" s="49"/>
      <c r="BBX16" s="49">
        <v>199</v>
      </c>
      <c r="BBY16" s="49"/>
      <c r="BBZ16" s="42">
        <f t="shared" si="476"/>
        <v>199</v>
      </c>
      <c r="BCA16" s="43">
        <f t="shared" si="477"/>
        <v>33.166666666666664</v>
      </c>
      <c r="BCB16" s="48">
        <v>109</v>
      </c>
      <c r="BCC16" s="49"/>
      <c r="BCD16" s="49"/>
      <c r="BCE16" s="49">
        <v>376</v>
      </c>
      <c r="BCF16" s="49"/>
      <c r="BCG16" s="49"/>
      <c r="BCH16" s="42">
        <f t="shared" si="478"/>
        <v>485</v>
      </c>
      <c r="BCI16" s="43">
        <f t="shared" si="479"/>
        <v>80.833333333333329</v>
      </c>
      <c r="BCJ16" s="48"/>
      <c r="BCK16" s="49"/>
      <c r="BCL16" s="49"/>
      <c r="BCM16" s="49"/>
      <c r="BCN16" s="49"/>
      <c r="BCO16" s="49"/>
      <c r="BCP16" s="42">
        <f t="shared" si="480"/>
        <v>0</v>
      </c>
      <c r="BCQ16" s="43">
        <f t="shared" si="481"/>
        <v>0</v>
      </c>
      <c r="BCR16" s="48"/>
      <c r="BCS16" s="49"/>
      <c r="BCT16" s="49"/>
      <c r="BCU16" s="49"/>
      <c r="BCV16" s="49"/>
      <c r="BCW16" s="49"/>
      <c r="BCX16" s="42">
        <f t="shared" si="482"/>
        <v>0</v>
      </c>
      <c r="BCY16" s="43">
        <f t="shared" si="483"/>
        <v>0</v>
      </c>
      <c r="BCZ16" s="48"/>
      <c r="BDA16" s="49"/>
      <c r="BDB16" s="49"/>
      <c r="BDC16" s="49"/>
      <c r="BDD16" s="49"/>
      <c r="BDE16" s="49"/>
      <c r="BDF16" s="42">
        <f t="shared" si="484"/>
        <v>0</v>
      </c>
      <c r="BDG16" s="43">
        <f t="shared" si="485"/>
        <v>0</v>
      </c>
      <c r="BDH16" s="48"/>
      <c r="BDI16" s="49"/>
      <c r="BDJ16" s="49"/>
      <c r="BDK16" s="49"/>
      <c r="BDL16" s="49"/>
      <c r="BDM16" s="49"/>
      <c r="BDN16" s="42">
        <f t="shared" si="486"/>
        <v>0</v>
      </c>
      <c r="BDO16" s="43">
        <f t="shared" si="487"/>
        <v>0</v>
      </c>
      <c r="BDP16" s="48"/>
      <c r="BDQ16" s="49"/>
      <c r="BDR16" s="49"/>
      <c r="BDS16" s="49"/>
      <c r="BDT16" s="49"/>
      <c r="BDU16" s="49"/>
      <c r="BDV16" s="42">
        <f t="shared" si="488"/>
        <v>0</v>
      </c>
      <c r="BDW16" s="43">
        <f t="shared" si="489"/>
        <v>0</v>
      </c>
      <c r="BDX16" s="48"/>
      <c r="BDY16" s="49"/>
      <c r="BDZ16" s="49"/>
      <c r="BEA16" s="49"/>
      <c r="BEB16" s="49"/>
      <c r="BEC16" s="49"/>
      <c r="BED16" s="42">
        <f t="shared" si="490"/>
        <v>0</v>
      </c>
      <c r="BEE16" s="43">
        <f t="shared" si="491"/>
        <v>0</v>
      </c>
      <c r="BEF16" s="48"/>
      <c r="BEG16" s="49"/>
      <c r="BEH16" s="49"/>
      <c r="BEI16" s="49"/>
      <c r="BEJ16" s="49"/>
      <c r="BEK16" s="49"/>
      <c r="BEL16" s="42">
        <f t="shared" si="492"/>
        <v>0</v>
      </c>
      <c r="BEM16" s="43">
        <f t="shared" si="493"/>
        <v>0</v>
      </c>
      <c r="BEN16" s="48"/>
      <c r="BEO16" s="49"/>
      <c r="BEP16" s="49">
        <v>72</v>
      </c>
      <c r="BEQ16" s="49"/>
      <c r="BER16" s="49"/>
      <c r="BES16" s="49"/>
      <c r="BET16" s="42">
        <f t="shared" si="494"/>
        <v>72</v>
      </c>
      <c r="BEU16" s="43">
        <f t="shared" si="495"/>
        <v>12</v>
      </c>
      <c r="BEV16" s="82"/>
      <c r="BEW16" s="83"/>
      <c r="BEX16" s="83"/>
      <c r="BEY16" s="83"/>
      <c r="BEZ16" s="83"/>
      <c r="BFA16" s="83"/>
      <c r="BFB16" s="42">
        <f t="shared" si="496"/>
        <v>0</v>
      </c>
      <c r="BFC16" s="43">
        <f t="shared" si="497"/>
        <v>0</v>
      </c>
      <c r="BFD16" s="48"/>
      <c r="BFE16" s="49"/>
      <c r="BFF16" s="49"/>
      <c r="BFG16" s="49">
        <v>325</v>
      </c>
      <c r="BFH16" s="49"/>
      <c r="BFI16" s="49"/>
      <c r="BFJ16" s="42">
        <f t="shared" si="498"/>
        <v>325</v>
      </c>
      <c r="BFK16" s="43">
        <f t="shared" si="499"/>
        <v>54.166666666666664</v>
      </c>
      <c r="BFL16" s="48"/>
      <c r="BFM16" s="49"/>
      <c r="BFN16" s="49"/>
      <c r="BFO16" s="49"/>
      <c r="BFP16" s="49"/>
      <c r="BFQ16" s="49"/>
      <c r="BFR16" s="42">
        <f t="shared" si="500"/>
        <v>0</v>
      </c>
      <c r="BFS16" s="43">
        <f t="shared" si="501"/>
        <v>0</v>
      </c>
      <c r="BFT16" s="48"/>
      <c r="BFU16" s="49">
        <v>219</v>
      </c>
      <c r="BFV16" s="49"/>
      <c r="BFW16" s="49"/>
      <c r="BFX16" s="49"/>
      <c r="BFY16" s="49">
        <v>220</v>
      </c>
      <c r="BFZ16" s="42">
        <f t="shared" si="502"/>
        <v>439</v>
      </c>
      <c r="BGA16" s="43">
        <f t="shared" si="503"/>
        <v>73.166666666666671</v>
      </c>
      <c r="BGB16" s="48"/>
      <c r="BGC16" s="49"/>
      <c r="BGD16" s="49"/>
      <c r="BGE16" s="49"/>
      <c r="BGF16" s="49"/>
      <c r="BGG16" s="49"/>
      <c r="BGH16" s="42">
        <f t="shared" si="504"/>
        <v>0</v>
      </c>
      <c r="BGI16" s="43">
        <f t="shared" si="505"/>
        <v>0</v>
      </c>
      <c r="BGJ16" s="48">
        <v>120</v>
      </c>
      <c r="BGK16" s="49"/>
      <c r="BGL16" s="49">
        <v>110</v>
      </c>
      <c r="BGM16" s="49"/>
      <c r="BGN16" s="49"/>
      <c r="BGO16" s="49"/>
      <c r="BGP16" s="42">
        <f t="shared" si="506"/>
        <v>230</v>
      </c>
      <c r="BGQ16" s="43">
        <f t="shared" si="507"/>
        <v>38.333333333333336</v>
      </c>
      <c r="BGR16" s="48"/>
      <c r="BGS16" s="49"/>
      <c r="BGT16" s="49"/>
      <c r="BGU16" s="49"/>
      <c r="BGV16" s="49"/>
      <c r="BGW16" s="49"/>
      <c r="BGX16" s="42">
        <f t="shared" si="508"/>
        <v>0</v>
      </c>
      <c r="BGY16" s="43">
        <f t="shared" si="509"/>
        <v>0</v>
      </c>
      <c r="BGZ16" s="48"/>
      <c r="BHA16" s="49">
        <v>119</v>
      </c>
      <c r="BHB16" s="49"/>
      <c r="BHC16" s="49"/>
      <c r="BHD16" s="49"/>
      <c r="BHE16" s="49">
        <v>96</v>
      </c>
      <c r="BHF16" s="42">
        <f t="shared" si="510"/>
        <v>215</v>
      </c>
      <c r="BHG16" s="43">
        <f t="shared" si="511"/>
        <v>35.833333333333336</v>
      </c>
      <c r="BHH16" s="63"/>
      <c r="BHI16" s="64">
        <v>289</v>
      </c>
      <c r="BHJ16" s="64"/>
      <c r="BHK16" s="64"/>
      <c r="BHL16" s="64"/>
      <c r="BHM16" s="64"/>
      <c r="BHN16" s="42">
        <f t="shared" si="512"/>
        <v>289</v>
      </c>
      <c r="BHO16" s="43">
        <f t="shared" si="513"/>
        <v>48.166666666666664</v>
      </c>
      <c r="BHP16" s="48"/>
      <c r="BHQ16" s="49">
        <v>5</v>
      </c>
      <c r="BHR16" s="49"/>
      <c r="BHS16" s="49"/>
      <c r="BHT16" s="49"/>
      <c r="BHU16" s="49"/>
      <c r="BHV16" s="42">
        <f t="shared" si="514"/>
        <v>5</v>
      </c>
      <c r="BHW16" s="43">
        <f t="shared" si="515"/>
        <v>0.83333333333333337</v>
      </c>
      <c r="BHX16" s="48"/>
      <c r="BHY16" s="49"/>
      <c r="BHZ16" s="49"/>
      <c r="BIA16" s="49"/>
      <c r="BIB16" s="49">
        <v>110</v>
      </c>
      <c r="BIC16" s="49"/>
      <c r="BID16" s="42">
        <f t="shared" si="516"/>
        <v>110</v>
      </c>
      <c r="BIE16" s="43">
        <f t="shared" si="517"/>
        <v>18.333333333333332</v>
      </c>
      <c r="BIF16" s="48"/>
      <c r="BIG16" s="49"/>
      <c r="BIH16" s="49"/>
      <c r="BII16" s="49">
        <v>213</v>
      </c>
      <c r="BIJ16" s="49"/>
      <c r="BIK16" s="49"/>
      <c r="BIL16" s="42">
        <f t="shared" si="518"/>
        <v>213</v>
      </c>
      <c r="BIM16" s="43">
        <f t="shared" si="519"/>
        <v>35.5</v>
      </c>
      <c r="BIN16" s="48"/>
      <c r="BIO16" s="49">
        <v>221</v>
      </c>
      <c r="BIP16" s="49"/>
      <c r="BIQ16" s="49"/>
      <c r="BIR16" s="49"/>
      <c r="BIS16" s="49"/>
      <c r="BIT16" s="42">
        <f t="shared" si="520"/>
        <v>221</v>
      </c>
      <c r="BIU16" s="43">
        <f t="shared" si="521"/>
        <v>36.833333333333336</v>
      </c>
      <c r="BIV16" s="48"/>
      <c r="BIW16" s="49">
        <v>219</v>
      </c>
      <c r="BIX16" s="49"/>
      <c r="BIY16" s="49"/>
      <c r="BIZ16" s="49"/>
      <c r="BJA16" s="49">
        <v>220</v>
      </c>
      <c r="BJB16" s="42">
        <f t="shared" si="522"/>
        <v>439</v>
      </c>
      <c r="BJC16" s="43">
        <f t="shared" si="523"/>
        <v>73.166666666666671</v>
      </c>
      <c r="BJD16" s="48"/>
      <c r="BJE16" s="49"/>
      <c r="BJF16" s="49"/>
      <c r="BJG16" s="49"/>
      <c r="BJH16" s="49"/>
      <c r="BJI16" s="49"/>
      <c r="BJJ16" s="42">
        <f t="shared" si="524"/>
        <v>0</v>
      </c>
      <c r="BJK16" s="43">
        <f t="shared" si="525"/>
        <v>0</v>
      </c>
      <c r="BJL16" s="48"/>
      <c r="BJM16" s="49"/>
      <c r="BJN16" s="49"/>
      <c r="BJO16" s="49"/>
      <c r="BJP16" s="49"/>
      <c r="BJQ16" s="49"/>
      <c r="BJR16" s="42">
        <f t="shared" si="526"/>
        <v>0</v>
      </c>
      <c r="BJS16" s="43">
        <f t="shared" si="527"/>
        <v>0</v>
      </c>
      <c r="BJT16" s="63"/>
      <c r="BJU16" s="64"/>
      <c r="BJV16" s="64"/>
      <c r="BJW16" s="64"/>
      <c r="BJX16" s="64"/>
      <c r="BJY16" s="64"/>
      <c r="BJZ16" s="42">
        <f t="shared" si="528"/>
        <v>0</v>
      </c>
      <c r="BKA16" s="43">
        <f t="shared" si="529"/>
        <v>0</v>
      </c>
      <c r="BKB16" s="48"/>
      <c r="BKC16" s="49"/>
      <c r="BKD16" s="49"/>
      <c r="BKE16" s="49"/>
      <c r="BKF16" s="49"/>
      <c r="BKG16" s="49"/>
      <c r="BKH16" s="67">
        <f t="shared" si="530"/>
        <v>0</v>
      </c>
      <c r="BKI16" s="68">
        <f t="shared" si="531"/>
        <v>0</v>
      </c>
      <c r="BKJ16" s="48"/>
      <c r="BKK16" s="49">
        <v>219</v>
      </c>
      <c r="BKL16" s="49"/>
      <c r="BKM16" s="49"/>
      <c r="BKN16" s="49"/>
      <c r="BKO16" s="49"/>
      <c r="BKP16" s="42">
        <f t="shared" si="532"/>
        <v>219</v>
      </c>
      <c r="BKQ16" s="43">
        <f t="shared" si="533"/>
        <v>36.5</v>
      </c>
      <c r="BKR16" s="48"/>
      <c r="BKS16" s="49"/>
      <c r="BKT16" s="49"/>
      <c r="BKU16" s="49"/>
      <c r="BKV16" s="49"/>
      <c r="BKW16" s="49"/>
      <c r="BKX16" s="42">
        <f t="shared" si="534"/>
        <v>0</v>
      </c>
      <c r="BKY16" s="43">
        <f t="shared" si="535"/>
        <v>0</v>
      </c>
      <c r="BKZ16" s="48"/>
      <c r="BLA16" s="49"/>
      <c r="BLB16" s="49"/>
      <c r="BLC16" s="49"/>
      <c r="BLD16" s="49"/>
      <c r="BLE16" s="49"/>
      <c r="BLF16" s="42">
        <f t="shared" si="536"/>
        <v>0</v>
      </c>
      <c r="BLG16" s="43">
        <f t="shared" si="537"/>
        <v>0</v>
      </c>
      <c r="BLH16" s="48"/>
      <c r="BLI16" s="49">
        <v>223</v>
      </c>
      <c r="BLJ16" s="49"/>
      <c r="BLK16" s="49"/>
      <c r="BLL16" s="49">
        <v>229</v>
      </c>
      <c r="BLM16" s="49"/>
      <c r="BLN16" s="42">
        <f t="shared" si="538"/>
        <v>452</v>
      </c>
      <c r="BLO16" s="43">
        <f t="shared" si="539"/>
        <v>75.333333333333329</v>
      </c>
      <c r="BLP16" s="48"/>
      <c r="BLQ16" s="49">
        <v>110</v>
      </c>
      <c r="BLR16" s="49"/>
      <c r="BLS16" s="49"/>
      <c r="BLT16" s="49"/>
      <c r="BLU16" s="49"/>
      <c r="BLV16" s="42">
        <f t="shared" si="540"/>
        <v>110</v>
      </c>
      <c r="BLW16" s="43">
        <f t="shared" si="541"/>
        <v>18.333333333333332</v>
      </c>
      <c r="BLX16" s="63"/>
      <c r="BLY16" s="64"/>
      <c r="BLZ16" s="64"/>
      <c r="BMA16" s="64"/>
      <c r="BMB16" s="64"/>
      <c r="BMC16" s="64"/>
      <c r="BMD16" s="42">
        <f t="shared" si="542"/>
        <v>0</v>
      </c>
      <c r="BME16" s="43">
        <f t="shared" si="543"/>
        <v>0</v>
      </c>
      <c r="BMF16" s="48"/>
      <c r="BMG16" s="49"/>
      <c r="BMH16" s="49"/>
      <c r="BMI16" s="49"/>
      <c r="BMJ16" s="49"/>
      <c r="BMK16" s="49">
        <v>220</v>
      </c>
      <c r="BML16" s="42">
        <f t="shared" si="544"/>
        <v>220</v>
      </c>
      <c r="BMM16" s="43">
        <f t="shared" si="545"/>
        <v>36.666666666666664</v>
      </c>
      <c r="BMN16" s="63"/>
      <c r="BMO16" s="64"/>
      <c r="BMP16" s="64"/>
      <c r="BMQ16" s="64"/>
      <c r="BMR16" s="64"/>
      <c r="BMS16" s="64"/>
      <c r="BMT16" s="42">
        <f t="shared" si="546"/>
        <v>0</v>
      </c>
      <c r="BMU16" s="43">
        <f t="shared" si="547"/>
        <v>0</v>
      </c>
      <c r="BMV16" s="48"/>
      <c r="BMW16" s="49"/>
      <c r="BMX16" s="49"/>
      <c r="BMY16" s="49"/>
      <c r="BMZ16" s="49">
        <v>200</v>
      </c>
      <c r="BNA16" s="49"/>
      <c r="BNB16" s="42">
        <f t="shared" si="548"/>
        <v>200</v>
      </c>
      <c r="BNC16" s="43">
        <f t="shared" si="549"/>
        <v>33.333333333333336</v>
      </c>
      <c r="BND16" s="48"/>
      <c r="BNE16" s="49"/>
      <c r="BNF16" s="49"/>
      <c r="BNG16" s="49"/>
      <c r="BNH16" s="49"/>
      <c r="BNI16" s="49"/>
      <c r="BNJ16" s="42">
        <f t="shared" si="550"/>
        <v>0</v>
      </c>
      <c r="BNK16" s="43">
        <f t="shared" si="551"/>
        <v>0</v>
      </c>
      <c r="BNL16" s="48"/>
      <c r="BNM16" s="49"/>
      <c r="BNN16" s="49"/>
      <c r="BNO16" s="49"/>
      <c r="BNP16" s="49"/>
      <c r="BNQ16" s="49"/>
      <c r="BNR16" s="42">
        <f t="shared" si="552"/>
        <v>0</v>
      </c>
      <c r="BNS16" s="43">
        <f t="shared" si="553"/>
        <v>0</v>
      </c>
      <c r="BNT16" s="48"/>
      <c r="BNU16" s="49"/>
      <c r="BNV16" s="49"/>
      <c r="BNW16" s="49"/>
      <c r="BNX16" s="49"/>
      <c r="BNY16" s="49"/>
      <c r="BNZ16" s="42">
        <f t="shared" si="554"/>
        <v>0</v>
      </c>
      <c r="BOA16" s="43">
        <f t="shared" si="555"/>
        <v>0</v>
      </c>
      <c r="BOB16" s="48">
        <v>196</v>
      </c>
      <c r="BOC16" s="49"/>
      <c r="BOD16" s="49"/>
      <c r="BOE16" s="49"/>
      <c r="BOF16" s="49"/>
      <c r="BOG16" s="49">
        <v>110</v>
      </c>
      <c r="BOH16" s="42">
        <f t="shared" si="556"/>
        <v>306</v>
      </c>
      <c r="BOI16" s="43">
        <f t="shared" si="557"/>
        <v>51</v>
      </c>
      <c r="BOJ16" s="48"/>
      <c r="BOK16" s="49"/>
      <c r="BOL16" s="49">
        <v>220</v>
      </c>
      <c r="BOM16" s="49"/>
      <c r="BON16" s="49"/>
      <c r="BOO16" s="49"/>
      <c r="BOP16" s="42">
        <f t="shared" si="558"/>
        <v>220</v>
      </c>
      <c r="BOQ16" s="43">
        <f t="shared" si="559"/>
        <v>36.666666666666664</v>
      </c>
      <c r="BOR16" s="48"/>
      <c r="BOS16" s="49"/>
      <c r="BOT16" s="49">
        <v>184</v>
      </c>
      <c r="BOU16" s="49"/>
      <c r="BOV16" s="49">
        <v>109</v>
      </c>
      <c r="BOW16" s="49"/>
      <c r="BOX16" s="42">
        <f t="shared" si="560"/>
        <v>293</v>
      </c>
      <c r="BOY16" s="43">
        <f t="shared" si="561"/>
        <v>48.833333333333336</v>
      </c>
      <c r="BOZ16" s="63"/>
      <c r="BPA16" s="64"/>
      <c r="BPB16" s="64">
        <v>89</v>
      </c>
      <c r="BPC16" s="64"/>
      <c r="BPD16" s="64"/>
      <c r="BPE16" s="64"/>
      <c r="BPF16" s="42">
        <f t="shared" si="562"/>
        <v>89</v>
      </c>
      <c r="BPG16" s="43">
        <f t="shared" si="563"/>
        <v>14.833333333333334</v>
      </c>
      <c r="BPH16" s="48"/>
      <c r="BPI16" s="49"/>
      <c r="BPJ16" s="49"/>
      <c r="BPK16" s="49"/>
      <c r="BPL16" s="49">
        <v>111</v>
      </c>
      <c r="BPM16" s="49"/>
      <c r="BPN16" s="42">
        <f t="shared" si="564"/>
        <v>111</v>
      </c>
      <c r="BPO16" s="43">
        <f t="shared" si="565"/>
        <v>18.5</v>
      </c>
      <c r="BPP16" s="48"/>
      <c r="BPQ16" s="49"/>
      <c r="BPR16" s="49"/>
      <c r="BPS16" s="49">
        <v>110</v>
      </c>
      <c r="BPT16" s="49">
        <v>110</v>
      </c>
      <c r="BPU16" s="49"/>
      <c r="BPV16" s="42">
        <f t="shared" si="566"/>
        <v>220</v>
      </c>
      <c r="BPW16" s="43">
        <f t="shared" si="567"/>
        <v>36.666666666666664</v>
      </c>
      <c r="BPX16" s="48">
        <v>96</v>
      </c>
      <c r="BPY16" s="49"/>
      <c r="BPZ16" s="49"/>
      <c r="BQA16" s="49"/>
      <c r="BQB16" s="49">
        <v>121</v>
      </c>
      <c r="BQC16" s="49"/>
      <c r="BQD16" s="67">
        <f t="shared" si="568"/>
        <v>217</v>
      </c>
      <c r="BQE16" s="43">
        <f t="shared" si="569"/>
        <v>36.166666666666664</v>
      </c>
      <c r="BQF16" s="63"/>
      <c r="BQG16" s="64"/>
      <c r="BQH16" s="64">
        <v>219</v>
      </c>
      <c r="BQI16" s="64"/>
      <c r="BQJ16" s="64"/>
      <c r="BQK16" s="64"/>
      <c r="BQL16" s="67">
        <f t="shared" si="570"/>
        <v>219</v>
      </c>
      <c r="BQM16" s="43">
        <f t="shared" si="571"/>
        <v>36.5</v>
      </c>
      <c r="BQN16" s="63">
        <v>200</v>
      </c>
      <c r="BQO16" s="64"/>
      <c r="BQP16" s="64"/>
      <c r="BQQ16" s="64"/>
      <c r="BQR16" s="64"/>
      <c r="BQS16" s="64"/>
      <c r="BQT16" s="67">
        <f t="shared" si="572"/>
        <v>200</v>
      </c>
      <c r="BQU16" s="43">
        <f t="shared" si="573"/>
        <v>33.333333333333336</v>
      </c>
      <c r="BQV16" s="48"/>
      <c r="BQW16" s="49">
        <v>222</v>
      </c>
      <c r="BQX16" s="49"/>
      <c r="BQY16" s="49"/>
      <c r="BQZ16" s="49"/>
      <c r="BRA16" s="49"/>
      <c r="BRB16" s="67">
        <f t="shared" si="574"/>
        <v>222</v>
      </c>
      <c r="BRC16" s="43">
        <f t="shared" si="575"/>
        <v>37</v>
      </c>
      <c r="BRD16" s="48"/>
      <c r="BRE16" s="49"/>
      <c r="BRF16" s="49"/>
      <c r="BRG16" s="49"/>
      <c r="BRH16" s="49"/>
      <c r="BRI16" s="49">
        <v>219</v>
      </c>
      <c r="BRJ16" s="67">
        <f t="shared" si="576"/>
        <v>219</v>
      </c>
      <c r="BRK16" s="43">
        <f t="shared" si="577"/>
        <v>36.5</v>
      </c>
      <c r="BRL16" s="48"/>
      <c r="BRM16" s="49"/>
      <c r="BRN16" s="49"/>
      <c r="BRO16" s="49"/>
      <c r="BRP16" s="49"/>
      <c r="BRQ16" s="49">
        <v>218</v>
      </c>
      <c r="BRR16" s="67">
        <f t="shared" si="578"/>
        <v>218</v>
      </c>
      <c r="BRS16" s="68">
        <f t="shared" si="579"/>
        <v>36.333333333333336</v>
      </c>
      <c r="BRT16" s="63"/>
      <c r="BRU16" s="64"/>
      <c r="BRV16" s="64"/>
      <c r="BRW16" s="64">
        <v>220</v>
      </c>
      <c r="BRX16" s="64"/>
      <c r="BRY16" s="64"/>
      <c r="BRZ16" s="67">
        <f t="shared" si="580"/>
        <v>220</v>
      </c>
      <c r="BSA16" s="43">
        <f t="shared" si="581"/>
        <v>36.666666666666664</v>
      </c>
      <c r="BSB16" s="63"/>
      <c r="BSC16" s="64"/>
      <c r="BSD16" s="64">
        <v>218</v>
      </c>
      <c r="BSE16" s="64"/>
      <c r="BSF16" s="64"/>
      <c r="BSG16" s="64"/>
      <c r="BSH16" s="67">
        <f t="shared" si="582"/>
        <v>218</v>
      </c>
      <c r="BSI16" s="43">
        <f t="shared" si="583"/>
        <v>36.333333333333336</v>
      </c>
      <c r="BSJ16" s="63"/>
      <c r="BSK16" s="64"/>
      <c r="BSL16" s="64"/>
      <c r="BSM16" s="64"/>
      <c r="BSN16" s="64"/>
      <c r="BSO16" s="64"/>
      <c r="BSP16" s="67">
        <f t="shared" si="584"/>
        <v>0</v>
      </c>
      <c r="BSQ16" s="43">
        <f t="shared" si="585"/>
        <v>0</v>
      </c>
      <c r="BSR16" s="63"/>
      <c r="BSS16" s="64">
        <v>214</v>
      </c>
      <c r="BST16" s="64"/>
      <c r="BSU16" s="64"/>
      <c r="BSV16" s="64">
        <v>227</v>
      </c>
      <c r="BSW16" s="64"/>
      <c r="BSX16" s="67">
        <f t="shared" si="586"/>
        <v>441</v>
      </c>
      <c r="BSY16" s="43">
        <f t="shared" si="587"/>
        <v>73.5</v>
      </c>
      <c r="BSZ16" s="63">
        <v>110</v>
      </c>
      <c r="BTA16" s="64"/>
      <c r="BTB16" s="64"/>
      <c r="BTC16" s="64"/>
      <c r="BTD16" s="64"/>
      <c r="BTE16" s="64"/>
      <c r="BTF16" s="67">
        <f t="shared" si="588"/>
        <v>110</v>
      </c>
      <c r="BTG16" s="43">
        <f t="shared" si="589"/>
        <v>18.333333333333332</v>
      </c>
      <c r="BTH16" s="63">
        <v>220</v>
      </c>
      <c r="BTI16" s="64"/>
      <c r="BTJ16" s="64"/>
      <c r="BTK16" s="64"/>
      <c r="BTL16" s="64">
        <v>292</v>
      </c>
      <c r="BTM16" s="64"/>
      <c r="BTN16" s="67">
        <f t="shared" si="590"/>
        <v>512</v>
      </c>
      <c r="BTO16" s="68">
        <f t="shared" si="591"/>
        <v>85.333333333333329</v>
      </c>
      <c r="BTP16" s="48"/>
      <c r="BTQ16" s="49"/>
      <c r="BTR16" s="49"/>
      <c r="BTS16" s="49"/>
      <c r="BTT16" s="49"/>
      <c r="BTU16" s="49"/>
      <c r="BTV16" s="67">
        <f t="shared" si="592"/>
        <v>0</v>
      </c>
      <c r="BTW16" s="43">
        <f t="shared" si="593"/>
        <v>0</v>
      </c>
      <c r="BTX16" s="63"/>
      <c r="BTY16" s="64"/>
      <c r="BTZ16" s="64"/>
      <c r="BUA16" s="64"/>
      <c r="BUB16" s="64"/>
      <c r="BUC16" s="64"/>
      <c r="BUD16" s="67">
        <f t="shared" si="594"/>
        <v>0</v>
      </c>
      <c r="BUE16" s="68">
        <f t="shared" si="595"/>
        <v>0</v>
      </c>
      <c r="BUF16" s="48"/>
      <c r="BUG16" s="49"/>
      <c r="BUH16" s="49"/>
      <c r="BUI16" s="49"/>
      <c r="BUJ16" s="49">
        <f>294+78</f>
        <v>372</v>
      </c>
      <c r="BUK16" s="49"/>
      <c r="BUL16" s="67">
        <f t="shared" si="596"/>
        <v>372</v>
      </c>
      <c r="BUM16" s="68">
        <f t="shared" si="597"/>
        <v>62</v>
      </c>
      <c r="BUN16" s="63"/>
      <c r="BUO16" s="64">
        <v>80</v>
      </c>
      <c r="BUP16" s="64"/>
      <c r="BUQ16" s="64"/>
      <c r="BUR16" s="64"/>
      <c r="BUS16" s="64"/>
      <c r="BUT16" s="67">
        <f t="shared" si="598"/>
        <v>80</v>
      </c>
      <c r="BUU16" s="68">
        <f t="shared" si="599"/>
        <v>13.333333333333334</v>
      </c>
      <c r="BUV16" s="48"/>
      <c r="BUW16" s="49"/>
      <c r="BUX16" s="49"/>
      <c r="BUY16" s="49"/>
      <c r="BUZ16" s="49"/>
      <c r="BVA16" s="49">
        <v>109</v>
      </c>
      <c r="BVB16" s="67">
        <f t="shared" si="600"/>
        <v>109</v>
      </c>
      <c r="BVC16" s="68">
        <f t="shared" si="601"/>
        <v>18.166666666666668</v>
      </c>
      <c r="BVD16" s="48"/>
      <c r="BVE16" s="49"/>
      <c r="BVF16" s="49"/>
      <c r="BVG16" s="49">
        <v>220</v>
      </c>
      <c r="BVH16" s="49"/>
      <c r="BVI16" s="49"/>
      <c r="BVJ16" s="67">
        <f t="shared" si="602"/>
        <v>220</v>
      </c>
      <c r="BVK16" s="68">
        <f t="shared" si="603"/>
        <v>36.666666666666664</v>
      </c>
      <c r="BVL16" s="48"/>
      <c r="BVM16" s="49"/>
      <c r="BVN16" s="49"/>
      <c r="BVO16" s="49"/>
      <c r="BVP16" s="49"/>
      <c r="BVQ16" s="49">
        <v>363</v>
      </c>
      <c r="BVR16" s="67">
        <f t="shared" si="604"/>
        <v>363</v>
      </c>
      <c r="BVS16" s="68">
        <f t="shared" si="605"/>
        <v>60.5</v>
      </c>
      <c r="BVT16" s="48"/>
      <c r="BVU16" s="49">
        <v>111</v>
      </c>
      <c r="BVV16" s="49">
        <v>226</v>
      </c>
      <c r="BVW16" s="49"/>
      <c r="BVX16" s="49"/>
      <c r="BVY16" s="49"/>
      <c r="BVZ16" s="67">
        <f t="shared" si="606"/>
        <v>337</v>
      </c>
      <c r="BWA16" s="68">
        <f t="shared" si="607"/>
        <v>56.166666666666664</v>
      </c>
      <c r="BWB16" s="48">
        <v>107</v>
      </c>
      <c r="BWC16" s="49"/>
      <c r="BWD16" s="49"/>
      <c r="BWE16" s="49">
        <v>100</v>
      </c>
      <c r="BWF16" s="49"/>
      <c r="BWG16" s="49">
        <v>110</v>
      </c>
      <c r="BWH16" s="67">
        <f t="shared" si="608"/>
        <v>317</v>
      </c>
      <c r="BWI16" s="68">
        <f t="shared" si="609"/>
        <v>52.833333333333336</v>
      </c>
      <c r="BWJ16" s="48"/>
      <c r="BWK16" s="49"/>
      <c r="BWL16" s="49">
        <v>220</v>
      </c>
      <c r="BWM16" s="49"/>
      <c r="BWN16" s="49"/>
      <c r="BWO16" s="49"/>
      <c r="BWP16" s="67">
        <f t="shared" si="610"/>
        <v>220</v>
      </c>
      <c r="BWQ16" s="68">
        <f t="shared" si="611"/>
        <v>36.666666666666664</v>
      </c>
      <c r="BWR16" s="48"/>
      <c r="BWS16" s="49"/>
      <c r="BWT16" s="49"/>
      <c r="BWU16" s="49"/>
      <c r="BWV16" s="49">
        <v>215</v>
      </c>
      <c r="BWW16" s="49"/>
      <c r="BWX16" s="67">
        <f t="shared" si="612"/>
        <v>215</v>
      </c>
      <c r="BWY16" s="68">
        <f t="shared" si="613"/>
        <v>35.833333333333336</v>
      </c>
      <c r="BWZ16" s="48"/>
      <c r="BXA16" s="49"/>
      <c r="BXB16" s="49">
        <v>220</v>
      </c>
      <c r="BXC16" s="49"/>
      <c r="BXD16" s="49"/>
      <c r="BXE16" s="49"/>
      <c r="BXF16" s="67">
        <f t="shared" si="614"/>
        <v>220</v>
      </c>
      <c r="BXG16" s="68">
        <f t="shared" si="615"/>
        <v>36.666666666666664</v>
      </c>
      <c r="BXH16" s="48"/>
      <c r="BXI16" s="49"/>
      <c r="BXJ16" s="49"/>
      <c r="BXK16" s="49"/>
      <c r="BXL16" s="49">
        <v>220</v>
      </c>
      <c r="BXM16" s="49"/>
      <c r="BXN16" s="67">
        <f t="shared" si="616"/>
        <v>220</v>
      </c>
      <c r="BXO16" s="68">
        <f t="shared" si="617"/>
        <v>36.666666666666664</v>
      </c>
      <c r="BXP16" s="63">
        <v>220</v>
      </c>
      <c r="BXQ16" s="64"/>
      <c r="BXR16" s="64"/>
      <c r="BXS16" s="64"/>
      <c r="BXT16" s="64"/>
      <c r="BXU16" s="1"/>
      <c r="BXV16" s="67">
        <f t="shared" si="73"/>
        <v>220</v>
      </c>
      <c r="BXW16" s="68">
        <f t="shared" si="618"/>
        <v>36.666666666666664</v>
      </c>
      <c r="BXX16" s="48"/>
      <c r="BXY16" s="49"/>
      <c r="BXZ16" s="49"/>
      <c r="BYA16" s="49"/>
      <c r="BYB16" s="49"/>
      <c r="BYC16" s="49"/>
      <c r="BYD16" s="67">
        <f t="shared" si="619"/>
        <v>0</v>
      </c>
      <c r="BYE16" s="68">
        <f t="shared" si="620"/>
        <v>0</v>
      </c>
      <c r="BYF16" s="63"/>
      <c r="BYG16" s="64"/>
      <c r="BYH16" s="64"/>
      <c r="BYI16" s="64"/>
      <c r="BYJ16" s="64"/>
      <c r="BYK16" s="64">
        <v>113</v>
      </c>
      <c r="BYL16" s="67">
        <f t="shared" si="621"/>
        <v>113</v>
      </c>
      <c r="BYM16" s="68">
        <f t="shared" si="622"/>
        <v>18.833333333333332</v>
      </c>
      <c r="BYN16" s="48"/>
      <c r="BYO16" s="49">
        <v>200</v>
      </c>
      <c r="BYP16" s="49"/>
      <c r="BYQ16" s="49">
        <v>219</v>
      </c>
      <c r="BYR16" s="49"/>
      <c r="BYS16" s="49"/>
      <c r="BYT16" s="67">
        <f t="shared" si="623"/>
        <v>419</v>
      </c>
      <c r="BYU16" s="68">
        <f t="shared" si="624"/>
        <v>69.833333333333329</v>
      </c>
      <c r="BYV16" s="48"/>
      <c r="BYW16" s="49"/>
      <c r="BYX16" s="49"/>
      <c r="BYY16" s="49"/>
      <c r="BYZ16" s="49"/>
      <c r="BZA16" s="49"/>
      <c r="BZB16" s="67">
        <f t="shared" si="625"/>
        <v>0</v>
      </c>
      <c r="BZC16" s="68">
        <f t="shared" si="626"/>
        <v>0</v>
      </c>
      <c r="BZD16" s="48"/>
      <c r="BZE16" s="49"/>
      <c r="BZF16" s="49"/>
      <c r="BZG16" s="49">
        <v>317</v>
      </c>
      <c r="BZH16" s="49"/>
      <c r="BZI16" s="49"/>
      <c r="BZJ16" s="67">
        <f t="shared" si="627"/>
        <v>317</v>
      </c>
      <c r="BZK16" s="68">
        <f t="shared" si="628"/>
        <v>52.833333333333336</v>
      </c>
      <c r="BZL16" s="48"/>
      <c r="BZM16" s="49"/>
      <c r="BZN16" s="49">
        <v>398</v>
      </c>
      <c r="BZO16" s="49"/>
      <c r="BZP16" s="49"/>
      <c r="BZQ16" s="49"/>
      <c r="BZR16" s="67">
        <f t="shared" si="629"/>
        <v>398</v>
      </c>
      <c r="BZS16" s="68">
        <f t="shared" si="630"/>
        <v>66.333333333333329</v>
      </c>
      <c r="BZT16" s="48"/>
      <c r="BZU16" s="49"/>
      <c r="BZV16" s="49"/>
      <c r="BZW16" s="49"/>
      <c r="BZX16" s="49"/>
      <c r="BZY16" s="49"/>
      <c r="BZZ16" s="67">
        <f t="shared" si="631"/>
        <v>0</v>
      </c>
      <c r="CAA16" s="68">
        <f t="shared" si="632"/>
        <v>0</v>
      </c>
      <c r="CAB16" s="48"/>
      <c r="CAC16" s="49"/>
      <c r="CAD16" s="49">
        <v>108</v>
      </c>
      <c r="CAE16" s="49"/>
      <c r="CAF16" s="49"/>
      <c r="CAG16" s="49">
        <v>216</v>
      </c>
      <c r="CAH16" s="67">
        <f t="shared" si="633"/>
        <v>324</v>
      </c>
      <c r="CAI16" s="68">
        <f t="shared" si="634"/>
        <v>54</v>
      </c>
      <c r="CAJ16" s="63"/>
      <c r="CAK16" s="64"/>
      <c r="CAL16" s="64"/>
      <c r="CAM16" s="64"/>
      <c r="CAN16" s="64"/>
      <c r="CAO16" s="64"/>
      <c r="CAP16" s="67">
        <f t="shared" si="635"/>
        <v>0</v>
      </c>
      <c r="CAQ16" s="68">
        <f t="shared" si="636"/>
        <v>0</v>
      </c>
      <c r="CAR16" s="63"/>
      <c r="CAS16" s="64">
        <v>120</v>
      </c>
      <c r="CAT16" s="64"/>
      <c r="CAU16" s="64"/>
      <c r="CAV16" s="64"/>
      <c r="CAW16" s="64"/>
      <c r="CAX16" s="67">
        <f t="shared" si="637"/>
        <v>120</v>
      </c>
      <c r="CAY16" s="68">
        <f t="shared" si="638"/>
        <v>20</v>
      </c>
      <c r="CAZ16" s="48"/>
      <c r="CBA16" s="49"/>
      <c r="CBB16" s="49">
        <v>198</v>
      </c>
      <c r="CBC16" s="49"/>
      <c r="CBD16" s="49"/>
      <c r="CBE16" s="49"/>
      <c r="CBF16" s="67">
        <f t="shared" si="639"/>
        <v>198</v>
      </c>
      <c r="CBG16" s="68">
        <f t="shared" si="640"/>
        <v>33</v>
      </c>
      <c r="CBH16" s="48"/>
      <c r="CBI16" s="49"/>
      <c r="CBJ16" s="49">
        <v>120</v>
      </c>
      <c r="CBK16" s="49"/>
      <c r="CBL16" s="49"/>
      <c r="CBM16" s="49"/>
      <c r="CBN16" s="67">
        <f t="shared" si="641"/>
        <v>120</v>
      </c>
      <c r="CBO16" s="68">
        <f t="shared" si="642"/>
        <v>20</v>
      </c>
      <c r="CBP16" s="48">
        <v>330</v>
      </c>
      <c r="CBQ16" s="49"/>
      <c r="CBR16" s="49"/>
      <c r="CBS16" s="49"/>
      <c r="CBT16" s="49"/>
      <c r="CBU16" s="49">
        <v>218</v>
      </c>
      <c r="CBV16" s="67">
        <f t="shared" si="643"/>
        <v>548</v>
      </c>
      <c r="CBW16" s="68">
        <f t="shared" si="644"/>
        <v>91.333333333333329</v>
      </c>
      <c r="CBX16" s="48"/>
      <c r="CBY16" s="49"/>
      <c r="CBZ16" s="49"/>
      <c r="CCA16" s="49"/>
      <c r="CCB16" s="49"/>
      <c r="CCC16" s="49"/>
      <c r="CCD16" s="67">
        <f t="shared" si="645"/>
        <v>0</v>
      </c>
      <c r="CCE16" s="68">
        <f t="shared" si="646"/>
        <v>0</v>
      </c>
      <c r="CCF16" s="48"/>
      <c r="CCG16" s="49"/>
      <c r="CCH16" s="49">
        <v>217</v>
      </c>
      <c r="CCI16" s="49"/>
      <c r="CCJ16" s="49">
        <v>200</v>
      </c>
      <c r="CCK16" s="49"/>
      <c r="CCL16" s="67">
        <f t="shared" si="647"/>
        <v>417</v>
      </c>
      <c r="CCM16" s="68">
        <f t="shared" si="648"/>
        <v>69.5</v>
      </c>
      <c r="CCN16" s="48"/>
      <c r="CCO16" s="49"/>
      <c r="CCP16" s="49">
        <v>219</v>
      </c>
      <c r="CCQ16" s="49"/>
      <c r="CCR16" s="49">
        <v>110</v>
      </c>
      <c r="CCS16" s="49"/>
      <c r="CCT16" s="67">
        <f t="shared" si="649"/>
        <v>329</v>
      </c>
      <c r="CCU16" s="68">
        <f t="shared" si="650"/>
        <v>54.833333333333336</v>
      </c>
      <c r="CCV16" s="48"/>
      <c r="CCW16" s="49"/>
      <c r="CCX16" s="49"/>
      <c r="CCY16" s="49"/>
      <c r="CCZ16" s="49"/>
      <c r="CDA16" s="49"/>
      <c r="CDB16" s="67">
        <f t="shared" si="651"/>
        <v>0</v>
      </c>
      <c r="CDC16" s="68">
        <f t="shared" si="652"/>
        <v>0</v>
      </c>
      <c r="CDD16" s="48"/>
      <c r="CDE16" s="49">
        <v>220</v>
      </c>
      <c r="CDF16" s="49"/>
      <c r="CDG16" s="49"/>
      <c r="CDH16" s="49"/>
      <c r="CDI16" s="49"/>
      <c r="CDJ16" s="67">
        <f t="shared" si="653"/>
        <v>220</v>
      </c>
      <c r="CDK16" s="68">
        <f t="shared" si="654"/>
        <v>36.666666666666664</v>
      </c>
      <c r="CDL16" s="48">
        <v>327</v>
      </c>
      <c r="CDM16" s="49"/>
      <c r="CDN16" s="49"/>
      <c r="CDO16" s="49"/>
      <c r="CDP16" s="49">
        <v>218</v>
      </c>
      <c r="CDQ16" s="49"/>
      <c r="CDR16" s="67">
        <f t="shared" si="655"/>
        <v>545</v>
      </c>
      <c r="CDS16" s="68">
        <f t="shared" si="656"/>
        <v>90.833333333333329</v>
      </c>
      <c r="CDT16" s="48">
        <v>330</v>
      </c>
      <c r="CDU16" s="49"/>
      <c r="CDV16" s="49">
        <v>130</v>
      </c>
      <c r="CDW16" s="49"/>
      <c r="CDX16" s="49">
        <v>113</v>
      </c>
      <c r="CDY16" s="49"/>
      <c r="CDZ16" s="67">
        <f t="shared" si="657"/>
        <v>573</v>
      </c>
      <c r="CEA16" s="68">
        <f t="shared" si="658"/>
        <v>95.5</v>
      </c>
      <c r="CEB16" s="48"/>
      <c r="CEC16" s="49"/>
      <c r="CED16" s="49"/>
      <c r="CEE16" s="49"/>
      <c r="CEF16" s="49"/>
      <c r="CEG16" s="49"/>
      <c r="CEH16" s="67">
        <f t="shared" si="659"/>
        <v>0</v>
      </c>
      <c r="CEI16" s="68">
        <f t="shared" si="660"/>
        <v>0</v>
      </c>
      <c r="CEJ16" s="48"/>
      <c r="CEK16" s="49"/>
      <c r="CEL16" s="49"/>
      <c r="CEM16" s="49">
        <v>243</v>
      </c>
      <c r="CEN16" s="49"/>
      <c r="CEO16" s="49">
        <v>220</v>
      </c>
      <c r="CEP16" s="67">
        <f t="shared" si="661"/>
        <v>463</v>
      </c>
      <c r="CEQ16" s="68">
        <f t="shared" si="662"/>
        <v>77.166666666666671</v>
      </c>
      <c r="CER16" s="48"/>
      <c r="CES16" s="49"/>
      <c r="CET16" s="49"/>
      <c r="CEU16" s="49"/>
      <c r="CEV16" s="49">
        <v>222</v>
      </c>
      <c r="CEW16" s="49"/>
      <c r="CEX16" s="67">
        <f t="shared" si="663"/>
        <v>222</v>
      </c>
      <c r="CEY16" s="68">
        <f t="shared" si="664"/>
        <v>37</v>
      </c>
      <c r="CEZ16" s="48"/>
      <c r="CFA16" s="49"/>
      <c r="CFB16" s="49"/>
      <c r="CFC16" s="49">
        <v>215</v>
      </c>
      <c r="CFD16" s="49"/>
      <c r="CFE16" s="49"/>
      <c r="CFF16" s="67">
        <f t="shared" si="665"/>
        <v>215</v>
      </c>
      <c r="CFG16" s="68">
        <f t="shared" si="666"/>
        <v>35.833333333333336</v>
      </c>
      <c r="CFH16" s="48"/>
      <c r="CFI16" s="49">
        <v>329</v>
      </c>
      <c r="CFJ16" s="49"/>
      <c r="CFK16" s="49"/>
      <c r="CFL16" s="49">
        <v>220</v>
      </c>
      <c r="CFM16" s="49"/>
      <c r="CFN16" s="67">
        <f t="shared" si="667"/>
        <v>549</v>
      </c>
      <c r="CFO16" s="68">
        <f t="shared" si="668"/>
        <v>91.5</v>
      </c>
      <c r="CFP16" s="48"/>
      <c r="CFQ16" s="49">
        <v>330</v>
      </c>
      <c r="CFR16" s="49"/>
      <c r="CFS16" s="49">
        <v>122</v>
      </c>
      <c r="CFT16" s="49"/>
      <c r="CFU16" s="49"/>
      <c r="CFV16" s="67">
        <f t="shared" si="669"/>
        <v>452</v>
      </c>
      <c r="CFW16" s="68">
        <f t="shared" si="670"/>
        <v>75.333333333333329</v>
      </c>
      <c r="CFX16" s="48"/>
      <c r="CFY16" s="49">
        <v>229</v>
      </c>
      <c r="CFZ16" s="49"/>
      <c r="CGA16" s="49"/>
      <c r="CGB16" s="49"/>
      <c r="CGC16" s="49">
        <v>219</v>
      </c>
      <c r="CGD16" s="67">
        <f t="shared" si="671"/>
        <v>448</v>
      </c>
      <c r="CGE16" s="68">
        <f t="shared" si="672"/>
        <v>74.666666666666671</v>
      </c>
      <c r="CGF16" s="48"/>
      <c r="CGG16" s="49"/>
      <c r="CGH16" s="49"/>
      <c r="CGI16" s="49"/>
      <c r="CGJ16" s="49"/>
      <c r="CGK16" s="49">
        <v>199</v>
      </c>
      <c r="CGL16" s="67">
        <f t="shared" si="673"/>
        <v>199</v>
      </c>
      <c r="CGM16" s="68">
        <f t="shared" si="674"/>
        <v>33.166666666666664</v>
      </c>
      <c r="CGN16" s="63"/>
      <c r="CGO16" s="64"/>
      <c r="CGP16" s="64"/>
      <c r="CGQ16" s="64">
        <v>219</v>
      </c>
      <c r="CGR16" s="64"/>
      <c r="CGS16" s="64"/>
      <c r="CGT16" s="67">
        <f t="shared" si="675"/>
        <v>219</v>
      </c>
      <c r="CGU16" s="68">
        <f t="shared" si="676"/>
        <v>36.5</v>
      </c>
      <c r="CGV16" s="48"/>
      <c r="CGW16" s="49">
        <v>109</v>
      </c>
      <c r="CGX16" s="49"/>
      <c r="CGY16" s="49">
        <v>350</v>
      </c>
      <c r="CGZ16" s="49"/>
      <c r="CHA16" s="49">
        <v>442</v>
      </c>
      <c r="CHB16" s="67">
        <f t="shared" si="677"/>
        <v>901</v>
      </c>
      <c r="CHC16" s="68">
        <f t="shared" si="678"/>
        <v>150.16666666666666</v>
      </c>
      <c r="CHD16" s="48"/>
      <c r="CHE16" s="49">
        <v>109</v>
      </c>
      <c r="CHF16" s="49"/>
      <c r="CHG16" s="49"/>
      <c r="CHH16" s="49"/>
      <c r="CHI16" s="49"/>
      <c r="CHJ16" s="67">
        <f t="shared" si="679"/>
        <v>109</v>
      </c>
      <c r="CHK16" s="68">
        <f t="shared" si="680"/>
        <v>18.166666666666668</v>
      </c>
      <c r="CHL16" s="63"/>
      <c r="CHM16" s="64"/>
      <c r="CHN16" s="64"/>
      <c r="CHO16" s="64"/>
      <c r="CHP16" s="64">
        <v>319</v>
      </c>
      <c r="CHQ16" s="64"/>
      <c r="CHR16" s="67">
        <f t="shared" si="681"/>
        <v>319</v>
      </c>
      <c r="CHS16" s="68">
        <f t="shared" si="682"/>
        <v>53.166666666666664</v>
      </c>
      <c r="CHT16" s="48"/>
      <c r="CHU16" s="49"/>
      <c r="CHV16" s="49">
        <v>260</v>
      </c>
      <c r="CHW16" s="49">
        <v>149</v>
      </c>
      <c r="CHX16" s="49"/>
      <c r="CHY16" s="49"/>
      <c r="CHZ16" s="67">
        <f t="shared" si="683"/>
        <v>409</v>
      </c>
      <c r="CIA16" s="68">
        <f t="shared" si="684"/>
        <v>68.166666666666671</v>
      </c>
      <c r="CIB16" s="63"/>
      <c r="CIC16" s="64"/>
      <c r="CID16" s="64"/>
      <c r="CIE16" s="64"/>
      <c r="CIF16" s="64">
        <v>330</v>
      </c>
      <c r="CIG16" s="64"/>
      <c r="CIH16" s="67">
        <f t="shared" si="685"/>
        <v>330</v>
      </c>
      <c r="CII16" s="68">
        <f t="shared" si="686"/>
        <v>55</v>
      </c>
      <c r="CIJ16" s="63"/>
      <c r="CIK16" s="64"/>
      <c r="CIL16" s="64"/>
      <c r="CIM16" s="64"/>
      <c r="CIN16" s="64"/>
      <c r="CIO16" s="64"/>
      <c r="CIP16" s="67">
        <f t="shared" si="687"/>
        <v>0</v>
      </c>
      <c r="CIQ16" s="68">
        <f t="shared" si="688"/>
        <v>0</v>
      </c>
      <c r="CIR16" s="48"/>
      <c r="CIS16" s="49"/>
      <c r="CIT16" s="49"/>
      <c r="CIU16" s="49"/>
      <c r="CIV16" s="49"/>
      <c r="CIW16" s="49"/>
      <c r="CIX16" s="67">
        <f t="shared" si="689"/>
        <v>0</v>
      </c>
      <c r="CIY16" s="68">
        <f t="shared" si="690"/>
        <v>0</v>
      </c>
      <c r="CIZ16" s="48">
        <v>219</v>
      </c>
      <c r="CJA16" s="49"/>
      <c r="CJB16" s="49"/>
      <c r="CJC16" s="49"/>
      <c r="CJD16" s="49">
        <v>220</v>
      </c>
      <c r="CJE16" s="49"/>
      <c r="CJF16" s="67">
        <f t="shared" si="691"/>
        <v>439</v>
      </c>
      <c r="CJG16" s="68">
        <f t="shared" si="1200"/>
        <v>73.166666666666671</v>
      </c>
      <c r="CJH16" s="48"/>
      <c r="CJI16" s="49"/>
      <c r="CJJ16" s="49"/>
      <c r="CJK16" s="49"/>
      <c r="CJL16" s="49"/>
      <c r="CJM16" s="49"/>
      <c r="CJN16" s="67">
        <f t="shared" si="692"/>
        <v>0</v>
      </c>
      <c r="CJO16" s="68">
        <f t="shared" si="693"/>
        <v>0</v>
      </c>
      <c r="CJP16" s="48"/>
      <c r="CJQ16" s="49"/>
      <c r="CJR16" s="49"/>
      <c r="CJS16" s="49"/>
      <c r="CJT16" s="49"/>
      <c r="CJU16" s="49"/>
      <c r="CJV16" s="67">
        <f t="shared" si="694"/>
        <v>0</v>
      </c>
      <c r="CJW16" s="68">
        <f t="shared" si="695"/>
        <v>0</v>
      </c>
      <c r="CJX16" s="48"/>
      <c r="CJY16" s="49"/>
      <c r="CJZ16" s="49"/>
      <c r="CKA16" s="49"/>
      <c r="CKB16" s="49"/>
      <c r="CKC16" s="49"/>
      <c r="CKD16" s="67">
        <f t="shared" si="696"/>
        <v>0</v>
      </c>
      <c r="CKE16" s="68">
        <f t="shared" si="697"/>
        <v>0</v>
      </c>
      <c r="CKF16" s="63"/>
      <c r="CKG16" s="64">
        <v>219</v>
      </c>
      <c r="CKH16" s="64"/>
      <c r="CKI16" s="64">
        <v>110</v>
      </c>
      <c r="CKJ16" s="64"/>
      <c r="CKK16" s="64"/>
      <c r="CKL16" s="67">
        <f t="shared" si="698"/>
        <v>329</v>
      </c>
      <c r="CKM16" s="68">
        <f t="shared" si="699"/>
        <v>54.833333333333336</v>
      </c>
      <c r="CKN16" s="48"/>
      <c r="CKO16" s="49"/>
      <c r="CKP16" s="49"/>
      <c r="CKQ16" s="49"/>
      <c r="CKR16" s="49"/>
      <c r="CKS16" s="47"/>
      <c r="CKT16" s="67">
        <f t="shared" si="700"/>
        <v>0</v>
      </c>
      <c r="CKU16" s="68">
        <f t="shared" si="701"/>
        <v>0</v>
      </c>
      <c r="CKV16" s="48">
        <v>314</v>
      </c>
      <c r="CKW16" s="49"/>
      <c r="CKX16" s="49"/>
      <c r="CKY16" s="49"/>
      <c r="CKZ16" s="49"/>
      <c r="CLA16" s="49">
        <v>110</v>
      </c>
      <c r="CLB16" s="67">
        <f t="shared" si="702"/>
        <v>424</v>
      </c>
      <c r="CLC16" s="68">
        <f t="shared" si="703"/>
        <v>70.666666666666671</v>
      </c>
      <c r="CLD16" s="48"/>
      <c r="CLE16" s="49"/>
      <c r="CLF16" s="49"/>
      <c r="CLG16" s="49"/>
      <c r="CLH16" s="49"/>
      <c r="CLI16" s="49"/>
      <c r="CLJ16" s="67">
        <f t="shared" si="704"/>
        <v>0</v>
      </c>
      <c r="CLK16" s="68">
        <f t="shared" si="705"/>
        <v>0</v>
      </c>
      <c r="CLL16" s="48">
        <v>4</v>
      </c>
      <c r="CLM16" s="49">
        <v>110</v>
      </c>
      <c r="CLN16" s="49"/>
      <c r="CLO16" s="49"/>
      <c r="CLP16" s="49"/>
      <c r="CLQ16" s="49"/>
      <c r="CLR16" s="67">
        <f t="shared" si="706"/>
        <v>114</v>
      </c>
      <c r="CLS16" s="68">
        <f t="shared" si="707"/>
        <v>19</v>
      </c>
      <c r="CLT16" s="63"/>
      <c r="CLU16" s="64"/>
      <c r="CLV16" s="64"/>
      <c r="CLW16" s="64"/>
      <c r="CLX16" s="64"/>
      <c r="CLY16" s="64"/>
      <c r="CLZ16" s="67">
        <f t="shared" si="708"/>
        <v>0</v>
      </c>
      <c r="CMA16" s="68">
        <f t="shared" si="709"/>
        <v>0</v>
      </c>
      <c r="CMB16" s="48">
        <v>109</v>
      </c>
      <c r="CMC16" s="49"/>
      <c r="CMD16" s="49"/>
      <c r="CME16" s="49"/>
      <c r="CMF16" s="49"/>
      <c r="CMG16" s="49"/>
      <c r="CMH16" s="67">
        <f t="shared" si="710"/>
        <v>109</v>
      </c>
      <c r="CMI16" s="68">
        <f t="shared" si="711"/>
        <v>18.166666666666668</v>
      </c>
      <c r="CMJ16" s="48"/>
      <c r="CMK16" s="49">
        <v>98</v>
      </c>
      <c r="CML16" s="49"/>
      <c r="CMM16" s="49"/>
      <c r="CMN16" s="49"/>
      <c r="CMO16" s="49"/>
      <c r="CMP16" s="67">
        <f t="shared" si="712"/>
        <v>98</v>
      </c>
      <c r="CMQ16" s="68">
        <f t="shared" si="713"/>
        <v>16.333333333333332</v>
      </c>
      <c r="CMR16" s="48"/>
      <c r="CMS16" s="49"/>
      <c r="CMT16" s="49">
        <v>273</v>
      </c>
      <c r="CMU16" s="49"/>
      <c r="CMV16" s="49"/>
      <c r="CMW16" s="49">
        <v>110</v>
      </c>
      <c r="CMX16" s="67">
        <f t="shared" si="714"/>
        <v>383</v>
      </c>
      <c r="CMY16" s="68">
        <f t="shared" si="715"/>
        <v>63.833333333333336</v>
      </c>
      <c r="CMZ16" s="63"/>
      <c r="CNA16" s="64"/>
      <c r="CNB16" s="64"/>
      <c r="CNC16" s="64"/>
      <c r="CND16" s="64"/>
      <c r="CNE16" s="64"/>
      <c r="CNF16" s="67">
        <f t="shared" si="716"/>
        <v>0</v>
      </c>
      <c r="CNG16" s="68">
        <f t="shared" si="717"/>
        <v>0</v>
      </c>
      <c r="CNH16" s="48"/>
      <c r="CNI16" s="49">
        <v>218</v>
      </c>
      <c r="CNJ16" s="49">
        <v>109</v>
      </c>
      <c r="CNK16" s="49"/>
      <c r="CNL16" s="49"/>
      <c r="CNM16" s="49">
        <v>220</v>
      </c>
      <c r="CNN16" s="67">
        <f t="shared" si="718"/>
        <v>547</v>
      </c>
      <c r="CNO16" s="68">
        <f t="shared" si="719"/>
        <v>91.166666666666671</v>
      </c>
      <c r="CNP16" s="63"/>
      <c r="CNQ16" s="64"/>
      <c r="CNR16" s="64"/>
      <c r="CNS16" s="64"/>
      <c r="CNT16" s="64"/>
      <c r="CNU16" s="64"/>
      <c r="CNV16" s="67">
        <f t="shared" si="720"/>
        <v>0</v>
      </c>
      <c r="CNW16" s="68">
        <f t="shared" si="721"/>
        <v>0</v>
      </c>
      <c r="CNX16" s="48"/>
      <c r="CNY16" s="49"/>
      <c r="CNZ16" s="49"/>
      <c r="COA16" s="49"/>
      <c r="COB16" s="49"/>
      <c r="COC16" s="49">
        <v>215</v>
      </c>
      <c r="COD16" s="67">
        <f t="shared" si="722"/>
        <v>215</v>
      </c>
      <c r="COE16" s="68">
        <f t="shared" si="723"/>
        <v>35.833333333333336</v>
      </c>
      <c r="COF16" s="48"/>
      <c r="COG16" s="49"/>
      <c r="COH16" s="49"/>
      <c r="COI16" s="49"/>
      <c r="COJ16" s="49"/>
      <c r="COK16" s="49"/>
      <c r="COL16" s="67">
        <f t="shared" si="724"/>
        <v>0</v>
      </c>
      <c r="COM16" s="68">
        <f t="shared" si="725"/>
        <v>0</v>
      </c>
      <c r="CON16" s="48"/>
      <c r="COO16" s="49">
        <v>220</v>
      </c>
      <c r="COP16" s="49"/>
      <c r="COQ16" s="49"/>
      <c r="COR16" s="49"/>
      <c r="COS16" s="49">
        <v>109</v>
      </c>
      <c r="COT16" s="67">
        <f t="shared" si="726"/>
        <v>329</v>
      </c>
      <c r="COU16" s="68">
        <f t="shared" si="727"/>
        <v>54.833333333333336</v>
      </c>
      <c r="COV16" s="48"/>
      <c r="COW16" s="49"/>
      <c r="COX16" s="49"/>
      <c r="COY16" s="49"/>
      <c r="COZ16" s="49"/>
      <c r="CPA16" s="49">
        <v>0</v>
      </c>
      <c r="CPB16" s="67">
        <f t="shared" si="728"/>
        <v>0</v>
      </c>
      <c r="CPC16" s="68">
        <f t="shared" si="729"/>
        <v>0</v>
      </c>
      <c r="CPD16" s="48">
        <v>0</v>
      </c>
      <c r="CPE16" s="49">
        <v>0</v>
      </c>
      <c r="CPF16" s="49">
        <v>0</v>
      </c>
      <c r="CPG16" s="49">
        <v>111</v>
      </c>
      <c r="CPH16" s="49">
        <v>0</v>
      </c>
      <c r="CPI16" s="49">
        <v>0</v>
      </c>
      <c r="CPJ16" s="67">
        <f t="shared" si="730"/>
        <v>111</v>
      </c>
      <c r="CPK16" s="68">
        <f t="shared" si="731"/>
        <v>18.5</v>
      </c>
      <c r="CPL16" s="48"/>
      <c r="CPM16" s="49">
        <v>0</v>
      </c>
      <c r="CPN16" s="49">
        <v>110</v>
      </c>
      <c r="CPO16" s="49">
        <v>0</v>
      </c>
      <c r="CPP16" s="49">
        <v>0</v>
      </c>
      <c r="CPQ16" s="49">
        <v>0</v>
      </c>
      <c r="CPR16" s="67">
        <f t="shared" si="732"/>
        <v>110</v>
      </c>
      <c r="CPS16" s="68">
        <f t="shared" si="733"/>
        <v>18.333333333333332</v>
      </c>
      <c r="CPT16" s="63">
        <v>0</v>
      </c>
      <c r="CPU16" s="64">
        <v>0</v>
      </c>
      <c r="CPV16" s="64">
        <v>0</v>
      </c>
      <c r="CPW16" s="64">
        <v>110</v>
      </c>
      <c r="CPX16" s="64">
        <v>0</v>
      </c>
      <c r="CPY16" s="64">
        <v>0</v>
      </c>
      <c r="CPZ16" s="67">
        <f t="shared" si="734"/>
        <v>110</v>
      </c>
      <c r="CQA16" s="68">
        <f t="shared" si="735"/>
        <v>18.333333333333332</v>
      </c>
      <c r="CQB16" s="48">
        <v>0</v>
      </c>
      <c r="CQC16" s="49">
        <v>0</v>
      </c>
      <c r="CQD16" s="49">
        <v>220</v>
      </c>
      <c r="CQE16" s="49">
        <v>0</v>
      </c>
      <c r="CQF16" s="49">
        <v>0</v>
      </c>
      <c r="CQG16" s="49">
        <v>0</v>
      </c>
      <c r="CQH16" s="67">
        <f t="shared" si="736"/>
        <v>220</v>
      </c>
      <c r="CQI16" s="68">
        <f t="shared" si="737"/>
        <v>36.666666666666664</v>
      </c>
      <c r="CQJ16" s="82">
        <v>0</v>
      </c>
      <c r="CQK16" s="83">
        <v>0</v>
      </c>
      <c r="CQL16" s="83">
        <v>110</v>
      </c>
      <c r="CQM16" s="83">
        <v>0</v>
      </c>
      <c r="CQN16" s="83">
        <v>0</v>
      </c>
      <c r="CQO16" s="83"/>
      <c r="CQP16" s="67">
        <f t="shared" si="738"/>
        <v>110</v>
      </c>
      <c r="CQQ16" s="68">
        <f t="shared" si="739"/>
        <v>18.333333333333332</v>
      </c>
      <c r="CQR16" s="48"/>
      <c r="CQS16" s="49">
        <v>0</v>
      </c>
      <c r="CQT16" s="49">
        <v>0</v>
      </c>
      <c r="CQU16" s="49">
        <v>221</v>
      </c>
      <c r="CQV16" s="49">
        <v>0</v>
      </c>
      <c r="CQW16" s="49">
        <v>0</v>
      </c>
      <c r="CQX16" s="67">
        <f t="shared" si="740"/>
        <v>221</v>
      </c>
      <c r="CQY16" s="68">
        <f t="shared" si="741"/>
        <v>36.833333333333336</v>
      </c>
      <c r="CQZ16" s="48">
        <v>0</v>
      </c>
      <c r="CRA16" s="49"/>
      <c r="CRB16" s="49">
        <v>0</v>
      </c>
      <c r="CRC16" s="49"/>
      <c r="CRD16" s="49">
        <v>108</v>
      </c>
      <c r="CRE16" s="49">
        <v>0</v>
      </c>
      <c r="CRF16" s="67">
        <f t="shared" si="742"/>
        <v>108</v>
      </c>
      <c r="CRG16" s="68">
        <f t="shared" si="743"/>
        <v>18</v>
      </c>
      <c r="CRH16" s="48">
        <v>0</v>
      </c>
      <c r="CRI16" s="49">
        <v>0</v>
      </c>
      <c r="CRJ16" s="49">
        <v>110</v>
      </c>
      <c r="CRK16" s="49">
        <v>0</v>
      </c>
      <c r="CRL16" s="49">
        <v>0</v>
      </c>
      <c r="CRM16" s="49">
        <v>0</v>
      </c>
      <c r="CRN16" s="67">
        <f t="shared" si="744"/>
        <v>110</v>
      </c>
      <c r="CRO16" s="68">
        <f t="shared" si="745"/>
        <v>18.333333333333332</v>
      </c>
      <c r="CRP16" s="48">
        <v>0</v>
      </c>
      <c r="CRQ16" s="49">
        <v>0</v>
      </c>
      <c r="CRR16" s="49">
        <v>217</v>
      </c>
      <c r="CRS16" s="49">
        <v>0</v>
      </c>
      <c r="CRT16" s="49">
        <v>0</v>
      </c>
      <c r="CRU16" s="49">
        <v>0</v>
      </c>
      <c r="CRV16" s="47">
        <f t="shared" si="746"/>
        <v>217</v>
      </c>
      <c r="CRW16" s="68">
        <f t="shared" si="747"/>
        <v>36.166666666666664</v>
      </c>
      <c r="CRX16" s="63">
        <v>109</v>
      </c>
      <c r="CRY16" s="64">
        <v>0</v>
      </c>
      <c r="CRZ16" s="64">
        <v>0</v>
      </c>
      <c r="CSA16" s="64">
        <v>0</v>
      </c>
      <c r="CSB16" s="64">
        <v>0</v>
      </c>
      <c r="CSC16" s="64">
        <v>0</v>
      </c>
      <c r="CSD16" s="67">
        <f t="shared" si="748"/>
        <v>109</v>
      </c>
      <c r="CSE16" s="68">
        <f t="shared" si="749"/>
        <v>18.166666666666668</v>
      </c>
      <c r="CSF16" s="48">
        <v>220</v>
      </c>
      <c r="CSG16" s="49">
        <v>0</v>
      </c>
      <c r="CSH16" s="49">
        <v>0</v>
      </c>
      <c r="CSI16" s="49">
        <v>0</v>
      </c>
      <c r="CSJ16" s="49">
        <v>220</v>
      </c>
      <c r="CSK16" s="49">
        <v>0</v>
      </c>
      <c r="CSL16" s="64">
        <f t="shared" si="750"/>
        <v>440</v>
      </c>
      <c r="CSM16" s="68">
        <f t="shared" si="751"/>
        <v>73.333333333333329</v>
      </c>
      <c r="CSN16" s="48">
        <v>0</v>
      </c>
      <c r="CSO16" s="49">
        <v>0</v>
      </c>
      <c r="CSP16" s="49">
        <v>0</v>
      </c>
      <c r="CSQ16" s="49">
        <v>221</v>
      </c>
      <c r="CSR16" s="49">
        <v>0</v>
      </c>
      <c r="CSS16" s="49">
        <v>0</v>
      </c>
      <c r="CST16" s="64">
        <f t="shared" si="752"/>
        <v>221</v>
      </c>
      <c r="CSU16" s="68">
        <f t="shared" si="753"/>
        <v>36.833333333333336</v>
      </c>
      <c r="CSV16" s="48">
        <v>0</v>
      </c>
      <c r="CSW16" s="49">
        <v>0</v>
      </c>
      <c r="CSX16" s="49">
        <v>215</v>
      </c>
      <c r="CSY16" s="49">
        <v>0</v>
      </c>
      <c r="CSZ16" s="49"/>
      <c r="CTA16" s="49">
        <v>0</v>
      </c>
      <c r="CTB16" s="64">
        <f t="shared" si="754"/>
        <v>215</v>
      </c>
      <c r="CTC16" s="68">
        <f t="shared" si="755"/>
        <v>35.833333333333336</v>
      </c>
      <c r="CTD16" s="48">
        <v>0</v>
      </c>
      <c r="CTE16" s="49">
        <v>0</v>
      </c>
      <c r="CTF16" s="49">
        <v>0</v>
      </c>
      <c r="CTG16" s="49">
        <v>205</v>
      </c>
      <c r="CTH16" s="49">
        <v>0</v>
      </c>
      <c r="CTI16" s="49"/>
      <c r="CTJ16" s="64">
        <f t="shared" si="756"/>
        <v>205</v>
      </c>
      <c r="CTK16" s="68">
        <f t="shared" si="757"/>
        <v>34.166666666666664</v>
      </c>
      <c r="CTL16" s="48">
        <v>0</v>
      </c>
      <c r="CTM16" s="49">
        <v>220</v>
      </c>
      <c r="CTN16" s="49"/>
      <c r="CTO16" s="49"/>
      <c r="CTP16" s="49"/>
      <c r="CTQ16" s="49"/>
      <c r="CTR16" s="64">
        <f t="shared" si="758"/>
        <v>220</v>
      </c>
      <c r="CTS16" s="68">
        <f t="shared" si="759"/>
        <v>36.666666666666664</v>
      </c>
      <c r="CTT16" s="48"/>
      <c r="CTU16" s="49"/>
      <c r="CTV16" s="49"/>
      <c r="CTW16" s="49">
        <v>220</v>
      </c>
      <c r="CTX16" s="49">
        <v>0</v>
      </c>
      <c r="CTY16" s="49">
        <v>0</v>
      </c>
      <c r="CTZ16" s="64">
        <f t="shared" si="760"/>
        <v>220</v>
      </c>
      <c r="CUA16" s="68">
        <f t="shared" si="761"/>
        <v>36.666666666666664</v>
      </c>
      <c r="CUB16" s="48"/>
      <c r="CUC16" s="49">
        <v>111</v>
      </c>
      <c r="CUD16" s="49"/>
      <c r="CUE16" s="49"/>
      <c r="CUF16" s="49"/>
      <c r="CUG16" s="49"/>
      <c r="CUH16" s="64">
        <f t="shared" si="762"/>
        <v>111</v>
      </c>
      <c r="CUI16" s="68">
        <f t="shared" si="763"/>
        <v>18.5</v>
      </c>
      <c r="CUJ16" s="48"/>
      <c r="CUK16" s="49">
        <v>0</v>
      </c>
      <c r="CUL16" s="49"/>
      <c r="CUM16" s="49"/>
      <c r="CUN16" s="49"/>
      <c r="CUO16" s="49"/>
      <c r="CUP16" s="64">
        <f t="shared" si="764"/>
        <v>0</v>
      </c>
      <c r="CUQ16" s="68">
        <f t="shared" si="765"/>
        <v>0</v>
      </c>
      <c r="CUR16" s="48"/>
      <c r="CUS16" s="49">
        <v>211</v>
      </c>
      <c r="CUT16" s="49"/>
      <c r="CUU16" s="49"/>
      <c r="CUV16" s="49">
        <f>202+133</f>
        <v>335</v>
      </c>
      <c r="CUW16" s="49">
        <v>0</v>
      </c>
      <c r="CUX16" s="64">
        <f t="shared" si="766"/>
        <v>546</v>
      </c>
      <c r="CUY16" s="68">
        <f t="shared" si="767"/>
        <v>91</v>
      </c>
      <c r="CUZ16" s="48">
        <v>0</v>
      </c>
      <c r="CVA16" s="49">
        <v>0</v>
      </c>
      <c r="CVB16" s="49">
        <v>0</v>
      </c>
      <c r="CVC16" s="49">
        <v>0</v>
      </c>
      <c r="CVD16" s="49">
        <v>0</v>
      </c>
      <c r="CVE16" s="49">
        <v>0</v>
      </c>
      <c r="CVF16" s="64">
        <f t="shared" si="768"/>
        <v>0</v>
      </c>
      <c r="CVG16" s="68">
        <f t="shared" si="769"/>
        <v>0</v>
      </c>
      <c r="CVH16" s="48">
        <v>0</v>
      </c>
      <c r="CVI16" s="49">
        <v>0</v>
      </c>
      <c r="CVJ16" s="49">
        <v>201</v>
      </c>
      <c r="CVK16" s="49">
        <v>0</v>
      </c>
      <c r="CVL16" s="49">
        <v>0</v>
      </c>
      <c r="CVM16" s="49">
        <v>0</v>
      </c>
      <c r="CVN16" s="64">
        <f t="shared" si="770"/>
        <v>201</v>
      </c>
      <c r="CVO16" s="68">
        <f t="shared" si="771"/>
        <v>33.5</v>
      </c>
      <c r="CVP16" s="48">
        <v>110</v>
      </c>
      <c r="CVQ16" s="49">
        <v>0</v>
      </c>
      <c r="CVR16" s="49">
        <v>110</v>
      </c>
      <c r="CVS16" s="49">
        <v>0</v>
      </c>
      <c r="CVT16" s="49">
        <v>0</v>
      </c>
      <c r="CVU16" s="49">
        <v>0</v>
      </c>
      <c r="CVV16" s="64">
        <f t="shared" si="772"/>
        <v>220</v>
      </c>
      <c r="CVW16" s="68">
        <f t="shared" si="773"/>
        <v>36.666666666666664</v>
      </c>
      <c r="CVX16" s="48">
        <v>0</v>
      </c>
      <c r="CVY16" s="49">
        <v>218</v>
      </c>
      <c r="CVZ16" s="49">
        <v>0</v>
      </c>
      <c r="CWA16" s="49">
        <v>0</v>
      </c>
      <c r="CWB16" s="49">
        <v>0</v>
      </c>
      <c r="CWC16" s="49">
        <v>0</v>
      </c>
      <c r="CWD16" s="64">
        <f t="shared" si="774"/>
        <v>218</v>
      </c>
      <c r="CWE16" s="68">
        <f t="shared" si="775"/>
        <v>36.333333333333336</v>
      </c>
      <c r="CWF16" s="48">
        <v>0</v>
      </c>
      <c r="CWG16" s="49">
        <v>111</v>
      </c>
      <c r="CWH16" s="49">
        <v>0</v>
      </c>
      <c r="CWI16" s="49">
        <v>0</v>
      </c>
      <c r="CWJ16" s="49">
        <v>0</v>
      </c>
      <c r="CWK16" s="49">
        <v>101</v>
      </c>
      <c r="CWL16" s="64">
        <f t="shared" si="776"/>
        <v>212</v>
      </c>
      <c r="CWM16" s="68">
        <f t="shared" si="777"/>
        <v>35.333333333333336</v>
      </c>
      <c r="CWN16" s="48">
        <v>105</v>
      </c>
      <c r="CWO16" s="49">
        <v>0</v>
      </c>
      <c r="CWP16" s="49">
        <v>0</v>
      </c>
      <c r="CWQ16" s="49">
        <v>0</v>
      </c>
      <c r="CWR16" s="49">
        <v>0</v>
      </c>
      <c r="CWS16" s="49">
        <v>0</v>
      </c>
      <c r="CWT16" s="64">
        <f t="shared" si="778"/>
        <v>105</v>
      </c>
      <c r="CWU16" s="68">
        <f t="shared" si="779"/>
        <v>17.5</v>
      </c>
      <c r="CWV16" s="48">
        <v>0</v>
      </c>
      <c r="CWW16" s="49">
        <v>0</v>
      </c>
      <c r="CWX16" s="49">
        <v>111</v>
      </c>
      <c r="CWY16" s="49">
        <v>0</v>
      </c>
      <c r="CWZ16" s="49">
        <v>0</v>
      </c>
      <c r="CXA16" s="49">
        <v>0</v>
      </c>
      <c r="CXB16" s="127">
        <f t="shared" si="780"/>
        <v>111</v>
      </c>
      <c r="CXC16" s="43">
        <f t="shared" si="781"/>
        <v>18.5</v>
      </c>
      <c r="CXD16" s="48">
        <v>0</v>
      </c>
      <c r="CXE16" s="49">
        <v>0</v>
      </c>
      <c r="CXF16" s="49">
        <v>0</v>
      </c>
      <c r="CXG16" s="49">
        <v>220</v>
      </c>
      <c r="CXH16" s="49">
        <v>0</v>
      </c>
      <c r="CXI16" s="49">
        <v>0</v>
      </c>
      <c r="CXJ16" s="127">
        <f t="shared" si="782"/>
        <v>220</v>
      </c>
      <c r="CXK16" s="43">
        <f t="shared" si="783"/>
        <v>36.666666666666664</v>
      </c>
      <c r="CXL16" s="48">
        <v>0</v>
      </c>
      <c r="CXM16" s="49">
        <v>0</v>
      </c>
      <c r="CXN16" s="49">
        <v>0</v>
      </c>
      <c r="CXO16" s="49">
        <v>79</v>
      </c>
      <c r="CXP16" s="49">
        <v>0</v>
      </c>
      <c r="CXQ16" s="49">
        <v>111</v>
      </c>
      <c r="CXR16" s="127">
        <f t="shared" si="784"/>
        <v>190</v>
      </c>
      <c r="CXS16" s="43">
        <f t="shared" si="785"/>
        <v>31.666666666666668</v>
      </c>
      <c r="CXT16" s="48">
        <v>0</v>
      </c>
      <c r="CXU16" s="49">
        <v>0</v>
      </c>
      <c r="CXV16" s="49">
        <v>0</v>
      </c>
      <c r="CXW16" s="49">
        <v>0</v>
      </c>
      <c r="CXX16" s="49">
        <v>0</v>
      </c>
      <c r="CXY16" s="49">
        <v>220</v>
      </c>
      <c r="CXZ16" s="127">
        <f t="shared" si="786"/>
        <v>220</v>
      </c>
      <c r="CYA16" s="43">
        <f t="shared" si="787"/>
        <v>36.666666666666664</v>
      </c>
      <c r="CYB16" s="48">
        <v>0</v>
      </c>
      <c r="CYC16" s="49">
        <v>0</v>
      </c>
      <c r="CYD16" s="49">
        <v>0</v>
      </c>
      <c r="CYE16" s="49">
        <v>110</v>
      </c>
      <c r="CYF16" s="49">
        <v>110</v>
      </c>
      <c r="CYG16" s="49">
        <v>0</v>
      </c>
      <c r="CYH16" s="127">
        <f t="shared" si="788"/>
        <v>220</v>
      </c>
      <c r="CYI16" s="43">
        <f t="shared" si="789"/>
        <v>36.666666666666664</v>
      </c>
      <c r="CYJ16" s="48"/>
      <c r="CYK16" s="49">
        <v>0</v>
      </c>
      <c r="CYL16" s="49">
        <v>227</v>
      </c>
      <c r="CYM16" s="49">
        <v>0</v>
      </c>
      <c r="CYN16" s="49">
        <v>110</v>
      </c>
      <c r="CYO16" s="49">
        <v>0</v>
      </c>
      <c r="CYP16" s="127">
        <f t="shared" si="790"/>
        <v>337</v>
      </c>
      <c r="CYQ16" s="43">
        <f t="shared" si="791"/>
        <v>56.166666666666664</v>
      </c>
      <c r="CYR16" s="48">
        <v>108</v>
      </c>
      <c r="CYS16" s="49">
        <v>0</v>
      </c>
      <c r="CYT16" s="49">
        <v>0</v>
      </c>
      <c r="CYU16" s="49">
        <v>109</v>
      </c>
      <c r="CYV16" s="49">
        <v>0</v>
      </c>
      <c r="CYW16" s="49">
        <v>110</v>
      </c>
      <c r="CYX16" s="127">
        <f t="shared" si="792"/>
        <v>327</v>
      </c>
      <c r="CYY16" s="43">
        <f t="shared" si="793"/>
        <v>54.5</v>
      </c>
      <c r="CYZ16" s="48">
        <v>0</v>
      </c>
      <c r="CZA16" s="49">
        <v>109</v>
      </c>
      <c r="CZB16" s="49">
        <v>0</v>
      </c>
      <c r="CZC16" s="49">
        <v>0</v>
      </c>
      <c r="CZD16" s="49"/>
      <c r="CZE16" s="49">
        <v>220</v>
      </c>
      <c r="CZF16" s="127">
        <f t="shared" si="794"/>
        <v>329</v>
      </c>
      <c r="CZG16" s="43">
        <f t="shared" si="795"/>
        <v>65.8</v>
      </c>
      <c r="CZH16" s="48">
        <v>0</v>
      </c>
      <c r="CZI16" s="49">
        <v>0</v>
      </c>
      <c r="CZJ16" s="49">
        <v>0</v>
      </c>
      <c r="CZK16" s="49">
        <v>0</v>
      </c>
      <c r="CZL16" s="49">
        <v>209</v>
      </c>
      <c r="CZM16" s="49">
        <v>0</v>
      </c>
      <c r="CZN16" s="127">
        <f t="shared" si="796"/>
        <v>209</v>
      </c>
      <c r="CZO16" s="43">
        <f t="shared" si="797"/>
        <v>34.833333333333336</v>
      </c>
      <c r="CZP16" s="48">
        <v>0</v>
      </c>
      <c r="CZQ16" s="49"/>
      <c r="CZR16" s="49"/>
      <c r="CZS16" s="49">
        <v>0</v>
      </c>
      <c r="CZT16" s="49">
        <v>0</v>
      </c>
      <c r="CZU16" s="49">
        <v>0</v>
      </c>
      <c r="CZV16" s="127">
        <f t="shared" si="798"/>
        <v>0</v>
      </c>
      <c r="CZW16" s="43">
        <f t="shared" si="799"/>
        <v>0</v>
      </c>
      <c r="CZX16" s="48">
        <v>160</v>
      </c>
      <c r="CZY16" s="49">
        <v>0</v>
      </c>
      <c r="CZZ16" s="49">
        <v>0</v>
      </c>
      <c r="DAA16" s="49">
        <v>0</v>
      </c>
      <c r="DAB16" s="49">
        <v>219</v>
      </c>
      <c r="DAC16" s="49">
        <v>0</v>
      </c>
      <c r="DAD16" s="64">
        <f t="shared" si="800"/>
        <v>379</v>
      </c>
      <c r="DAE16" s="68">
        <f t="shared" si="801"/>
        <v>63.166666666666664</v>
      </c>
      <c r="DAF16" s="48">
        <v>0</v>
      </c>
      <c r="DAG16" s="49">
        <v>110</v>
      </c>
      <c r="DAH16" s="49">
        <v>109</v>
      </c>
      <c r="DAI16" s="49">
        <v>0</v>
      </c>
      <c r="DAJ16" s="49">
        <v>110</v>
      </c>
      <c r="DAK16" s="49">
        <v>0</v>
      </c>
      <c r="DAL16" s="64">
        <f t="shared" si="802"/>
        <v>329</v>
      </c>
      <c r="DAM16" s="68">
        <f t="shared" si="803"/>
        <v>54.833333333333336</v>
      </c>
      <c r="DAN16" s="48">
        <v>0</v>
      </c>
      <c r="DAO16" s="49">
        <v>0</v>
      </c>
      <c r="DAP16" s="49">
        <v>220</v>
      </c>
      <c r="DAQ16" s="49">
        <v>0</v>
      </c>
      <c r="DAR16" s="49">
        <v>0</v>
      </c>
      <c r="DAS16" s="49"/>
      <c r="DAT16" s="64">
        <f t="shared" si="804"/>
        <v>220</v>
      </c>
      <c r="DAU16" s="68">
        <f t="shared" si="805"/>
        <v>36.666666666666664</v>
      </c>
      <c r="DAV16" s="48">
        <v>0</v>
      </c>
      <c r="DAW16" s="49">
        <v>0</v>
      </c>
      <c r="DAX16" s="49">
        <v>0</v>
      </c>
      <c r="DAY16" s="49">
        <v>0</v>
      </c>
      <c r="DAZ16" s="49">
        <v>221</v>
      </c>
      <c r="DBA16" s="49">
        <v>0</v>
      </c>
      <c r="DBB16" s="64">
        <f t="shared" si="806"/>
        <v>221</v>
      </c>
      <c r="DBC16" s="68">
        <f t="shared" si="807"/>
        <v>36.833333333333336</v>
      </c>
      <c r="DBD16" s="48">
        <v>0</v>
      </c>
      <c r="DBE16" s="49">
        <v>110</v>
      </c>
      <c r="DBF16" s="49">
        <v>0</v>
      </c>
      <c r="DBG16" s="49">
        <v>0</v>
      </c>
      <c r="DBH16" s="49">
        <v>110</v>
      </c>
      <c r="DBI16" s="49">
        <v>0</v>
      </c>
      <c r="DBJ16" s="64">
        <f t="shared" si="808"/>
        <v>220</v>
      </c>
      <c r="DBK16" s="68">
        <f t="shared" si="809"/>
        <v>36.666666666666664</v>
      </c>
      <c r="DBL16" s="48"/>
      <c r="DBM16" s="49"/>
      <c r="DBN16" s="49">
        <v>0</v>
      </c>
      <c r="DBO16" s="49">
        <v>108</v>
      </c>
      <c r="DBP16" s="49">
        <v>0</v>
      </c>
      <c r="DBQ16" s="49"/>
      <c r="DBR16" s="64">
        <f t="shared" si="810"/>
        <v>108</v>
      </c>
      <c r="DBS16" s="68">
        <f t="shared" si="811"/>
        <v>18</v>
      </c>
      <c r="DBT16" s="48">
        <v>111</v>
      </c>
      <c r="DBU16" s="49"/>
      <c r="DBV16" s="49">
        <v>0</v>
      </c>
      <c r="DBW16" s="49">
        <v>0</v>
      </c>
      <c r="DBX16" s="49">
        <v>220</v>
      </c>
      <c r="DBY16" s="49">
        <v>0</v>
      </c>
      <c r="DBZ16" s="64">
        <f t="shared" si="812"/>
        <v>331</v>
      </c>
      <c r="DCA16" s="68">
        <f t="shared" si="813"/>
        <v>66.2</v>
      </c>
      <c r="DCB16" s="48">
        <v>0</v>
      </c>
      <c r="DCC16" s="49"/>
      <c r="DCD16" s="49">
        <v>0</v>
      </c>
      <c r="DCE16" s="49">
        <v>0</v>
      </c>
      <c r="DCF16" s="49">
        <v>0</v>
      </c>
      <c r="DCG16" s="49">
        <v>0</v>
      </c>
      <c r="DCH16" s="64">
        <f t="shared" si="814"/>
        <v>0</v>
      </c>
      <c r="DCI16" s="68">
        <f t="shared" si="815"/>
        <v>0</v>
      </c>
      <c r="DCJ16" s="48">
        <v>224</v>
      </c>
      <c r="DCK16" s="49">
        <v>0</v>
      </c>
      <c r="DCL16" s="49">
        <v>0</v>
      </c>
      <c r="DCM16" s="49">
        <v>0</v>
      </c>
      <c r="DCN16" s="49">
        <v>111</v>
      </c>
      <c r="DCO16" s="49">
        <v>0</v>
      </c>
      <c r="DCP16" s="64">
        <f t="shared" si="816"/>
        <v>335</v>
      </c>
      <c r="DCQ16" s="68">
        <f t="shared" si="817"/>
        <v>55.833333333333336</v>
      </c>
      <c r="DCR16" s="48">
        <v>110</v>
      </c>
      <c r="DCS16" s="49">
        <v>0</v>
      </c>
      <c r="DCT16" s="49">
        <v>336</v>
      </c>
      <c r="DCU16" s="49">
        <v>0</v>
      </c>
      <c r="DCV16" s="49">
        <v>0</v>
      </c>
      <c r="DCW16" s="49">
        <v>0</v>
      </c>
      <c r="DCX16" s="64">
        <f t="shared" si="818"/>
        <v>446</v>
      </c>
      <c r="DCY16" s="68">
        <f t="shared" si="819"/>
        <v>74.333333333333329</v>
      </c>
      <c r="DCZ16" s="48">
        <v>0</v>
      </c>
      <c r="DDA16" s="49">
        <v>0</v>
      </c>
      <c r="DDB16" s="49">
        <v>0</v>
      </c>
      <c r="DDC16" s="49">
        <v>0</v>
      </c>
      <c r="DDD16" s="49"/>
      <c r="DDE16" s="49">
        <v>110</v>
      </c>
      <c r="DDF16" s="64">
        <f t="shared" si="820"/>
        <v>110</v>
      </c>
      <c r="DDG16" s="68">
        <f t="shared" si="821"/>
        <v>18.333333333333332</v>
      </c>
      <c r="DDH16" s="48">
        <v>0</v>
      </c>
      <c r="DDI16" s="49">
        <v>0</v>
      </c>
      <c r="DDJ16" s="49">
        <v>219</v>
      </c>
      <c r="DDK16" s="49">
        <v>0</v>
      </c>
      <c r="DDL16" s="49">
        <v>0</v>
      </c>
      <c r="DDM16" s="49">
        <v>0</v>
      </c>
      <c r="DDN16" s="127">
        <f t="shared" si="822"/>
        <v>219</v>
      </c>
      <c r="DDO16" s="43">
        <f t="shared" si="823"/>
        <v>36.5</v>
      </c>
      <c r="DDP16" s="48">
        <v>0</v>
      </c>
      <c r="DDQ16" s="49">
        <v>0</v>
      </c>
      <c r="DDR16" s="49">
        <v>0</v>
      </c>
      <c r="DDS16" s="49"/>
      <c r="DDT16" s="49">
        <v>0</v>
      </c>
      <c r="DDU16" s="49">
        <v>0</v>
      </c>
      <c r="DDV16" s="127">
        <f t="shared" si="824"/>
        <v>0</v>
      </c>
      <c r="DDW16" s="43">
        <f t="shared" si="825"/>
        <v>0</v>
      </c>
      <c r="DDX16" s="48">
        <v>0</v>
      </c>
      <c r="DDY16" s="49">
        <v>198</v>
      </c>
      <c r="DDZ16" s="49">
        <v>0</v>
      </c>
      <c r="DEA16" s="49">
        <v>0</v>
      </c>
      <c r="DEB16" s="49">
        <v>0</v>
      </c>
      <c r="DEC16" s="49">
        <v>0</v>
      </c>
      <c r="DED16" s="127">
        <f t="shared" si="826"/>
        <v>198</v>
      </c>
      <c r="DEE16" s="43">
        <f t="shared" si="827"/>
        <v>33</v>
      </c>
      <c r="DEF16" s="48">
        <v>0</v>
      </c>
      <c r="DEG16" s="49">
        <v>111</v>
      </c>
      <c r="DEH16" s="49"/>
      <c r="DEI16" s="49">
        <v>0</v>
      </c>
      <c r="DEJ16" s="49">
        <v>0</v>
      </c>
      <c r="DEK16" s="49">
        <v>0</v>
      </c>
      <c r="DEL16" s="127">
        <f t="shared" si="828"/>
        <v>111</v>
      </c>
      <c r="DEM16" s="43">
        <f t="shared" si="829"/>
        <v>18.5</v>
      </c>
      <c r="DEN16" s="48"/>
      <c r="DEO16" s="49">
        <v>0</v>
      </c>
      <c r="DEP16" s="49">
        <v>0</v>
      </c>
      <c r="DEQ16" s="49">
        <v>110</v>
      </c>
      <c r="DER16" s="49"/>
      <c r="DES16" s="49">
        <v>0</v>
      </c>
      <c r="DET16" s="127">
        <f t="shared" si="830"/>
        <v>110</v>
      </c>
      <c r="DEU16" s="43">
        <f t="shared" si="831"/>
        <v>18.333333333333332</v>
      </c>
      <c r="DEV16" s="48">
        <v>0</v>
      </c>
      <c r="DEW16" s="49"/>
      <c r="DEX16" s="49">
        <v>110</v>
      </c>
      <c r="DEY16" s="49">
        <v>0</v>
      </c>
      <c r="DEZ16" s="49">
        <v>0</v>
      </c>
      <c r="DFA16" s="49">
        <v>0</v>
      </c>
      <c r="DFB16" s="127">
        <f t="shared" si="832"/>
        <v>110</v>
      </c>
      <c r="DFC16" s="43">
        <f t="shared" si="833"/>
        <v>18.333333333333332</v>
      </c>
      <c r="DFD16" s="48">
        <v>108</v>
      </c>
      <c r="DFE16" s="49">
        <v>0</v>
      </c>
      <c r="DFF16" s="49">
        <v>0</v>
      </c>
      <c r="DFG16" s="49">
        <v>151</v>
      </c>
      <c r="DFH16" s="49">
        <v>0</v>
      </c>
      <c r="DFI16" s="49"/>
      <c r="DFJ16" s="127">
        <f t="shared" si="834"/>
        <v>259</v>
      </c>
      <c r="DFK16" s="43">
        <f t="shared" si="835"/>
        <v>43.166666666666664</v>
      </c>
      <c r="DFL16" s="63"/>
      <c r="DFM16" s="64">
        <v>0</v>
      </c>
      <c r="DFN16" s="64">
        <v>0</v>
      </c>
      <c r="DFO16" s="64">
        <v>0</v>
      </c>
      <c r="DFP16" s="64">
        <v>0</v>
      </c>
      <c r="DFQ16" s="64">
        <v>86</v>
      </c>
      <c r="DFR16" s="64">
        <f t="shared" si="836"/>
        <v>86</v>
      </c>
      <c r="DFS16" s="68">
        <f t="shared" si="837"/>
        <v>14.333333333333334</v>
      </c>
      <c r="DFT16" s="48">
        <v>114</v>
      </c>
      <c r="DFU16" s="49">
        <v>0</v>
      </c>
      <c r="DFV16" s="49">
        <v>0</v>
      </c>
      <c r="DFW16" s="49">
        <v>110</v>
      </c>
      <c r="DFX16" s="49"/>
      <c r="DFY16" s="49">
        <v>0</v>
      </c>
      <c r="DFZ16" s="127">
        <f t="shared" si="838"/>
        <v>224</v>
      </c>
      <c r="DGA16" s="43">
        <f t="shared" si="839"/>
        <v>37.333333333333336</v>
      </c>
      <c r="DGB16" s="48">
        <v>0</v>
      </c>
      <c r="DGC16" s="49">
        <v>0</v>
      </c>
      <c r="DGD16" s="49">
        <v>222</v>
      </c>
      <c r="DGE16" s="49"/>
      <c r="DGF16" s="49">
        <v>0</v>
      </c>
      <c r="DGG16" s="49">
        <v>110</v>
      </c>
      <c r="DGH16" s="127">
        <f t="shared" si="840"/>
        <v>332</v>
      </c>
      <c r="DGI16" s="43">
        <f t="shared" si="841"/>
        <v>55.333333333333336</v>
      </c>
      <c r="DGJ16" s="48">
        <v>0</v>
      </c>
      <c r="DGK16" s="49">
        <v>226</v>
      </c>
      <c r="DGL16" s="49">
        <v>0</v>
      </c>
      <c r="DGM16" s="49">
        <v>0</v>
      </c>
      <c r="DGN16" s="49">
        <v>0</v>
      </c>
      <c r="DGO16" s="49"/>
      <c r="DGP16" s="64">
        <f t="shared" si="842"/>
        <v>226</v>
      </c>
      <c r="DGQ16" s="68">
        <f t="shared" si="843"/>
        <v>37.666666666666664</v>
      </c>
      <c r="DGR16" s="48">
        <v>0</v>
      </c>
      <c r="DGS16" s="49">
        <v>0</v>
      </c>
      <c r="DGT16" s="49">
        <v>111</v>
      </c>
      <c r="DGU16" s="49">
        <v>0</v>
      </c>
      <c r="DGV16" s="49">
        <v>0</v>
      </c>
      <c r="DGW16" s="49"/>
      <c r="DGX16" s="64">
        <f t="shared" si="844"/>
        <v>111</v>
      </c>
      <c r="DGY16" s="68">
        <f t="shared" si="845"/>
        <v>18.5</v>
      </c>
      <c r="DGZ16" s="48">
        <v>0</v>
      </c>
      <c r="DHA16" s="49">
        <v>338</v>
      </c>
      <c r="DHB16" s="49">
        <v>0</v>
      </c>
      <c r="DHC16" s="49">
        <v>0</v>
      </c>
      <c r="DHD16" s="49">
        <v>0</v>
      </c>
      <c r="DHE16" s="49">
        <v>0</v>
      </c>
      <c r="DHF16" s="64">
        <f t="shared" si="846"/>
        <v>338</v>
      </c>
      <c r="DHG16" s="68">
        <f t="shared" si="847"/>
        <v>56.333333333333336</v>
      </c>
      <c r="DHH16" s="63"/>
      <c r="DHI16" s="64">
        <v>140</v>
      </c>
      <c r="DHJ16" s="64">
        <v>0</v>
      </c>
      <c r="DHK16" s="64">
        <v>121</v>
      </c>
      <c r="DHL16" s="64">
        <v>0</v>
      </c>
      <c r="DHM16" s="64">
        <v>0</v>
      </c>
      <c r="DHN16" s="64">
        <f t="shared" si="848"/>
        <v>261</v>
      </c>
      <c r="DHO16" s="68">
        <f t="shared" si="849"/>
        <v>43.5</v>
      </c>
      <c r="DHP16" s="48">
        <v>0</v>
      </c>
      <c r="DHQ16" s="49">
        <v>110</v>
      </c>
      <c r="DHR16" s="49">
        <v>0</v>
      </c>
      <c r="DHS16" s="49">
        <v>220</v>
      </c>
      <c r="DHT16" s="49">
        <v>0</v>
      </c>
      <c r="DHU16" s="49">
        <v>0</v>
      </c>
      <c r="DHV16" s="64">
        <f t="shared" si="850"/>
        <v>330</v>
      </c>
      <c r="DHW16" s="68">
        <f t="shared" si="851"/>
        <v>55</v>
      </c>
      <c r="DHX16" s="48">
        <v>220</v>
      </c>
      <c r="DHY16" s="49"/>
      <c r="DHZ16" s="49">
        <v>0</v>
      </c>
      <c r="DIA16" s="49">
        <v>0</v>
      </c>
      <c r="DIB16" s="49">
        <v>0</v>
      </c>
      <c r="DIC16" s="49">
        <v>0</v>
      </c>
      <c r="DID16" s="64">
        <f t="shared" si="852"/>
        <v>220</v>
      </c>
      <c r="DIE16" s="68">
        <f t="shared" si="853"/>
        <v>36.666666666666664</v>
      </c>
      <c r="DIF16" s="48"/>
      <c r="DIG16" s="49">
        <v>0</v>
      </c>
      <c r="DIH16" s="49">
        <v>0</v>
      </c>
      <c r="DII16" s="49">
        <v>0</v>
      </c>
      <c r="DIJ16" s="49">
        <v>119</v>
      </c>
      <c r="DIK16" s="49"/>
      <c r="DIL16" s="64">
        <f t="shared" si="854"/>
        <v>119</v>
      </c>
      <c r="DIM16" s="68">
        <f t="shared" si="855"/>
        <v>19.833333333333332</v>
      </c>
      <c r="DIN16" s="48">
        <v>0</v>
      </c>
      <c r="DIO16" s="49"/>
      <c r="DIP16" s="49">
        <v>0</v>
      </c>
      <c r="DIQ16" s="49">
        <v>110</v>
      </c>
      <c r="DIR16" s="49">
        <v>0</v>
      </c>
      <c r="DIS16" s="49">
        <v>0</v>
      </c>
      <c r="DIT16" s="64">
        <f t="shared" si="856"/>
        <v>110</v>
      </c>
      <c r="DIU16" s="68">
        <f t="shared" si="857"/>
        <v>18.333333333333332</v>
      </c>
      <c r="DIV16" s="48">
        <f>SUMIF(SUMPK!$B:$B,$B:$B,SUMPK!$O:$O)</f>
        <v>0</v>
      </c>
      <c r="DIW16" s="49">
        <v>0</v>
      </c>
      <c r="DIX16" s="49">
        <v>0</v>
      </c>
      <c r="DIY16" s="49">
        <v>221</v>
      </c>
      <c r="DIZ16" s="49">
        <v>0</v>
      </c>
      <c r="DJA16" s="49">
        <v>0</v>
      </c>
      <c r="DJB16" s="64">
        <f t="shared" si="858"/>
        <v>221</v>
      </c>
      <c r="DJC16" s="68">
        <f t="shared" si="859"/>
        <v>36.833333333333336</v>
      </c>
      <c r="DJD16" s="48">
        <v>0</v>
      </c>
      <c r="DJE16" s="49">
        <v>106</v>
      </c>
      <c r="DJF16" s="49">
        <v>0</v>
      </c>
      <c r="DJG16" s="49">
        <v>0</v>
      </c>
      <c r="DJH16" s="49">
        <v>0</v>
      </c>
      <c r="DJI16" s="49"/>
      <c r="DJJ16" s="64">
        <f t="shared" si="860"/>
        <v>106</v>
      </c>
      <c r="DJK16" s="68">
        <f t="shared" si="861"/>
        <v>17.666666666666668</v>
      </c>
      <c r="DJL16" s="48">
        <v>220</v>
      </c>
      <c r="DJM16" s="49">
        <v>0</v>
      </c>
      <c r="DJN16" s="49">
        <v>0</v>
      </c>
      <c r="DJO16" s="49">
        <v>0</v>
      </c>
      <c r="DJP16" s="49">
        <v>0</v>
      </c>
      <c r="DJQ16" s="49">
        <v>110</v>
      </c>
      <c r="DJR16" s="64">
        <f t="shared" si="862"/>
        <v>330</v>
      </c>
      <c r="DJS16" s="68">
        <f t="shared" si="863"/>
        <v>55</v>
      </c>
      <c r="DJT16" s="48"/>
      <c r="DJU16" s="49">
        <v>0</v>
      </c>
      <c r="DJV16" s="49">
        <v>110</v>
      </c>
      <c r="DJW16" s="49">
        <v>0</v>
      </c>
      <c r="DJX16" s="49">
        <v>0</v>
      </c>
      <c r="DJY16" s="49">
        <v>111</v>
      </c>
      <c r="DJZ16" s="64">
        <f t="shared" si="864"/>
        <v>221</v>
      </c>
      <c r="DKA16" s="68">
        <f t="shared" si="865"/>
        <v>36.833333333333336</v>
      </c>
      <c r="DKB16" s="48">
        <v>110</v>
      </c>
      <c r="DKC16" s="49">
        <v>0</v>
      </c>
      <c r="DKD16" s="49">
        <v>222</v>
      </c>
      <c r="DKE16" s="49">
        <v>0</v>
      </c>
      <c r="DKF16" s="49">
        <v>0</v>
      </c>
      <c r="DKG16" s="49">
        <v>0</v>
      </c>
      <c r="DKH16" s="64">
        <f t="shared" si="866"/>
        <v>332</v>
      </c>
      <c r="DKI16" s="68">
        <f t="shared" si="867"/>
        <v>55.333333333333336</v>
      </c>
      <c r="DKJ16" s="48"/>
      <c r="DKK16" s="49">
        <v>0</v>
      </c>
      <c r="DKL16" s="49">
        <v>0</v>
      </c>
      <c r="DKM16" s="49">
        <v>0</v>
      </c>
      <c r="DKN16" s="49">
        <v>0</v>
      </c>
      <c r="DKO16" s="49">
        <v>218</v>
      </c>
      <c r="DKP16" s="64">
        <f t="shared" si="868"/>
        <v>218</v>
      </c>
      <c r="DKQ16" s="68">
        <f t="shared" si="869"/>
        <v>36.333333333333336</v>
      </c>
      <c r="DKR16" s="48">
        <v>0</v>
      </c>
      <c r="DKS16" s="49">
        <v>0</v>
      </c>
      <c r="DKT16" s="49">
        <v>220</v>
      </c>
      <c r="DKU16" s="49">
        <v>0</v>
      </c>
      <c r="DKV16" s="49">
        <v>0</v>
      </c>
      <c r="DKW16" s="49">
        <v>0</v>
      </c>
      <c r="DKX16" s="64">
        <f t="shared" si="870"/>
        <v>220</v>
      </c>
      <c r="DKY16" s="68">
        <f t="shared" si="871"/>
        <v>36.666666666666664</v>
      </c>
      <c r="DKZ16" s="48">
        <v>220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2"/>
        <v>220</v>
      </c>
      <c r="DLG16" s="68">
        <f t="shared" si="873"/>
        <v>36.666666666666664</v>
      </c>
      <c r="DLH16" s="48"/>
      <c r="DLI16" s="49">
        <v>0</v>
      </c>
      <c r="DLJ16" s="49">
        <v>220</v>
      </c>
      <c r="DLK16" s="49">
        <f>SUMIF(SUMPK!$B:$B,$B:$B,SUMPK!$O:$O)</f>
        <v>0</v>
      </c>
      <c r="DLL16" s="49"/>
      <c r="DLM16" s="49">
        <v>0</v>
      </c>
      <c r="DLN16" s="64">
        <f t="shared" si="874"/>
        <v>220</v>
      </c>
      <c r="DLO16" s="68">
        <f t="shared" si="875"/>
        <v>36.666666666666664</v>
      </c>
      <c r="DLP16" s="48">
        <v>0</v>
      </c>
      <c r="DLR16" s="49">
        <v>0</v>
      </c>
      <c r="DLS16" s="49">
        <v>248</v>
      </c>
      <c r="DLT16" s="49">
        <v>0</v>
      </c>
      <c r="DLU16" s="49">
        <v>0</v>
      </c>
      <c r="DLV16" s="64">
        <f t="shared" si="876"/>
        <v>248</v>
      </c>
      <c r="DLW16" s="68">
        <f t="shared" si="877"/>
        <v>41.333333333333336</v>
      </c>
      <c r="DLX16" s="48">
        <v>0</v>
      </c>
      <c r="DLY16" s="49"/>
      <c r="DLZ16" s="49">
        <v>0</v>
      </c>
      <c r="DMA16" s="49">
        <v>0</v>
      </c>
      <c r="DMB16" s="49">
        <v>218</v>
      </c>
      <c r="DMC16" s="49"/>
      <c r="DMD16" s="64">
        <f t="shared" si="878"/>
        <v>218</v>
      </c>
      <c r="DME16" s="68">
        <f t="shared" si="879"/>
        <v>36.333333333333336</v>
      </c>
      <c r="DMF16" s="48"/>
      <c r="DMG16" s="49"/>
      <c r="DMH16" s="49"/>
      <c r="DMI16" s="49">
        <v>0</v>
      </c>
      <c r="DMJ16" s="49">
        <v>0</v>
      </c>
      <c r="DMK16" s="49">
        <v>110</v>
      </c>
      <c r="DML16" s="64">
        <f t="shared" si="880"/>
        <v>110</v>
      </c>
      <c r="DMM16" s="68">
        <f t="shared" si="881"/>
        <v>18.333333333333332</v>
      </c>
      <c r="DMN16" s="48">
        <v>0</v>
      </c>
      <c r="DMO16" s="49">
        <v>0</v>
      </c>
      <c r="DMP16" s="49">
        <v>0</v>
      </c>
      <c r="DMQ16" s="49">
        <v>0</v>
      </c>
      <c r="DMR16" s="49">
        <v>110</v>
      </c>
      <c r="DMS16" s="49">
        <v>0</v>
      </c>
      <c r="DMT16" s="64">
        <f t="shared" si="882"/>
        <v>110</v>
      </c>
      <c r="DMU16" s="68">
        <f t="shared" si="883"/>
        <v>18.333333333333332</v>
      </c>
      <c r="DMV16" s="48">
        <v>109</v>
      </c>
      <c r="DMW16" s="49">
        <v>110</v>
      </c>
      <c r="DMX16" s="49">
        <v>0</v>
      </c>
      <c r="DMY16" s="49">
        <v>0</v>
      </c>
      <c r="DMZ16" s="49">
        <v>0</v>
      </c>
      <c r="DNA16" s="49">
        <v>0</v>
      </c>
      <c r="DNB16" s="64">
        <f t="shared" si="884"/>
        <v>219</v>
      </c>
      <c r="DNC16" s="68">
        <f t="shared" si="885"/>
        <v>36.5</v>
      </c>
      <c r="DND16" s="48"/>
      <c r="DNE16" s="49">
        <v>0</v>
      </c>
      <c r="DNF16" s="49"/>
      <c r="DNG16" s="49">
        <v>110</v>
      </c>
      <c r="DNH16" s="49">
        <v>0</v>
      </c>
      <c r="DNI16" s="49">
        <v>0</v>
      </c>
      <c r="DNJ16" s="64">
        <f t="shared" si="886"/>
        <v>110</v>
      </c>
      <c r="DNK16" s="68">
        <f t="shared" si="887"/>
        <v>18.333333333333332</v>
      </c>
      <c r="DNL16" s="48"/>
      <c r="DNM16" s="49"/>
      <c r="DNN16" s="49">
        <v>0</v>
      </c>
      <c r="DNO16" s="49">
        <v>0</v>
      </c>
      <c r="DNP16" s="49">
        <v>246</v>
      </c>
      <c r="DNQ16" s="49">
        <v>0</v>
      </c>
      <c r="DNR16" s="64">
        <f t="shared" si="888"/>
        <v>246</v>
      </c>
      <c r="DNS16" s="68">
        <f t="shared" si="889"/>
        <v>41</v>
      </c>
      <c r="DNT16" s="48"/>
      <c r="DNU16" s="49">
        <v>220</v>
      </c>
      <c r="DNV16" s="49">
        <v>0</v>
      </c>
      <c r="DNW16" s="49"/>
      <c r="DNX16" s="49">
        <v>0</v>
      </c>
      <c r="DNY16" s="49">
        <v>0</v>
      </c>
      <c r="DNZ16" s="64">
        <f t="shared" si="890"/>
        <v>220</v>
      </c>
      <c r="DOA16" s="68">
        <f t="shared" si="891"/>
        <v>36.666666666666664</v>
      </c>
      <c r="DOB16" s="48">
        <v>0</v>
      </c>
      <c r="DOC16" s="49"/>
      <c r="DOD16" s="49"/>
      <c r="DOE16" s="49">
        <v>0</v>
      </c>
      <c r="DOF16" s="49">
        <v>0</v>
      </c>
      <c r="DOG16" s="49">
        <v>0</v>
      </c>
      <c r="DOH16" s="64">
        <f t="shared" si="892"/>
        <v>0</v>
      </c>
      <c r="DOI16" s="68">
        <f t="shared" si="893"/>
        <v>0</v>
      </c>
      <c r="DOJ16" s="48">
        <v>0</v>
      </c>
      <c r="DOK16" s="49">
        <v>213</v>
      </c>
      <c r="DOL16" s="49"/>
      <c r="DOM16" s="49">
        <v>110</v>
      </c>
      <c r="DON16" s="49"/>
      <c r="DOO16" s="49">
        <v>0</v>
      </c>
      <c r="DOP16" s="64">
        <f t="shared" si="894"/>
        <v>323</v>
      </c>
      <c r="DOQ16" s="68">
        <f t="shared" si="895"/>
        <v>53.833333333333336</v>
      </c>
      <c r="DOR16" s="48"/>
      <c r="DOS16" s="49">
        <v>0</v>
      </c>
      <c r="DOT16" s="49"/>
      <c r="DOU16" s="49">
        <v>220</v>
      </c>
      <c r="DOV16" s="49"/>
      <c r="DOW16" s="49">
        <v>0</v>
      </c>
      <c r="DOX16" s="64">
        <f t="shared" si="896"/>
        <v>220</v>
      </c>
      <c r="DOY16" s="68">
        <f t="shared" si="897"/>
        <v>36.666666666666664</v>
      </c>
      <c r="DOZ16" s="48"/>
      <c r="DPA16" s="49">
        <v>0</v>
      </c>
      <c r="DPB16" s="49">
        <v>0</v>
      </c>
      <c r="DPC16" s="49">
        <v>0</v>
      </c>
      <c r="DPD16" s="49">
        <v>221</v>
      </c>
      <c r="DPE16" s="49">
        <v>0</v>
      </c>
      <c r="DPF16" s="64">
        <f t="shared" si="898"/>
        <v>221</v>
      </c>
      <c r="DPG16" s="68">
        <f t="shared" si="899"/>
        <v>36.833333333333336</v>
      </c>
      <c r="DPH16" s="48">
        <v>0</v>
      </c>
      <c r="DPI16" s="49">
        <v>0</v>
      </c>
      <c r="DPJ16" s="49">
        <v>0</v>
      </c>
      <c r="DPK16" s="49">
        <v>0</v>
      </c>
      <c r="DPL16" s="49">
        <v>0</v>
      </c>
      <c r="DPM16" s="49">
        <v>215</v>
      </c>
      <c r="DPN16" s="64">
        <f t="shared" si="900"/>
        <v>215</v>
      </c>
      <c r="DPO16" s="68">
        <f t="shared" si="901"/>
        <v>35.833333333333336</v>
      </c>
      <c r="DPP16" s="48">
        <v>0</v>
      </c>
      <c r="DPQ16" s="49">
        <v>0</v>
      </c>
      <c r="DPR16" s="49">
        <v>0</v>
      </c>
      <c r="DPS16" s="49">
        <v>0</v>
      </c>
      <c r="DPT16" s="49">
        <v>220</v>
      </c>
      <c r="DPU16" s="49">
        <v>0</v>
      </c>
      <c r="DPV16" s="491">
        <f t="shared" si="902"/>
        <v>220</v>
      </c>
      <c r="DPW16" s="492">
        <f t="shared" si="903"/>
        <v>36.666666666666664</v>
      </c>
      <c r="DPX16" s="48">
        <v>0</v>
      </c>
      <c r="DPY16" s="49">
        <v>0</v>
      </c>
      <c r="DPZ16" s="49">
        <v>220</v>
      </c>
      <c r="DQA16" s="49">
        <v>110</v>
      </c>
      <c r="DQB16" s="49">
        <v>0</v>
      </c>
      <c r="DQC16" s="49"/>
      <c r="DQD16" s="491">
        <f t="shared" si="904"/>
        <v>330</v>
      </c>
      <c r="DQE16" s="492">
        <f t="shared" si="905"/>
        <v>55</v>
      </c>
      <c r="DQF16" s="48">
        <v>0</v>
      </c>
      <c r="DQG16" s="49">
        <v>0</v>
      </c>
      <c r="DQH16" s="49">
        <v>0</v>
      </c>
      <c r="DQI16" s="49">
        <v>110</v>
      </c>
      <c r="DQJ16" s="49">
        <v>0</v>
      </c>
      <c r="DQK16" s="49">
        <v>0</v>
      </c>
      <c r="DQL16" s="489">
        <f t="shared" si="906"/>
        <v>110</v>
      </c>
      <c r="DQM16" s="492">
        <f t="shared" si="907"/>
        <v>18.333333333333332</v>
      </c>
      <c r="DQN16" s="48">
        <v>109</v>
      </c>
      <c r="DQO16" s="49">
        <v>0</v>
      </c>
      <c r="DQP16" s="49">
        <v>0</v>
      </c>
      <c r="DQQ16" s="49">
        <v>222</v>
      </c>
      <c r="DQR16" s="49">
        <v>0</v>
      </c>
      <c r="DQS16" s="49"/>
      <c r="DQT16" s="64">
        <f t="shared" si="908"/>
        <v>331</v>
      </c>
      <c r="DQU16" s="68">
        <f t="shared" si="909"/>
        <v>55.166666666666664</v>
      </c>
      <c r="DQV16" s="48">
        <v>221</v>
      </c>
      <c r="DQW16" s="49">
        <v>0</v>
      </c>
      <c r="DQX16" s="49">
        <v>0</v>
      </c>
      <c r="DQY16" s="49">
        <v>110</v>
      </c>
      <c r="DQZ16" s="49">
        <v>0</v>
      </c>
      <c r="DRA16" s="49">
        <v>0</v>
      </c>
      <c r="DRB16" s="491">
        <f t="shared" si="910"/>
        <v>331</v>
      </c>
      <c r="DRC16" s="492">
        <f t="shared" si="911"/>
        <v>55.166666666666664</v>
      </c>
      <c r="DRD16" s="48">
        <v>0</v>
      </c>
      <c r="DRE16" s="49">
        <v>0</v>
      </c>
      <c r="DRF16" s="49">
        <v>220</v>
      </c>
      <c r="DRG16" s="49">
        <v>0</v>
      </c>
      <c r="DRH16" s="49">
        <v>220</v>
      </c>
      <c r="DRI16" s="49"/>
      <c r="DRJ16" s="491">
        <f t="shared" si="912"/>
        <v>440</v>
      </c>
      <c r="DRK16" s="492">
        <f t="shared" si="913"/>
        <v>73.333333333333329</v>
      </c>
      <c r="DRL16" s="48"/>
      <c r="DRM16" s="49">
        <v>0</v>
      </c>
      <c r="DRN16" s="49"/>
      <c r="DRO16" s="49">
        <v>0</v>
      </c>
      <c r="DRP16" s="49">
        <v>0</v>
      </c>
      <c r="DRQ16" s="49">
        <v>220</v>
      </c>
      <c r="DRR16" s="64">
        <f t="shared" si="914"/>
        <v>220</v>
      </c>
      <c r="DRS16" s="68">
        <f t="shared" si="915"/>
        <v>36.666666666666664</v>
      </c>
      <c r="DRT16" s="48">
        <v>0</v>
      </c>
      <c r="DRU16" s="49">
        <v>0</v>
      </c>
      <c r="DRV16" s="49">
        <v>110</v>
      </c>
      <c r="DRW16" s="49">
        <v>0</v>
      </c>
      <c r="DRX16" s="49">
        <v>0</v>
      </c>
      <c r="DRY16" s="49"/>
      <c r="DRZ16" s="491">
        <f t="shared" si="916"/>
        <v>110</v>
      </c>
      <c r="DSA16" s="68">
        <f t="shared" si="917"/>
        <v>18.333333333333332</v>
      </c>
      <c r="DSB16" s="82">
        <v>0</v>
      </c>
      <c r="DSC16" s="83">
        <v>0</v>
      </c>
      <c r="DSD16" s="83">
        <v>110</v>
      </c>
      <c r="DSE16" s="83"/>
      <c r="DSF16" s="83"/>
      <c r="DSG16" s="83">
        <v>0</v>
      </c>
      <c r="DSH16" s="64">
        <f t="shared" si="918"/>
        <v>110</v>
      </c>
      <c r="DSI16" s="68">
        <f t="shared" si="919"/>
        <v>18.333333333333332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0</v>
      </c>
      <c r="DSP16" s="64">
        <f t="shared" si="920"/>
        <v>0</v>
      </c>
      <c r="DSQ16" s="68">
        <f t="shared" si="921"/>
        <v>0</v>
      </c>
      <c r="DSR16" s="48">
        <v>0</v>
      </c>
      <c r="DSS16" s="49">
        <v>0</v>
      </c>
      <c r="DST16" s="49">
        <v>0</v>
      </c>
      <c r="DSU16" s="49">
        <v>0</v>
      </c>
      <c r="DSV16" s="49">
        <v>0</v>
      </c>
      <c r="DSW16" s="49">
        <v>0</v>
      </c>
      <c r="DSX16" s="64">
        <f t="shared" si="922"/>
        <v>0</v>
      </c>
      <c r="DSY16" s="68">
        <f t="shared" si="923"/>
        <v>0</v>
      </c>
      <c r="DSZ16" s="48">
        <v>0</v>
      </c>
      <c r="DTA16" s="49"/>
      <c r="DTB16" s="49">
        <v>0</v>
      </c>
      <c r="DTC16" s="49">
        <v>200</v>
      </c>
      <c r="DTD16" s="49">
        <v>0</v>
      </c>
      <c r="DTE16" s="49">
        <v>0</v>
      </c>
      <c r="DTF16" s="64">
        <f t="shared" si="924"/>
        <v>200</v>
      </c>
      <c r="DTG16" s="68">
        <f t="shared" si="925"/>
        <v>33.333333333333336</v>
      </c>
      <c r="DTH16" s="48"/>
      <c r="DTI16" s="49">
        <v>0</v>
      </c>
      <c r="DTJ16" s="49">
        <v>0</v>
      </c>
      <c r="DTK16" s="49">
        <v>0</v>
      </c>
      <c r="DTL16" s="49">
        <v>0</v>
      </c>
      <c r="DTM16" s="49">
        <v>0</v>
      </c>
      <c r="DTN16" s="64">
        <f t="shared" si="926"/>
        <v>0</v>
      </c>
      <c r="DTO16" s="68">
        <f t="shared" si="927"/>
        <v>0</v>
      </c>
      <c r="DTP16" s="48">
        <v>0</v>
      </c>
      <c r="DTQ16" s="49">
        <v>0</v>
      </c>
      <c r="DTR16" s="49"/>
      <c r="DTS16" s="49">
        <v>0</v>
      </c>
      <c r="DTT16" s="49">
        <v>0</v>
      </c>
      <c r="DTU16" s="49">
        <v>0</v>
      </c>
      <c r="DTV16" s="64">
        <f t="shared" si="928"/>
        <v>0</v>
      </c>
      <c r="DTW16" s="68">
        <f t="shared" si="929"/>
        <v>0</v>
      </c>
      <c r="DTX16" s="48">
        <v>0</v>
      </c>
      <c r="DTY16" s="49">
        <v>0</v>
      </c>
      <c r="DTZ16" s="49"/>
      <c r="DUA16" s="49">
        <v>0</v>
      </c>
      <c r="DUB16" s="49">
        <v>0</v>
      </c>
      <c r="DUC16" s="49">
        <v>0</v>
      </c>
      <c r="DUD16" s="64">
        <f t="shared" si="930"/>
        <v>0</v>
      </c>
      <c r="DUE16" s="68">
        <f t="shared" si="931"/>
        <v>0</v>
      </c>
      <c r="DUF16" s="48">
        <v>0</v>
      </c>
      <c r="DUG16" s="49">
        <v>0</v>
      </c>
      <c r="DUH16" s="49"/>
      <c r="DUI16" s="49">
        <v>0</v>
      </c>
      <c r="DUJ16" s="49">
        <v>0</v>
      </c>
      <c r="DUK16" s="49">
        <v>0</v>
      </c>
      <c r="DUL16" s="64">
        <f t="shared" si="932"/>
        <v>0</v>
      </c>
      <c r="DUM16" s="68">
        <f t="shared" si="933"/>
        <v>0</v>
      </c>
      <c r="DUN16" s="48"/>
      <c r="DUO16" s="49">
        <v>214</v>
      </c>
      <c r="DUP16" s="49">
        <v>0</v>
      </c>
      <c r="DUQ16" s="49">
        <v>0</v>
      </c>
      <c r="DUR16" s="49"/>
      <c r="DUS16" s="49">
        <v>0</v>
      </c>
      <c r="DUT16" s="64">
        <f t="shared" si="934"/>
        <v>214</v>
      </c>
      <c r="DUU16" s="184">
        <f t="shared" si="935"/>
        <v>35.666666666666664</v>
      </c>
      <c r="DUV16" s="48"/>
      <c r="DUW16" s="49">
        <v>0</v>
      </c>
      <c r="DUX16" s="49">
        <v>0</v>
      </c>
      <c r="DUY16" s="49">
        <v>0</v>
      </c>
      <c r="DUZ16" s="49">
        <v>0</v>
      </c>
      <c r="DVA16" s="49"/>
      <c r="DVB16" s="64">
        <f t="shared" si="936"/>
        <v>0</v>
      </c>
      <c r="DVC16" s="68">
        <f t="shared" si="937"/>
        <v>0</v>
      </c>
      <c r="DVD16" s="48"/>
      <c r="DVE16" s="49">
        <v>0</v>
      </c>
      <c r="DVF16" s="49">
        <v>221</v>
      </c>
      <c r="DVG16" s="49">
        <v>0</v>
      </c>
      <c r="DVH16" s="49">
        <v>0</v>
      </c>
      <c r="DVI16" s="49"/>
      <c r="DVJ16" s="64">
        <f t="shared" si="938"/>
        <v>221</v>
      </c>
      <c r="DVK16" s="68">
        <f t="shared" si="939"/>
        <v>36.833333333333336</v>
      </c>
      <c r="DVL16" s="48">
        <v>110</v>
      </c>
      <c r="DVM16" s="49">
        <v>0</v>
      </c>
      <c r="DVN16" s="49">
        <v>0</v>
      </c>
      <c r="DVO16" s="49">
        <v>0</v>
      </c>
      <c r="DVP16" s="49">
        <v>0</v>
      </c>
      <c r="DVQ16" s="49"/>
      <c r="DVR16" s="64">
        <f t="shared" si="940"/>
        <v>110</v>
      </c>
      <c r="DVS16" s="68">
        <f t="shared" si="941"/>
        <v>18.333333333333332</v>
      </c>
      <c r="DVT16" s="48"/>
      <c r="DVU16" s="49">
        <v>200</v>
      </c>
      <c r="DVV16" s="49">
        <v>0</v>
      </c>
      <c r="DVW16" s="49">
        <v>0</v>
      </c>
      <c r="DVX16" s="49"/>
      <c r="DVY16" s="49">
        <v>0</v>
      </c>
      <c r="DVZ16" s="64">
        <f t="shared" si="942"/>
        <v>200</v>
      </c>
      <c r="DWA16" s="68">
        <f t="shared" si="943"/>
        <v>33.333333333333336</v>
      </c>
      <c r="DWB16" s="48"/>
      <c r="DWC16" s="49">
        <v>0</v>
      </c>
      <c r="DWD16" s="49">
        <v>110</v>
      </c>
      <c r="DWE16" s="49">
        <v>0</v>
      </c>
      <c r="DWF16" s="49">
        <v>0</v>
      </c>
      <c r="DWG16" s="49">
        <v>0</v>
      </c>
      <c r="DWH16" s="64">
        <f t="shared" si="944"/>
        <v>110</v>
      </c>
      <c r="DWI16" s="68">
        <f t="shared" si="945"/>
        <v>18.333333333333332</v>
      </c>
      <c r="DWJ16" s="48">
        <v>0</v>
      </c>
      <c r="DWK16" s="49"/>
      <c r="DWL16" s="49">
        <v>0</v>
      </c>
      <c r="DWM16" s="49">
        <v>0</v>
      </c>
      <c r="DWN16" s="49">
        <v>0</v>
      </c>
      <c r="DWO16" s="49">
        <v>219</v>
      </c>
      <c r="DWP16" s="64">
        <f t="shared" si="946"/>
        <v>219</v>
      </c>
      <c r="DWQ16" s="68">
        <f t="shared" si="947"/>
        <v>36.5</v>
      </c>
      <c r="DWR16" s="48"/>
      <c r="DWS16" s="49"/>
      <c r="DWT16" s="49">
        <v>0</v>
      </c>
      <c r="DWU16" s="49">
        <v>0</v>
      </c>
      <c r="DWV16" s="49">
        <v>0</v>
      </c>
      <c r="DWW16" s="49">
        <v>221</v>
      </c>
      <c r="DWX16" s="64">
        <f t="shared" si="948"/>
        <v>221</v>
      </c>
      <c r="DWY16" s="68">
        <f t="shared" si="1201"/>
        <v>36.833333333333336</v>
      </c>
      <c r="DWZ16" s="48">
        <v>0</v>
      </c>
      <c r="DXA16" s="49"/>
      <c r="DXB16" s="49">
        <v>0</v>
      </c>
      <c r="DXC16" s="49">
        <v>0</v>
      </c>
      <c r="DXD16" s="49">
        <v>110</v>
      </c>
      <c r="DXE16" s="49"/>
      <c r="DXF16" s="64">
        <f t="shared" si="949"/>
        <v>110</v>
      </c>
      <c r="DXG16" s="68">
        <f t="shared" si="950"/>
        <v>18.333333333333332</v>
      </c>
      <c r="DXH16" s="48">
        <v>0</v>
      </c>
      <c r="DXI16" s="49">
        <v>0</v>
      </c>
      <c r="DXJ16" s="49">
        <v>110</v>
      </c>
      <c r="DXK16" s="49">
        <v>0</v>
      </c>
      <c r="DXL16" s="49"/>
      <c r="DXM16" s="49">
        <v>0</v>
      </c>
      <c r="DXN16" s="64">
        <f t="shared" si="951"/>
        <v>110</v>
      </c>
      <c r="DXO16" s="68">
        <f t="shared" si="952"/>
        <v>18.333333333333332</v>
      </c>
      <c r="DXP16" s="48">
        <v>0</v>
      </c>
      <c r="DXQ16" s="49">
        <v>221</v>
      </c>
      <c r="DXR16" s="49">
        <v>0</v>
      </c>
      <c r="DXS16" s="49">
        <v>0</v>
      </c>
      <c r="DXT16" s="49"/>
      <c r="DXU16" s="49"/>
      <c r="DXV16" s="64">
        <f t="shared" si="953"/>
        <v>221</v>
      </c>
      <c r="DXW16" s="68">
        <f t="shared" si="954"/>
        <v>36.833333333333336</v>
      </c>
      <c r="DXX16" s="48">
        <v>0</v>
      </c>
      <c r="DXY16" s="49">
        <v>0</v>
      </c>
      <c r="DXZ16" s="49">
        <v>0</v>
      </c>
      <c r="DYA16" s="49">
        <v>110</v>
      </c>
      <c r="DYB16" s="49">
        <v>0</v>
      </c>
      <c r="DYC16" s="49">
        <v>0</v>
      </c>
      <c r="DYD16" s="64">
        <f t="shared" si="955"/>
        <v>110</v>
      </c>
      <c r="DYE16" s="68">
        <f t="shared" si="956"/>
        <v>18.333333333333332</v>
      </c>
      <c r="DYF16" s="48"/>
      <c r="DYG16" s="49">
        <v>223</v>
      </c>
      <c r="DYH16" s="49">
        <v>0</v>
      </c>
      <c r="DYI16" s="49">
        <v>0</v>
      </c>
      <c r="DYJ16" s="49">
        <v>0</v>
      </c>
      <c r="DYK16" s="49"/>
      <c r="DYL16" s="64">
        <f t="shared" si="957"/>
        <v>223</v>
      </c>
      <c r="DYM16" s="68">
        <f t="shared" si="958"/>
        <v>37.166666666666664</v>
      </c>
      <c r="DYN16" s="48">
        <v>0</v>
      </c>
      <c r="DYO16" s="49">
        <v>0</v>
      </c>
      <c r="DYP16" s="49">
        <v>0</v>
      </c>
      <c r="DYQ16" s="49">
        <v>124</v>
      </c>
      <c r="DYR16" s="49">
        <v>0</v>
      </c>
      <c r="DYS16" s="49">
        <v>0</v>
      </c>
      <c r="DYT16" s="64">
        <f t="shared" si="959"/>
        <v>124</v>
      </c>
      <c r="DYU16" s="68">
        <f t="shared" si="960"/>
        <v>20.666666666666668</v>
      </c>
      <c r="DYV16" s="48">
        <v>0</v>
      </c>
      <c r="DYW16" s="49">
        <v>110</v>
      </c>
      <c r="DYX16" s="49">
        <v>0</v>
      </c>
      <c r="DYY16" s="49">
        <v>0</v>
      </c>
      <c r="DYZ16" s="49">
        <v>0</v>
      </c>
      <c r="DZA16" s="49">
        <v>0</v>
      </c>
      <c r="DZB16" s="64">
        <f t="shared" si="961"/>
        <v>110</v>
      </c>
      <c r="DZC16" s="68">
        <f t="shared" si="962"/>
        <v>18.333333333333332</v>
      </c>
      <c r="DZD16" s="48">
        <v>0</v>
      </c>
      <c r="DZE16" s="49">
        <v>0</v>
      </c>
      <c r="DZF16" s="49">
        <v>211</v>
      </c>
      <c r="DZG16" s="49"/>
      <c r="DZH16" s="49">
        <f>SUMIF(SUMPK!$B:$B,$B:$B,SUMPK!$O:$O)</f>
        <v>0</v>
      </c>
      <c r="DZI16" s="49"/>
      <c r="DZJ16" s="64">
        <f t="shared" si="963"/>
        <v>211</v>
      </c>
      <c r="DZK16" s="68">
        <f t="shared" si="964"/>
        <v>35.166666666666664</v>
      </c>
      <c r="DZL16" s="48">
        <v>0</v>
      </c>
      <c r="DZM16" s="49">
        <v>0</v>
      </c>
      <c r="DZN16" s="49"/>
      <c r="DZO16" s="49">
        <v>0</v>
      </c>
      <c r="DZP16" s="49"/>
      <c r="DZQ16" s="49"/>
      <c r="DZR16" s="64">
        <f t="shared" si="965"/>
        <v>0</v>
      </c>
      <c r="DZS16" s="68">
        <f t="shared" si="966"/>
        <v>0</v>
      </c>
      <c r="DZT16" s="48">
        <v>219</v>
      </c>
      <c r="DZU16" s="49">
        <v>0</v>
      </c>
      <c r="DZV16" s="49">
        <v>0</v>
      </c>
      <c r="DZW16" s="49">
        <v>0</v>
      </c>
      <c r="DZX16" s="49">
        <v>0</v>
      </c>
      <c r="DZY16" s="49"/>
      <c r="DZZ16" s="64">
        <f t="shared" si="967"/>
        <v>219</v>
      </c>
      <c r="EAA16" s="68">
        <f t="shared" si="968"/>
        <v>36.5</v>
      </c>
      <c r="EAB16" s="48"/>
      <c r="EAC16" s="49">
        <v>221</v>
      </c>
      <c r="EAD16" s="49"/>
      <c r="EAE16" s="49"/>
      <c r="EAF16" s="49">
        <v>0</v>
      </c>
      <c r="EAG16" s="49">
        <v>0</v>
      </c>
      <c r="EAH16" s="64">
        <f t="shared" si="969"/>
        <v>221</v>
      </c>
      <c r="EAI16" s="68">
        <f t="shared" si="970"/>
        <v>36.833333333333336</v>
      </c>
      <c r="EAJ16" s="48"/>
      <c r="EAK16" s="49">
        <v>0</v>
      </c>
      <c r="EAL16" s="49">
        <v>0</v>
      </c>
      <c r="EAM16" s="49">
        <v>0</v>
      </c>
      <c r="EAN16" s="49">
        <v>0</v>
      </c>
      <c r="EAO16" s="49">
        <v>0</v>
      </c>
      <c r="EAP16" s="64">
        <f t="shared" si="971"/>
        <v>0</v>
      </c>
      <c r="EAQ16" s="68">
        <f t="shared" si="1202"/>
        <v>0</v>
      </c>
      <c r="EAR16" s="48">
        <v>220</v>
      </c>
      <c r="EAS16" s="49">
        <v>0</v>
      </c>
      <c r="EAT16" s="49">
        <v>0</v>
      </c>
      <c r="EAU16" s="49">
        <v>0</v>
      </c>
      <c r="EAV16" s="49">
        <v>0</v>
      </c>
      <c r="EAW16" s="49"/>
      <c r="EAX16" s="64">
        <f t="shared" si="972"/>
        <v>220</v>
      </c>
      <c r="EAY16" s="68">
        <f t="shared" si="973"/>
        <v>36.666666666666664</v>
      </c>
      <c r="EAZ16" s="48"/>
      <c r="EBA16" s="49">
        <v>0</v>
      </c>
      <c r="EBB16" s="49">
        <v>221</v>
      </c>
      <c r="EBC16" s="49"/>
      <c r="EBD16" s="49">
        <v>0</v>
      </c>
      <c r="EBE16" s="49">
        <v>0</v>
      </c>
      <c r="EBF16" s="64">
        <f t="shared" si="974"/>
        <v>221</v>
      </c>
      <c r="EBG16" s="68">
        <f t="shared" si="975"/>
        <v>36.833333333333336</v>
      </c>
      <c r="EBH16" s="48"/>
      <c r="EBI16" s="49">
        <v>220</v>
      </c>
      <c r="EBJ16" s="49">
        <v>0</v>
      </c>
      <c r="EBK16" s="49"/>
      <c r="EBL16" s="49">
        <v>0</v>
      </c>
      <c r="EBM16" s="49">
        <v>0</v>
      </c>
      <c r="EBN16" s="64">
        <f t="shared" si="976"/>
        <v>220</v>
      </c>
      <c r="EBO16" s="68">
        <f t="shared" si="1131"/>
        <v>36.666666666666664</v>
      </c>
      <c r="EBP16" s="48">
        <v>0</v>
      </c>
      <c r="EBQ16" s="49">
        <v>220</v>
      </c>
      <c r="EBR16" s="49"/>
      <c r="EBS16" s="49">
        <v>0</v>
      </c>
      <c r="EBT16" s="49">
        <v>0</v>
      </c>
      <c r="EBU16" s="49">
        <v>0</v>
      </c>
      <c r="EBV16" s="64">
        <f t="shared" si="977"/>
        <v>220</v>
      </c>
      <c r="EBW16" s="68">
        <f t="shared" si="978"/>
        <v>36.666666666666664</v>
      </c>
      <c r="EBX16" s="48">
        <v>0</v>
      </c>
      <c r="EBY16" s="49">
        <v>0</v>
      </c>
      <c r="EBZ16" s="49">
        <v>0</v>
      </c>
      <c r="ECA16" s="49">
        <v>110</v>
      </c>
      <c r="ECB16" s="49">
        <v>0</v>
      </c>
      <c r="ECC16" s="49">
        <v>0</v>
      </c>
      <c r="ECD16" s="64">
        <f t="shared" si="979"/>
        <v>110</v>
      </c>
      <c r="ECE16" s="68">
        <f t="shared" si="980"/>
        <v>18.333333333333332</v>
      </c>
      <c r="ECF16" s="48">
        <v>216</v>
      </c>
      <c r="ECG16" s="49">
        <v>0</v>
      </c>
      <c r="ECH16" s="49">
        <v>0</v>
      </c>
      <c r="ECI16" s="49"/>
      <c r="ECJ16" s="49"/>
      <c r="ECK16" s="49">
        <v>0</v>
      </c>
      <c r="ECL16" s="64">
        <f t="shared" si="981"/>
        <v>216</v>
      </c>
      <c r="ECM16" s="68">
        <f t="shared" si="982"/>
        <v>36</v>
      </c>
      <c r="ECN16" s="48">
        <v>0</v>
      </c>
      <c r="ECO16" s="49">
        <v>110</v>
      </c>
      <c r="ECP16" s="49"/>
      <c r="ECQ16" s="49"/>
      <c r="ECR16" s="49"/>
      <c r="ECS16" s="49">
        <v>0</v>
      </c>
      <c r="ECT16" s="64">
        <f t="shared" si="983"/>
        <v>110</v>
      </c>
      <c r="ECU16" s="68">
        <f t="shared" si="984"/>
        <v>18.333333333333332</v>
      </c>
      <c r="ECV16" s="48">
        <v>329</v>
      </c>
      <c r="ECW16" s="49">
        <v>0</v>
      </c>
      <c r="ECX16" s="49">
        <v>0</v>
      </c>
      <c r="ECY16" s="49">
        <v>0</v>
      </c>
      <c r="ECZ16" s="49"/>
      <c r="EDA16" s="49">
        <v>0</v>
      </c>
      <c r="EDB16" s="64">
        <f t="shared" si="985"/>
        <v>329</v>
      </c>
      <c r="EDC16" s="68">
        <f t="shared" si="986"/>
        <v>54.833333333333336</v>
      </c>
      <c r="EDD16" s="48">
        <v>0</v>
      </c>
      <c r="EDE16" s="49">
        <v>0</v>
      </c>
      <c r="EDF16" s="49">
        <v>0</v>
      </c>
      <c r="EDG16" s="49">
        <v>219</v>
      </c>
      <c r="EDH16" s="49"/>
      <c r="EDI16" s="49">
        <v>0</v>
      </c>
      <c r="EDJ16" s="64">
        <f t="shared" si="987"/>
        <v>219</v>
      </c>
      <c r="EDK16" s="68">
        <f t="shared" si="988"/>
        <v>36.5</v>
      </c>
      <c r="EDL16" s="48">
        <v>0</v>
      </c>
      <c r="EDM16" s="49">
        <v>0</v>
      </c>
      <c r="EDN16" s="49">
        <v>0</v>
      </c>
      <c r="EDO16" s="49">
        <f>SUMIF(SUMPK!$B:$B,$B:$B,SUMPK!$O:$O)</f>
        <v>0</v>
      </c>
      <c r="EDP16" s="49"/>
      <c r="EDQ16" s="49">
        <v>0</v>
      </c>
      <c r="EDR16" s="64">
        <f t="shared" si="989"/>
        <v>0</v>
      </c>
      <c r="EDS16" s="184">
        <f t="shared" si="990"/>
        <v>0</v>
      </c>
      <c r="EDT16" s="195">
        <v>112</v>
      </c>
      <c r="EDU16" s="49">
        <v>0</v>
      </c>
      <c r="EDV16" s="49">
        <v>0</v>
      </c>
      <c r="EDW16" s="49">
        <v>0</v>
      </c>
      <c r="EDX16" s="49"/>
      <c r="EDY16" s="49"/>
      <c r="EDZ16" s="64">
        <f t="shared" si="991"/>
        <v>112</v>
      </c>
      <c r="EEA16" s="184">
        <f t="shared" si="992"/>
        <v>18.666666666666668</v>
      </c>
      <c r="EEB16" s="48">
        <v>0</v>
      </c>
      <c r="EEC16" s="49">
        <v>0</v>
      </c>
      <c r="EED16" s="49">
        <v>0</v>
      </c>
      <c r="EEE16" s="49">
        <v>0</v>
      </c>
      <c r="EEF16" s="49">
        <v>330</v>
      </c>
      <c r="EEG16" s="49"/>
      <c r="EEH16" s="64">
        <f t="shared" si="993"/>
        <v>330</v>
      </c>
      <c r="EEI16" s="68">
        <f t="shared" si="994"/>
        <v>55</v>
      </c>
      <c r="EEJ16" s="48">
        <v>0</v>
      </c>
      <c r="EEK16" s="49">
        <v>0</v>
      </c>
      <c r="EEL16" s="49">
        <v>0</v>
      </c>
      <c r="EEM16" s="49"/>
      <c r="EEN16" s="49"/>
      <c r="EEO16" s="49">
        <v>0</v>
      </c>
      <c r="EEP16" s="64">
        <f t="shared" si="995"/>
        <v>0</v>
      </c>
      <c r="EEQ16" s="68">
        <f t="shared" si="996"/>
        <v>0</v>
      </c>
      <c r="EER16" s="48">
        <v>110</v>
      </c>
      <c r="EES16" s="49">
        <v>0</v>
      </c>
      <c r="EET16" s="49"/>
      <c r="EEU16" s="49">
        <v>0</v>
      </c>
      <c r="EEV16" s="49">
        <v>0</v>
      </c>
      <c r="EEW16" s="49"/>
      <c r="EEX16" s="64">
        <f t="shared" si="997"/>
        <v>110</v>
      </c>
      <c r="EEY16" s="68">
        <f t="shared" si="998"/>
        <v>18.333333333333332</v>
      </c>
      <c r="EEZ16" s="48">
        <v>0</v>
      </c>
      <c r="EFA16" s="49">
        <v>220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999"/>
        <v>220</v>
      </c>
      <c r="EFG16" s="68">
        <f t="shared" si="1000"/>
        <v>36.666666666666664</v>
      </c>
      <c r="EFH16" s="48"/>
      <c r="EFI16" s="49">
        <v>0</v>
      </c>
      <c r="EFJ16" s="49"/>
      <c r="EFK16" s="49">
        <v>0</v>
      </c>
      <c r="EFL16" s="49">
        <v>0</v>
      </c>
      <c r="EFM16" s="49">
        <v>0</v>
      </c>
      <c r="EFN16" s="64">
        <f t="shared" si="1001"/>
        <v>0</v>
      </c>
      <c r="EFO16" s="68">
        <f t="shared" si="1002"/>
        <v>0</v>
      </c>
      <c r="EFP16" s="48">
        <v>220</v>
      </c>
      <c r="EFQ16" s="49"/>
      <c r="EFR16" s="49"/>
      <c r="EFS16" s="49">
        <v>0</v>
      </c>
      <c r="EFT16" s="49">
        <v>0</v>
      </c>
      <c r="EFU16" s="49"/>
      <c r="EFV16" s="64">
        <f t="shared" si="1003"/>
        <v>220</v>
      </c>
      <c r="EFW16" s="68">
        <f t="shared" si="1004"/>
        <v>36.666666666666664</v>
      </c>
      <c r="EFX16" s="48"/>
      <c r="EFY16" s="49">
        <v>0</v>
      </c>
      <c r="EFZ16" s="49"/>
      <c r="EGA16" s="49">
        <v>0</v>
      </c>
      <c r="EGB16" s="49">
        <v>0</v>
      </c>
      <c r="EGC16" s="49">
        <v>0</v>
      </c>
      <c r="EGD16" s="64">
        <f t="shared" si="1005"/>
        <v>0</v>
      </c>
      <c r="EGE16" s="68">
        <f t="shared" si="1006"/>
        <v>0</v>
      </c>
      <c r="EGF16" s="48">
        <v>0</v>
      </c>
      <c r="EGG16" s="49">
        <v>220</v>
      </c>
      <c r="EGH16" s="49"/>
      <c r="EGI16" s="49">
        <v>0</v>
      </c>
      <c r="EGJ16" s="49">
        <v>0</v>
      </c>
      <c r="EGK16" s="49">
        <v>0</v>
      </c>
      <c r="EGL16" s="64">
        <f t="shared" si="1007"/>
        <v>220</v>
      </c>
      <c r="EGM16" s="68">
        <f t="shared" si="1008"/>
        <v>36.666666666666664</v>
      </c>
      <c r="EGN16" s="48">
        <v>0</v>
      </c>
      <c r="EGO16" s="49">
        <v>110</v>
      </c>
      <c r="EGP16" s="49"/>
      <c r="EGQ16" s="49">
        <v>0</v>
      </c>
      <c r="EGR16" s="49"/>
      <c r="EGS16" s="49">
        <v>0</v>
      </c>
      <c r="EGT16" s="64">
        <f t="shared" si="1009"/>
        <v>110</v>
      </c>
      <c r="EGU16" s="68">
        <f t="shared" si="1203"/>
        <v>18.333333333333332</v>
      </c>
      <c r="EGV16" s="48">
        <v>0</v>
      </c>
      <c r="EGW16" s="49">
        <v>0</v>
      </c>
      <c r="EGX16" s="49"/>
      <c r="EGY16" s="49">
        <v>0</v>
      </c>
      <c r="EGZ16" s="49">
        <v>0</v>
      </c>
      <c r="EHA16" s="49"/>
      <c r="EHB16" s="64">
        <f t="shared" si="1010"/>
        <v>0</v>
      </c>
      <c r="EHC16" s="68">
        <f t="shared" si="1011"/>
        <v>0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0</v>
      </c>
      <c r="EHJ16" s="64">
        <f t="shared" si="1012"/>
        <v>0</v>
      </c>
      <c r="EHK16" s="68">
        <f t="shared" si="1013"/>
        <v>0</v>
      </c>
      <c r="EHL16" s="48">
        <v>0</v>
      </c>
      <c r="EHM16" s="49">
        <v>0</v>
      </c>
      <c r="EHN16" s="49">
        <v>201</v>
      </c>
      <c r="EHO16" s="49"/>
      <c r="EHP16" s="49">
        <v>0</v>
      </c>
      <c r="EHQ16" s="49">
        <v>110</v>
      </c>
      <c r="EHR16" s="64">
        <f t="shared" si="1014"/>
        <v>311</v>
      </c>
      <c r="EHS16" s="68">
        <f t="shared" si="1015"/>
        <v>51.833333333333336</v>
      </c>
      <c r="EHT16" s="48"/>
      <c r="EHU16" s="49"/>
      <c r="EHV16" s="49"/>
      <c r="EHW16" s="49">
        <v>0</v>
      </c>
      <c r="EHX16" s="49"/>
      <c r="EHY16" s="49">
        <v>220</v>
      </c>
      <c r="EHZ16" s="64">
        <f t="shared" si="1016"/>
        <v>220</v>
      </c>
      <c r="EIA16" s="68">
        <f t="shared" si="1017"/>
        <v>36.666666666666664</v>
      </c>
      <c r="EIB16" s="48"/>
      <c r="EIC16" s="49"/>
      <c r="EID16" s="49">
        <v>0</v>
      </c>
      <c r="EIE16" s="49">
        <v>220</v>
      </c>
      <c r="EIF16" s="49">
        <v>0</v>
      </c>
      <c r="EIG16" s="49">
        <v>110</v>
      </c>
      <c r="EIH16" s="64">
        <f t="shared" si="1018"/>
        <v>330</v>
      </c>
      <c r="EII16" s="68">
        <f t="shared" si="1019"/>
        <v>55</v>
      </c>
      <c r="EIJ16" s="48">
        <v>110</v>
      </c>
      <c r="EIK16" s="49">
        <v>0</v>
      </c>
      <c r="EIL16" s="49"/>
      <c r="EIM16" s="49">
        <v>0</v>
      </c>
      <c r="EIN16" s="49">
        <v>0</v>
      </c>
      <c r="EIO16" s="49">
        <v>0</v>
      </c>
      <c r="EIP16" s="64">
        <f t="shared" si="1020"/>
        <v>110</v>
      </c>
      <c r="EIQ16" s="68">
        <f t="shared" si="1021"/>
        <v>18.333333333333332</v>
      </c>
      <c r="EIR16" s="48">
        <v>0</v>
      </c>
      <c r="EIS16" s="49">
        <v>220</v>
      </c>
      <c r="EIT16" s="49">
        <v>0</v>
      </c>
      <c r="EIU16" s="49">
        <v>0</v>
      </c>
      <c r="EIV16" s="49"/>
      <c r="EIW16" s="49"/>
      <c r="EIX16" s="64">
        <f t="shared" si="1022"/>
        <v>220</v>
      </c>
      <c r="EIY16" s="68">
        <f t="shared" si="1023"/>
        <v>36.666666666666664</v>
      </c>
      <c r="EIZ16" s="48">
        <v>220</v>
      </c>
      <c r="EJA16" s="49">
        <v>0</v>
      </c>
      <c r="EJB16" s="49">
        <v>0</v>
      </c>
      <c r="EJC16" s="49">
        <v>0</v>
      </c>
      <c r="EJD16" s="49">
        <v>100</v>
      </c>
      <c r="EJE16" s="49">
        <v>0</v>
      </c>
      <c r="EJF16" s="64">
        <f t="shared" si="1024"/>
        <v>320</v>
      </c>
      <c r="EJG16" s="68">
        <f t="shared" si="1025"/>
        <v>53.333333333333336</v>
      </c>
      <c r="EJH16" s="48">
        <v>0</v>
      </c>
      <c r="EJI16" s="49">
        <v>0</v>
      </c>
      <c r="EJJ16" s="49"/>
      <c r="EJK16" s="49">
        <v>220</v>
      </c>
      <c r="EJL16" s="49"/>
      <c r="EJM16" s="49"/>
      <c r="EJN16" s="64">
        <f t="shared" si="1026"/>
        <v>220</v>
      </c>
      <c r="EJO16" s="68">
        <f t="shared" si="1027"/>
        <v>36.666666666666664</v>
      </c>
      <c r="EJP16" s="48"/>
      <c r="EJQ16" s="49">
        <v>0</v>
      </c>
      <c r="EJR16" s="49">
        <v>110</v>
      </c>
      <c r="EJS16" s="49">
        <v>0</v>
      </c>
      <c r="EJT16" s="49">
        <v>0</v>
      </c>
      <c r="EJU16" s="49">
        <v>109</v>
      </c>
      <c r="EJV16" s="64">
        <f t="shared" si="1028"/>
        <v>219</v>
      </c>
      <c r="EJW16" s="68">
        <f t="shared" si="1029"/>
        <v>36.5</v>
      </c>
      <c r="EJX16" s="48"/>
      <c r="EJY16" s="49">
        <v>0</v>
      </c>
      <c r="EJZ16" s="49">
        <v>199</v>
      </c>
      <c r="EKA16" s="49">
        <v>0</v>
      </c>
      <c r="EKB16" s="49"/>
      <c r="EKC16" s="49"/>
      <c r="EKD16" s="64">
        <f t="shared" si="1030"/>
        <v>199</v>
      </c>
      <c r="EKE16" s="68">
        <f t="shared" si="1031"/>
        <v>33.166666666666664</v>
      </c>
      <c r="EKF16" s="48">
        <v>0</v>
      </c>
      <c r="EKG16" s="49">
        <v>0</v>
      </c>
      <c r="EKH16" s="49"/>
      <c r="EKI16" s="49"/>
      <c r="EKJ16" s="49">
        <v>0</v>
      </c>
      <c r="EKK16" s="49"/>
      <c r="EKL16" s="64">
        <f t="shared" si="1032"/>
        <v>0</v>
      </c>
      <c r="EKM16" s="68">
        <f t="shared" si="1033"/>
        <v>0</v>
      </c>
      <c r="EKN16" s="48"/>
      <c r="EKO16" s="49">
        <v>0</v>
      </c>
      <c r="EKP16" s="49">
        <v>0</v>
      </c>
      <c r="EKQ16" s="49">
        <v>199</v>
      </c>
      <c r="EKR16" s="49"/>
      <c r="EKS16" s="49">
        <v>0</v>
      </c>
      <c r="EKT16" s="64">
        <f t="shared" si="1034"/>
        <v>199</v>
      </c>
      <c r="EKU16" s="184">
        <f t="shared" si="1035"/>
        <v>33.166666666666664</v>
      </c>
      <c r="EKV16" s="665"/>
      <c r="EKW16" s="195">
        <v>0</v>
      </c>
      <c r="EKX16" s="49">
        <v>192</v>
      </c>
      <c r="EKY16" s="49">
        <v>0</v>
      </c>
      <c r="EKZ16" s="49">
        <v>0</v>
      </c>
      <c r="ELA16" s="49"/>
      <c r="ELB16" s="49">
        <v>0</v>
      </c>
      <c r="ELC16" s="64">
        <f t="shared" si="1036"/>
        <v>192</v>
      </c>
      <c r="ELD16" s="211">
        <f t="shared" si="1037"/>
        <v>32</v>
      </c>
      <c r="ELE16" s="195">
        <v>0</v>
      </c>
      <c r="ELF16" s="49">
        <v>318</v>
      </c>
      <c r="ELG16" s="49">
        <v>0</v>
      </c>
      <c r="ELH16" s="49">
        <v>0</v>
      </c>
      <c r="ELI16" s="49">
        <v>0</v>
      </c>
      <c r="ELJ16" s="49">
        <v>329</v>
      </c>
      <c r="ELK16" s="64">
        <f t="shared" si="1038"/>
        <v>647</v>
      </c>
      <c r="ELL16" s="211">
        <f t="shared" si="1039"/>
        <v>107.83333333333333</v>
      </c>
      <c r="ELM16" s="195">
        <v>0</v>
      </c>
      <c r="ELN16" s="49">
        <v>215</v>
      </c>
      <c r="ELO16" s="49"/>
      <c r="ELP16" s="49"/>
      <c r="ELQ16" s="49">
        <v>0</v>
      </c>
      <c r="ELR16" s="49">
        <v>0</v>
      </c>
      <c r="ELS16" s="64">
        <f t="shared" si="1040"/>
        <v>215</v>
      </c>
      <c r="ELT16" s="211">
        <f t="shared" si="1041"/>
        <v>35.833333333333336</v>
      </c>
      <c r="ELU16" s="195">
        <v>0</v>
      </c>
      <c r="ELV16" s="49">
        <v>0</v>
      </c>
      <c r="ELW16" s="49">
        <v>0</v>
      </c>
      <c r="ELX16" s="49">
        <v>0</v>
      </c>
      <c r="ELY16" s="49">
        <v>330</v>
      </c>
      <c r="ELZ16" s="49">
        <v>0</v>
      </c>
      <c r="EMA16" s="64">
        <f t="shared" si="1042"/>
        <v>330</v>
      </c>
      <c r="EMB16" s="211">
        <f t="shared" si="1043"/>
        <v>55</v>
      </c>
      <c r="EMC16" s="195"/>
      <c r="EMD16" s="49">
        <v>0</v>
      </c>
      <c r="EME16" s="49">
        <v>0</v>
      </c>
      <c r="EMF16" s="49">
        <v>0</v>
      </c>
      <c r="EMG16" s="49">
        <v>0</v>
      </c>
      <c r="EMH16" s="49">
        <v>224</v>
      </c>
      <c r="EMI16" s="64">
        <f t="shared" si="1044"/>
        <v>224</v>
      </c>
      <c r="EMJ16" s="211">
        <f t="shared" si="1045"/>
        <v>37.333333333333336</v>
      </c>
      <c r="EMK16" s="195">
        <v>0</v>
      </c>
      <c r="EML16" s="49"/>
      <c r="EMM16" s="49">
        <v>220</v>
      </c>
      <c r="EMN16" s="49">
        <v>0</v>
      </c>
      <c r="EMO16" s="49">
        <v>0</v>
      </c>
      <c r="EMP16" s="49">
        <v>0</v>
      </c>
      <c r="EMQ16" s="64">
        <f t="shared" si="1046"/>
        <v>220</v>
      </c>
      <c r="EMR16" s="211">
        <f t="shared" si="1047"/>
        <v>36.666666666666664</v>
      </c>
      <c r="EMS16" s="195"/>
      <c r="EMT16" s="49">
        <v>0</v>
      </c>
      <c r="EMU16" s="49">
        <v>230</v>
      </c>
      <c r="EMV16" s="49">
        <v>0</v>
      </c>
      <c r="EMW16" s="49"/>
      <c r="EMX16" s="49">
        <v>0</v>
      </c>
      <c r="EMY16" s="64">
        <f t="shared" si="1048"/>
        <v>230</v>
      </c>
      <c r="EMZ16" s="211">
        <f t="shared" si="1049"/>
        <v>38.333333333333336</v>
      </c>
      <c r="ENA16" s="195">
        <v>0</v>
      </c>
      <c r="ENB16" s="49">
        <v>0</v>
      </c>
      <c r="ENC16" s="49">
        <v>0</v>
      </c>
      <c r="END16" s="49">
        <v>282</v>
      </c>
      <c r="ENE16" s="49"/>
      <c r="ENF16" s="49">
        <v>0</v>
      </c>
      <c r="ENG16" s="64">
        <f t="shared" si="1050"/>
        <v>282</v>
      </c>
      <c r="ENH16" s="211">
        <f t="shared" si="1051"/>
        <v>47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2"/>
        <v>0</v>
      </c>
      <c r="ENP16" s="211">
        <f t="shared" si="1053"/>
        <v>0</v>
      </c>
      <c r="ENQ16" s="195">
        <v>0</v>
      </c>
      <c r="ENR16" s="49">
        <v>0</v>
      </c>
      <c r="ENS16" s="49">
        <v>132</v>
      </c>
      <c r="ENT16" s="49">
        <v>0</v>
      </c>
      <c r="ENU16" s="49">
        <v>220</v>
      </c>
      <c r="ENV16" s="49">
        <v>0</v>
      </c>
      <c r="ENW16" s="64">
        <f t="shared" si="1054"/>
        <v>352</v>
      </c>
      <c r="ENX16" s="211">
        <f t="shared" si="1055"/>
        <v>58.666666666666664</v>
      </c>
      <c r="ENY16" s="195"/>
      <c r="ENZ16" s="49">
        <v>220</v>
      </c>
      <c r="EOA16" s="49">
        <v>0</v>
      </c>
      <c r="EOB16" s="49">
        <v>0</v>
      </c>
      <c r="EOC16" s="49">
        <v>0</v>
      </c>
      <c r="EOD16" s="49">
        <v>109</v>
      </c>
      <c r="EOE16" s="64">
        <f t="shared" si="1056"/>
        <v>329</v>
      </c>
      <c r="EOF16" s="211">
        <f t="shared" si="1057"/>
        <v>54.833333333333336</v>
      </c>
      <c r="EOG16" s="195"/>
      <c r="EOH16" s="360">
        <f>SUMIF(SUMPK!$B:$B,$B:$B,SUMPK!$O:$O)</f>
        <v>0</v>
      </c>
      <c r="EOI16" s="49">
        <v>0</v>
      </c>
      <c r="EOJ16" s="49">
        <v>0</v>
      </c>
      <c r="EOK16" s="49">
        <v>0</v>
      </c>
      <c r="EOL16" s="49">
        <v>0</v>
      </c>
      <c r="EOM16" s="64">
        <f t="shared" si="1058"/>
        <v>0</v>
      </c>
      <c r="EON16" s="211">
        <f t="shared" si="1059"/>
        <v>0</v>
      </c>
      <c r="EOO16" s="195">
        <v>0</v>
      </c>
      <c r="EOP16" s="49">
        <v>0</v>
      </c>
      <c r="EOQ16" s="49">
        <v>281</v>
      </c>
      <c r="EOR16" s="49">
        <v>0</v>
      </c>
      <c r="EOS16" s="49">
        <v>0</v>
      </c>
      <c r="EOT16" s="49">
        <v>0</v>
      </c>
      <c r="EOU16" s="64">
        <f t="shared" si="1060"/>
        <v>281</v>
      </c>
      <c r="EOV16" s="211">
        <f t="shared" si="1061"/>
        <v>46.833333333333336</v>
      </c>
      <c r="EOW16" s="195">
        <v>327</v>
      </c>
      <c r="EOX16" s="49">
        <v>0</v>
      </c>
      <c r="EOY16" s="49">
        <v>0</v>
      </c>
      <c r="EOZ16" s="49">
        <v>0</v>
      </c>
      <c r="EPA16" s="49">
        <v>332</v>
      </c>
      <c r="EPB16" s="49">
        <v>0</v>
      </c>
      <c r="EPC16" s="64">
        <f t="shared" si="1062"/>
        <v>659</v>
      </c>
      <c r="EPD16" s="211">
        <f t="shared" si="1063"/>
        <v>109.83333333333333</v>
      </c>
      <c r="EPE16" s="195">
        <v>97</v>
      </c>
      <c r="EPF16" s="49">
        <f>SUMIF(SUMPK!$B:$B,$B:$B,SUMPK!$O:$O)</f>
        <v>0</v>
      </c>
      <c r="EPG16" s="49">
        <v>0</v>
      </c>
      <c r="EPH16" s="49">
        <v>97</v>
      </c>
      <c r="EPI16" s="49">
        <v>228</v>
      </c>
      <c r="EPJ16" s="49">
        <v>0</v>
      </c>
      <c r="EPK16" s="64">
        <f t="shared" si="1064"/>
        <v>422</v>
      </c>
      <c r="EPL16" s="211">
        <f t="shared" si="1065"/>
        <v>70.333333333333329</v>
      </c>
      <c r="EPM16" s="195"/>
      <c r="EPN16" s="49">
        <v>110</v>
      </c>
      <c r="EPO16" s="49">
        <v>0</v>
      </c>
      <c r="EPP16" s="49">
        <v>0</v>
      </c>
      <c r="EPQ16" s="49">
        <v>0</v>
      </c>
      <c r="EPR16" s="49">
        <v>108</v>
      </c>
      <c r="EPS16" s="64">
        <f t="shared" si="1066"/>
        <v>218</v>
      </c>
      <c r="EPT16" s="211">
        <f t="shared" si="1067"/>
        <v>36.333333333333336</v>
      </c>
      <c r="EPU16" s="195">
        <v>0</v>
      </c>
      <c r="EPV16" s="49">
        <v>230</v>
      </c>
      <c r="EPW16" s="49"/>
      <c r="EPX16" s="49">
        <v>0</v>
      </c>
      <c r="EPY16" s="49">
        <v>0</v>
      </c>
      <c r="EPZ16" s="49">
        <v>225</v>
      </c>
      <c r="EQA16" s="64">
        <f t="shared" si="1068"/>
        <v>455</v>
      </c>
      <c r="EQB16" s="211">
        <f t="shared" si="1069"/>
        <v>75.833333333333329</v>
      </c>
      <c r="EQC16" s="195">
        <v>0</v>
      </c>
      <c r="EQD16" s="49">
        <v>229</v>
      </c>
      <c r="EQE16" s="49">
        <v>0</v>
      </c>
      <c r="EQF16" s="49">
        <v>0</v>
      </c>
      <c r="EQG16" s="49">
        <v>0</v>
      </c>
      <c r="EQH16" s="49">
        <v>0</v>
      </c>
      <c r="EQI16" s="64">
        <f t="shared" si="1070"/>
        <v>229</v>
      </c>
      <c r="EQJ16" s="211">
        <f t="shared" si="1071"/>
        <v>38.166666666666664</v>
      </c>
      <c r="EQK16" s="195"/>
      <c r="EQL16" s="49">
        <v>223</v>
      </c>
      <c r="EQM16" s="49">
        <v>0</v>
      </c>
      <c r="EQN16" s="49"/>
      <c r="EQO16" s="49">
        <v>0</v>
      </c>
      <c r="EQP16" s="49">
        <v>0</v>
      </c>
      <c r="EQQ16" s="64">
        <f t="shared" si="1072"/>
        <v>223</v>
      </c>
      <c r="EQR16" s="211">
        <f t="shared" si="1073"/>
        <v>37.166666666666664</v>
      </c>
      <c r="EQS16" s="195">
        <v>0</v>
      </c>
      <c r="EQT16" s="49">
        <v>342</v>
      </c>
      <c r="EQU16" s="49">
        <v>0</v>
      </c>
      <c r="EQV16" s="49"/>
      <c r="EQW16" s="49">
        <v>0</v>
      </c>
      <c r="EQX16" s="49">
        <v>0</v>
      </c>
      <c r="EQY16" s="64">
        <f t="shared" si="1074"/>
        <v>342</v>
      </c>
      <c r="EQZ16" s="211">
        <f t="shared" si="1075"/>
        <v>57</v>
      </c>
      <c r="ERA16" s="195">
        <v>0</v>
      </c>
      <c r="ERB16" s="49">
        <v>0</v>
      </c>
      <c r="ERC16" s="49">
        <v>452</v>
      </c>
      <c r="ERD16" s="49">
        <v>0</v>
      </c>
      <c r="ERE16" s="49">
        <v>0</v>
      </c>
      <c r="ERF16" s="49"/>
      <c r="ERG16" s="64">
        <f t="shared" si="1076"/>
        <v>452</v>
      </c>
      <c r="ERH16" s="211">
        <f t="shared" si="1077"/>
        <v>75.333333333333329</v>
      </c>
      <c r="ERI16" s="195">
        <v>0</v>
      </c>
      <c r="ERJ16" s="49"/>
      <c r="ERK16" s="49"/>
      <c r="ERL16" s="49">
        <v>0</v>
      </c>
      <c r="ERM16" s="49">
        <v>0</v>
      </c>
      <c r="ERN16" s="49"/>
      <c r="ERO16" s="64">
        <f t="shared" si="1078"/>
        <v>0</v>
      </c>
      <c r="ERP16" s="211">
        <f t="shared" si="1079"/>
        <v>0</v>
      </c>
      <c r="ERQ16" s="195"/>
      <c r="ERR16" s="49">
        <v>398</v>
      </c>
      <c r="ERS16" s="49">
        <v>0</v>
      </c>
      <c r="ERT16" s="49">
        <v>0</v>
      </c>
      <c r="ERU16" s="49">
        <v>0</v>
      </c>
      <c r="ERV16" s="49">
        <v>0</v>
      </c>
      <c r="ERW16" s="64">
        <f t="shared" si="1080"/>
        <v>398</v>
      </c>
      <c r="ERX16" s="211">
        <f t="shared" si="1081"/>
        <v>66.333333333333329</v>
      </c>
      <c r="ERY16" s="195">
        <v>0</v>
      </c>
      <c r="ERZ16" s="49">
        <v>0</v>
      </c>
      <c r="ESA16" s="49">
        <v>0</v>
      </c>
      <c r="ESB16" s="49"/>
      <c r="ESC16" s="49"/>
      <c r="ESD16" s="49">
        <v>0</v>
      </c>
      <c r="ESE16" s="64">
        <f t="shared" si="1082"/>
        <v>0</v>
      </c>
      <c r="ESF16" s="211">
        <f t="shared" si="1083"/>
        <v>0</v>
      </c>
      <c r="ESG16" s="195">
        <v>0</v>
      </c>
      <c r="ESH16" s="49"/>
      <c r="ESI16" s="49">
        <v>0</v>
      </c>
      <c r="ESJ16" s="49">
        <v>0</v>
      </c>
      <c r="ESK16" s="49"/>
      <c r="ESL16" s="49">
        <v>441</v>
      </c>
      <c r="ESM16" s="64">
        <f t="shared" si="1084"/>
        <v>441</v>
      </c>
      <c r="ESN16" s="211">
        <f t="shared" si="1085"/>
        <v>73.5</v>
      </c>
      <c r="ESO16" s="458">
        <v>0</v>
      </c>
      <c r="ESP16" s="83"/>
      <c r="ESQ16" s="83">
        <v>0</v>
      </c>
      <c r="ESR16" s="83">
        <v>0</v>
      </c>
      <c r="ESS16" s="83"/>
      <c r="EST16" s="83">
        <v>0</v>
      </c>
      <c r="ESU16" s="64">
        <f t="shared" si="1086"/>
        <v>0</v>
      </c>
      <c r="ESV16" s="211">
        <f t="shared" si="1087"/>
        <v>0</v>
      </c>
      <c r="ESW16" s="195"/>
      <c r="ESX16" s="49"/>
      <c r="ESY16" s="49"/>
      <c r="ESZ16" s="49">
        <v>0</v>
      </c>
      <c r="ETA16" s="49">
        <v>0</v>
      </c>
      <c r="ETB16" s="49">
        <v>0</v>
      </c>
      <c r="ETC16" s="808">
        <f t="shared" si="1088"/>
        <v>0</v>
      </c>
      <c r="ETD16" s="211">
        <f t="shared" si="1089"/>
        <v>0</v>
      </c>
      <c r="ETE16" s="195">
        <v>219</v>
      </c>
      <c r="ETF16" s="49">
        <v>0</v>
      </c>
      <c r="ETG16" s="49">
        <v>0</v>
      </c>
      <c r="ETH16" s="49">
        <v>0</v>
      </c>
      <c r="ETI16" s="49"/>
      <c r="ETJ16" s="49">
        <v>0</v>
      </c>
      <c r="ETK16" s="808">
        <f t="shared" si="1090"/>
        <v>219</v>
      </c>
      <c r="ETL16" s="211">
        <f t="shared" si="1091"/>
        <v>36.5</v>
      </c>
      <c r="ETM16" s="814"/>
      <c r="ETN16" s="815">
        <v>0</v>
      </c>
      <c r="ETO16" s="815">
        <v>0</v>
      </c>
      <c r="ETP16" s="815">
        <v>0</v>
      </c>
      <c r="ETQ16" s="815">
        <v>219</v>
      </c>
      <c r="ETR16" s="815">
        <v>0</v>
      </c>
      <c r="ETS16" s="808">
        <f t="shared" si="1092"/>
        <v>219</v>
      </c>
      <c r="ETT16" s="211">
        <f t="shared" si="1093"/>
        <v>36.5</v>
      </c>
      <c r="ETU16" s="458">
        <v>0</v>
      </c>
      <c r="ETV16" s="83">
        <v>0</v>
      </c>
      <c r="ETW16" s="83"/>
      <c r="ETX16" s="83">
        <v>0</v>
      </c>
      <c r="ETY16" s="83">
        <v>0</v>
      </c>
      <c r="ETZ16" s="83">
        <v>0</v>
      </c>
      <c r="EUA16" s="808">
        <f t="shared" si="1094"/>
        <v>0</v>
      </c>
      <c r="EUB16" s="211">
        <f t="shared" si="1095"/>
        <v>0</v>
      </c>
      <c r="EUC16" s="458">
        <v>0</v>
      </c>
      <c r="EUD16" s="83">
        <v>0</v>
      </c>
      <c r="EUE16" s="83"/>
      <c r="EUF16" s="83">
        <v>0</v>
      </c>
      <c r="EUG16" s="83">
        <v>203</v>
      </c>
      <c r="EUH16" s="83">
        <v>0</v>
      </c>
      <c r="EUI16" s="808">
        <f t="shared" si="1096"/>
        <v>203</v>
      </c>
      <c r="EUJ16" s="211">
        <f t="shared" si="1097"/>
        <v>33.833333333333336</v>
      </c>
      <c r="EUK16" s="195"/>
      <c r="EUL16" s="49">
        <v>0</v>
      </c>
      <c r="EUM16" s="49">
        <v>0</v>
      </c>
      <c r="EUN16" s="49">
        <f>SUMIF(SUMPK!$B:$B,$B:$B,SUMPK!$O:$O)</f>
        <v>0</v>
      </c>
      <c r="EUO16" s="49">
        <v>0</v>
      </c>
      <c r="EUP16" s="49">
        <v>0</v>
      </c>
      <c r="EUQ16" s="808">
        <f t="shared" si="1098"/>
        <v>0</v>
      </c>
      <c r="EUR16" s="211">
        <f t="shared" si="1099"/>
        <v>0</v>
      </c>
      <c r="EUS16" s="195">
        <v>0</v>
      </c>
      <c r="EUT16" s="49">
        <v>0</v>
      </c>
      <c r="EUU16" s="49">
        <v>0</v>
      </c>
      <c r="EUV16" s="49">
        <v>0</v>
      </c>
      <c r="EUW16" s="49"/>
      <c r="EUX16" s="49">
        <v>0</v>
      </c>
      <c r="EUY16" s="808">
        <f t="shared" si="1100"/>
        <v>0</v>
      </c>
      <c r="EUZ16" s="211">
        <f t="shared" si="1101"/>
        <v>0</v>
      </c>
      <c r="EVA16" s="195">
        <v>0</v>
      </c>
      <c r="EVB16" s="49"/>
      <c r="EVC16" s="49"/>
      <c r="EVD16" s="49"/>
      <c r="EVE16" s="49">
        <v>0</v>
      </c>
      <c r="EVF16" s="49"/>
      <c r="EVG16" s="808">
        <f t="shared" si="1102"/>
        <v>0</v>
      </c>
      <c r="EVH16" s="211">
        <f t="shared" si="1103"/>
        <v>0</v>
      </c>
      <c r="EVI16" s="195">
        <v>0</v>
      </c>
      <c r="EVJ16" s="49">
        <v>0</v>
      </c>
      <c r="EVK16" s="49">
        <v>0</v>
      </c>
      <c r="EVL16" s="49"/>
      <c r="EVM16" s="49"/>
      <c r="EVN16" s="49">
        <v>220</v>
      </c>
      <c r="EVO16" s="808">
        <f t="shared" si="1104"/>
        <v>220</v>
      </c>
      <c r="EVP16" s="211">
        <f t="shared" si="1105"/>
        <v>36.666666666666664</v>
      </c>
      <c r="EVQ16" s="195">
        <v>0</v>
      </c>
      <c r="EVR16" s="49">
        <v>0</v>
      </c>
      <c r="EVS16" s="49">
        <v>0</v>
      </c>
      <c r="EVT16" s="49"/>
      <c r="EVU16" s="49">
        <v>107</v>
      </c>
      <c r="EVV16" s="49">
        <v>0</v>
      </c>
      <c r="EVW16" s="808">
        <f t="shared" si="1106"/>
        <v>107</v>
      </c>
      <c r="EVX16" s="211">
        <f t="shared" si="1107"/>
        <v>17.833333333333332</v>
      </c>
      <c r="EVY16" s="195">
        <v>0</v>
      </c>
      <c r="EVZ16" s="49">
        <v>0</v>
      </c>
      <c r="EWA16" s="49"/>
      <c r="EWB16" s="49">
        <v>0</v>
      </c>
      <c r="EWC16" s="49"/>
      <c r="EWD16" s="49">
        <v>0</v>
      </c>
      <c r="EWE16" s="808">
        <f t="shared" si="1108"/>
        <v>0</v>
      </c>
      <c r="EWF16" s="211">
        <f t="shared" si="1109"/>
        <v>0</v>
      </c>
      <c r="EWG16" s="195"/>
      <c r="EWH16" s="49">
        <v>0</v>
      </c>
      <c r="EWI16" s="49"/>
      <c r="EWJ16" s="49"/>
      <c r="EWK16" s="49">
        <v>0</v>
      </c>
      <c r="EWL16" s="49">
        <v>226</v>
      </c>
      <c r="EWM16" s="808">
        <f t="shared" si="1110"/>
        <v>226</v>
      </c>
      <c r="EWN16" s="211">
        <f t="shared" si="175"/>
        <v>37.666666666666664</v>
      </c>
      <c r="EWO16" s="195">
        <v>0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1"/>
        <v>0</v>
      </c>
      <c r="EWV16" s="211">
        <f t="shared" si="1112"/>
        <v>0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3"/>
        <v>0</v>
      </c>
      <c r="EXD16" s="211">
        <f t="shared" si="1114"/>
        <v>0</v>
      </c>
      <c r="EXE16" s="195">
        <v>111</v>
      </c>
      <c r="EXF16" s="49">
        <v>0</v>
      </c>
      <c r="EXG16" s="49"/>
      <c r="EXH16" s="49">
        <v>0</v>
      </c>
      <c r="EXI16" s="49">
        <v>0</v>
      </c>
      <c r="EXJ16" s="49">
        <v>100</v>
      </c>
      <c r="EXK16" s="808">
        <f t="shared" si="1115"/>
        <v>211</v>
      </c>
      <c r="EXL16" s="211">
        <f t="shared" si="1116"/>
        <v>35.166666666666664</v>
      </c>
      <c r="EXM16" s="458">
        <v>0</v>
      </c>
      <c r="EXN16" s="83">
        <v>0</v>
      </c>
      <c r="EXO16" s="83"/>
      <c r="EXP16" s="83">
        <v>0</v>
      </c>
      <c r="EXQ16" s="83"/>
      <c r="EXR16" s="83">
        <v>0</v>
      </c>
      <c r="EXS16" s="808">
        <f t="shared" si="1117"/>
        <v>0</v>
      </c>
      <c r="EXT16" s="211">
        <f t="shared" si="1118"/>
        <v>0</v>
      </c>
      <c r="EXU16" s="195">
        <v>0</v>
      </c>
      <c r="EXV16" s="49"/>
      <c r="EXW16" s="49"/>
      <c r="EXX16" s="49">
        <v>0</v>
      </c>
      <c r="EXY16" s="49"/>
      <c r="EXZ16" s="49">
        <v>215</v>
      </c>
      <c r="EYA16" s="808">
        <f t="shared" si="1119"/>
        <v>215</v>
      </c>
      <c r="EYB16" s="211">
        <f t="shared" si="1120"/>
        <v>35.833333333333336</v>
      </c>
      <c r="EYC16" s="195">
        <v>0</v>
      </c>
      <c r="EYD16" s="49"/>
      <c r="EYE16" s="49">
        <v>0</v>
      </c>
      <c r="EYF16" s="49">
        <v>110</v>
      </c>
      <c r="EYG16" s="49">
        <v>0</v>
      </c>
      <c r="EYH16" s="49">
        <v>0</v>
      </c>
      <c r="EYI16" s="808">
        <f t="shared" si="1121"/>
        <v>110</v>
      </c>
      <c r="EYJ16" s="211">
        <f t="shared" si="1122"/>
        <v>18.333333333333332</v>
      </c>
      <c r="EYK16" s="195">
        <v>0</v>
      </c>
      <c r="EYL16" s="49">
        <v>0</v>
      </c>
      <c r="EYM16" s="49">
        <v>0</v>
      </c>
      <c r="EYN16" s="49"/>
      <c r="EYO16" s="49">
        <v>0</v>
      </c>
      <c r="EYP16" s="49">
        <v>0</v>
      </c>
      <c r="EYQ16" s="808">
        <f t="shared" si="1123"/>
        <v>0</v>
      </c>
      <c r="EYR16" s="211">
        <f t="shared" si="1124"/>
        <v>0</v>
      </c>
      <c r="EYS16" s="195">
        <v>109</v>
      </c>
      <c r="EYT16" s="49">
        <v>0</v>
      </c>
      <c r="EYU16" s="49">
        <v>0</v>
      </c>
      <c r="EYV16" s="49"/>
      <c r="EYW16" s="49"/>
      <c r="EYX16" s="49"/>
      <c r="EYY16" s="872">
        <f t="shared" si="1125"/>
        <v>109</v>
      </c>
      <c r="EYZ16" s="873">
        <f t="shared" si="1126"/>
        <v>18.166666666666668</v>
      </c>
      <c r="EZA16" s="195">
        <v>0</v>
      </c>
      <c r="EZB16" s="49">
        <v>0</v>
      </c>
      <c r="EZC16" s="49">
        <v>0</v>
      </c>
      <c r="EZD16" s="49">
        <v>0</v>
      </c>
      <c r="EZE16" s="49"/>
      <c r="EZF16" s="49">
        <v>0</v>
      </c>
      <c r="EZG16" s="872">
        <f t="shared" si="1127"/>
        <v>0</v>
      </c>
      <c r="EZH16" s="873">
        <f t="shared" si="1128"/>
        <v>0</v>
      </c>
      <c r="EZI16" s="195"/>
      <c r="EZJ16" s="49">
        <v>0</v>
      </c>
      <c r="EZK16" s="49">
        <v>0</v>
      </c>
      <c r="EZL16" s="49"/>
      <c r="EZM16" s="49"/>
      <c r="EZN16" s="49"/>
      <c r="EZO16" s="872">
        <f t="shared" si="1129"/>
        <v>0</v>
      </c>
      <c r="EZP16" s="873">
        <f t="shared" si="1130"/>
        <v>0</v>
      </c>
    </row>
    <row r="17" spans="1:4072" s="8" customFormat="1" ht="15" customHeight="1" x14ac:dyDescent="0.2">
      <c r="A17" s="301">
        <v>11</v>
      </c>
      <c r="B17" s="21" t="s">
        <v>127</v>
      </c>
      <c r="C17" s="275" t="s">
        <v>128</v>
      </c>
      <c r="D17" s="21">
        <v>25</v>
      </c>
      <c r="E17" s="24"/>
      <c r="F17" s="24">
        <v>2753</v>
      </c>
      <c r="G17" s="24"/>
      <c r="H17" s="24"/>
      <c r="I17" s="360"/>
      <c r="J17" s="360">
        <f>SUMIF(SUMPK!$B:$B,$B:$B,SUMPK!$O:$O)</f>
        <v>0</v>
      </c>
      <c r="K17" s="15">
        <f t="shared" si="1204"/>
        <v>0</v>
      </c>
      <c r="L17" s="24">
        <f t="shared" si="187"/>
        <v>2753</v>
      </c>
      <c r="M17" s="24">
        <f t="shared" si="188"/>
        <v>2753</v>
      </c>
      <c r="N17" s="15">
        <v>90.166666666666671</v>
      </c>
      <c r="O17" s="276">
        <f t="shared" si="189"/>
        <v>30.532347504621072</v>
      </c>
      <c r="P17" s="712">
        <v>269.66666666666669</v>
      </c>
      <c r="Q17" s="276">
        <f t="shared" si="190"/>
        <v>61.253399258343634</v>
      </c>
      <c r="R17" s="277">
        <f t="shared" si="191"/>
        <v>76.92307692307692</v>
      </c>
      <c r="S17" s="222">
        <v>2000</v>
      </c>
      <c r="T17" s="276">
        <f t="shared" si="192"/>
        <v>35.789000000000001</v>
      </c>
      <c r="U17" s="303"/>
      <c r="V17" s="302">
        <f t="shared" si="1205"/>
        <v>35.789000000000001</v>
      </c>
      <c r="W17" s="304">
        <f t="shared" si="0"/>
        <v>1</v>
      </c>
      <c r="X17" s="305"/>
      <c r="Y17" s="280"/>
      <c r="Z17" s="280"/>
      <c r="AA17" s="280"/>
      <c r="AB17" s="280"/>
      <c r="AC17" s="662">
        <v>13</v>
      </c>
      <c r="AD17" s="649">
        <v>1251</v>
      </c>
      <c r="AE17" s="49"/>
      <c r="AF17" s="49">
        <v>1244</v>
      </c>
      <c r="AG17" s="49"/>
      <c r="AH17" s="49">
        <v>1</v>
      </c>
      <c r="AI17" s="49">
        <v>597</v>
      </c>
      <c r="AJ17" s="42">
        <f t="shared" si="1137"/>
        <v>3093</v>
      </c>
      <c r="AK17" s="43">
        <f t="shared" si="1138"/>
        <v>515.5</v>
      </c>
      <c r="AL17" s="48"/>
      <c r="AM17" s="49"/>
      <c r="AN17" s="49"/>
      <c r="AO17" s="49">
        <v>1585</v>
      </c>
      <c r="AP17" s="49"/>
      <c r="AQ17" s="49"/>
      <c r="AR17" s="42">
        <f t="shared" si="1139"/>
        <v>1585</v>
      </c>
      <c r="AS17" s="43">
        <f t="shared" si="1140"/>
        <v>264.16666666666669</v>
      </c>
      <c r="AT17" s="48"/>
      <c r="AU17" s="49">
        <v>1206</v>
      </c>
      <c r="AV17" s="49"/>
      <c r="AW17" s="49"/>
      <c r="AX17" s="49"/>
      <c r="AY17" s="49">
        <v>207</v>
      </c>
      <c r="AZ17" s="42">
        <f t="shared" si="1141"/>
        <v>1413</v>
      </c>
      <c r="BA17" s="43">
        <f t="shared" si="1142"/>
        <v>235.5</v>
      </c>
      <c r="BB17" s="48"/>
      <c r="BC17" s="49"/>
      <c r="BD17" s="49"/>
      <c r="BE17" s="49">
        <v>1407</v>
      </c>
      <c r="BF17" s="49"/>
      <c r="BG17" s="49"/>
      <c r="BH17" s="42">
        <f t="shared" si="1143"/>
        <v>1407</v>
      </c>
      <c r="BI17" s="43">
        <f t="shared" si="1144"/>
        <v>234.5</v>
      </c>
      <c r="BJ17" s="48">
        <v>1203</v>
      </c>
      <c r="BK17" s="49"/>
      <c r="BL17" s="49">
        <v>1955</v>
      </c>
      <c r="BM17" s="49"/>
      <c r="BN17" s="49">
        <v>2191</v>
      </c>
      <c r="BO17" s="49"/>
      <c r="BP17" s="42">
        <f t="shared" si="1145"/>
        <v>5349</v>
      </c>
      <c r="BQ17" s="43">
        <f t="shared" si="1146"/>
        <v>891.5</v>
      </c>
      <c r="BR17" s="48">
        <v>1594</v>
      </c>
      <c r="BS17" s="49"/>
      <c r="BT17" s="49"/>
      <c r="BU17" s="49">
        <v>992</v>
      </c>
      <c r="BV17" s="49"/>
      <c r="BW17" s="49"/>
      <c r="BX17" s="42">
        <f t="shared" si="1147"/>
        <v>2586</v>
      </c>
      <c r="BY17" s="43">
        <f t="shared" si="3"/>
        <v>431</v>
      </c>
      <c r="BZ17" s="48">
        <v>1182</v>
      </c>
      <c r="CA17" s="49"/>
      <c r="CB17" s="49"/>
      <c r="CC17" s="49"/>
      <c r="CD17" s="49"/>
      <c r="CE17" s="49">
        <v>1146</v>
      </c>
      <c r="CF17" s="42">
        <f t="shared" si="1148"/>
        <v>2328</v>
      </c>
      <c r="CG17" s="43">
        <f t="shared" si="1149"/>
        <v>388</v>
      </c>
      <c r="CH17" s="48"/>
      <c r="CI17" s="49"/>
      <c r="CJ17" s="49">
        <v>300</v>
      </c>
      <c r="CK17" s="49">
        <v>1700</v>
      </c>
      <c r="CL17" s="49"/>
      <c r="CM17" s="49"/>
      <c r="CN17" s="42">
        <f t="shared" si="1150"/>
        <v>2000</v>
      </c>
      <c r="CO17" s="43">
        <f t="shared" si="1151"/>
        <v>333.33333333333331</v>
      </c>
      <c r="CP17" s="48"/>
      <c r="CQ17" s="49"/>
      <c r="CR17" s="49"/>
      <c r="CS17" s="49">
        <v>2616</v>
      </c>
      <c r="CT17" s="49"/>
      <c r="CU17" s="49"/>
      <c r="CV17" s="42">
        <f t="shared" si="1152"/>
        <v>2616</v>
      </c>
      <c r="CW17" s="43">
        <f t="shared" si="1153"/>
        <v>436</v>
      </c>
      <c r="CX17" s="48">
        <v>600</v>
      </c>
      <c r="CY17" s="49"/>
      <c r="CZ17" s="49"/>
      <c r="DA17" s="49"/>
      <c r="DB17" s="49"/>
      <c r="DC17" s="49"/>
      <c r="DD17" s="42">
        <f t="shared" si="1154"/>
        <v>600</v>
      </c>
      <c r="DE17" s="43">
        <f t="shared" si="1155"/>
        <v>100</v>
      </c>
      <c r="DF17" s="48"/>
      <c r="DG17" s="49"/>
      <c r="DH17" s="49"/>
      <c r="DI17" s="49">
        <v>1200</v>
      </c>
      <c r="DJ17" s="49"/>
      <c r="DK17" s="49"/>
      <c r="DL17" s="42">
        <f t="shared" si="1156"/>
        <v>1200</v>
      </c>
      <c r="DM17" s="43">
        <f t="shared" si="1157"/>
        <v>200</v>
      </c>
      <c r="DN17" s="48"/>
      <c r="DO17" s="49">
        <v>2370</v>
      </c>
      <c r="DP17" s="49"/>
      <c r="DQ17" s="49"/>
      <c r="DR17" s="49">
        <v>735</v>
      </c>
      <c r="DS17" s="49"/>
      <c r="DT17" s="42">
        <f t="shared" si="1158"/>
        <v>3105</v>
      </c>
      <c r="DU17" s="43">
        <f t="shared" si="1159"/>
        <v>517.5</v>
      </c>
      <c r="DV17" s="48"/>
      <c r="DW17" s="49"/>
      <c r="DX17" s="49">
        <v>961</v>
      </c>
      <c r="DY17" s="49"/>
      <c r="DZ17" s="49">
        <v>607</v>
      </c>
      <c r="EA17" s="49"/>
      <c r="EB17" s="42">
        <f t="shared" si="1160"/>
        <v>1568</v>
      </c>
      <c r="EC17" s="43">
        <f t="shared" si="1161"/>
        <v>261.33333333333331</v>
      </c>
      <c r="ED17" s="48">
        <v>1321</v>
      </c>
      <c r="EE17" s="49"/>
      <c r="EF17" s="49">
        <v>1010</v>
      </c>
      <c r="EG17" s="49"/>
      <c r="EH17" s="49"/>
      <c r="EI17" s="49"/>
      <c r="EJ17" s="42">
        <f t="shared" si="1162"/>
        <v>2331</v>
      </c>
      <c r="EK17" s="43">
        <f t="shared" si="1163"/>
        <v>388.5</v>
      </c>
      <c r="EL17" s="48">
        <v>1262</v>
      </c>
      <c r="EM17" s="49"/>
      <c r="EN17" s="49"/>
      <c r="EO17" s="49"/>
      <c r="EP17" s="49"/>
      <c r="EQ17" s="49">
        <v>1398</v>
      </c>
      <c r="ER17" s="42">
        <f t="shared" si="1164"/>
        <v>2660</v>
      </c>
      <c r="ES17" s="43">
        <f t="shared" si="1165"/>
        <v>443.33333333333331</v>
      </c>
      <c r="ET17" s="48"/>
      <c r="EU17" s="49">
        <v>2014</v>
      </c>
      <c r="EV17" s="49"/>
      <c r="EW17" s="49">
        <v>1738</v>
      </c>
      <c r="EX17" s="49"/>
      <c r="EY17" s="49"/>
      <c r="EZ17" s="42">
        <f t="shared" si="1166"/>
        <v>3752</v>
      </c>
      <c r="FA17" s="43">
        <f t="shared" si="1167"/>
        <v>625.33333333333337</v>
      </c>
      <c r="FB17" s="48"/>
      <c r="FC17" s="49"/>
      <c r="FD17" s="49">
        <v>1602</v>
      </c>
      <c r="FE17" s="49"/>
      <c r="FF17" s="49"/>
      <c r="FG17" s="49"/>
      <c r="FH17" s="42">
        <f t="shared" si="1168"/>
        <v>1602</v>
      </c>
      <c r="FI17" s="43">
        <f t="shared" si="1169"/>
        <v>267</v>
      </c>
      <c r="FJ17" s="48">
        <v>403</v>
      </c>
      <c r="FK17" s="49"/>
      <c r="FL17" s="49"/>
      <c r="FM17" s="49"/>
      <c r="FN17" s="49">
        <v>200</v>
      </c>
      <c r="FO17" s="49">
        <v>1766</v>
      </c>
      <c r="FP17" s="42">
        <f t="shared" si="1170"/>
        <v>2369</v>
      </c>
      <c r="FQ17" s="43">
        <f t="shared" si="1171"/>
        <v>394.83333333333331</v>
      </c>
      <c r="FR17" s="48"/>
      <c r="FS17" s="49"/>
      <c r="FT17" s="49">
        <v>400</v>
      </c>
      <c r="FU17" s="49">
        <v>846</v>
      </c>
      <c r="FV17" s="49"/>
      <c r="FW17" s="49"/>
      <c r="FX17" s="42">
        <f t="shared" si="1172"/>
        <v>1246</v>
      </c>
      <c r="FY17" s="43">
        <f t="shared" si="1173"/>
        <v>207.66666666666666</v>
      </c>
      <c r="FZ17" s="48">
        <f>109+259</f>
        <v>368</v>
      </c>
      <c r="GA17" s="49"/>
      <c r="GB17" s="49">
        <v>802</v>
      </c>
      <c r="GC17" s="49">
        <v>801</v>
      </c>
      <c r="GD17" s="49"/>
      <c r="GE17" s="49"/>
      <c r="GF17" s="42">
        <f t="shared" si="1174"/>
        <v>1971</v>
      </c>
      <c r="GG17" s="43">
        <f t="shared" si="1175"/>
        <v>328.5</v>
      </c>
      <c r="GH17" s="48"/>
      <c r="GI17" s="49">
        <v>1203</v>
      </c>
      <c r="GJ17" s="49"/>
      <c r="GK17" s="49"/>
      <c r="GL17" s="49"/>
      <c r="GM17" s="49">
        <v>1601</v>
      </c>
      <c r="GN17" s="42">
        <f t="shared" si="1176"/>
        <v>2804</v>
      </c>
      <c r="GO17" s="43">
        <f t="shared" si="1177"/>
        <v>467.33333333333331</v>
      </c>
      <c r="GP17" s="48"/>
      <c r="GQ17" s="49"/>
      <c r="GR17" s="49">
        <v>1198</v>
      </c>
      <c r="GS17" s="49"/>
      <c r="GT17" s="49"/>
      <c r="GU17" s="49">
        <v>805</v>
      </c>
      <c r="GV17" s="42">
        <f t="shared" si="1178"/>
        <v>2003</v>
      </c>
      <c r="GW17" s="43">
        <f t="shared" si="1179"/>
        <v>333.83333333333331</v>
      </c>
      <c r="GX17" s="48"/>
      <c r="GY17" s="49"/>
      <c r="GZ17" s="49">
        <v>1525</v>
      </c>
      <c r="HA17" s="49">
        <v>1300</v>
      </c>
      <c r="HB17" s="49">
        <v>469</v>
      </c>
      <c r="HC17" s="49"/>
      <c r="HD17" s="42">
        <f t="shared" si="1180"/>
        <v>3294</v>
      </c>
      <c r="HE17" s="43">
        <f t="shared" si="1181"/>
        <v>549</v>
      </c>
      <c r="HF17" s="48"/>
      <c r="HG17" s="49"/>
      <c r="HH17" s="49"/>
      <c r="HI17" s="49"/>
      <c r="HJ17" s="49"/>
      <c r="HK17" s="49">
        <v>596</v>
      </c>
      <c r="HL17" s="42">
        <f t="shared" si="1182"/>
        <v>596</v>
      </c>
      <c r="HM17" s="43">
        <f t="shared" si="1183"/>
        <v>99.333333333333329</v>
      </c>
      <c r="HN17" s="82">
        <v>595</v>
      </c>
      <c r="HO17" s="83"/>
      <c r="HP17" s="83"/>
      <c r="HQ17" s="83">
        <v>1200</v>
      </c>
      <c r="HR17" s="83">
        <v>409</v>
      </c>
      <c r="HS17" s="83"/>
      <c r="HT17" s="42">
        <f t="shared" si="1184"/>
        <v>2204</v>
      </c>
      <c r="HU17" s="43">
        <f t="shared" si="1185"/>
        <v>367.33333333333331</v>
      </c>
      <c r="HV17" s="48"/>
      <c r="HW17" s="49">
        <v>605</v>
      </c>
      <c r="HX17" s="49">
        <v>793</v>
      </c>
      <c r="HY17" s="49"/>
      <c r="HZ17" s="49"/>
      <c r="IA17" s="49"/>
      <c r="IB17" s="42">
        <f t="shared" si="1186"/>
        <v>1398</v>
      </c>
      <c r="IC17" s="43">
        <f t="shared" si="1187"/>
        <v>233</v>
      </c>
      <c r="ID17" s="48">
        <v>990</v>
      </c>
      <c r="IE17" s="49"/>
      <c r="IF17" s="49"/>
      <c r="IG17" s="49"/>
      <c r="IH17" s="49">
        <v>1093</v>
      </c>
      <c r="II17" s="49"/>
      <c r="IJ17" s="42">
        <f t="shared" si="1188"/>
        <v>2083</v>
      </c>
      <c r="IK17" s="43">
        <f t="shared" si="1189"/>
        <v>347.16666666666669</v>
      </c>
      <c r="IL17" s="48"/>
      <c r="IM17" s="49">
        <v>621</v>
      </c>
      <c r="IN17" s="49"/>
      <c r="IO17" s="49"/>
      <c r="IP17" s="49"/>
      <c r="IQ17" s="49"/>
      <c r="IR17" s="67">
        <f t="shared" si="1190"/>
        <v>621</v>
      </c>
      <c r="IS17" s="68">
        <f t="shared" si="1191"/>
        <v>103.5</v>
      </c>
      <c r="IT17" s="48">
        <v>373</v>
      </c>
      <c r="IU17" s="49"/>
      <c r="IV17" s="49">
        <v>894</v>
      </c>
      <c r="IW17" s="49"/>
      <c r="IX17" s="49"/>
      <c r="IY17" s="49"/>
      <c r="IZ17" s="67">
        <f t="shared" si="1192"/>
        <v>1267</v>
      </c>
      <c r="JA17" s="68">
        <f t="shared" si="1193"/>
        <v>211.16666666666666</v>
      </c>
      <c r="JB17" s="48"/>
      <c r="JC17" s="49"/>
      <c r="JD17" s="49">
        <v>921</v>
      </c>
      <c r="JE17" s="49"/>
      <c r="JF17" s="49"/>
      <c r="JG17" s="49"/>
      <c r="JH17" s="67">
        <f t="shared" si="1194"/>
        <v>921</v>
      </c>
      <c r="JI17" s="68">
        <f t="shared" si="1195"/>
        <v>153.5</v>
      </c>
      <c r="JJ17" s="48">
        <v>198</v>
      </c>
      <c r="JK17" s="49">
        <v>803</v>
      </c>
      <c r="JL17" s="49"/>
      <c r="JM17" s="49"/>
      <c r="JN17" s="49"/>
      <c r="JO17" s="49"/>
      <c r="JP17" s="42">
        <f t="shared" si="1196"/>
        <v>1001</v>
      </c>
      <c r="JQ17" s="43">
        <f t="shared" si="1197"/>
        <v>166.83333333333334</v>
      </c>
      <c r="JR17" s="48">
        <v>191</v>
      </c>
      <c r="JS17" s="49"/>
      <c r="JT17" s="49"/>
      <c r="JU17" s="49"/>
      <c r="JV17" s="49">
        <v>1612</v>
      </c>
      <c r="JW17" s="49"/>
      <c r="JX17" s="42">
        <f t="shared" si="1198"/>
        <v>1803</v>
      </c>
      <c r="JY17" s="43">
        <f t="shared" si="1199"/>
        <v>300.5</v>
      </c>
      <c r="JZ17" s="48"/>
      <c r="KA17" s="49">
        <v>374</v>
      </c>
      <c r="KB17" s="49"/>
      <c r="KC17" s="49">
        <v>1004</v>
      </c>
      <c r="KD17" s="49"/>
      <c r="KE17" s="49"/>
      <c r="KF17" s="42">
        <f t="shared" si="194"/>
        <v>1378</v>
      </c>
      <c r="KG17" s="43">
        <f t="shared" si="195"/>
        <v>229.66666666666666</v>
      </c>
      <c r="KH17" s="48">
        <v>811</v>
      </c>
      <c r="KI17" s="49"/>
      <c r="KJ17" s="49"/>
      <c r="KK17" s="49"/>
      <c r="KL17" s="49"/>
      <c r="KM17" s="49"/>
      <c r="KN17" s="67">
        <f t="shared" si="196"/>
        <v>811</v>
      </c>
      <c r="KO17" s="68">
        <f t="shared" si="197"/>
        <v>135.16666666666666</v>
      </c>
      <c r="KP17" s="48"/>
      <c r="KQ17" s="49">
        <v>1571</v>
      </c>
      <c r="KR17" s="49"/>
      <c r="KS17" s="49"/>
      <c r="KT17" s="49">
        <v>598</v>
      </c>
      <c r="KU17" s="49"/>
      <c r="KV17" s="67">
        <f t="shared" si="198"/>
        <v>2169</v>
      </c>
      <c r="KW17" s="68">
        <f t="shared" si="199"/>
        <v>361.5</v>
      </c>
      <c r="KX17" s="48"/>
      <c r="KY17" s="49"/>
      <c r="KZ17" s="49"/>
      <c r="LA17" s="49"/>
      <c r="LB17" s="49"/>
      <c r="LC17" s="49"/>
      <c r="LD17" s="67">
        <f t="shared" si="200"/>
        <v>0</v>
      </c>
      <c r="LE17" s="68">
        <f t="shared" si="201"/>
        <v>0</v>
      </c>
      <c r="LF17" s="48"/>
      <c r="LG17" s="49"/>
      <c r="LH17" s="49">
        <v>1008</v>
      </c>
      <c r="LI17" s="49"/>
      <c r="LJ17" s="49"/>
      <c r="LK17" s="49"/>
      <c r="LL17" s="67">
        <f t="shared" si="202"/>
        <v>1008</v>
      </c>
      <c r="LM17" s="68">
        <f t="shared" si="203"/>
        <v>168</v>
      </c>
      <c r="LN17" s="48">
        <v>786</v>
      </c>
      <c r="LO17" s="49"/>
      <c r="LP17" s="49">
        <v>458</v>
      </c>
      <c r="LQ17" s="49">
        <v>594</v>
      </c>
      <c r="LR17" s="49"/>
      <c r="LS17" s="49">
        <v>833</v>
      </c>
      <c r="LT17" s="67">
        <f t="shared" si="204"/>
        <v>2671</v>
      </c>
      <c r="LU17" s="68">
        <f t="shared" si="205"/>
        <v>445.16666666666669</v>
      </c>
      <c r="LV17" s="48"/>
      <c r="LW17" s="49"/>
      <c r="LX17" s="49"/>
      <c r="LY17" s="49">
        <v>744</v>
      </c>
      <c r="LZ17" s="49"/>
      <c r="MA17" s="49">
        <v>818</v>
      </c>
      <c r="MB17" s="67">
        <f t="shared" si="206"/>
        <v>1562</v>
      </c>
      <c r="MC17" s="68">
        <f t="shared" si="207"/>
        <v>260.33333333333331</v>
      </c>
      <c r="MD17" s="48"/>
      <c r="ME17" s="49"/>
      <c r="MF17" s="49"/>
      <c r="MG17" s="49"/>
      <c r="MH17" s="49"/>
      <c r="MI17" s="49">
        <v>1157</v>
      </c>
      <c r="MJ17" s="67">
        <f t="shared" si="208"/>
        <v>1157</v>
      </c>
      <c r="MK17" s="68">
        <f t="shared" si="209"/>
        <v>192.83333333333334</v>
      </c>
      <c r="ML17" s="48"/>
      <c r="MM17" s="49"/>
      <c r="MN17" s="49">
        <v>799</v>
      </c>
      <c r="MO17" s="49"/>
      <c r="MP17" s="49"/>
      <c r="MQ17" s="49">
        <v>995</v>
      </c>
      <c r="MR17" s="67">
        <f t="shared" si="210"/>
        <v>1794</v>
      </c>
      <c r="MS17" s="68">
        <f t="shared" si="211"/>
        <v>299</v>
      </c>
      <c r="MT17" s="48"/>
      <c r="MU17" s="49"/>
      <c r="MV17" s="49">
        <v>783</v>
      </c>
      <c r="MW17" s="49"/>
      <c r="MX17" s="49"/>
      <c r="MY17" s="49"/>
      <c r="MZ17" s="67">
        <f t="shared" si="212"/>
        <v>783</v>
      </c>
      <c r="NA17" s="68">
        <f t="shared" si="213"/>
        <v>130.5</v>
      </c>
      <c r="NB17" s="48"/>
      <c r="NC17" s="49">
        <v>998</v>
      </c>
      <c r="ND17" s="49"/>
      <c r="NE17" s="49"/>
      <c r="NF17" s="49">
        <v>1173</v>
      </c>
      <c r="NG17" s="49"/>
      <c r="NH17" s="67">
        <f t="shared" si="214"/>
        <v>2171</v>
      </c>
      <c r="NI17" s="68">
        <f t="shared" si="215"/>
        <v>361.83333333333331</v>
      </c>
      <c r="NJ17" s="48"/>
      <c r="NK17" s="49">
        <v>200</v>
      </c>
      <c r="NL17" s="49">
        <v>553</v>
      </c>
      <c r="NM17" s="49"/>
      <c r="NN17" s="49"/>
      <c r="NO17" s="49">
        <v>1200</v>
      </c>
      <c r="NP17" s="67">
        <f t="shared" si="216"/>
        <v>1953</v>
      </c>
      <c r="NQ17" s="68">
        <f t="shared" si="217"/>
        <v>325.5</v>
      </c>
      <c r="NR17" s="48">
        <v>418</v>
      </c>
      <c r="NS17" s="49"/>
      <c r="NT17" s="49"/>
      <c r="NU17" s="49"/>
      <c r="NV17" s="49"/>
      <c r="NW17" s="49"/>
      <c r="NX17" s="67">
        <f t="shared" si="218"/>
        <v>418</v>
      </c>
      <c r="NY17" s="68">
        <f t="shared" si="219"/>
        <v>69.666666666666671</v>
      </c>
      <c r="NZ17" s="48"/>
      <c r="OA17" s="49">
        <v>1619</v>
      </c>
      <c r="OB17" s="49"/>
      <c r="OC17" s="49"/>
      <c r="OD17" s="49"/>
      <c r="OE17" s="49"/>
      <c r="OF17" s="67">
        <f t="shared" si="220"/>
        <v>1619</v>
      </c>
      <c r="OG17" s="68">
        <f t="shared" si="221"/>
        <v>269.83333333333331</v>
      </c>
      <c r="OH17" s="48">
        <v>804</v>
      </c>
      <c r="OI17" s="49"/>
      <c r="OJ17" s="49"/>
      <c r="OK17" s="49"/>
      <c r="OL17" s="49">
        <v>1199</v>
      </c>
      <c r="OM17" s="49"/>
      <c r="ON17" s="67">
        <f t="shared" si="222"/>
        <v>2003</v>
      </c>
      <c r="OO17" s="68">
        <f t="shared" si="223"/>
        <v>333.83333333333331</v>
      </c>
      <c r="OP17" s="48"/>
      <c r="OQ17" s="49"/>
      <c r="OR17" s="49">
        <v>590</v>
      </c>
      <c r="OS17" s="49"/>
      <c r="OT17" s="49">
        <v>390</v>
      </c>
      <c r="OU17" s="49"/>
      <c r="OV17" s="67">
        <f t="shared" si="224"/>
        <v>980</v>
      </c>
      <c r="OW17" s="68">
        <f t="shared" si="225"/>
        <v>163.33333333333334</v>
      </c>
      <c r="OX17" s="48"/>
      <c r="OY17" s="49"/>
      <c r="OZ17" s="49"/>
      <c r="PA17" s="49"/>
      <c r="PB17" s="49"/>
      <c r="PC17" s="49">
        <v>401</v>
      </c>
      <c r="PD17" s="67">
        <f t="shared" si="226"/>
        <v>401</v>
      </c>
      <c r="PE17" s="68">
        <f t="shared" si="227"/>
        <v>66.833333333333329</v>
      </c>
      <c r="PF17" s="48"/>
      <c r="PG17" s="49"/>
      <c r="PH17" s="49"/>
      <c r="PI17" s="49"/>
      <c r="PJ17" s="49">
        <v>542</v>
      </c>
      <c r="PK17" s="49">
        <v>1400</v>
      </c>
      <c r="PL17" s="67">
        <f t="shared" si="228"/>
        <v>1942</v>
      </c>
      <c r="PM17" s="68">
        <f t="shared" si="229"/>
        <v>323.66666666666669</v>
      </c>
      <c r="PN17" s="48"/>
      <c r="PO17" s="49"/>
      <c r="PP17" s="49"/>
      <c r="PQ17" s="49"/>
      <c r="PR17" s="49">
        <v>1957</v>
      </c>
      <c r="PS17" s="49"/>
      <c r="PT17" s="104">
        <f t="shared" si="230"/>
        <v>1957</v>
      </c>
      <c r="PU17" s="105">
        <f t="shared" si="231"/>
        <v>326.16666666666669</v>
      </c>
      <c r="PV17" s="106"/>
      <c r="PW17" s="107"/>
      <c r="PX17" s="107"/>
      <c r="PY17" s="107"/>
      <c r="PZ17" s="107"/>
      <c r="QA17" s="107">
        <v>400</v>
      </c>
      <c r="QB17" s="104">
        <f t="shared" si="232"/>
        <v>400</v>
      </c>
      <c r="QC17" s="105">
        <f t="shared" si="233"/>
        <v>66.666666666666671</v>
      </c>
      <c r="QD17" s="106"/>
      <c r="QE17" s="107"/>
      <c r="QF17" s="107"/>
      <c r="QG17" s="107">
        <v>1213</v>
      </c>
      <c r="QH17" s="107"/>
      <c r="QI17" s="107"/>
      <c r="QJ17" s="104">
        <f t="shared" si="234"/>
        <v>1213</v>
      </c>
      <c r="QK17" s="105">
        <f t="shared" si="235"/>
        <v>202.16666666666666</v>
      </c>
      <c r="QL17" s="106"/>
      <c r="QM17" s="107"/>
      <c r="QN17" s="107"/>
      <c r="QO17" s="107">
        <v>1299</v>
      </c>
      <c r="QP17" s="107"/>
      <c r="QQ17" s="107"/>
      <c r="QR17" s="104">
        <f t="shared" si="236"/>
        <v>1299</v>
      </c>
      <c r="QS17" s="105">
        <f t="shared" si="237"/>
        <v>216.5</v>
      </c>
      <c r="QT17" s="106"/>
      <c r="QU17" s="107">
        <v>665</v>
      </c>
      <c r="QV17" s="107"/>
      <c r="QW17" s="107">
        <v>228</v>
      </c>
      <c r="QX17" s="107"/>
      <c r="QY17" s="107"/>
      <c r="QZ17" s="104">
        <f t="shared" si="238"/>
        <v>893</v>
      </c>
      <c r="RA17" s="105">
        <f t="shared" si="239"/>
        <v>148.83333333333334</v>
      </c>
      <c r="RB17" s="106"/>
      <c r="RC17" s="107"/>
      <c r="RD17" s="107"/>
      <c r="RE17" s="107"/>
      <c r="RF17" s="107"/>
      <c r="RG17" s="107"/>
      <c r="RH17" s="104">
        <f t="shared" si="240"/>
        <v>0</v>
      </c>
      <c r="RI17" s="105">
        <f t="shared" si="241"/>
        <v>0</v>
      </c>
      <c r="RJ17" s="106"/>
      <c r="RK17" s="107"/>
      <c r="RL17" s="107"/>
      <c r="RM17" s="107"/>
      <c r="RN17" s="107">
        <v>421</v>
      </c>
      <c r="RO17" s="107">
        <v>1601</v>
      </c>
      <c r="RP17" s="104">
        <f t="shared" si="242"/>
        <v>2022</v>
      </c>
      <c r="RQ17" s="105">
        <f t="shared" si="243"/>
        <v>337</v>
      </c>
      <c r="RR17" s="106"/>
      <c r="RS17" s="107"/>
      <c r="RT17" s="107"/>
      <c r="RU17" s="107"/>
      <c r="RV17" s="107"/>
      <c r="RW17" s="107"/>
      <c r="RX17" s="104">
        <f t="shared" si="244"/>
        <v>0</v>
      </c>
      <c r="RY17" s="105">
        <f t="shared" si="245"/>
        <v>0</v>
      </c>
      <c r="RZ17" s="106"/>
      <c r="SA17" s="107"/>
      <c r="SB17" s="107"/>
      <c r="SC17" s="107"/>
      <c r="SD17" s="107"/>
      <c r="SE17" s="107"/>
      <c r="SF17" s="104">
        <f t="shared" si="246"/>
        <v>0</v>
      </c>
      <c r="SG17" s="105">
        <f t="shared" si="247"/>
        <v>0</v>
      </c>
      <c r="SH17" s="106">
        <v>1467</v>
      </c>
      <c r="SI17" s="107">
        <v>320</v>
      </c>
      <c r="SJ17" s="107">
        <v>445</v>
      </c>
      <c r="SK17" s="107"/>
      <c r="SL17" s="107"/>
      <c r="SM17" s="107"/>
      <c r="SN17" s="104">
        <f t="shared" si="248"/>
        <v>2232</v>
      </c>
      <c r="SO17" s="105">
        <f t="shared" si="249"/>
        <v>372</v>
      </c>
      <c r="SP17" s="106"/>
      <c r="SQ17" s="107">
        <v>185</v>
      </c>
      <c r="SR17" s="107"/>
      <c r="SS17" s="107"/>
      <c r="ST17" s="107"/>
      <c r="SU17" s="107"/>
      <c r="SV17" s="104">
        <f t="shared" si="250"/>
        <v>185</v>
      </c>
      <c r="SW17" s="105">
        <f t="shared" si="251"/>
        <v>30.833333333333332</v>
      </c>
      <c r="SX17" s="106">
        <v>844</v>
      </c>
      <c r="SY17" s="107"/>
      <c r="SZ17" s="107"/>
      <c r="TA17" s="107">
        <v>484</v>
      </c>
      <c r="TB17" s="107">
        <v>599</v>
      </c>
      <c r="TC17" s="107"/>
      <c r="TD17" s="104">
        <f t="shared" si="252"/>
        <v>1927</v>
      </c>
      <c r="TE17" s="105">
        <f t="shared" si="253"/>
        <v>321.16666666666669</v>
      </c>
      <c r="TF17" s="106"/>
      <c r="TG17" s="107"/>
      <c r="TH17" s="107"/>
      <c r="TI17" s="107"/>
      <c r="TJ17" s="107"/>
      <c r="TK17" s="107">
        <v>199</v>
      </c>
      <c r="TL17" s="104">
        <f t="shared" si="254"/>
        <v>199</v>
      </c>
      <c r="TM17" s="105">
        <f t="shared" si="255"/>
        <v>33.166666666666664</v>
      </c>
      <c r="TN17" s="106">
        <v>398</v>
      </c>
      <c r="TO17" s="107">
        <v>383</v>
      </c>
      <c r="TP17" s="107"/>
      <c r="TQ17" s="107">
        <v>184</v>
      </c>
      <c r="TR17" s="107"/>
      <c r="TS17" s="107"/>
      <c r="TT17" s="104">
        <f t="shared" si="256"/>
        <v>965</v>
      </c>
      <c r="TU17" s="105">
        <f t="shared" si="257"/>
        <v>160.83333333333334</v>
      </c>
      <c r="TV17" s="106"/>
      <c r="TW17" s="107">
        <v>580</v>
      </c>
      <c r="TX17" s="107"/>
      <c r="TY17" s="107"/>
      <c r="TZ17" s="107">
        <v>1549</v>
      </c>
      <c r="UA17" s="107"/>
      <c r="UB17" s="104">
        <f t="shared" si="258"/>
        <v>2129</v>
      </c>
      <c r="UC17" s="105">
        <f t="shared" si="259"/>
        <v>354.83333333333331</v>
      </c>
      <c r="UD17" s="106"/>
      <c r="UE17" s="107"/>
      <c r="UF17" s="107"/>
      <c r="UG17" s="107"/>
      <c r="UH17" s="107"/>
      <c r="UI17" s="107"/>
      <c r="UJ17" s="104">
        <f t="shared" si="260"/>
        <v>0</v>
      </c>
      <c r="UK17" s="105">
        <f t="shared" si="261"/>
        <v>0</v>
      </c>
      <c r="UL17" s="106"/>
      <c r="UM17" s="107"/>
      <c r="UN17" s="107">
        <v>600</v>
      </c>
      <c r="UO17" s="107"/>
      <c r="UP17" s="107"/>
      <c r="UQ17" s="107"/>
      <c r="UR17" s="107"/>
      <c r="US17" s="104">
        <f t="shared" si="262"/>
        <v>600</v>
      </c>
      <c r="UT17" s="105">
        <f t="shared" si="263"/>
        <v>100</v>
      </c>
      <c r="UU17" s="106"/>
      <c r="UV17" s="107">
        <v>798</v>
      </c>
      <c r="UW17" s="107"/>
      <c r="UX17" s="107"/>
      <c r="UY17" s="107"/>
      <c r="UZ17" s="107"/>
      <c r="VA17" s="104">
        <f t="shared" si="264"/>
        <v>798</v>
      </c>
      <c r="VB17" s="105">
        <f t="shared" si="265"/>
        <v>133</v>
      </c>
      <c r="VC17" s="106"/>
      <c r="VD17" s="107">
        <v>200</v>
      </c>
      <c r="VE17" s="107"/>
      <c r="VF17" s="107"/>
      <c r="VG17" s="107">
        <v>400</v>
      </c>
      <c r="VH17" s="107"/>
      <c r="VI17" s="104">
        <f t="shared" si="266"/>
        <v>600</v>
      </c>
      <c r="VJ17" s="105">
        <f t="shared" si="267"/>
        <v>100</v>
      </c>
      <c r="VK17" s="106"/>
      <c r="VL17" s="107"/>
      <c r="VM17" s="107"/>
      <c r="VN17" s="107">
        <v>627</v>
      </c>
      <c r="VO17" s="107"/>
      <c r="VP17" s="107"/>
      <c r="VQ17" s="104">
        <f t="shared" si="268"/>
        <v>627</v>
      </c>
      <c r="VR17" s="105">
        <f t="shared" si="269"/>
        <v>104.5</v>
      </c>
      <c r="VS17" s="106"/>
      <c r="VT17" s="107"/>
      <c r="VU17" s="107"/>
      <c r="VV17" s="107"/>
      <c r="VW17" s="107"/>
      <c r="VX17" s="107"/>
      <c r="VY17" s="104">
        <f t="shared" si="270"/>
        <v>0</v>
      </c>
      <c r="VZ17" s="105">
        <f t="shared" si="271"/>
        <v>0</v>
      </c>
      <c r="WA17" s="63"/>
      <c r="WB17" s="64"/>
      <c r="WC17" s="64"/>
      <c r="WD17" s="64"/>
      <c r="WE17" s="64"/>
      <c r="WF17" s="64"/>
      <c r="WG17" s="67">
        <f t="shared" si="272"/>
        <v>0</v>
      </c>
      <c r="WH17" s="68">
        <f t="shared" si="273"/>
        <v>0</v>
      </c>
      <c r="WI17" s="48">
        <v>775</v>
      </c>
      <c r="WJ17" s="49"/>
      <c r="WK17" s="49"/>
      <c r="WL17" s="49"/>
      <c r="WM17" s="49">
        <v>393</v>
      </c>
      <c r="WN17" s="49"/>
      <c r="WO17" s="67">
        <f t="shared" si="274"/>
        <v>1168</v>
      </c>
      <c r="WP17" s="68">
        <f t="shared" si="275"/>
        <v>194.66666666666666</v>
      </c>
      <c r="WQ17" s="48"/>
      <c r="WR17" s="49"/>
      <c r="WS17" s="49"/>
      <c r="WT17" s="49"/>
      <c r="WU17" s="49">
        <v>594</v>
      </c>
      <c r="WV17" s="49"/>
      <c r="WW17" s="49"/>
      <c r="WX17" s="67">
        <f t="shared" si="276"/>
        <v>594</v>
      </c>
      <c r="WY17" s="68">
        <f t="shared" si="277"/>
        <v>99</v>
      </c>
      <c r="WZ17" s="48"/>
      <c r="XA17" s="49">
        <v>1256</v>
      </c>
      <c r="XB17" s="49"/>
      <c r="XC17" s="49">
        <v>808</v>
      </c>
      <c r="XD17" s="49"/>
      <c r="XE17" s="49"/>
      <c r="XF17" s="49">
        <v>599</v>
      </c>
      <c r="XG17" s="67">
        <f t="shared" si="278"/>
        <v>2663</v>
      </c>
      <c r="XH17" s="68">
        <f t="shared" si="279"/>
        <v>443.83333333333331</v>
      </c>
      <c r="XI17" s="106"/>
      <c r="XJ17" s="107"/>
      <c r="XK17" s="107">
        <v>777</v>
      </c>
      <c r="XL17" s="107"/>
      <c r="XM17" s="107"/>
      <c r="XN17" s="107"/>
      <c r="XO17" s="107">
        <v>207</v>
      </c>
      <c r="XP17" s="104">
        <f t="shared" si="280"/>
        <v>984</v>
      </c>
      <c r="XQ17" s="105">
        <f t="shared" si="281"/>
        <v>164</v>
      </c>
      <c r="XR17" s="48"/>
      <c r="XS17" s="49"/>
      <c r="XT17" s="49">
        <v>264</v>
      </c>
      <c r="XU17" s="49"/>
      <c r="XV17" s="49"/>
      <c r="XW17" s="49"/>
      <c r="XX17" s="49">
        <v>598</v>
      </c>
      <c r="XY17" s="67">
        <f t="shared" si="282"/>
        <v>862</v>
      </c>
      <c r="XZ17" s="68">
        <f t="shared" si="283"/>
        <v>143.66666666666666</v>
      </c>
      <c r="YA17" s="48"/>
      <c r="YB17" s="49"/>
      <c r="YC17" s="49">
        <v>801</v>
      </c>
      <c r="YD17" s="49"/>
      <c r="YE17" s="49">
        <v>908</v>
      </c>
      <c r="YF17" s="49"/>
      <c r="YG17" s="49"/>
      <c r="YH17" s="67">
        <f t="shared" si="284"/>
        <v>1709</v>
      </c>
      <c r="YI17" s="68">
        <f t="shared" si="285"/>
        <v>284.83333333333331</v>
      </c>
      <c r="YJ17" s="48"/>
      <c r="YK17" s="49"/>
      <c r="YL17" s="49"/>
      <c r="YM17" s="49">
        <v>192</v>
      </c>
      <c r="YN17" s="49">
        <v>677</v>
      </c>
      <c r="YO17" s="49"/>
      <c r="YP17" s="49"/>
      <c r="YQ17" s="67">
        <f t="shared" si="286"/>
        <v>869</v>
      </c>
      <c r="YR17" s="68">
        <f t="shared" si="287"/>
        <v>144.83333333333334</v>
      </c>
      <c r="YS17" s="48">
        <v>405</v>
      </c>
      <c r="YT17" s="49"/>
      <c r="YU17" s="49"/>
      <c r="YV17" s="49"/>
      <c r="YW17" s="49"/>
      <c r="YX17" s="49">
        <v>527</v>
      </c>
      <c r="YY17" s="67">
        <f t="shared" si="288"/>
        <v>932</v>
      </c>
      <c r="YZ17" s="68">
        <f t="shared" si="289"/>
        <v>155.33333333333334</v>
      </c>
      <c r="ZA17" s="48"/>
      <c r="ZB17" s="49"/>
      <c r="ZC17" s="49"/>
      <c r="ZD17" s="49"/>
      <c r="ZE17" s="49">
        <v>985</v>
      </c>
      <c r="ZF17" s="49"/>
      <c r="ZG17" s="67">
        <f t="shared" si="290"/>
        <v>985</v>
      </c>
      <c r="ZH17" s="68">
        <f t="shared" si="291"/>
        <v>164.16666666666666</v>
      </c>
      <c r="ZI17" s="48"/>
      <c r="ZJ17" s="49"/>
      <c r="ZK17" s="49"/>
      <c r="ZL17" s="49">
        <v>1010</v>
      </c>
      <c r="ZM17" s="49"/>
      <c r="ZN17" s="24"/>
      <c r="ZO17" s="67">
        <f t="shared" si="292"/>
        <v>1010</v>
      </c>
      <c r="ZP17" s="68">
        <f t="shared" si="293"/>
        <v>168.33333333333334</v>
      </c>
      <c r="ZQ17" s="48"/>
      <c r="ZR17" s="49"/>
      <c r="ZS17" s="49"/>
      <c r="ZT17" s="49"/>
      <c r="ZU17" s="49">
        <v>1240</v>
      </c>
      <c r="ZV17" s="49"/>
      <c r="ZW17" s="49"/>
      <c r="ZX17" s="67">
        <f t="shared" si="294"/>
        <v>1240</v>
      </c>
      <c r="ZY17" s="68">
        <f t="shared" si="295"/>
        <v>206.66666666666666</v>
      </c>
      <c r="ZZ17" s="48"/>
      <c r="AAA17" s="49"/>
      <c r="AAB17" s="49"/>
      <c r="AAC17" s="49"/>
      <c r="AAD17" s="49"/>
      <c r="AAE17" s="49"/>
      <c r="AAF17" s="49"/>
      <c r="AAG17" s="67">
        <f t="shared" si="296"/>
        <v>0</v>
      </c>
      <c r="AAH17" s="68">
        <f t="shared" si="297"/>
        <v>0</v>
      </c>
      <c r="AAI17" s="48">
        <v>804</v>
      </c>
      <c r="AAJ17" s="49"/>
      <c r="AAK17" s="49"/>
      <c r="AAL17" s="49"/>
      <c r="AAM17" s="49"/>
      <c r="AAN17" s="49"/>
      <c r="AAO17" s="67">
        <f t="shared" si="298"/>
        <v>804</v>
      </c>
      <c r="AAP17" s="68">
        <f t="shared" si="299"/>
        <v>134</v>
      </c>
      <c r="AAQ17" s="48">
        <v>1000</v>
      </c>
      <c r="AAR17" s="49"/>
      <c r="AAS17" s="49"/>
      <c r="AAT17" s="49"/>
      <c r="AAU17" s="49">
        <v>700</v>
      </c>
      <c r="AAV17" s="49"/>
      <c r="AAW17" s="67">
        <f t="shared" si="300"/>
        <v>1700</v>
      </c>
      <c r="AAX17" s="68">
        <f t="shared" si="301"/>
        <v>283.33333333333331</v>
      </c>
      <c r="AAY17" s="48"/>
      <c r="AAZ17" s="49"/>
      <c r="ABA17" s="49"/>
      <c r="ABB17" s="49">
        <v>745</v>
      </c>
      <c r="ABC17" s="49"/>
      <c r="ABD17" s="49"/>
      <c r="ABE17" s="67">
        <f t="shared" si="302"/>
        <v>745</v>
      </c>
      <c r="ABF17" s="68">
        <f t="shared" si="303"/>
        <v>124.16666666666667</v>
      </c>
      <c r="ABG17" s="48"/>
      <c r="ABH17" s="49"/>
      <c r="ABI17" s="49"/>
      <c r="ABJ17" s="49"/>
      <c r="ABK17" s="49"/>
      <c r="ABL17" s="49">
        <v>798</v>
      </c>
      <c r="ABM17" s="67">
        <f t="shared" si="304"/>
        <v>798</v>
      </c>
      <c r="ABN17" s="68">
        <f t="shared" si="305"/>
        <v>133</v>
      </c>
      <c r="ABO17" s="48"/>
      <c r="ABP17" s="49"/>
      <c r="ABQ17" s="49"/>
      <c r="ABR17" s="49"/>
      <c r="ABS17" s="49">
        <v>900</v>
      </c>
      <c r="ABT17" s="49"/>
      <c r="ABU17" s="67">
        <f t="shared" si="306"/>
        <v>900</v>
      </c>
      <c r="ABV17" s="68">
        <f t="shared" si="307"/>
        <v>150</v>
      </c>
      <c r="ABW17" s="48"/>
      <c r="ABX17" s="49">
        <v>400</v>
      </c>
      <c r="ABY17" s="49"/>
      <c r="ABZ17" s="49"/>
      <c r="ACA17" s="49"/>
      <c r="ACB17" s="49"/>
      <c r="ACC17" s="67">
        <f t="shared" si="308"/>
        <v>400</v>
      </c>
      <c r="ACD17" s="68">
        <f t="shared" si="309"/>
        <v>66.666666666666671</v>
      </c>
      <c r="ACE17" s="48">
        <v>700</v>
      </c>
      <c r="ACF17" s="49"/>
      <c r="ACG17" s="49"/>
      <c r="ACH17" s="49">
        <v>1216</v>
      </c>
      <c r="ACI17" s="49"/>
      <c r="ACJ17" s="49"/>
      <c r="ACK17" s="67">
        <f t="shared" si="310"/>
        <v>1916</v>
      </c>
      <c r="ACL17" s="68">
        <f t="shared" si="311"/>
        <v>319.33333333333331</v>
      </c>
      <c r="ACM17" s="48"/>
      <c r="ACN17" s="49"/>
      <c r="ACO17" s="49"/>
      <c r="ACP17" s="49">
        <v>941</v>
      </c>
      <c r="ACQ17" s="49"/>
      <c r="ACR17" s="49"/>
      <c r="ACS17" s="67">
        <f t="shared" si="312"/>
        <v>941</v>
      </c>
      <c r="ACT17" s="68">
        <f t="shared" si="313"/>
        <v>156.83333333333334</v>
      </c>
      <c r="ACU17" s="48"/>
      <c r="ACV17" s="49"/>
      <c r="ACW17" s="49">
        <v>440</v>
      </c>
      <c r="ACX17" s="49"/>
      <c r="ACY17" s="49"/>
      <c r="ACZ17" s="49">
        <v>532</v>
      </c>
      <c r="ADA17" s="67">
        <f t="shared" si="314"/>
        <v>972</v>
      </c>
      <c r="ADB17" s="68">
        <f t="shared" si="315"/>
        <v>162</v>
      </c>
      <c r="ADC17" s="48"/>
      <c r="ADD17" s="49">
        <v>800</v>
      </c>
      <c r="ADE17" s="49"/>
      <c r="ADF17" s="49"/>
      <c r="ADG17" s="49"/>
      <c r="ADH17" s="49"/>
      <c r="ADI17" s="67">
        <f t="shared" si="316"/>
        <v>800</v>
      </c>
      <c r="ADJ17" s="68">
        <f t="shared" si="317"/>
        <v>133.33333333333334</v>
      </c>
      <c r="ADK17" s="48">
        <v>790</v>
      </c>
      <c r="ADL17" s="49"/>
      <c r="ADM17" s="49"/>
      <c r="ADN17" s="49">
        <v>343</v>
      </c>
      <c r="ADO17" s="49"/>
      <c r="ADP17" s="49"/>
      <c r="ADQ17" s="67">
        <f t="shared" si="318"/>
        <v>1133</v>
      </c>
      <c r="ADR17" s="68">
        <f t="shared" si="319"/>
        <v>188.83333333333334</v>
      </c>
      <c r="ADS17" s="48"/>
      <c r="ADT17" s="49">
        <v>959</v>
      </c>
      <c r="ADU17" s="49"/>
      <c r="ADV17" s="49"/>
      <c r="ADW17" s="49"/>
      <c r="ADX17" s="49"/>
      <c r="ADY17" s="67">
        <f t="shared" si="320"/>
        <v>959</v>
      </c>
      <c r="ADZ17" s="68">
        <f t="shared" si="321"/>
        <v>159.83333333333334</v>
      </c>
      <c r="AEA17" s="48"/>
      <c r="AEB17" s="49">
        <v>958</v>
      </c>
      <c r="AEC17" s="49"/>
      <c r="AED17" s="49"/>
      <c r="AEE17" s="49">
        <v>439</v>
      </c>
      <c r="AEF17" s="49"/>
      <c r="AEG17" s="67">
        <f t="shared" si="322"/>
        <v>1397</v>
      </c>
      <c r="AEH17" s="68">
        <f t="shared" si="323"/>
        <v>232.83333333333334</v>
      </c>
      <c r="AEI17" s="48"/>
      <c r="AEJ17" s="49">
        <v>790</v>
      </c>
      <c r="AEK17" s="49"/>
      <c r="AEL17" s="49"/>
      <c r="AEM17" s="49">
        <v>401</v>
      </c>
      <c r="AEN17" s="49"/>
      <c r="AEO17" s="67">
        <f t="shared" si="324"/>
        <v>1191</v>
      </c>
      <c r="AEP17" s="68">
        <f t="shared" si="325"/>
        <v>198.5</v>
      </c>
      <c r="AEQ17" s="48"/>
      <c r="AER17" s="49">
        <v>903</v>
      </c>
      <c r="AES17" s="49"/>
      <c r="AET17" s="49">
        <v>437</v>
      </c>
      <c r="AEU17" s="49"/>
      <c r="AEV17" s="49"/>
      <c r="AEW17" s="67">
        <f t="shared" si="326"/>
        <v>1340</v>
      </c>
      <c r="AEX17" s="68">
        <f t="shared" si="327"/>
        <v>223.33333333333334</v>
      </c>
      <c r="AEY17" s="48"/>
      <c r="AEZ17" s="49"/>
      <c r="AFA17" s="49"/>
      <c r="AFB17" s="49">
        <v>289</v>
      </c>
      <c r="AFC17" s="49"/>
      <c r="AFD17" s="49">
        <v>438</v>
      </c>
      <c r="AFE17" s="67">
        <f t="shared" si="328"/>
        <v>727</v>
      </c>
      <c r="AFF17" s="68">
        <f t="shared" si="329"/>
        <v>121.16666666666667</v>
      </c>
      <c r="AFG17" s="48"/>
      <c r="AFH17" s="49"/>
      <c r="AFI17" s="49">
        <v>701</v>
      </c>
      <c r="AFJ17" s="49"/>
      <c r="AFK17" s="49"/>
      <c r="AFL17" s="49">
        <v>629</v>
      </c>
      <c r="AFM17" s="67">
        <f t="shared" si="330"/>
        <v>1330</v>
      </c>
      <c r="AFN17" s="68">
        <f t="shared" si="331"/>
        <v>221.66666666666666</v>
      </c>
      <c r="AFO17" s="48"/>
      <c r="AFP17" s="49">
        <v>965</v>
      </c>
      <c r="AFQ17" s="49"/>
      <c r="AFR17" s="49"/>
      <c r="AFS17" s="49"/>
      <c r="AFT17" s="49"/>
      <c r="AFU17" s="67">
        <f t="shared" si="332"/>
        <v>965</v>
      </c>
      <c r="AFV17" s="68">
        <f t="shared" si="333"/>
        <v>160.83333333333334</v>
      </c>
      <c r="AFW17" s="48"/>
      <c r="AFX17" s="49">
        <v>852</v>
      </c>
      <c r="AFY17" s="49"/>
      <c r="AFZ17" s="49"/>
      <c r="AGA17" s="49"/>
      <c r="AGB17" s="49">
        <v>457</v>
      </c>
      <c r="AGC17" s="67">
        <f t="shared" si="334"/>
        <v>1309</v>
      </c>
      <c r="AGD17" s="68">
        <f t="shared" si="335"/>
        <v>218.16666666666666</v>
      </c>
      <c r="AGE17" s="48">
        <v>550</v>
      </c>
      <c r="AGF17" s="49"/>
      <c r="AGG17" s="49"/>
      <c r="AGH17" s="49">
        <v>900</v>
      </c>
      <c r="AGI17" s="49"/>
      <c r="AGJ17" s="49"/>
      <c r="AGK17" s="67">
        <f t="shared" si="336"/>
        <v>1450</v>
      </c>
      <c r="AGL17" s="68">
        <f t="shared" si="337"/>
        <v>241.66666666666666</v>
      </c>
      <c r="AGM17" s="48"/>
      <c r="AGN17" s="49">
        <v>417</v>
      </c>
      <c r="AGO17" s="49"/>
      <c r="AGP17" s="49"/>
      <c r="AGQ17" s="49"/>
      <c r="AGR17" s="49"/>
      <c r="AGS17" s="49"/>
      <c r="AGT17" s="67">
        <f t="shared" si="338"/>
        <v>417</v>
      </c>
      <c r="AGU17" s="68">
        <f t="shared" si="339"/>
        <v>69.5</v>
      </c>
      <c r="AGV17" s="48"/>
      <c r="AGW17" s="49">
        <v>999</v>
      </c>
      <c r="AGX17" s="49">
        <v>220</v>
      </c>
      <c r="AGY17" s="49"/>
      <c r="AGZ17" s="49"/>
      <c r="AHA17" s="49">
        <v>700</v>
      </c>
      <c r="AHB17" s="67">
        <f t="shared" si="340"/>
        <v>1919</v>
      </c>
      <c r="AHC17" s="68">
        <f t="shared" si="341"/>
        <v>66.172413793103445</v>
      </c>
      <c r="AHD17" s="48">
        <v>99</v>
      </c>
      <c r="AHE17" s="49"/>
      <c r="AHF17" s="49"/>
      <c r="AHG17" s="49"/>
      <c r="AHH17" s="49"/>
      <c r="AHI17" s="49"/>
      <c r="AHJ17" s="67">
        <f t="shared" si="342"/>
        <v>99</v>
      </c>
      <c r="AHK17" s="68">
        <f t="shared" si="343"/>
        <v>3.4137931034482758</v>
      </c>
      <c r="AHL17" s="48"/>
      <c r="AHM17" s="49"/>
      <c r="AHN17" s="49">
        <v>219</v>
      </c>
      <c r="AHO17" s="49"/>
      <c r="AHP17" s="49"/>
      <c r="AHQ17" s="49"/>
      <c r="AHR17" s="67">
        <f t="shared" si="344"/>
        <v>219</v>
      </c>
      <c r="AHS17" s="68">
        <f t="shared" si="345"/>
        <v>7.5517241379310347</v>
      </c>
      <c r="AHT17" s="48">
        <v>916</v>
      </c>
      <c r="AHU17" s="49"/>
      <c r="AHV17" s="49">
        <v>396</v>
      </c>
      <c r="AHW17" s="49"/>
      <c r="AHX17" s="49"/>
      <c r="AHY17" s="49"/>
      <c r="AHZ17" s="67">
        <f t="shared" si="346"/>
        <v>1312</v>
      </c>
      <c r="AIA17" s="68">
        <f t="shared" si="347"/>
        <v>45.241379310344826</v>
      </c>
      <c r="AIB17" s="48"/>
      <c r="AIC17" s="49">
        <v>896</v>
      </c>
      <c r="AID17" s="49"/>
      <c r="AIE17" s="49"/>
      <c r="AIF17" s="49"/>
      <c r="AIG17" s="49">
        <v>443</v>
      </c>
      <c r="AIH17" s="67">
        <f t="shared" si="348"/>
        <v>1339</v>
      </c>
      <c r="AII17" s="68">
        <f t="shared" si="349"/>
        <v>46.172413793103445</v>
      </c>
      <c r="AIJ17" s="48"/>
      <c r="AIK17" s="49"/>
      <c r="AIL17" s="49">
        <v>199</v>
      </c>
      <c r="AIM17" s="49"/>
      <c r="AIN17" s="49">
        <v>661</v>
      </c>
      <c r="AIO17" s="49"/>
      <c r="AIP17" s="67">
        <f t="shared" si="350"/>
        <v>860</v>
      </c>
      <c r="AIQ17" s="68">
        <f t="shared" si="351"/>
        <v>29.655172413793103</v>
      </c>
      <c r="AIR17" s="48"/>
      <c r="AIS17" s="49"/>
      <c r="AIT17" s="49">
        <v>862</v>
      </c>
      <c r="AIU17" s="49"/>
      <c r="AIV17" s="49"/>
      <c r="AIW17" s="49"/>
      <c r="AIX17" s="67">
        <f t="shared" si="352"/>
        <v>862</v>
      </c>
      <c r="AIY17" s="68">
        <f t="shared" si="353"/>
        <v>29.724137931034484</v>
      </c>
      <c r="AIZ17" s="48"/>
      <c r="AJA17" s="49"/>
      <c r="AJB17" s="49">
        <v>834</v>
      </c>
      <c r="AJC17" s="49"/>
      <c r="AJD17" s="49"/>
      <c r="AJE17" s="49"/>
      <c r="AJF17" s="67">
        <f t="shared" si="354"/>
        <v>834</v>
      </c>
      <c r="AJG17" s="68">
        <f t="shared" si="355"/>
        <v>28.758620689655171</v>
      </c>
      <c r="AJH17" s="48"/>
      <c r="AJI17" s="49">
        <v>867</v>
      </c>
      <c r="AJJ17" s="49"/>
      <c r="AJK17" s="49"/>
      <c r="AJL17" s="49"/>
      <c r="AJM17" s="49"/>
      <c r="AJN17" s="42">
        <f t="shared" si="356"/>
        <v>867</v>
      </c>
      <c r="AJO17" s="43">
        <f t="shared" si="357"/>
        <v>29.896551724137932</v>
      </c>
      <c r="AJP17" s="48">
        <v>633</v>
      </c>
      <c r="AJQ17" s="49"/>
      <c r="AJR17" s="49"/>
      <c r="AJS17" s="49"/>
      <c r="AJT17" s="49">
        <v>873</v>
      </c>
      <c r="AJU17" s="49"/>
      <c r="AJV17" s="42">
        <f t="shared" si="358"/>
        <v>1506</v>
      </c>
      <c r="AJW17" s="43">
        <f t="shared" si="359"/>
        <v>51.931034482758619</v>
      </c>
      <c r="AJX17" s="48"/>
      <c r="AJY17" s="49"/>
      <c r="AJZ17" s="49"/>
      <c r="AKA17" s="49">
        <v>797</v>
      </c>
      <c r="AKB17" s="49"/>
      <c r="AKC17" s="49"/>
      <c r="AKD17" s="67">
        <f t="shared" si="360"/>
        <v>797</v>
      </c>
      <c r="AKE17" s="68">
        <f t="shared" si="361"/>
        <v>27.482758620689655</v>
      </c>
      <c r="AKF17" s="48">
        <v>707</v>
      </c>
      <c r="AKG17" s="49"/>
      <c r="AKH17" s="49"/>
      <c r="AKI17" s="49"/>
      <c r="AKJ17" s="49">
        <v>220</v>
      </c>
      <c r="AKK17" s="49"/>
      <c r="AKL17" s="67">
        <f t="shared" si="362"/>
        <v>927</v>
      </c>
      <c r="AKM17" s="184">
        <f t="shared" si="363"/>
        <v>154.5</v>
      </c>
      <c r="AKN17" s="195">
        <v>405</v>
      </c>
      <c r="AKO17" s="49"/>
      <c r="AKP17" s="49"/>
      <c r="AKQ17" s="49">
        <v>548</v>
      </c>
      <c r="AKR17" s="49"/>
      <c r="AKS17" s="49">
        <v>1071</v>
      </c>
      <c r="AKT17" s="67">
        <f t="shared" si="364"/>
        <v>2024</v>
      </c>
      <c r="AKU17" s="184">
        <f t="shared" si="365"/>
        <v>337.33333333333331</v>
      </c>
      <c r="AKV17" s="48"/>
      <c r="AKW17" s="49"/>
      <c r="AKX17" s="49">
        <v>553</v>
      </c>
      <c r="AKY17" s="49"/>
      <c r="AKZ17" s="49"/>
      <c r="ALA17" s="49"/>
      <c r="ALB17" s="67">
        <f t="shared" si="366"/>
        <v>553</v>
      </c>
      <c r="ALC17" s="68">
        <f t="shared" si="367"/>
        <v>92.166666666666671</v>
      </c>
      <c r="ALD17" s="48">
        <v>400</v>
      </c>
      <c r="ALE17" s="49"/>
      <c r="ALF17" s="49">
        <v>848</v>
      </c>
      <c r="ALG17" s="49"/>
      <c r="ALH17" s="49">
        <v>898</v>
      </c>
      <c r="ALI17" s="49"/>
      <c r="ALJ17" s="67">
        <f t="shared" si="368"/>
        <v>2146</v>
      </c>
      <c r="ALK17" s="68">
        <f t="shared" si="369"/>
        <v>357.66666666666669</v>
      </c>
      <c r="ALL17" s="48"/>
      <c r="ALM17" s="49"/>
      <c r="ALN17" s="49"/>
      <c r="ALO17" s="49"/>
      <c r="ALP17" s="49"/>
      <c r="ALQ17" s="49">
        <v>803</v>
      </c>
      <c r="ALR17" s="67">
        <f t="shared" si="370"/>
        <v>803</v>
      </c>
      <c r="ALS17" s="68">
        <f t="shared" si="371"/>
        <v>133.83333333333334</v>
      </c>
      <c r="ALT17" s="48"/>
      <c r="ALU17" s="49"/>
      <c r="ALV17" s="49"/>
      <c r="ALW17" s="49"/>
      <c r="ALX17" s="49"/>
      <c r="ALY17" s="49"/>
      <c r="ALZ17" s="67">
        <f t="shared" si="372"/>
        <v>0</v>
      </c>
      <c r="AMA17" s="68">
        <f t="shared" si="373"/>
        <v>0</v>
      </c>
      <c r="AMB17" s="48"/>
      <c r="AMC17" s="49">
        <v>856</v>
      </c>
      <c r="AMD17" s="49">
        <v>447</v>
      </c>
      <c r="AME17" s="49"/>
      <c r="AMF17" s="49"/>
      <c r="AMG17" s="49"/>
      <c r="AMH17" s="67">
        <f t="shared" si="374"/>
        <v>1303</v>
      </c>
      <c r="AMI17" s="68">
        <f t="shared" si="375"/>
        <v>217.16666666666666</v>
      </c>
      <c r="AMJ17" s="48"/>
      <c r="AMK17" s="49">
        <v>688</v>
      </c>
      <c r="AML17" s="49"/>
      <c r="AMM17" s="49"/>
      <c r="AMN17" s="49">
        <v>403</v>
      </c>
      <c r="AMO17" s="49"/>
      <c r="AMP17" s="67">
        <f t="shared" si="376"/>
        <v>1091</v>
      </c>
      <c r="AMQ17" s="68">
        <f t="shared" si="377"/>
        <v>181.83333333333334</v>
      </c>
      <c r="AMR17" s="48"/>
      <c r="AMS17" s="49"/>
      <c r="AMT17" s="49">
        <v>857</v>
      </c>
      <c r="AMU17" s="49"/>
      <c r="AMV17" s="49"/>
      <c r="AMW17" s="49"/>
      <c r="AMX17" s="67">
        <f t="shared" si="378"/>
        <v>857</v>
      </c>
      <c r="AMY17" s="68">
        <f t="shared" si="379"/>
        <v>142.83333333333334</v>
      </c>
      <c r="AMZ17" s="48">
        <v>1323</v>
      </c>
      <c r="ANA17" s="49"/>
      <c r="ANB17" s="49"/>
      <c r="ANC17" s="49"/>
      <c r="AND17" s="49"/>
      <c r="ANE17" s="49"/>
      <c r="ANF17" s="67">
        <f t="shared" si="380"/>
        <v>1323</v>
      </c>
      <c r="ANG17" s="68">
        <f t="shared" si="381"/>
        <v>220.5</v>
      </c>
      <c r="ANH17" s="48"/>
      <c r="ANI17" s="49"/>
      <c r="ANJ17" s="49">
        <v>799</v>
      </c>
      <c r="ANK17" s="49">
        <v>439</v>
      </c>
      <c r="ANL17" s="49">
        <v>439</v>
      </c>
      <c r="ANM17" s="49"/>
      <c r="ANN17" s="67">
        <f t="shared" si="382"/>
        <v>1677</v>
      </c>
      <c r="ANO17" s="68">
        <f t="shared" si="383"/>
        <v>279.5</v>
      </c>
      <c r="ANP17" s="48"/>
      <c r="ANQ17" s="49"/>
      <c r="ANR17" s="49"/>
      <c r="ANS17" s="49"/>
      <c r="ANT17" s="49"/>
      <c r="ANU17" s="49"/>
      <c r="ANV17" s="67">
        <f t="shared" si="384"/>
        <v>0</v>
      </c>
      <c r="ANW17" s="68">
        <f t="shared" si="385"/>
        <v>0</v>
      </c>
      <c r="ANX17" s="82">
        <v>899</v>
      </c>
      <c r="ANY17" s="83"/>
      <c r="ANZ17" s="83"/>
      <c r="AOA17" s="83">
        <v>1000</v>
      </c>
      <c r="AOB17" s="83"/>
      <c r="AOC17" s="83"/>
      <c r="AOD17" s="67">
        <f t="shared" si="386"/>
        <v>1899</v>
      </c>
      <c r="AOE17" s="68">
        <f t="shared" si="387"/>
        <v>316.5</v>
      </c>
      <c r="AOF17" s="48"/>
      <c r="AOG17" s="49"/>
      <c r="AOH17" s="49"/>
      <c r="AOI17" s="49"/>
      <c r="AOJ17" s="49">
        <v>447</v>
      </c>
      <c r="AOK17" s="49"/>
      <c r="AOL17" s="67">
        <f t="shared" si="388"/>
        <v>447</v>
      </c>
      <c r="AOM17" s="68">
        <f t="shared" si="389"/>
        <v>74.5</v>
      </c>
      <c r="AON17" s="48">
        <v>397</v>
      </c>
      <c r="AOO17" s="49">
        <v>442</v>
      </c>
      <c r="AOP17" s="49"/>
      <c r="AOQ17" s="49"/>
      <c r="AOR17" s="49"/>
      <c r="AOS17" s="49"/>
      <c r="AOT17" s="67">
        <f t="shared" si="390"/>
        <v>839</v>
      </c>
      <c r="AOU17" s="68">
        <f t="shared" si="391"/>
        <v>139.83333333333334</v>
      </c>
      <c r="AOV17" s="48"/>
      <c r="AOW17" s="49"/>
      <c r="AOX17" s="49">
        <v>1054</v>
      </c>
      <c r="AOY17" s="49">
        <v>527</v>
      </c>
      <c r="AOZ17" s="49"/>
      <c r="APA17" s="49"/>
      <c r="APB17" s="67">
        <f t="shared" si="392"/>
        <v>1581</v>
      </c>
      <c r="APC17" s="68">
        <f t="shared" si="393"/>
        <v>263.5</v>
      </c>
      <c r="APD17" s="48"/>
      <c r="APE17" s="49"/>
      <c r="APF17" s="49"/>
      <c r="APG17" s="49">
        <v>798</v>
      </c>
      <c r="APH17" s="49">
        <v>12</v>
      </c>
      <c r="API17" s="49"/>
      <c r="APJ17" s="67">
        <f t="shared" si="394"/>
        <v>810</v>
      </c>
      <c r="APK17" s="68">
        <f t="shared" si="395"/>
        <v>135</v>
      </c>
      <c r="APL17" s="48"/>
      <c r="APM17" s="49"/>
      <c r="APN17" s="49">
        <v>438</v>
      </c>
      <c r="APO17" s="49"/>
      <c r="APP17" s="49"/>
      <c r="APQ17" s="49">
        <v>723</v>
      </c>
      <c r="APR17" s="67">
        <f t="shared" si="396"/>
        <v>1161</v>
      </c>
      <c r="APS17" s="68">
        <f t="shared" si="397"/>
        <v>193.5</v>
      </c>
      <c r="APT17" s="48"/>
      <c r="APU17" s="49"/>
      <c r="APV17" s="49">
        <v>1061</v>
      </c>
      <c r="APW17" s="49"/>
      <c r="APX17" s="49"/>
      <c r="APY17" s="49"/>
      <c r="APZ17" s="67">
        <f t="shared" si="398"/>
        <v>1061</v>
      </c>
      <c r="AQA17" s="68">
        <f t="shared" si="399"/>
        <v>176.83333333333334</v>
      </c>
      <c r="AQB17" s="48"/>
      <c r="AQC17" s="49"/>
      <c r="AQD17" s="49"/>
      <c r="AQE17" s="49"/>
      <c r="AQF17" s="49">
        <v>843</v>
      </c>
      <c r="AQG17" s="49">
        <v>439</v>
      </c>
      <c r="AQH17" s="67">
        <f t="shared" si="400"/>
        <v>1282</v>
      </c>
      <c r="AQI17" s="68">
        <f t="shared" si="401"/>
        <v>213.66666666666666</v>
      </c>
      <c r="AQJ17" s="48"/>
      <c r="AQK17" s="49"/>
      <c r="AQL17" s="49"/>
      <c r="AQM17" s="49">
        <v>865</v>
      </c>
      <c r="AQN17" s="49"/>
      <c r="AQO17" s="49"/>
      <c r="AQP17" s="67">
        <f t="shared" si="402"/>
        <v>865</v>
      </c>
      <c r="AQQ17" s="68">
        <f t="shared" si="403"/>
        <v>144.16666666666666</v>
      </c>
      <c r="AQR17" s="48">
        <v>220</v>
      </c>
      <c r="AQS17" s="49"/>
      <c r="AQT17" s="49"/>
      <c r="AQU17" s="49"/>
      <c r="AQV17" s="49"/>
      <c r="AQW17" s="49"/>
      <c r="AQX17" s="67">
        <f t="shared" si="404"/>
        <v>220</v>
      </c>
      <c r="AQY17" s="68">
        <f t="shared" si="405"/>
        <v>36.666666666666664</v>
      </c>
      <c r="AQZ17" s="48"/>
      <c r="ARA17" s="49"/>
      <c r="ARB17" s="49"/>
      <c r="ARC17" s="49"/>
      <c r="ARD17" s="49">
        <v>336</v>
      </c>
      <c r="ARE17" s="49"/>
      <c r="ARF17" s="67">
        <f t="shared" si="406"/>
        <v>336</v>
      </c>
      <c r="ARG17" s="68">
        <f t="shared" si="407"/>
        <v>56</v>
      </c>
      <c r="ARH17" s="48"/>
      <c r="ARI17" s="49">
        <v>581</v>
      </c>
      <c r="ARJ17" s="49"/>
      <c r="ARK17" s="49">
        <v>450</v>
      </c>
      <c r="ARL17" s="49"/>
      <c r="ARM17" s="49"/>
      <c r="ARN17" s="67">
        <f t="shared" si="408"/>
        <v>1031</v>
      </c>
      <c r="ARO17" s="68">
        <f t="shared" si="409"/>
        <v>171.83333333333334</v>
      </c>
      <c r="ARP17" s="48"/>
      <c r="ARQ17" s="49"/>
      <c r="ARR17" s="49">
        <v>897</v>
      </c>
      <c r="ARS17" s="49"/>
      <c r="ART17" s="49"/>
      <c r="ARU17" s="49"/>
      <c r="ARV17" s="67">
        <f t="shared" si="410"/>
        <v>897</v>
      </c>
      <c r="ARW17" s="68">
        <f t="shared" si="411"/>
        <v>149.5</v>
      </c>
      <c r="ARX17" s="48"/>
      <c r="ARY17" s="49"/>
      <c r="ARZ17" s="49"/>
      <c r="ASA17" s="49">
        <v>426</v>
      </c>
      <c r="ASB17" s="49"/>
      <c r="ASC17" s="49">
        <v>401</v>
      </c>
      <c r="ASD17" s="67">
        <f t="shared" si="412"/>
        <v>827</v>
      </c>
      <c r="ASE17" s="68">
        <f t="shared" si="413"/>
        <v>137.83333333333334</v>
      </c>
      <c r="ASF17" s="48">
        <v>443</v>
      </c>
      <c r="ASG17" s="49"/>
      <c r="ASH17" s="49"/>
      <c r="ASI17" s="49"/>
      <c r="ASJ17" s="49">
        <v>582</v>
      </c>
      <c r="ASK17" s="49"/>
      <c r="ASL17" s="67">
        <f t="shared" si="414"/>
        <v>1025</v>
      </c>
      <c r="ASM17" s="68">
        <f t="shared" si="415"/>
        <v>170.83333333333334</v>
      </c>
      <c r="ASN17" s="48"/>
      <c r="ASO17" s="49">
        <v>446</v>
      </c>
      <c r="ASP17" s="49"/>
      <c r="ASQ17" s="49">
        <v>454</v>
      </c>
      <c r="ASR17" s="49"/>
      <c r="ASS17" s="49"/>
      <c r="AST17" s="67">
        <f t="shared" si="416"/>
        <v>900</v>
      </c>
      <c r="ASU17" s="68">
        <f t="shared" si="417"/>
        <v>150</v>
      </c>
      <c r="ASV17" s="48"/>
      <c r="ASW17" s="49"/>
      <c r="ASX17" s="49"/>
      <c r="ASY17" s="49"/>
      <c r="ASZ17" s="49"/>
      <c r="ATA17" s="49">
        <v>874</v>
      </c>
      <c r="ATB17" s="67">
        <f t="shared" si="418"/>
        <v>874</v>
      </c>
      <c r="ATC17" s="68">
        <f t="shared" si="419"/>
        <v>145.66666666666666</v>
      </c>
      <c r="ATD17" s="48"/>
      <c r="ATE17" s="49"/>
      <c r="ATF17" s="49"/>
      <c r="ATG17" s="49"/>
      <c r="ATH17" s="49">
        <v>440</v>
      </c>
      <c r="ATI17" s="49"/>
      <c r="ATJ17" s="67">
        <f t="shared" si="420"/>
        <v>440</v>
      </c>
      <c r="ATK17" s="68">
        <f t="shared" si="421"/>
        <v>73.333333333333329</v>
      </c>
      <c r="ATL17" s="48"/>
      <c r="ATM17" s="49"/>
      <c r="ATN17" s="49"/>
      <c r="ATO17" s="49"/>
      <c r="ATP17" s="49"/>
      <c r="ATQ17" s="49"/>
      <c r="ATR17" s="67">
        <f t="shared" si="422"/>
        <v>0</v>
      </c>
      <c r="ATS17" s="68">
        <f t="shared" si="423"/>
        <v>0</v>
      </c>
      <c r="ATT17" s="48"/>
      <c r="ATU17" s="49"/>
      <c r="ATV17" s="49"/>
      <c r="ATW17" s="49">
        <v>120</v>
      </c>
      <c r="ATX17" s="49">
        <v>1214</v>
      </c>
      <c r="ATY17" s="49"/>
      <c r="ATZ17" s="67">
        <f t="shared" si="424"/>
        <v>1334</v>
      </c>
      <c r="AUA17" s="68">
        <f t="shared" si="425"/>
        <v>222.33333333333334</v>
      </c>
      <c r="AUB17" s="48"/>
      <c r="AUC17" s="49"/>
      <c r="AUD17" s="49"/>
      <c r="AUE17" s="49"/>
      <c r="AUF17" s="49"/>
      <c r="AUG17" s="49"/>
      <c r="AUH17" s="67">
        <f t="shared" si="426"/>
        <v>0</v>
      </c>
      <c r="AUI17" s="68">
        <f t="shared" si="427"/>
        <v>0</v>
      </c>
      <c r="AUJ17" s="48"/>
      <c r="AUK17" s="49"/>
      <c r="AUL17" s="49"/>
      <c r="AUM17" s="49">
        <v>56</v>
      </c>
      <c r="AUN17" s="49">
        <v>495</v>
      </c>
      <c r="AUO17" s="49"/>
      <c r="AUP17" s="67">
        <f t="shared" si="428"/>
        <v>551</v>
      </c>
      <c r="AUQ17" s="68">
        <f t="shared" si="429"/>
        <v>91.833333333333329</v>
      </c>
      <c r="AUR17" s="48"/>
      <c r="AUS17" s="49">
        <v>473</v>
      </c>
      <c r="AUT17" s="49"/>
      <c r="AUU17" s="49"/>
      <c r="AUV17" s="49">
        <v>360</v>
      </c>
      <c r="AUW17" s="49"/>
      <c r="AUX17" s="67">
        <f t="shared" si="430"/>
        <v>833</v>
      </c>
      <c r="AUY17" s="68">
        <f t="shared" si="431"/>
        <v>138.83333333333334</v>
      </c>
      <c r="AUZ17" s="48"/>
      <c r="AVA17" s="49"/>
      <c r="AVB17" s="49"/>
      <c r="AVC17" s="49"/>
      <c r="AVD17" s="49">
        <v>877</v>
      </c>
      <c r="AVE17" s="49"/>
      <c r="AVF17" s="67">
        <f t="shared" si="432"/>
        <v>877</v>
      </c>
      <c r="AVG17" s="68">
        <f t="shared" si="433"/>
        <v>146.16666666666666</v>
      </c>
      <c r="AVH17" s="48"/>
      <c r="AVI17" s="49"/>
      <c r="AVJ17" s="49">
        <v>524</v>
      </c>
      <c r="AVK17" s="49"/>
      <c r="AVL17" s="49"/>
      <c r="AVM17" s="49"/>
      <c r="AVN17" s="67">
        <f t="shared" si="434"/>
        <v>524</v>
      </c>
      <c r="AVO17" s="68">
        <f t="shared" si="435"/>
        <v>87.333333333333329</v>
      </c>
      <c r="AVP17" s="48">
        <v>220</v>
      </c>
      <c r="AVQ17" s="49"/>
      <c r="AVR17" s="49"/>
      <c r="AVS17" s="49">
        <v>3</v>
      </c>
      <c r="AVT17" s="49"/>
      <c r="AVU17" s="49"/>
      <c r="AVV17" s="67">
        <f t="shared" si="436"/>
        <v>223</v>
      </c>
      <c r="AVW17" s="68">
        <f t="shared" si="437"/>
        <v>37.166666666666664</v>
      </c>
      <c r="AVX17" s="48"/>
      <c r="AVY17" s="49">
        <v>890</v>
      </c>
      <c r="AVZ17" s="49"/>
      <c r="AWA17" s="49"/>
      <c r="AWB17" s="49"/>
      <c r="AWC17" s="49"/>
      <c r="AWD17" s="67">
        <f t="shared" si="438"/>
        <v>890</v>
      </c>
      <c r="AWE17" s="68">
        <f t="shared" si="439"/>
        <v>148.33333333333334</v>
      </c>
      <c r="AWF17" s="48"/>
      <c r="AWG17" s="49"/>
      <c r="AWH17" s="49">
        <v>439</v>
      </c>
      <c r="AWI17" s="49"/>
      <c r="AWJ17" s="49">
        <v>286</v>
      </c>
      <c r="AWK17" s="49"/>
      <c r="AWL17" s="67">
        <f t="shared" si="440"/>
        <v>725</v>
      </c>
      <c r="AWM17" s="68">
        <f t="shared" si="441"/>
        <v>120.83333333333333</v>
      </c>
      <c r="AWN17" s="48"/>
      <c r="AWO17" s="49"/>
      <c r="AWP17" s="49">
        <v>468</v>
      </c>
      <c r="AWQ17" s="49"/>
      <c r="AWR17" s="49">
        <v>430</v>
      </c>
      <c r="AWS17" s="49"/>
      <c r="AWT17" s="42">
        <f t="shared" si="442"/>
        <v>898</v>
      </c>
      <c r="AWU17" s="43">
        <f t="shared" si="443"/>
        <v>149.66666666666666</v>
      </c>
      <c r="AWV17" s="48"/>
      <c r="AWW17" s="49">
        <v>428</v>
      </c>
      <c r="AWX17" s="49"/>
      <c r="AWY17" s="49"/>
      <c r="AWZ17" s="49"/>
      <c r="AXA17" s="49"/>
      <c r="AXB17" s="42">
        <f t="shared" si="444"/>
        <v>428</v>
      </c>
      <c r="AXC17" s="43">
        <f t="shared" si="445"/>
        <v>71.333333333333329</v>
      </c>
      <c r="AXD17" s="48"/>
      <c r="AXE17" s="49">
        <v>668</v>
      </c>
      <c r="AXF17" s="49"/>
      <c r="AXG17" s="49"/>
      <c r="AXH17" s="49">
        <v>374</v>
      </c>
      <c r="AXI17" s="49"/>
      <c r="AXJ17" s="42">
        <f t="shared" si="446"/>
        <v>1042</v>
      </c>
      <c r="AXK17" s="43">
        <f t="shared" si="447"/>
        <v>173.66666666666666</v>
      </c>
      <c r="AXL17" s="48"/>
      <c r="AXM17" s="49">
        <v>548</v>
      </c>
      <c r="AXN17" s="49"/>
      <c r="AXO17" s="49"/>
      <c r="AXP17" s="49"/>
      <c r="AXQ17" s="49"/>
      <c r="AXR17" s="42">
        <f t="shared" si="448"/>
        <v>548</v>
      </c>
      <c r="AXS17" s="43">
        <f t="shared" si="449"/>
        <v>91.333333333333329</v>
      </c>
      <c r="AXT17" s="48"/>
      <c r="AXU17" s="49"/>
      <c r="AXV17" s="49">
        <v>485</v>
      </c>
      <c r="AXW17" s="49"/>
      <c r="AXX17" s="49"/>
      <c r="AXY17" s="49"/>
      <c r="AXZ17" s="42">
        <f t="shared" si="450"/>
        <v>485</v>
      </c>
      <c r="AYA17" s="43">
        <f t="shared" si="451"/>
        <v>80.833333333333329</v>
      </c>
      <c r="AYB17" s="48"/>
      <c r="AYC17" s="49">
        <v>440</v>
      </c>
      <c r="AYD17" s="49"/>
      <c r="AYE17" s="49"/>
      <c r="AYF17" s="49">
        <v>414</v>
      </c>
      <c r="AYG17" s="49"/>
      <c r="AYH17" s="42">
        <f t="shared" si="452"/>
        <v>854</v>
      </c>
      <c r="AYI17" s="43">
        <f t="shared" si="453"/>
        <v>142.33333333333334</v>
      </c>
      <c r="AYJ17" s="48"/>
      <c r="AYK17" s="49"/>
      <c r="AYL17" s="49"/>
      <c r="AYM17" s="49">
        <v>887</v>
      </c>
      <c r="AYN17" s="49"/>
      <c r="AYO17" s="49"/>
      <c r="AYP17" s="42">
        <f t="shared" si="454"/>
        <v>887</v>
      </c>
      <c r="AYQ17" s="43">
        <f t="shared" si="455"/>
        <v>147.83333333333334</v>
      </c>
      <c r="AYR17" s="48"/>
      <c r="AYS17" s="49"/>
      <c r="AYT17" s="49"/>
      <c r="AYU17" s="49"/>
      <c r="AYV17" s="49"/>
      <c r="AYW17" s="49"/>
      <c r="AYX17" s="42">
        <f t="shared" si="456"/>
        <v>0</v>
      </c>
      <c r="AYY17" s="43">
        <f t="shared" si="457"/>
        <v>0</v>
      </c>
      <c r="AYZ17" s="48">
        <v>904</v>
      </c>
      <c r="AZA17" s="49"/>
      <c r="AZB17" s="49"/>
      <c r="AZC17" s="49"/>
      <c r="AZD17" s="49"/>
      <c r="AZE17" s="49"/>
      <c r="AZF17" s="42">
        <f t="shared" si="458"/>
        <v>904</v>
      </c>
      <c r="AZG17" s="43">
        <f t="shared" si="459"/>
        <v>150.66666666666666</v>
      </c>
      <c r="AZH17" s="48">
        <v>356</v>
      </c>
      <c r="AZI17" s="49"/>
      <c r="AZJ17" s="49"/>
      <c r="AZK17" s="49"/>
      <c r="AZL17" s="49"/>
      <c r="AZM17" s="49"/>
      <c r="AZN17" s="42">
        <f t="shared" si="460"/>
        <v>356</v>
      </c>
      <c r="AZO17" s="43">
        <f t="shared" si="461"/>
        <v>59.333333333333336</v>
      </c>
      <c r="AZP17" s="48"/>
      <c r="AZQ17" s="49">
        <v>674</v>
      </c>
      <c r="AZR17" s="49"/>
      <c r="AZS17" s="49"/>
      <c r="AZT17" s="49">
        <v>227</v>
      </c>
      <c r="AZU17" s="49"/>
      <c r="AZV17" s="42">
        <f t="shared" si="462"/>
        <v>901</v>
      </c>
      <c r="AZW17" s="43">
        <f t="shared" si="463"/>
        <v>150.16666666666666</v>
      </c>
      <c r="AZX17" s="82">
        <v>387</v>
      </c>
      <c r="AZY17" s="83"/>
      <c r="AZZ17" s="83"/>
      <c r="BAA17" s="83">
        <v>604</v>
      </c>
      <c r="BAB17" s="83"/>
      <c r="BAC17" s="83"/>
      <c r="BAD17" s="42">
        <f t="shared" si="464"/>
        <v>991</v>
      </c>
      <c r="BAE17" s="43">
        <f t="shared" si="465"/>
        <v>165.16666666666666</v>
      </c>
      <c r="BAF17" s="48"/>
      <c r="BAG17" s="49">
        <v>659</v>
      </c>
      <c r="BAH17" s="49"/>
      <c r="BAI17" s="49"/>
      <c r="BAJ17" s="49"/>
      <c r="BAK17" s="49"/>
      <c r="BAL17" s="42">
        <f t="shared" si="466"/>
        <v>659</v>
      </c>
      <c r="BAM17" s="43">
        <f t="shared" si="467"/>
        <v>109.83333333333333</v>
      </c>
      <c r="BAN17" s="48"/>
      <c r="BAO17" s="49"/>
      <c r="BAP17" s="49"/>
      <c r="BAQ17" s="49"/>
      <c r="BAR17" s="49"/>
      <c r="BAS17" s="49"/>
      <c r="BAT17" s="42">
        <f t="shared" si="468"/>
        <v>0</v>
      </c>
      <c r="BAU17" s="43">
        <f t="shared" si="469"/>
        <v>0</v>
      </c>
      <c r="BAV17" s="48">
        <v>437</v>
      </c>
      <c r="BAW17" s="49"/>
      <c r="BAX17" s="49">
        <v>384</v>
      </c>
      <c r="BAY17" s="49">
        <v>441</v>
      </c>
      <c r="BAZ17" s="49">
        <v>221</v>
      </c>
      <c r="BBA17" s="49"/>
      <c r="BBB17" s="42">
        <f t="shared" si="470"/>
        <v>1483</v>
      </c>
      <c r="BBC17" s="43">
        <f t="shared" si="471"/>
        <v>247.16666666666666</v>
      </c>
      <c r="BBD17" s="48"/>
      <c r="BBE17" s="49"/>
      <c r="BBF17" s="49"/>
      <c r="BBG17" s="49"/>
      <c r="BBH17" s="49">
        <v>440</v>
      </c>
      <c r="BBI17" s="49">
        <v>660</v>
      </c>
      <c r="BBJ17" s="42">
        <f t="shared" si="472"/>
        <v>1100</v>
      </c>
      <c r="BBK17" s="43">
        <f t="shared" si="473"/>
        <v>183.33333333333334</v>
      </c>
      <c r="BBL17" s="48"/>
      <c r="BBM17" s="49"/>
      <c r="BBN17" s="49"/>
      <c r="BBO17" s="49"/>
      <c r="BBP17" s="49"/>
      <c r="BBQ17" s="49">
        <v>219</v>
      </c>
      <c r="BBR17" s="42">
        <f t="shared" si="474"/>
        <v>219</v>
      </c>
      <c r="BBS17" s="43">
        <f t="shared" si="475"/>
        <v>36.5</v>
      </c>
      <c r="BBT17" s="48"/>
      <c r="BBU17" s="49">
        <v>442</v>
      </c>
      <c r="BBV17" s="49"/>
      <c r="BBW17" s="49">
        <v>195</v>
      </c>
      <c r="BBX17" s="49">
        <v>206</v>
      </c>
      <c r="BBY17" s="49"/>
      <c r="BBZ17" s="42">
        <f t="shared" si="476"/>
        <v>843</v>
      </c>
      <c r="BCA17" s="43">
        <f t="shared" si="477"/>
        <v>140.5</v>
      </c>
      <c r="BCB17" s="48"/>
      <c r="BCC17" s="49"/>
      <c r="BCD17" s="49">
        <v>220</v>
      </c>
      <c r="BCE17" s="49"/>
      <c r="BCF17" s="49"/>
      <c r="BCG17" s="49">
        <v>330</v>
      </c>
      <c r="BCH17" s="42">
        <f t="shared" si="478"/>
        <v>550</v>
      </c>
      <c r="BCI17" s="43">
        <f t="shared" si="479"/>
        <v>91.666666666666671</v>
      </c>
      <c r="BCJ17" s="48"/>
      <c r="BCK17" s="49">
        <v>899</v>
      </c>
      <c r="BCL17" s="49"/>
      <c r="BCM17" s="49"/>
      <c r="BCN17" s="49"/>
      <c r="BCO17" s="49"/>
      <c r="BCP17" s="42">
        <f t="shared" si="480"/>
        <v>899</v>
      </c>
      <c r="BCQ17" s="43">
        <f t="shared" si="481"/>
        <v>149.83333333333334</v>
      </c>
      <c r="BCR17" s="48"/>
      <c r="BCS17" s="49"/>
      <c r="BCT17" s="49"/>
      <c r="BCU17" s="49"/>
      <c r="BCV17" s="49"/>
      <c r="BCW17" s="49">
        <v>880</v>
      </c>
      <c r="BCX17" s="42">
        <f t="shared" si="482"/>
        <v>880</v>
      </c>
      <c r="BCY17" s="43">
        <f t="shared" si="483"/>
        <v>146.66666666666666</v>
      </c>
      <c r="BCZ17" s="48"/>
      <c r="BDA17" s="49"/>
      <c r="BDB17" s="49"/>
      <c r="BDC17" s="49"/>
      <c r="BDD17" s="49"/>
      <c r="BDE17" s="49"/>
      <c r="BDF17" s="42">
        <f t="shared" si="484"/>
        <v>0</v>
      </c>
      <c r="BDG17" s="43">
        <f t="shared" si="485"/>
        <v>0</v>
      </c>
      <c r="BDH17" s="48"/>
      <c r="BDI17" s="49">
        <v>449</v>
      </c>
      <c r="BDJ17" s="49"/>
      <c r="BDK17" s="49"/>
      <c r="BDL17" s="49"/>
      <c r="BDM17" s="49"/>
      <c r="BDN17" s="42">
        <f t="shared" si="486"/>
        <v>449</v>
      </c>
      <c r="BDO17" s="43">
        <f t="shared" si="487"/>
        <v>74.833333333333329</v>
      </c>
      <c r="BDP17" s="48"/>
      <c r="BDQ17" s="49"/>
      <c r="BDR17" s="49">
        <v>705</v>
      </c>
      <c r="BDS17" s="49"/>
      <c r="BDT17" s="49"/>
      <c r="BDU17" s="49"/>
      <c r="BDV17" s="42">
        <f t="shared" si="488"/>
        <v>705</v>
      </c>
      <c r="BDW17" s="43">
        <f t="shared" si="489"/>
        <v>117.5</v>
      </c>
      <c r="BDX17" s="48"/>
      <c r="BDY17" s="49">
        <v>114</v>
      </c>
      <c r="BDZ17" s="49"/>
      <c r="BEA17" s="49"/>
      <c r="BEB17" s="49"/>
      <c r="BEC17" s="49"/>
      <c r="BED17" s="42">
        <f t="shared" si="490"/>
        <v>114</v>
      </c>
      <c r="BEE17" s="43">
        <f t="shared" si="491"/>
        <v>19</v>
      </c>
      <c r="BEF17" s="48"/>
      <c r="BEG17" s="49">
        <v>532</v>
      </c>
      <c r="BEH17" s="49"/>
      <c r="BEI17" s="49"/>
      <c r="BEJ17" s="49"/>
      <c r="BEK17" s="49"/>
      <c r="BEL17" s="42">
        <f t="shared" si="492"/>
        <v>532</v>
      </c>
      <c r="BEM17" s="43">
        <f t="shared" si="493"/>
        <v>88.666666666666671</v>
      </c>
      <c r="BEN17" s="48"/>
      <c r="BEO17" s="49"/>
      <c r="BEP17" s="49">
        <v>211</v>
      </c>
      <c r="BEQ17" s="49"/>
      <c r="BER17" s="49"/>
      <c r="BES17" s="49"/>
      <c r="BET17" s="42">
        <f t="shared" si="494"/>
        <v>211</v>
      </c>
      <c r="BEU17" s="43">
        <f t="shared" si="495"/>
        <v>35.166666666666664</v>
      </c>
      <c r="BEV17" s="82">
        <v>156</v>
      </c>
      <c r="BEW17" s="83">
        <v>410</v>
      </c>
      <c r="BEX17" s="83"/>
      <c r="BEY17" s="83">
        <v>199</v>
      </c>
      <c r="BEZ17" s="83"/>
      <c r="BFA17" s="83"/>
      <c r="BFB17" s="42">
        <f t="shared" si="496"/>
        <v>765</v>
      </c>
      <c r="BFC17" s="43">
        <f t="shared" si="497"/>
        <v>127.5</v>
      </c>
      <c r="BFD17" s="48">
        <v>693</v>
      </c>
      <c r="BFE17" s="49"/>
      <c r="BFF17" s="49"/>
      <c r="BFG17" s="49"/>
      <c r="BFH17" s="49">
        <v>217</v>
      </c>
      <c r="BFI17" s="49"/>
      <c r="BFJ17" s="42">
        <f t="shared" si="498"/>
        <v>910</v>
      </c>
      <c r="BFK17" s="43">
        <f t="shared" si="499"/>
        <v>151.66666666666666</v>
      </c>
      <c r="BFL17" s="48">
        <v>108</v>
      </c>
      <c r="BFM17" s="49"/>
      <c r="BFN17" s="49"/>
      <c r="BFO17" s="49">
        <v>647</v>
      </c>
      <c r="BFP17" s="49"/>
      <c r="BFQ17" s="49">
        <v>238</v>
      </c>
      <c r="BFR17" s="42">
        <f t="shared" si="500"/>
        <v>993</v>
      </c>
      <c r="BFS17" s="43">
        <f t="shared" si="501"/>
        <v>165.5</v>
      </c>
      <c r="BFT17" s="48"/>
      <c r="BFU17" s="49"/>
      <c r="BFV17" s="49"/>
      <c r="BFW17" s="49">
        <v>439</v>
      </c>
      <c r="BFX17" s="49"/>
      <c r="BFY17" s="49"/>
      <c r="BFZ17" s="42">
        <f t="shared" si="502"/>
        <v>439</v>
      </c>
      <c r="BGA17" s="43">
        <f t="shared" si="503"/>
        <v>73.166666666666671</v>
      </c>
      <c r="BGB17" s="48">
        <v>398</v>
      </c>
      <c r="BGC17" s="49"/>
      <c r="BGD17" s="49"/>
      <c r="BGE17" s="49"/>
      <c r="BGF17" s="49">
        <v>694</v>
      </c>
      <c r="BGG17" s="49"/>
      <c r="BGH17" s="42">
        <f t="shared" si="504"/>
        <v>1092</v>
      </c>
      <c r="BGI17" s="43">
        <f t="shared" si="505"/>
        <v>182</v>
      </c>
      <c r="BGJ17" s="48">
        <v>413</v>
      </c>
      <c r="BGK17" s="49"/>
      <c r="BGL17" s="49">
        <v>395</v>
      </c>
      <c r="BGM17" s="49"/>
      <c r="BGN17" s="49"/>
      <c r="BGO17" s="49">
        <v>107</v>
      </c>
      <c r="BGP17" s="42">
        <f t="shared" si="506"/>
        <v>915</v>
      </c>
      <c r="BGQ17" s="43">
        <f t="shared" si="507"/>
        <v>152.5</v>
      </c>
      <c r="BGR17" s="48"/>
      <c r="BGS17" s="49"/>
      <c r="BGT17" s="49"/>
      <c r="BGU17" s="49"/>
      <c r="BGV17" s="49">
        <v>303</v>
      </c>
      <c r="BGW17" s="49"/>
      <c r="BGX17" s="42">
        <f t="shared" si="508"/>
        <v>303</v>
      </c>
      <c r="BGY17" s="43">
        <f t="shared" si="509"/>
        <v>50.5</v>
      </c>
      <c r="BGZ17" s="48"/>
      <c r="BHA17" s="49"/>
      <c r="BHB17" s="49">
        <v>655</v>
      </c>
      <c r="BHC17" s="49"/>
      <c r="BHD17" s="49"/>
      <c r="BHE17" s="49">
        <v>421</v>
      </c>
      <c r="BHF17" s="42">
        <f t="shared" si="510"/>
        <v>1076</v>
      </c>
      <c r="BHG17" s="43">
        <f t="shared" si="511"/>
        <v>179.33333333333334</v>
      </c>
      <c r="BHH17" s="63"/>
      <c r="BHI17" s="64"/>
      <c r="BHJ17" s="64"/>
      <c r="BHK17" s="64">
        <v>548</v>
      </c>
      <c r="BHL17" s="64"/>
      <c r="BHM17" s="64"/>
      <c r="BHN17" s="42">
        <f t="shared" si="512"/>
        <v>548</v>
      </c>
      <c r="BHO17" s="43">
        <f t="shared" si="513"/>
        <v>91.333333333333329</v>
      </c>
      <c r="BHP17" s="48"/>
      <c r="BHQ17" s="49">
        <v>495</v>
      </c>
      <c r="BHR17" s="49"/>
      <c r="BHS17" s="49">
        <v>465</v>
      </c>
      <c r="BHT17" s="49"/>
      <c r="BHU17" s="49"/>
      <c r="BHV17" s="42">
        <f t="shared" si="514"/>
        <v>960</v>
      </c>
      <c r="BHW17" s="43">
        <f t="shared" si="515"/>
        <v>160</v>
      </c>
      <c r="BHX17" s="48">
        <v>451</v>
      </c>
      <c r="BHY17" s="49"/>
      <c r="BHZ17" s="49"/>
      <c r="BIA17" s="49">
        <v>451</v>
      </c>
      <c r="BIB17" s="49"/>
      <c r="BIC17" s="49"/>
      <c r="BID17" s="42">
        <f t="shared" si="516"/>
        <v>902</v>
      </c>
      <c r="BIE17" s="43">
        <f t="shared" si="517"/>
        <v>150.33333333333334</v>
      </c>
      <c r="BIF17" s="48"/>
      <c r="BIG17" s="49"/>
      <c r="BIH17" s="49"/>
      <c r="BII17" s="49">
        <v>850</v>
      </c>
      <c r="BIJ17" s="49"/>
      <c r="BIK17" s="49"/>
      <c r="BIL17" s="42">
        <f t="shared" si="518"/>
        <v>850</v>
      </c>
      <c r="BIM17" s="43">
        <f t="shared" si="519"/>
        <v>141.66666666666666</v>
      </c>
      <c r="BIN17" s="48"/>
      <c r="BIO17" s="49"/>
      <c r="BIP17" s="49">
        <v>330</v>
      </c>
      <c r="BIQ17" s="49"/>
      <c r="BIR17" s="49">
        <v>852</v>
      </c>
      <c r="BIS17" s="49"/>
      <c r="BIT17" s="42">
        <f t="shared" si="520"/>
        <v>1182</v>
      </c>
      <c r="BIU17" s="43">
        <f t="shared" si="521"/>
        <v>197</v>
      </c>
      <c r="BIV17" s="48"/>
      <c r="BIW17" s="49">
        <v>439</v>
      </c>
      <c r="BIX17" s="49"/>
      <c r="BIY17" s="49"/>
      <c r="BIZ17" s="49"/>
      <c r="BJA17" s="49"/>
      <c r="BJB17" s="42">
        <f t="shared" si="522"/>
        <v>439</v>
      </c>
      <c r="BJC17" s="43">
        <f t="shared" si="523"/>
        <v>73.166666666666671</v>
      </c>
      <c r="BJD17" s="48"/>
      <c r="BJE17" s="49">
        <v>440</v>
      </c>
      <c r="BJF17" s="49"/>
      <c r="BJG17" s="49"/>
      <c r="BJH17" s="49">
        <v>638</v>
      </c>
      <c r="BJI17" s="49"/>
      <c r="BJJ17" s="42">
        <f t="shared" si="524"/>
        <v>1078</v>
      </c>
      <c r="BJK17" s="43">
        <f t="shared" si="525"/>
        <v>179.66666666666666</v>
      </c>
      <c r="BJL17" s="48"/>
      <c r="BJM17" s="49">
        <v>440</v>
      </c>
      <c r="BJN17" s="49"/>
      <c r="BJO17" s="49"/>
      <c r="BJP17" s="49"/>
      <c r="BJQ17" s="49"/>
      <c r="BJR17" s="42">
        <f t="shared" si="526"/>
        <v>440</v>
      </c>
      <c r="BJS17" s="43">
        <f t="shared" si="527"/>
        <v>73.333333333333329</v>
      </c>
      <c r="BJT17" s="63"/>
      <c r="BJU17" s="64"/>
      <c r="BJV17" s="64"/>
      <c r="BJW17" s="64"/>
      <c r="BJX17" s="64"/>
      <c r="BJY17" s="64">
        <v>659</v>
      </c>
      <c r="BJZ17" s="42">
        <f t="shared" si="528"/>
        <v>659</v>
      </c>
      <c r="BKA17" s="43">
        <f t="shared" si="529"/>
        <v>131.80000000000001</v>
      </c>
      <c r="BKB17" s="48"/>
      <c r="BKC17" s="49"/>
      <c r="BKD17" s="49"/>
      <c r="BKE17" s="49">
        <v>462</v>
      </c>
      <c r="BKF17" s="49">
        <v>220</v>
      </c>
      <c r="BKG17" s="49"/>
      <c r="BKH17" s="67">
        <f t="shared" si="530"/>
        <v>682</v>
      </c>
      <c r="BKI17" s="68">
        <f t="shared" si="531"/>
        <v>113.66666666666667</v>
      </c>
      <c r="BKJ17" s="48">
        <v>440</v>
      </c>
      <c r="BKK17" s="49"/>
      <c r="BKL17" s="49"/>
      <c r="BKM17" s="49">
        <v>400</v>
      </c>
      <c r="BKN17" s="49"/>
      <c r="BKO17" s="49"/>
      <c r="BKP17" s="42">
        <f t="shared" si="532"/>
        <v>840</v>
      </c>
      <c r="BKQ17" s="43">
        <f t="shared" si="533"/>
        <v>140</v>
      </c>
      <c r="BKR17" s="48"/>
      <c r="BKS17" s="49"/>
      <c r="BKT17" s="49"/>
      <c r="BKU17" s="49">
        <v>871</v>
      </c>
      <c r="BKV17" s="49"/>
      <c r="BKW17" s="49"/>
      <c r="BKX17" s="42">
        <f t="shared" si="534"/>
        <v>871</v>
      </c>
      <c r="BKY17" s="43">
        <f t="shared" si="535"/>
        <v>145.16666666666666</v>
      </c>
      <c r="BKZ17" s="48"/>
      <c r="BLA17" s="49"/>
      <c r="BLB17" s="49">
        <v>696</v>
      </c>
      <c r="BLC17" s="49"/>
      <c r="BLD17" s="49"/>
      <c r="BLE17" s="49"/>
      <c r="BLF17" s="42">
        <f t="shared" si="536"/>
        <v>696</v>
      </c>
      <c r="BLG17" s="43">
        <f t="shared" si="537"/>
        <v>116</v>
      </c>
      <c r="BLH17" s="48">
        <v>440</v>
      </c>
      <c r="BLI17" s="49"/>
      <c r="BLJ17" s="49">
        <v>792</v>
      </c>
      <c r="BLK17" s="49"/>
      <c r="BLL17" s="49"/>
      <c r="BLM17" s="49">
        <v>429</v>
      </c>
      <c r="BLN17" s="42">
        <f t="shared" si="538"/>
        <v>1661</v>
      </c>
      <c r="BLO17" s="43">
        <f t="shared" si="539"/>
        <v>276.83333333333331</v>
      </c>
      <c r="BLP17" s="48"/>
      <c r="BLQ17" s="49"/>
      <c r="BLR17" s="49"/>
      <c r="BLS17" s="49"/>
      <c r="BLT17" s="49"/>
      <c r="BLU17" s="49">
        <v>880</v>
      </c>
      <c r="BLV17" s="42">
        <f t="shared" si="540"/>
        <v>880</v>
      </c>
      <c r="BLW17" s="43">
        <f t="shared" si="541"/>
        <v>146.66666666666666</v>
      </c>
      <c r="BLX17" s="63"/>
      <c r="BLY17" s="64"/>
      <c r="BLZ17" s="64"/>
      <c r="BMA17" s="64">
        <v>426</v>
      </c>
      <c r="BMB17" s="64"/>
      <c r="BMC17" s="64">
        <v>411</v>
      </c>
      <c r="BMD17" s="42">
        <f t="shared" si="542"/>
        <v>837</v>
      </c>
      <c r="BME17" s="43">
        <f t="shared" si="543"/>
        <v>139.5</v>
      </c>
      <c r="BMF17" s="48"/>
      <c r="BMG17" s="49"/>
      <c r="BMH17" s="49"/>
      <c r="BMI17" s="49">
        <v>659</v>
      </c>
      <c r="BMJ17" s="49"/>
      <c r="BMK17" s="49"/>
      <c r="BML17" s="42">
        <f t="shared" si="544"/>
        <v>659</v>
      </c>
      <c r="BMM17" s="43">
        <f t="shared" si="545"/>
        <v>109.83333333333333</v>
      </c>
      <c r="BMN17" s="63"/>
      <c r="BMO17" s="64">
        <v>1006</v>
      </c>
      <c r="BMP17" s="64"/>
      <c r="BMQ17" s="64">
        <v>440</v>
      </c>
      <c r="BMR17" s="64"/>
      <c r="BMS17" s="64"/>
      <c r="BMT17" s="42">
        <f t="shared" si="546"/>
        <v>1446</v>
      </c>
      <c r="BMU17" s="43">
        <f t="shared" si="547"/>
        <v>241</v>
      </c>
      <c r="BMV17" s="48"/>
      <c r="BMW17" s="49">
        <v>220</v>
      </c>
      <c r="BMX17" s="49">
        <v>385</v>
      </c>
      <c r="BMY17" s="49"/>
      <c r="BMZ17" s="49"/>
      <c r="BNA17" s="49"/>
      <c r="BNB17" s="42">
        <f t="shared" si="548"/>
        <v>605</v>
      </c>
      <c r="BNC17" s="43">
        <f t="shared" si="549"/>
        <v>100.83333333333333</v>
      </c>
      <c r="BND17" s="48"/>
      <c r="BNE17" s="49"/>
      <c r="BNF17" s="49"/>
      <c r="BNG17" s="49"/>
      <c r="BNH17" s="49"/>
      <c r="BNI17" s="49">
        <v>880</v>
      </c>
      <c r="BNJ17" s="42">
        <f t="shared" si="550"/>
        <v>880</v>
      </c>
      <c r="BNK17" s="43">
        <f t="shared" si="551"/>
        <v>146.66666666666666</v>
      </c>
      <c r="BNL17" s="48"/>
      <c r="BNM17" s="49">
        <v>219</v>
      </c>
      <c r="BNN17" s="49"/>
      <c r="BNO17" s="49"/>
      <c r="BNP17" s="49">
        <v>784</v>
      </c>
      <c r="BNQ17" s="49"/>
      <c r="BNR17" s="42">
        <f t="shared" si="552"/>
        <v>1003</v>
      </c>
      <c r="BNS17" s="43">
        <f t="shared" si="553"/>
        <v>167.16666666666666</v>
      </c>
      <c r="BNT17" s="48"/>
      <c r="BNU17" s="49"/>
      <c r="BNV17" s="49"/>
      <c r="BNW17" s="49"/>
      <c r="BNX17" s="49"/>
      <c r="BNY17" s="49"/>
      <c r="BNZ17" s="42">
        <f t="shared" si="554"/>
        <v>0</v>
      </c>
      <c r="BOA17" s="43">
        <f t="shared" si="555"/>
        <v>0</v>
      </c>
      <c r="BOB17" s="48">
        <v>1007</v>
      </c>
      <c r="BOC17" s="49"/>
      <c r="BOD17" s="49"/>
      <c r="BOE17" s="49"/>
      <c r="BOF17" s="49">
        <v>201</v>
      </c>
      <c r="BOG17" s="49"/>
      <c r="BOH17" s="42">
        <f t="shared" si="556"/>
        <v>1208</v>
      </c>
      <c r="BOI17" s="43">
        <f t="shared" si="557"/>
        <v>201.33333333333334</v>
      </c>
      <c r="BOJ17" s="48"/>
      <c r="BOK17" s="49"/>
      <c r="BOL17" s="49"/>
      <c r="BOM17" s="49">
        <v>881</v>
      </c>
      <c r="BON17" s="49"/>
      <c r="BOO17" s="49"/>
      <c r="BOP17" s="42">
        <f t="shared" si="558"/>
        <v>881</v>
      </c>
      <c r="BOQ17" s="43">
        <f t="shared" si="559"/>
        <v>146.83333333333334</v>
      </c>
      <c r="BOR17" s="48">
        <v>949</v>
      </c>
      <c r="BOS17" s="49"/>
      <c r="BOT17" s="49"/>
      <c r="BOU17" s="49">
        <v>439</v>
      </c>
      <c r="BOV17" s="49"/>
      <c r="BOW17" s="49">
        <v>659</v>
      </c>
      <c r="BOX17" s="42">
        <f t="shared" si="560"/>
        <v>2047</v>
      </c>
      <c r="BOY17" s="43">
        <f t="shared" si="561"/>
        <v>341.16666666666669</v>
      </c>
      <c r="BOZ17" s="63"/>
      <c r="BPA17" s="64"/>
      <c r="BPB17" s="64">
        <v>483</v>
      </c>
      <c r="BPC17" s="64"/>
      <c r="BPD17" s="64">
        <v>595</v>
      </c>
      <c r="BPE17" s="64"/>
      <c r="BPF17" s="42">
        <f t="shared" si="562"/>
        <v>1078</v>
      </c>
      <c r="BPG17" s="43">
        <f t="shared" si="563"/>
        <v>179.66666666666666</v>
      </c>
      <c r="BPH17" s="48"/>
      <c r="BPI17" s="49"/>
      <c r="BPJ17" s="49">
        <v>730</v>
      </c>
      <c r="BPK17" s="49"/>
      <c r="BPL17" s="49"/>
      <c r="BPM17" s="49"/>
      <c r="BPN17" s="42">
        <f t="shared" si="564"/>
        <v>730</v>
      </c>
      <c r="BPO17" s="43">
        <f t="shared" si="565"/>
        <v>121.66666666666667</v>
      </c>
      <c r="BPP17" s="48"/>
      <c r="BPQ17" s="49">
        <v>220</v>
      </c>
      <c r="BPR17" s="49">
        <v>379</v>
      </c>
      <c r="BPS17" s="49">
        <v>800</v>
      </c>
      <c r="BPT17" s="49"/>
      <c r="BPU17" s="49"/>
      <c r="BPV17" s="42">
        <f t="shared" si="566"/>
        <v>1399</v>
      </c>
      <c r="BPW17" s="43">
        <f t="shared" si="567"/>
        <v>233.16666666666666</v>
      </c>
      <c r="BPX17" s="48"/>
      <c r="BPY17" s="49"/>
      <c r="BPZ17" s="49">
        <v>812</v>
      </c>
      <c r="BQA17" s="49"/>
      <c r="BQB17" s="49"/>
      <c r="BQC17" s="49">
        <v>220</v>
      </c>
      <c r="BQD17" s="67">
        <f t="shared" si="568"/>
        <v>1032</v>
      </c>
      <c r="BQE17" s="43">
        <f t="shared" si="569"/>
        <v>172</v>
      </c>
      <c r="BQF17" s="63"/>
      <c r="BQG17" s="64">
        <v>625</v>
      </c>
      <c r="BQH17" s="64"/>
      <c r="BQI17" s="64"/>
      <c r="BQJ17" s="64">
        <v>1000</v>
      </c>
      <c r="BQK17" s="64"/>
      <c r="BQL17" s="67">
        <f t="shared" si="570"/>
        <v>1625</v>
      </c>
      <c r="BQM17" s="43">
        <f t="shared" si="571"/>
        <v>270.83333333333331</v>
      </c>
      <c r="BQN17" s="63"/>
      <c r="BQO17" s="64">
        <v>604</v>
      </c>
      <c r="BQP17" s="64">
        <v>442</v>
      </c>
      <c r="BQQ17" s="64"/>
      <c r="BQR17" s="64"/>
      <c r="BQS17" s="64"/>
      <c r="BQT17" s="67">
        <f t="shared" si="572"/>
        <v>1046</v>
      </c>
      <c r="BQU17" s="43">
        <f t="shared" si="573"/>
        <v>174.33333333333334</v>
      </c>
      <c r="BQV17" s="48"/>
      <c r="BQW17" s="49"/>
      <c r="BQX17" s="49">
        <v>359</v>
      </c>
      <c r="BQY17" s="49"/>
      <c r="BQZ17" s="49"/>
      <c r="BRA17" s="49"/>
      <c r="BRB17" s="67">
        <f t="shared" si="574"/>
        <v>359</v>
      </c>
      <c r="BRC17" s="43">
        <f t="shared" si="575"/>
        <v>59.833333333333336</v>
      </c>
      <c r="BRD17" s="48">
        <v>600</v>
      </c>
      <c r="BRE17" s="49"/>
      <c r="BRF17" s="49">
        <v>403</v>
      </c>
      <c r="BRG17" s="49"/>
      <c r="BRH17" s="49"/>
      <c r="BRI17" s="49"/>
      <c r="BRJ17" s="67">
        <f t="shared" si="576"/>
        <v>1003</v>
      </c>
      <c r="BRK17" s="43">
        <f t="shared" si="577"/>
        <v>167.16666666666666</v>
      </c>
      <c r="BRL17" s="48"/>
      <c r="BRM17" s="49">
        <v>868</v>
      </c>
      <c r="BRN17" s="49">
        <v>398</v>
      </c>
      <c r="BRO17" s="49">
        <v>330</v>
      </c>
      <c r="BRP17" s="49">
        <v>109</v>
      </c>
      <c r="BRQ17" s="49">
        <v>660</v>
      </c>
      <c r="BRR17" s="67">
        <f t="shared" si="578"/>
        <v>2365</v>
      </c>
      <c r="BRS17" s="68">
        <f t="shared" si="579"/>
        <v>394.16666666666669</v>
      </c>
      <c r="BRT17" s="63">
        <v>319</v>
      </c>
      <c r="BRU17" s="64">
        <v>400</v>
      </c>
      <c r="BRV17" s="64"/>
      <c r="BRW17" s="64"/>
      <c r="BRX17" s="64">
        <v>103</v>
      </c>
      <c r="BRY17" s="64"/>
      <c r="BRZ17" s="67">
        <f t="shared" si="580"/>
        <v>822</v>
      </c>
      <c r="BSA17" s="43">
        <f t="shared" si="581"/>
        <v>137</v>
      </c>
      <c r="BSB17" s="63"/>
      <c r="BSC17" s="64">
        <v>760</v>
      </c>
      <c r="BSD17" s="64">
        <v>462</v>
      </c>
      <c r="BSE17" s="64"/>
      <c r="BSF17" s="64"/>
      <c r="BSG17" s="64"/>
      <c r="BSH17" s="67">
        <f t="shared" si="582"/>
        <v>1222</v>
      </c>
      <c r="BSI17" s="43">
        <f t="shared" si="583"/>
        <v>203.66666666666666</v>
      </c>
      <c r="BSJ17" s="63"/>
      <c r="BSK17" s="64"/>
      <c r="BSL17" s="64">
        <v>403</v>
      </c>
      <c r="BSM17" s="64"/>
      <c r="BSN17" s="64"/>
      <c r="BSO17" s="64"/>
      <c r="BSP17" s="67">
        <f t="shared" si="584"/>
        <v>403</v>
      </c>
      <c r="BSQ17" s="43">
        <f t="shared" si="585"/>
        <v>67.166666666666671</v>
      </c>
      <c r="BSR17" s="63">
        <v>823</v>
      </c>
      <c r="BSS17" s="64">
        <v>110</v>
      </c>
      <c r="BST17" s="64">
        <v>112</v>
      </c>
      <c r="BSU17" s="64"/>
      <c r="BSV17" s="64">
        <v>560</v>
      </c>
      <c r="BSW17" s="64">
        <v>880</v>
      </c>
      <c r="BSX17" s="67">
        <f t="shared" si="586"/>
        <v>2485</v>
      </c>
      <c r="BSY17" s="43">
        <f t="shared" si="587"/>
        <v>414.16666666666669</v>
      </c>
      <c r="BSZ17" s="63"/>
      <c r="BTA17" s="64">
        <v>660</v>
      </c>
      <c r="BTB17" s="64"/>
      <c r="BTC17" s="64">
        <v>440</v>
      </c>
      <c r="BTD17" s="64"/>
      <c r="BTE17" s="64">
        <v>660</v>
      </c>
      <c r="BTF17" s="67">
        <f t="shared" si="588"/>
        <v>1760</v>
      </c>
      <c r="BTG17" s="43">
        <f t="shared" si="589"/>
        <v>293.33333333333331</v>
      </c>
      <c r="BTH17" s="63"/>
      <c r="BTI17" s="64"/>
      <c r="BTJ17" s="64"/>
      <c r="BTK17" s="64"/>
      <c r="BTL17" s="64">
        <v>435</v>
      </c>
      <c r="BTM17" s="64"/>
      <c r="BTN17" s="67">
        <f t="shared" si="590"/>
        <v>435</v>
      </c>
      <c r="BTO17" s="68">
        <f t="shared" si="591"/>
        <v>72.5</v>
      </c>
      <c r="BTP17" s="48">
        <v>221</v>
      </c>
      <c r="BTQ17" s="49"/>
      <c r="BTR17" s="49"/>
      <c r="BTS17" s="49">
        <v>878</v>
      </c>
      <c r="BTT17" s="49"/>
      <c r="BTU17" s="49"/>
      <c r="BTV17" s="67">
        <f t="shared" si="592"/>
        <v>1099</v>
      </c>
      <c r="BTW17" s="43">
        <f t="shared" si="593"/>
        <v>183.16666666666666</v>
      </c>
      <c r="BTX17" s="63"/>
      <c r="BTY17" s="64"/>
      <c r="BTZ17" s="64">
        <v>900</v>
      </c>
      <c r="BUA17" s="64"/>
      <c r="BUB17" s="64"/>
      <c r="BUC17" s="64"/>
      <c r="BUD17" s="67">
        <f t="shared" si="594"/>
        <v>900</v>
      </c>
      <c r="BUE17" s="68">
        <f t="shared" si="595"/>
        <v>150</v>
      </c>
      <c r="BUF17" s="48">
        <v>440</v>
      </c>
      <c r="BUG17" s="49">
        <v>377</v>
      </c>
      <c r="BUH17" s="49"/>
      <c r="BUI17" s="49">
        <v>440</v>
      </c>
      <c r="BUJ17" s="49"/>
      <c r="BUK17" s="49">
        <v>660</v>
      </c>
      <c r="BUL17" s="67">
        <f t="shared" si="596"/>
        <v>1917</v>
      </c>
      <c r="BUM17" s="68">
        <f t="shared" si="597"/>
        <v>319.5</v>
      </c>
      <c r="BUN17" s="63"/>
      <c r="BUO17" s="64">
        <v>208</v>
      </c>
      <c r="BUP17" s="64"/>
      <c r="BUQ17" s="64">
        <v>550</v>
      </c>
      <c r="BUR17" s="64"/>
      <c r="BUS17" s="64"/>
      <c r="BUT17" s="67">
        <f t="shared" si="598"/>
        <v>758</v>
      </c>
      <c r="BUU17" s="68">
        <f t="shared" si="599"/>
        <v>126.33333333333333</v>
      </c>
      <c r="BUV17" s="48"/>
      <c r="BUW17" s="49"/>
      <c r="BUX17" s="49"/>
      <c r="BUY17" s="49">
        <v>647</v>
      </c>
      <c r="BUZ17" s="49">
        <v>526</v>
      </c>
      <c r="BVA17" s="49"/>
      <c r="BVB17" s="67">
        <f t="shared" si="600"/>
        <v>1173</v>
      </c>
      <c r="BVC17" s="68">
        <f t="shared" si="601"/>
        <v>195.5</v>
      </c>
      <c r="BVD17" s="48"/>
      <c r="BVE17" s="49">
        <v>464</v>
      </c>
      <c r="BVF17" s="49"/>
      <c r="BVG17" s="49"/>
      <c r="BVH17" s="49"/>
      <c r="BVI17" s="49">
        <v>221</v>
      </c>
      <c r="BVJ17" s="67">
        <f t="shared" si="602"/>
        <v>685</v>
      </c>
      <c r="BVK17" s="68">
        <f t="shared" si="603"/>
        <v>114.16666666666667</v>
      </c>
      <c r="BVL17" s="48"/>
      <c r="BVM17" s="49">
        <v>879</v>
      </c>
      <c r="BVN17" s="49"/>
      <c r="BVO17" s="49"/>
      <c r="BVP17" s="49">
        <v>582</v>
      </c>
      <c r="BVQ17" s="49"/>
      <c r="BVR17" s="67">
        <f t="shared" si="604"/>
        <v>1461</v>
      </c>
      <c r="BVS17" s="68">
        <f t="shared" si="605"/>
        <v>243.5</v>
      </c>
      <c r="BVT17" s="48"/>
      <c r="BVU17" s="49">
        <v>857</v>
      </c>
      <c r="BVV17" s="49">
        <v>437</v>
      </c>
      <c r="BVW17" s="49">
        <v>223</v>
      </c>
      <c r="BVX17" s="49"/>
      <c r="BVY17" s="49"/>
      <c r="BVZ17" s="67">
        <f t="shared" si="606"/>
        <v>1517</v>
      </c>
      <c r="BWA17" s="68">
        <f t="shared" si="607"/>
        <v>252.83333333333334</v>
      </c>
      <c r="BWB17" s="48">
        <v>627</v>
      </c>
      <c r="BWC17" s="49">
        <v>379</v>
      </c>
      <c r="BWD17" s="49"/>
      <c r="BWE17" s="49"/>
      <c r="BWF17" s="49">
        <v>439</v>
      </c>
      <c r="BWG17" s="49"/>
      <c r="BWH17" s="67">
        <f t="shared" si="608"/>
        <v>1445</v>
      </c>
      <c r="BWI17" s="68">
        <f t="shared" si="609"/>
        <v>240.83333333333334</v>
      </c>
      <c r="BWJ17" s="48">
        <v>330</v>
      </c>
      <c r="BWK17" s="49"/>
      <c r="BWL17" s="49"/>
      <c r="BWM17" s="49"/>
      <c r="BWN17" s="49">
        <v>880</v>
      </c>
      <c r="BWO17" s="49"/>
      <c r="BWP17" s="67">
        <f t="shared" si="610"/>
        <v>1210</v>
      </c>
      <c r="BWQ17" s="68">
        <f t="shared" si="611"/>
        <v>201.66666666666666</v>
      </c>
      <c r="BWR17" s="48"/>
      <c r="BWS17" s="49">
        <v>400</v>
      </c>
      <c r="BWT17" s="49"/>
      <c r="BWU17" s="49">
        <v>220</v>
      </c>
      <c r="BWV17" s="49">
        <v>452</v>
      </c>
      <c r="BWW17" s="49">
        <v>440</v>
      </c>
      <c r="BWX17" s="67">
        <f t="shared" si="612"/>
        <v>1512</v>
      </c>
      <c r="BWY17" s="68">
        <f t="shared" si="613"/>
        <v>252</v>
      </c>
      <c r="BWZ17" s="48"/>
      <c r="BXA17" s="49"/>
      <c r="BXB17" s="49">
        <v>219</v>
      </c>
      <c r="BXC17" s="49"/>
      <c r="BXD17" s="49"/>
      <c r="BXE17" s="49"/>
      <c r="BXF17" s="67">
        <f t="shared" si="614"/>
        <v>219</v>
      </c>
      <c r="BXG17" s="68">
        <f t="shared" si="615"/>
        <v>36.5</v>
      </c>
      <c r="BXH17" s="48">
        <v>440</v>
      </c>
      <c r="BXI17" s="49"/>
      <c r="BXJ17" s="49">
        <v>438</v>
      </c>
      <c r="BXK17" s="49"/>
      <c r="BXL17" s="49">
        <v>438</v>
      </c>
      <c r="BXM17" s="49"/>
      <c r="BXN17" s="67">
        <f t="shared" si="616"/>
        <v>1316</v>
      </c>
      <c r="BXO17" s="68">
        <f t="shared" si="617"/>
        <v>219.33333333333334</v>
      </c>
      <c r="BXP17" s="63">
        <v>783</v>
      </c>
      <c r="BXQ17" s="64"/>
      <c r="BXR17" s="64">
        <v>440</v>
      </c>
      <c r="BXS17" s="64"/>
      <c r="BXT17" s="64"/>
      <c r="BXU17" s="1"/>
      <c r="BXV17" s="67">
        <f t="shared" si="73"/>
        <v>1223</v>
      </c>
      <c r="BXW17" s="68">
        <f t="shared" si="618"/>
        <v>203.83333333333334</v>
      </c>
      <c r="BXX17" s="48">
        <v>691</v>
      </c>
      <c r="BXY17" s="49"/>
      <c r="BXZ17" s="49"/>
      <c r="BYA17" s="49"/>
      <c r="BYB17" s="49">
        <v>412</v>
      </c>
      <c r="BYC17" s="49"/>
      <c r="BYD17" s="67">
        <f t="shared" si="619"/>
        <v>1103</v>
      </c>
      <c r="BYE17" s="68">
        <f t="shared" si="620"/>
        <v>183.83333333333334</v>
      </c>
      <c r="BYF17" s="63">
        <v>1137</v>
      </c>
      <c r="BYG17" s="64"/>
      <c r="BYH17" s="64">
        <v>222</v>
      </c>
      <c r="BYI17" s="64"/>
      <c r="BYJ17" s="64"/>
      <c r="BYK17" s="64"/>
      <c r="BYL17" s="67">
        <f t="shared" si="621"/>
        <v>1359</v>
      </c>
      <c r="BYM17" s="68">
        <f t="shared" si="622"/>
        <v>226.5</v>
      </c>
      <c r="BYN17" s="48"/>
      <c r="BYO17" s="49"/>
      <c r="BYP17" s="49">
        <v>722</v>
      </c>
      <c r="BYQ17" s="49"/>
      <c r="BYR17" s="49">
        <v>667</v>
      </c>
      <c r="BYS17" s="49"/>
      <c r="BYT17" s="67">
        <f t="shared" si="623"/>
        <v>1389</v>
      </c>
      <c r="BYU17" s="68">
        <f t="shared" si="624"/>
        <v>231.5</v>
      </c>
      <c r="BYV17" s="48"/>
      <c r="BYW17" s="49">
        <v>704</v>
      </c>
      <c r="BYX17" s="49"/>
      <c r="BYY17" s="49"/>
      <c r="BYZ17" s="49">
        <v>400</v>
      </c>
      <c r="BZA17" s="49">
        <v>1404</v>
      </c>
      <c r="BZB17" s="67">
        <f t="shared" si="625"/>
        <v>2508</v>
      </c>
      <c r="BZC17" s="68">
        <f t="shared" si="626"/>
        <v>418</v>
      </c>
      <c r="BZD17" s="48"/>
      <c r="BZE17" s="49"/>
      <c r="BZF17" s="49"/>
      <c r="BZG17" s="49"/>
      <c r="BZH17" s="49">
        <v>555</v>
      </c>
      <c r="BZI17" s="49">
        <v>334</v>
      </c>
      <c r="BZJ17" s="67">
        <f t="shared" si="627"/>
        <v>889</v>
      </c>
      <c r="BZK17" s="68">
        <f t="shared" si="628"/>
        <v>148.16666666666666</v>
      </c>
      <c r="BZL17" s="48">
        <v>100</v>
      </c>
      <c r="BZM17" s="49"/>
      <c r="BZN17" s="49">
        <v>440</v>
      </c>
      <c r="BZO17" s="49">
        <v>356</v>
      </c>
      <c r="BZP17" s="49"/>
      <c r="BZQ17" s="49"/>
      <c r="BZR17" s="67">
        <f t="shared" si="629"/>
        <v>896</v>
      </c>
      <c r="BZS17" s="68">
        <f t="shared" si="630"/>
        <v>149.33333333333334</v>
      </c>
      <c r="BZT17" s="48"/>
      <c r="BZU17" s="49"/>
      <c r="BZV17" s="49"/>
      <c r="BZW17" s="49">
        <v>419</v>
      </c>
      <c r="BZX17" s="49"/>
      <c r="BZY17" s="49"/>
      <c r="BZZ17" s="67">
        <f t="shared" si="631"/>
        <v>419</v>
      </c>
      <c r="CAA17" s="68">
        <f t="shared" si="632"/>
        <v>69.833333333333329</v>
      </c>
      <c r="CAB17" s="48">
        <v>640</v>
      </c>
      <c r="CAC17" s="49"/>
      <c r="CAD17" s="49"/>
      <c r="CAE17" s="49">
        <v>598</v>
      </c>
      <c r="CAF17" s="49">
        <v>220</v>
      </c>
      <c r="CAG17" s="49">
        <v>217</v>
      </c>
      <c r="CAH17" s="67">
        <f t="shared" si="633"/>
        <v>1675</v>
      </c>
      <c r="CAI17" s="68">
        <f t="shared" si="634"/>
        <v>279.16666666666669</v>
      </c>
      <c r="CAJ17" s="63">
        <v>253</v>
      </c>
      <c r="CAK17" s="64"/>
      <c r="CAL17" s="64"/>
      <c r="CAM17" s="64"/>
      <c r="CAN17" s="64">
        <v>603</v>
      </c>
      <c r="CAO17" s="64"/>
      <c r="CAP17" s="67">
        <f t="shared" si="635"/>
        <v>856</v>
      </c>
      <c r="CAQ17" s="68">
        <f t="shared" si="636"/>
        <v>142.66666666666666</v>
      </c>
      <c r="CAR17" s="63">
        <v>427</v>
      </c>
      <c r="CAS17" s="64"/>
      <c r="CAT17" s="64"/>
      <c r="CAU17" s="64"/>
      <c r="CAV17" s="64">
        <v>989</v>
      </c>
      <c r="CAW17" s="64">
        <v>2000</v>
      </c>
      <c r="CAX17" s="67">
        <f t="shared" si="637"/>
        <v>3416</v>
      </c>
      <c r="CAY17" s="68">
        <f t="shared" si="638"/>
        <v>569.33333333333337</v>
      </c>
      <c r="CAZ17" s="48">
        <v>223</v>
      </c>
      <c r="CBA17" s="49"/>
      <c r="CBB17" s="49"/>
      <c r="CBC17" s="49">
        <v>439</v>
      </c>
      <c r="CBD17" s="49"/>
      <c r="CBE17" s="49">
        <v>220</v>
      </c>
      <c r="CBF17" s="67">
        <f t="shared" si="639"/>
        <v>882</v>
      </c>
      <c r="CBG17" s="68">
        <f t="shared" si="640"/>
        <v>147</v>
      </c>
      <c r="CBH17" s="48"/>
      <c r="CBI17" s="49">
        <v>332</v>
      </c>
      <c r="CBJ17" s="49"/>
      <c r="CBK17" s="49">
        <v>329</v>
      </c>
      <c r="CBL17" s="49"/>
      <c r="CBM17" s="49"/>
      <c r="CBN17" s="67">
        <f t="shared" si="641"/>
        <v>661</v>
      </c>
      <c r="CBO17" s="68">
        <f t="shared" si="642"/>
        <v>110.16666666666667</v>
      </c>
      <c r="CBP17" s="48">
        <v>550</v>
      </c>
      <c r="CBQ17" s="49"/>
      <c r="CBR17" s="49">
        <v>903</v>
      </c>
      <c r="CBS17" s="49"/>
      <c r="CBT17" s="49"/>
      <c r="CBU17" s="49">
        <v>417</v>
      </c>
      <c r="CBV17" s="67">
        <f t="shared" si="643"/>
        <v>1870</v>
      </c>
      <c r="CBW17" s="68">
        <f t="shared" si="644"/>
        <v>311.66666666666669</v>
      </c>
      <c r="CBX17" s="48"/>
      <c r="CBY17" s="49">
        <v>199</v>
      </c>
      <c r="CBZ17" s="49">
        <v>438</v>
      </c>
      <c r="CCA17" s="49"/>
      <c r="CCB17" s="49"/>
      <c r="CCC17" s="49">
        <v>498</v>
      </c>
      <c r="CCD17" s="67">
        <f t="shared" si="645"/>
        <v>1135</v>
      </c>
      <c r="CCE17" s="68">
        <f t="shared" si="646"/>
        <v>189.16666666666666</v>
      </c>
      <c r="CCF17" s="48"/>
      <c r="CCG17" s="49">
        <v>110</v>
      </c>
      <c r="CCH17" s="49">
        <v>662</v>
      </c>
      <c r="CCI17" s="49"/>
      <c r="CCJ17" s="49">
        <v>440</v>
      </c>
      <c r="CCK17" s="49"/>
      <c r="CCL17" s="67">
        <f t="shared" si="647"/>
        <v>1212</v>
      </c>
      <c r="CCM17" s="68">
        <f t="shared" si="648"/>
        <v>202</v>
      </c>
      <c r="CCN17" s="48"/>
      <c r="CCO17" s="49">
        <v>329</v>
      </c>
      <c r="CCP17" s="49"/>
      <c r="CCQ17" s="49"/>
      <c r="CCR17" s="49">
        <v>450</v>
      </c>
      <c r="CCS17" s="49"/>
      <c r="CCT17" s="67">
        <f t="shared" si="649"/>
        <v>779</v>
      </c>
      <c r="CCU17" s="68">
        <f t="shared" si="650"/>
        <v>129.83333333333334</v>
      </c>
      <c r="CCV17" s="48"/>
      <c r="CCW17" s="49">
        <v>685</v>
      </c>
      <c r="CCX17" s="49"/>
      <c r="CCY17" s="49"/>
      <c r="CCZ17" s="49"/>
      <c r="CDA17" s="49"/>
      <c r="CDB17" s="67">
        <f t="shared" si="651"/>
        <v>685</v>
      </c>
      <c r="CDC17" s="68">
        <f t="shared" si="652"/>
        <v>114.16666666666667</v>
      </c>
      <c r="CDD17" s="48"/>
      <c r="CDE17" s="49"/>
      <c r="CDF17" s="49">
        <v>322</v>
      </c>
      <c r="CDG17" s="49"/>
      <c r="CDH17" s="49"/>
      <c r="CDI17" s="49">
        <v>774</v>
      </c>
      <c r="CDJ17" s="67">
        <f t="shared" si="653"/>
        <v>1096</v>
      </c>
      <c r="CDK17" s="68">
        <f t="shared" si="654"/>
        <v>182.66666666666666</v>
      </c>
      <c r="CDL17" s="48"/>
      <c r="CDM17" s="49"/>
      <c r="CDN17" s="49">
        <v>660</v>
      </c>
      <c r="CDO17" s="49">
        <v>239</v>
      </c>
      <c r="CDP17" s="49">
        <v>219</v>
      </c>
      <c r="CDQ17" s="49"/>
      <c r="CDR17" s="67">
        <f t="shared" si="655"/>
        <v>1118</v>
      </c>
      <c r="CDS17" s="68">
        <f t="shared" si="656"/>
        <v>186.33333333333334</v>
      </c>
      <c r="CDT17" s="48"/>
      <c r="CDU17" s="49"/>
      <c r="CDV17" s="49">
        <v>982</v>
      </c>
      <c r="CDW17" s="49"/>
      <c r="CDX17" s="49"/>
      <c r="CDY17" s="49"/>
      <c r="CDZ17" s="67">
        <f t="shared" si="657"/>
        <v>982</v>
      </c>
      <c r="CEA17" s="68">
        <f t="shared" si="658"/>
        <v>163.66666666666666</v>
      </c>
      <c r="CEB17" s="48">
        <v>234</v>
      </c>
      <c r="CEC17" s="49"/>
      <c r="CED17" s="49">
        <v>960</v>
      </c>
      <c r="CEE17" s="49"/>
      <c r="CEF17" s="49"/>
      <c r="CEG17" s="49"/>
      <c r="CEH17" s="67">
        <f t="shared" si="659"/>
        <v>1194</v>
      </c>
      <c r="CEI17" s="68">
        <f t="shared" si="660"/>
        <v>199</v>
      </c>
      <c r="CEJ17" s="48">
        <v>440</v>
      </c>
      <c r="CEK17" s="49"/>
      <c r="CEL17" s="49"/>
      <c r="CEM17" s="49">
        <v>440</v>
      </c>
      <c r="CEN17" s="49">
        <v>915</v>
      </c>
      <c r="CEO17" s="49"/>
      <c r="CEP17" s="67">
        <f t="shared" si="661"/>
        <v>1795</v>
      </c>
      <c r="CEQ17" s="68">
        <f t="shared" si="662"/>
        <v>299.16666666666669</v>
      </c>
      <c r="CER17" s="48"/>
      <c r="CES17" s="49"/>
      <c r="CET17" s="49">
        <v>446</v>
      </c>
      <c r="CEU17" s="49"/>
      <c r="CEV17" s="49">
        <v>442</v>
      </c>
      <c r="CEW17" s="49"/>
      <c r="CEX17" s="67">
        <f t="shared" si="663"/>
        <v>888</v>
      </c>
      <c r="CEY17" s="68">
        <f t="shared" si="664"/>
        <v>148</v>
      </c>
      <c r="CEZ17" s="48"/>
      <c r="CFA17" s="49">
        <v>1177</v>
      </c>
      <c r="CFB17" s="49"/>
      <c r="CFC17" s="49"/>
      <c r="CFD17" s="49"/>
      <c r="CFE17" s="49">
        <v>441</v>
      </c>
      <c r="CFF17" s="67">
        <f t="shared" si="665"/>
        <v>1618</v>
      </c>
      <c r="CFG17" s="68">
        <f t="shared" si="666"/>
        <v>269.66666666666669</v>
      </c>
      <c r="CFH17" s="48"/>
      <c r="CFI17" s="49">
        <v>394</v>
      </c>
      <c r="CFJ17" s="49"/>
      <c r="CFK17" s="49"/>
      <c r="CFL17" s="49">
        <v>463</v>
      </c>
      <c r="CFM17" s="49"/>
      <c r="CFN17" s="67">
        <f t="shared" si="667"/>
        <v>857</v>
      </c>
      <c r="CFO17" s="68">
        <f t="shared" si="668"/>
        <v>142.83333333333334</v>
      </c>
      <c r="CFP17" s="48"/>
      <c r="CFQ17" s="49">
        <v>881</v>
      </c>
      <c r="CFR17" s="49">
        <v>669</v>
      </c>
      <c r="CFS17" s="49"/>
      <c r="CFT17" s="49"/>
      <c r="CFU17" s="49">
        <v>290</v>
      </c>
      <c r="CFV17" s="67">
        <f t="shared" si="669"/>
        <v>1840</v>
      </c>
      <c r="CFW17" s="68">
        <f t="shared" si="670"/>
        <v>306.66666666666669</v>
      </c>
      <c r="CFX17" s="48"/>
      <c r="CFY17" s="49">
        <v>447</v>
      </c>
      <c r="CFZ17" s="49"/>
      <c r="CGA17" s="49">
        <v>1958</v>
      </c>
      <c r="CGB17" s="49"/>
      <c r="CGC17" s="49"/>
      <c r="CGD17" s="67">
        <f t="shared" si="671"/>
        <v>2405</v>
      </c>
      <c r="CGE17" s="68">
        <f t="shared" si="672"/>
        <v>400.83333333333331</v>
      </c>
      <c r="CGF17" s="48"/>
      <c r="CGG17" s="49"/>
      <c r="CGH17" s="49"/>
      <c r="CGI17" s="49"/>
      <c r="CGJ17" s="49">
        <v>460</v>
      </c>
      <c r="CGK17" s="49"/>
      <c r="CGL17" s="67">
        <f t="shared" si="673"/>
        <v>460</v>
      </c>
      <c r="CGM17" s="68">
        <f t="shared" si="674"/>
        <v>76.666666666666671</v>
      </c>
      <c r="CGN17" s="63">
        <v>420</v>
      </c>
      <c r="CGO17" s="64"/>
      <c r="CGP17" s="64"/>
      <c r="CGQ17" s="64">
        <v>417</v>
      </c>
      <c r="CGR17" s="64"/>
      <c r="CGS17" s="64"/>
      <c r="CGT17" s="67">
        <f t="shared" si="675"/>
        <v>837</v>
      </c>
      <c r="CGU17" s="68">
        <f t="shared" si="676"/>
        <v>139.5</v>
      </c>
      <c r="CGV17" s="48"/>
      <c r="CGW17" s="49">
        <v>905</v>
      </c>
      <c r="CGX17" s="49"/>
      <c r="CGY17" s="49">
        <v>1022</v>
      </c>
      <c r="CGZ17" s="49"/>
      <c r="CHA17" s="49"/>
      <c r="CHB17" s="67">
        <f t="shared" si="677"/>
        <v>1927</v>
      </c>
      <c r="CHC17" s="68">
        <f t="shared" si="678"/>
        <v>321.16666666666669</v>
      </c>
      <c r="CHD17" s="48"/>
      <c r="CHE17" s="49"/>
      <c r="CHF17" s="49">
        <v>440</v>
      </c>
      <c r="CHG17" s="49"/>
      <c r="CHH17" s="49"/>
      <c r="CHI17" s="49">
        <v>880</v>
      </c>
      <c r="CHJ17" s="67">
        <f t="shared" si="679"/>
        <v>1320</v>
      </c>
      <c r="CHK17" s="68">
        <f t="shared" si="680"/>
        <v>220</v>
      </c>
      <c r="CHL17" s="63"/>
      <c r="CHM17" s="64">
        <v>398</v>
      </c>
      <c r="CHN17" s="64"/>
      <c r="CHO17" s="64">
        <v>440</v>
      </c>
      <c r="CHP17" s="64"/>
      <c r="CHQ17" s="64"/>
      <c r="CHR17" s="67">
        <f t="shared" si="681"/>
        <v>838</v>
      </c>
      <c r="CHS17" s="68">
        <f t="shared" si="682"/>
        <v>139.66666666666666</v>
      </c>
      <c r="CHT17" s="48"/>
      <c r="CHU17" s="49"/>
      <c r="CHV17" s="49">
        <v>445</v>
      </c>
      <c r="CHW17" s="49"/>
      <c r="CHX17" s="49"/>
      <c r="CHY17" s="49">
        <f>878+464</f>
        <v>1342</v>
      </c>
      <c r="CHZ17" s="67">
        <f t="shared" si="683"/>
        <v>1787</v>
      </c>
      <c r="CIA17" s="68">
        <f t="shared" si="684"/>
        <v>297.83333333333331</v>
      </c>
      <c r="CIB17" s="63"/>
      <c r="CIC17" s="64">
        <v>440</v>
      </c>
      <c r="CID17" s="64"/>
      <c r="CIE17" s="64">
        <v>219</v>
      </c>
      <c r="CIF17" s="64">
        <v>434</v>
      </c>
      <c r="CIG17" s="64"/>
      <c r="CIH17" s="67">
        <f t="shared" si="685"/>
        <v>1093</v>
      </c>
      <c r="CII17" s="68">
        <f t="shared" si="686"/>
        <v>182.16666666666666</v>
      </c>
      <c r="CIJ17" s="63">
        <v>941</v>
      </c>
      <c r="CIK17" s="64">
        <v>591</v>
      </c>
      <c r="CIL17" s="64">
        <v>174</v>
      </c>
      <c r="CIM17" s="64"/>
      <c r="CIN17" s="64">
        <v>625</v>
      </c>
      <c r="CIO17" s="64"/>
      <c r="CIP17" s="67">
        <f t="shared" si="687"/>
        <v>2331</v>
      </c>
      <c r="CIQ17" s="68">
        <f t="shared" si="688"/>
        <v>388.5</v>
      </c>
      <c r="CIR17" s="48"/>
      <c r="CIS17" s="49">
        <v>328</v>
      </c>
      <c r="CIT17" s="49">
        <v>439</v>
      </c>
      <c r="CIU17" s="49"/>
      <c r="CIV17" s="49">
        <v>440</v>
      </c>
      <c r="CIW17" s="49"/>
      <c r="CIX17" s="67">
        <f t="shared" si="689"/>
        <v>1207</v>
      </c>
      <c r="CIY17" s="68">
        <f t="shared" si="690"/>
        <v>201.16666666666666</v>
      </c>
      <c r="CIZ17" s="48"/>
      <c r="CJA17" s="49">
        <v>894</v>
      </c>
      <c r="CJB17" s="49"/>
      <c r="CJC17" s="49"/>
      <c r="CJD17" s="49">
        <v>880</v>
      </c>
      <c r="CJE17" s="49">
        <v>220</v>
      </c>
      <c r="CJF17" s="67">
        <f t="shared" si="691"/>
        <v>1994</v>
      </c>
      <c r="CJG17" s="68">
        <f t="shared" si="1200"/>
        <v>332.33333333333331</v>
      </c>
      <c r="CJH17" s="48"/>
      <c r="CJI17" s="49">
        <v>592</v>
      </c>
      <c r="CJJ17" s="49"/>
      <c r="CJK17" s="49"/>
      <c r="CJL17" s="49"/>
      <c r="CJM17" s="49">
        <v>441</v>
      </c>
      <c r="CJN17" s="67">
        <f t="shared" si="692"/>
        <v>1033</v>
      </c>
      <c r="CJO17" s="68">
        <f t="shared" si="693"/>
        <v>172.16666666666666</v>
      </c>
      <c r="CJP17" s="48"/>
      <c r="CJQ17" s="49"/>
      <c r="CJR17" s="49">
        <v>659</v>
      </c>
      <c r="CJS17" s="49"/>
      <c r="CJT17" s="49">
        <v>434</v>
      </c>
      <c r="CJU17" s="49"/>
      <c r="CJV17" s="67">
        <f t="shared" si="694"/>
        <v>1093</v>
      </c>
      <c r="CJW17" s="68">
        <f t="shared" si="695"/>
        <v>182.16666666666666</v>
      </c>
      <c r="CJX17" s="48"/>
      <c r="CJY17" s="49"/>
      <c r="CJZ17" s="49"/>
      <c r="CKA17" s="49"/>
      <c r="CKB17" s="49">
        <v>890</v>
      </c>
      <c r="CKC17" s="49"/>
      <c r="CKD17" s="67">
        <f t="shared" si="696"/>
        <v>890</v>
      </c>
      <c r="CKE17" s="68">
        <f t="shared" si="697"/>
        <v>148.33333333333334</v>
      </c>
      <c r="CKF17" s="63">
        <v>191</v>
      </c>
      <c r="CKG17" s="64">
        <v>807</v>
      </c>
      <c r="CKH17" s="64"/>
      <c r="CKI17" s="64">
        <v>893</v>
      </c>
      <c r="CKJ17" s="64"/>
      <c r="CKK17" s="64">
        <v>440</v>
      </c>
      <c r="CKL17" s="67">
        <f t="shared" si="698"/>
        <v>2331</v>
      </c>
      <c r="CKM17" s="68">
        <f t="shared" si="699"/>
        <v>388.5</v>
      </c>
      <c r="CKN17" s="48"/>
      <c r="CKO17" s="49"/>
      <c r="CKP17" s="49"/>
      <c r="CKQ17" s="49"/>
      <c r="CKR17" s="49"/>
      <c r="CKS17" s="47"/>
      <c r="CKT17" s="67">
        <f t="shared" si="700"/>
        <v>0</v>
      </c>
      <c r="CKU17" s="68">
        <f t="shared" si="701"/>
        <v>0</v>
      </c>
      <c r="CKV17" s="48"/>
      <c r="CKW17" s="49"/>
      <c r="CKX17" s="49">
        <v>1002</v>
      </c>
      <c r="CKY17" s="49"/>
      <c r="CKZ17" s="49"/>
      <c r="CLA17" s="49"/>
      <c r="CLB17" s="67">
        <f t="shared" si="702"/>
        <v>1002</v>
      </c>
      <c r="CLC17" s="68">
        <f t="shared" si="703"/>
        <v>167</v>
      </c>
      <c r="CLD17" s="48">
        <v>899</v>
      </c>
      <c r="CLE17" s="49"/>
      <c r="CLF17" s="49">
        <v>220</v>
      </c>
      <c r="CLG17" s="49"/>
      <c r="CLH17" s="49"/>
      <c r="CLI17" s="49"/>
      <c r="CLJ17" s="67">
        <f t="shared" si="704"/>
        <v>1119</v>
      </c>
      <c r="CLK17" s="68">
        <f t="shared" si="705"/>
        <v>186.5</v>
      </c>
      <c r="CLL17" s="48"/>
      <c r="CLM17" s="49"/>
      <c r="CLN17" s="49"/>
      <c r="CLO17" s="49">
        <v>882</v>
      </c>
      <c r="CLP17" s="49"/>
      <c r="CLQ17" s="49">
        <v>1082</v>
      </c>
      <c r="CLR17" s="67">
        <f t="shared" si="706"/>
        <v>1964</v>
      </c>
      <c r="CLS17" s="68">
        <f t="shared" si="707"/>
        <v>327.33333333333331</v>
      </c>
      <c r="CLT17" s="63"/>
      <c r="CLU17" s="64"/>
      <c r="CLV17" s="64">
        <v>516</v>
      </c>
      <c r="CLW17" s="64"/>
      <c r="CLX17" s="64"/>
      <c r="CLY17" s="64"/>
      <c r="CLZ17" s="67">
        <f t="shared" si="708"/>
        <v>516</v>
      </c>
      <c r="CMA17" s="68">
        <f t="shared" si="709"/>
        <v>86</v>
      </c>
      <c r="CMB17" s="48"/>
      <c r="CMC17" s="49"/>
      <c r="CMD17" s="49">
        <v>880</v>
      </c>
      <c r="CME17" s="49"/>
      <c r="CMF17" s="49"/>
      <c r="CMG17" s="49">
        <v>437</v>
      </c>
      <c r="CMH17" s="67">
        <f t="shared" si="710"/>
        <v>1317</v>
      </c>
      <c r="CMI17" s="68">
        <f t="shared" si="711"/>
        <v>219.5</v>
      </c>
      <c r="CMJ17" s="48"/>
      <c r="CMK17" s="49"/>
      <c r="CML17" s="49">
        <v>477</v>
      </c>
      <c r="CMM17" s="49"/>
      <c r="CMN17" s="49">
        <v>437</v>
      </c>
      <c r="CMO17" s="49"/>
      <c r="CMP17" s="67">
        <f t="shared" si="712"/>
        <v>914</v>
      </c>
      <c r="CMQ17" s="68">
        <f t="shared" si="713"/>
        <v>152.33333333333334</v>
      </c>
      <c r="CMR17" s="48">
        <v>222</v>
      </c>
      <c r="CMS17" s="49">
        <v>341</v>
      </c>
      <c r="CMT17" s="49"/>
      <c r="CMU17" s="49">
        <v>329</v>
      </c>
      <c r="CMV17" s="49"/>
      <c r="CMW17" s="49"/>
      <c r="CMX17" s="67">
        <f t="shared" si="714"/>
        <v>892</v>
      </c>
      <c r="CMY17" s="68">
        <f t="shared" si="715"/>
        <v>148.66666666666666</v>
      </c>
      <c r="CMZ17" s="63">
        <v>565</v>
      </c>
      <c r="CNA17" s="64"/>
      <c r="CNB17" s="64"/>
      <c r="CNC17" s="64">
        <v>399</v>
      </c>
      <c r="CND17" s="64">
        <v>3</v>
      </c>
      <c r="CNE17" s="64"/>
      <c r="CNF17" s="67">
        <f t="shared" si="716"/>
        <v>967</v>
      </c>
      <c r="CNG17" s="68">
        <f t="shared" si="717"/>
        <v>161.16666666666666</v>
      </c>
      <c r="CNH17" s="48">
        <v>550</v>
      </c>
      <c r="CNI17" s="49"/>
      <c r="CNJ17" s="49"/>
      <c r="CNK17" s="49"/>
      <c r="CNL17" s="49">
        <v>765</v>
      </c>
      <c r="CNM17" s="49"/>
      <c r="CNN17" s="67">
        <f t="shared" si="718"/>
        <v>1315</v>
      </c>
      <c r="CNO17" s="68">
        <f t="shared" si="719"/>
        <v>219.16666666666666</v>
      </c>
      <c r="CNP17" s="63">
        <v>881</v>
      </c>
      <c r="CNQ17" s="64">
        <v>217</v>
      </c>
      <c r="CNR17" s="64"/>
      <c r="CNS17" s="64"/>
      <c r="CNT17" s="64"/>
      <c r="CNU17" s="64"/>
      <c r="CNV17" s="67">
        <f t="shared" si="720"/>
        <v>1098</v>
      </c>
      <c r="CNW17" s="68">
        <f t="shared" si="721"/>
        <v>183</v>
      </c>
      <c r="CNX17" s="48">
        <v>438</v>
      </c>
      <c r="CNY17" s="49"/>
      <c r="CNZ17" s="49"/>
      <c r="COA17" s="49"/>
      <c r="COB17" s="49">
        <v>440</v>
      </c>
      <c r="COC17" s="49">
        <v>332</v>
      </c>
      <c r="COD17" s="67">
        <f t="shared" si="722"/>
        <v>1210</v>
      </c>
      <c r="COE17" s="68">
        <f t="shared" si="723"/>
        <v>201.66666666666666</v>
      </c>
      <c r="COF17" s="48"/>
      <c r="COG17" s="49"/>
      <c r="COH17" s="49"/>
      <c r="COI17" s="49"/>
      <c r="COJ17" s="49"/>
      <c r="COK17" s="49">
        <v>969</v>
      </c>
      <c r="COL17" s="67">
        <f t="shared" si="724"/>
        <v>969</v>
      </c>
      <c r="COM17" s="68">
        <f t="shared" si="725"/>
        <v>161.5</v>
      </c>
      <c r="CON17" s="48"/>
      <c r="COO17" s="49"/>
      <c r="COP17" s="49">
        <v>442</v>
      </c>
      <c r="COQ17" s="49"/>
      <c r="COR17" s="49"/>
      <c r="COS17" s="49">
        <v>453</v>
      </c>
      <c r="COT17" s="67">
        <f t="shared" si="726"/>
        <v>895</v>
      </c>
      <c r="COU17" s="68">
        <f t="shared" si="727"/>
        <v>149.16666666666666</v>
      </c>
      <c r="COV17" s="48"/>
      <c r="COW17" s="49">
        <v>439</v>
      </c>
      <c r="COX17" s="49"/>
      <c r="COY17" s="49">
        <v>220</v>
      </c>
      <c r="COZ17" s="49"/>
      <c r="CPA17" s="49">
        <v>0</v>
      </c>
      <c r="CPB17" s="67">
        <f t="shared" si="728"/>
        <v>659</v>
      </c>
      <c r="CPC17" s="68">
        <f t="shared" si="729"/>
        <v>109.83333333333333</v>
      </c>
      <c r="CPD17" s="48">
        <v>0</v>
      </c>
      <c r="CPE17" s="49">
        <v>450</v>
      </c>
      <c r="CPF17" s="49">
        <v>660</v>
      </c>
      <c r="CPG17" s="49">
        <v>0</v>
      </c>
      <c r="CPH17" s="49">
        <v>0</v>
      </c>
      <c r="CPI17" s="49">
        <v>0</v>
      </c>
      <c r="CPJ17" s="67">
        <f t="shared" si="730"/>
        <v>1110</v>
      </c>
      <c r="CPK17" s="68">
        <f t="shared" si="731"/>
        <v>185</v>
      </c>
      <c r="CPL17" s="48"/>
      <c r="CPM17" s="49">
        <v>0</v>
      </c>
      <c r="CPN17" s="49">
        <v>0</v>
      </c>
      <c r="CPO17" s="49">
        <v>0</v>
      </c>
      <c r="CPP17" s="49">
        <v>0</v>
      </c>
      <c r="CPQ17" s="49">
        <v>0</v>
      </c>
      <c r="CPR17" s="67">
        <f t="shared" si="732"/>
        <v>0</v>
      </c>
      <c r="CPS17" s="68">
        <f t="shared" si="733"/>
        <v>0</v>
      </c>
      <c r="CPT17" s="63">
        <v>0</v>
      </c>
      <c r="CPU17" s="64">
        <v>0</v>
      </c>
      <c r="CPV17" s="64">
        <v>0</v>
      </c>
      <c r="CPW17" s="64">
        <v>0</v>
      </c>
      <c r="CPX17" s="64">
        <v>439</v>
      </c>
      <c r="CPY17" s="64">
        <v>0</v>
      </c>
      <c r="CPZ17" s="67">
        <f t="shared" si="734"/>
        <v>439</v>
      </c>
      <c r="CQA17" s="68">
        <f t="shared" si="735"/>
        <v>73.166666666666671</v>
      </c>
      <c r="CQB17" s="48">
        <v>0</v>
      </c>
      <c r="CQC17" s="49">
        <v>222</v>
      </c>
      <c r="CQD17" s="49">
        <v>478</v>
      </c>
      <c r="CQE17" s="49">
        <v>0</v>
      </c>
      <c r="CQF17" s="49">
        <v>223</v>
      </c>
      <c r="CQG17" s="49">
        <v>0</v>
      </c>
      <c r="CQH17" s="67">
        <f t="shared" si="736"/>
        <v>923</v>
      </c>
      <c r="CQI17" s="68">
        <f t="shared" si="737"/>
        <v>153.83333333333334</v>
      </c>
      <c r="CQJ17" s="82">
        <v>438</v>
      </c>
      <c r="CQK17" s="83">
        <v>0</v>
      </c>
      <c r="CQL17" s="83">
        <v>0</v>
      </c>
      <c r="CQM17" s="83">
        <v>0</v>
      </c>
      <c r="CQN17" s="83">
        <v>0</v>
      </c>
      <c r="CQO17" s="83"/>
      <c r="CQP17" s="67">
        <f t="shared" si="738"/>
        <v>438</v>
      </c>
      <c r="CQQ17" s="68">
        <f t="shared" si="739"/>
        <v>73</v>
      </c>
      <c r="CQR17" s="48"/>
      <c r="CQS17" s="49">
        <v>621</v>
      </c>
      <c r="CQT17" s="49">
        <v>0</v>
      </c>
      <c r="CQU17" s="49">
        <v>0</v>
      </c>
      <c r="CQV17" s="49">
        <v>402</v>
      </c>
      <c r="CQW17" s="49">
        <v>451</v>
      </c>
      <c r="CQX17" s="67">
        <f t="shared" si="740"/>
        <v>1474</v>
      </c>
      <c r="CQY17" s="68">
        <f t="shared" si="741"/>
        <v>245.66666666666666</v>
      </c>
      <c r="CQZ17" s="48">
        <v>0</v>
      </c>
      <c r="CRA17" s="49"/>
      <c r="CRB17" s="49">
        <v>0</v>
      </c>
      <c r="CRC17" s="49"/>
      <c r="CRD17" s="49">
        <v>0</v>
      </c>
      <c r="CRE17" s="49">
        <v>448</v>
      </c>
      <c r="CRF17" s="67">
        <f t="shared" si="742"/>
        <v>448</v>
      </c>
      <c r="CRG17" s="68">
        <f t="shared" si="743"/>
        <v>74.666666666666671</v>
      </c>
      <c r="CRH17" s="48">
        <v>0</v>
      </c>
      <c r="CRI17" s="49">
        <v>230</v>
      </c>
      <c r="CRJ17" s="49">
        <v>0</v>
      </c>
      <c r="CRK17" s="49">
        <v>0</v>
      </c>
      <c r="CRL17" s="49">
        <v>307</v>
      </c>
      <c r="CRM17" s="49">
        <v>0</v>
      </c>
      <c r="CRN17" s="67">
        <f t="shared" si="744"/>
        <v>537</v>
      </c>
      <c r="CRO17" s="68">
        <f t="shared" si="745"/>
        <v>89.5</v>
      </c>
      <c r="CRP17" s="48">
        <v>0</v>
      </c>
      <c r="CRQ17" s="49">
        <v>441</v>
      </c>
      <c r="CRR17" s="49">
        <v>0</v>
      </c>
      <c r="CRS17" s="49">
        <v>330</v>
      </c>
      <c r="CRT17" s="49">
        <v>0</v>
      </c>
      <c r="CRU17" s="49">
        <v>0</v>
      </c>
      <c r="CRV17" s="47">
        <f t="shared" si="746"/>
        <v>771</v>
      </c>
      <c r="CRW17" s="68">
        <f t="shared" si="747"/>
        <v>128.5</v>
      </c>
      <c r="CRX17" s="63">
        <v>0</v>
      </c>
      <c r="CRY17" s="64">
        <v>0</v>
      </c>
      <c r="CRZ17" s="64">
        <v>110</v>
      </c>
      <c r="CSA17" s="64">
        <v>0</v>
      </c>
      <c r="CSB17" s="64">
        <v>198</v>
      </c>
      <c r="CSC17" s="64">
        <v>0</v>
      </c>
      <c r="CSD17" s="67">
        <f t="shared" si="748"/>
        <v>308</v>
      </c>
      <c r="CSE17" s="68">
        <f t="shared" si="749"/>
        <v>51.333333333333336</v>
      </c>
      <c r="CSF17" s="48">
        <v>440</v>
      </c>
      <c r="CSG17" s="49">
        <v>220</v>
      </c>
      <c r="CSH17" s="49">
        <v>111</v>
      </c>
      <c r="CSI17" s="49">
        <v>0</v>
      </c>
      <c r="CSJ17" s="49">
        <v>0</v>
      </c>
      <c r="CSK17" s="49">
        <v>0</v>
      </c>
      <c r="CSL17" s="64">
        <f t="shared" si="750"/>
        <v>771</v>
      </c>
      <c r="CSM17" s="68">
        <f t="shared" si="751"/>
        <v>128.5</v>
      </c>
      <c r="CSN17" s="48">
        <v>0</v>
      </c>
      <c r="CSO17" s="49">
        <v>0</v>
      </c>
      <c r="CSP17" s="49">
        <v>543</v>
      </c>
      <c r="CSQ17" s="49">
        <v>0</v>
      </c>
      <c r="CSR17" s="49">
        <v>0</v>
      </c>
      <c r="CSS17" s="49">
        <v>332</v>
      </c>
      <c r="CST17" s="64">
        <f t="shared" si="752"/>
        <v>875</v>
      </c>
      <c r="CSU17" s="68">
        <f t="shared" si="753"/>
        <v>145.83333333333334</v>
      </c>
      <c r="CSV17" s="48">
        <v>0</v>
      </c>
      <c r="CSW17" s="49">
        <v>110</v>
      </c>
      <c r="CSX17" s="49">
        <v>0</v>
      </c>
      <c r="CSY17" s="49">
        <v>0</v>
      </c>
      <c r="CSZ17" s="49"/>
      <c r="CTA17" s="49">
        <v>648</v>
      </c>
      <c r="CTB17" s="64">
        <f t="shared" si="754"/>
        <v>758</v>
      </c>
      <c r="CTC17" s="68">
        <f t="shared" si="755"/>
        <v>126.33333333333333</v>
      </c>
      <c r="CTD17" s="48">
        <v>0</v>
      </c>
      <c r="CTE17" s="49">
        <v>399</v>
      </c>
      <c r="CTF17" s="49">
        <v>0</v>
      </c>
      <c r="CTG17" s="49">
        <v>77</v>
      </c>
      <c r="CTH17" s="49">
        <v>656</v>
      </c>
      <c r="CTI17" s="49"/>
      <c r="CTJ17" s="64">
        <f t="shared" si="756"/>
        <v>1132</v>
      </c>
      <c r="CTK17" s="68">
        <f t="shared" si="757"/>
        <v>188.66666666666666</v>
      </c>
      <c r="CTL17" s="48">
        <v>0</v>
      </c>
      <c r="CTM17" s="49">
        <v>0</v>
      </c>
      <c r="CTN17" s="49">
        <v>0</v>
      </c>
      <c r="CTO17" s="49">
        <v>328</v>
      </c>
      <c r="CTP17" s="49">
        <v>219</v>
      </c>
      <c r="CTQ17" s="49"/>
      <c r="CTR17" s="64">
        <f t="shared" si="758"/>
        <v>547</v>
      </c>
      <c r="CTS17" s="68">
        <f t="shared" si="759"/>
        <v>91.166666666666671</v>
      </c>
      <c r="CTT17" s="48">
        <v>436</v>
      </c>
      <c r="CTU17" s="49"/>
      <c r="CTV17" s="49">
        <v>382</v>
      </c>
      <c r="CTW17" s="49"/>
      <c r="CTX17" s="49">
        <v>437</v>
      </c>
      <c r="CTY17" s="49"/>
      <c r="CTZ17" s="64">
        <f t="shared" si="760"/>
        <v>1255</v>
      </c>
      <c r="CUA17" s="68">
        <f t="shared" si="761"/>
        <v>209.16666666666666</v>
      </c>
      <c r="CUB17" s="48"/>
      <c r="CUC17" s="49">
        <v>0</v>
      </c>
      <c r="CUD17" s="49">
        <v>640</v>
      </c>
      <c r="CUE17" s="49"/>
      <c r="CUF17" s="49">
        <v>221</v>
      </c>
      <c r="CUG17" s="49">
        <v>0</v>
      </c>
      <c r="CUH17" s="64">
        <f t="shared" si="762"/>
        <v>861</v>
      </c>
      <c r="CUI17" s="68">
        <f t="shared" si="763"/>
        <v>143.5</v>
      </c>
      <c r="CUJ17" s="48"/>
      <c r="CUK17" s="49">
        <v>0</v>
      </c>
      <c r="CUL17" s="49">
        <v>684</v>
      </c>
      <c r="CUM17" s="49">
        <v>0</v>
      </c>
      <c r="CUN17" s="49">
        <v>221</v>
      </c>
      <c r="CUO17" s="49">
        <v>0</v>
      </c>
      <c r="CUP17" s="64">
        <f t="shared" si="764"/>
        <v>905</v>
      </c>
      <c r="CUQ17" s="68">
        <f t="shared" si="765"/>
        <v>150.83333333333334</v>
      </c>
      <c r="CUR17" s="48">
        <v>0</v>
      </c>
      <c r="CUS17" s="49"/>
      <c r="CUT17" s="49"/>
      <c r="CUU17" s="49">
        <v>0</v>
      </c>
      <c r="CUV17" s="49">
        <v>447</v>
      </c>
      <c r="CUW17" s="49">
        <v>0</v>
      </c>
      <c r="CUX17" s="64">
        <f t="shared" si="766"/>
        <v>447</v>
      </c>
      <c r="CUY17" s="68">
        <f t="shared" si="767"/>
        <v>74.5</v>
      </c>
      <c r="CUZ17" s="48">
        <v>439</v>
      </c>
      <c r="CVA17" s="49">
        <v>0</v>
      </c>
      <c r="CVB17" s="49">
        <v>0</v>
      </c>
      <c r="CVC17" s="49">
        <v>542</v>
      </c>
      <c r="CVD17" s="49">
        <v>0</v>
      </c>
      <c r="CVE17" s="49">
        <v>0</v>
      </c>
      <c r="CVF17" s="64">
        <f t="shared" si="768"/>
        <v>981</v>
      </c>
      <c r="CVG17" s="68">
        <f t="shared" si="769"/>
        <v>163.5</v>
      </c>
      <c r="CVH17" s="48">
        <v>0</v>
      </c>
      <c r="CVI17" s="49">
        <v>661</v>
      </c>
      <c r="CVJ17" s="49">
        <v>0</v>
      </c>
      <c r="CVK17" s="49">
        <v>0</v>
      </c>
      <c r="CVL17" s="49">
        <v>439</v>
      </c>
      <c r="CVM17" s="49">
        <v>0</v>
      </c>
      <c r="CVN17" s="64">
        <f t="shared" si="770"/>
        <v>1100</v>
      </c>
      <c r="CVO17" s="68">
        <f t="shared" si="771"/>
        <v>183.33333333333334</v>
      </c>
      <c r="CVP17" s="48"/>
      <c r="CVQ17" s="49">
        <v>0</v>
      </c>
      <c r="CVR17" s="49">
        <v>0</v>
      </c>
      <c r="CVS17" s="49">
        <v>613</v>
      </c>
      <c r="CVT17" s="49">
        <v>220</v>
      </c>
      <c r="CVU17" s="49">
        <v>220</v>
      </c>
      <c r="CVV17" s="64">
        <f t="shared" si="772"/>
        <v>1053</v>
      </c>
      <c r="CVW17" s="68">
        <f t="shared" si="773"/>
        <v>175.5</v>
      </c>
      <c r="CVX17" s="48">
        <v>0</v>
      </c>
      <c r="CVY17" s="49">
        <v>0</v>
      </c>
      <c r="CVZ17" s="49">
        <v>330</v>
      </c>
      <c r="CWA17" s="49">
        <v>0</v>
      </c>
      <c r="CWB17" s="49">
        <v>0</v>
      </c>
      <c r="CWC17" s="49">
        <v>659</v>
      </c>
      <c r="CWD17" s="64">
        <f t="shared" si="774"/>
        <v>989</v>
      </c>
      <c r="CWE17" s="68">
        <f t="shared" si="775"/>
        <v>164.83333333333334</v>
      </c>
      <c r="CWF17" s="48">
        <v>0</v>
      </c>
      <c r="CWG17" s="49">
        <v>0</v>
      </c>
      <c r="CWH17" s="49">
        <v>0</v>
      </c>
      <c r="CWI17" s="49">
        <v>330</v>
      </c>
      <c r="CWJ17" s="49">
        <v>221</v>
      </c>
      <c r="CWK17" s="49">
        <v>0</v>
      </c>
      <c r="CWL17" s="64">
        <f t="shared" si="776"/>
        <v>551</v>
      </c>
      <c r="CWM17" s="68">
        <f t="shared" si="777"/>
        <v>91.833333333333329</v>
      </c>
      <c r="CWN17" s="48">
        <v>550</v>
      </c>
      <c r="CWO17" s="49">
        <v>0</v>
      </c>
      <c r="CWP17" s="49">
        <v>0</v>
      </c>
      <c r="CWQ17" s="49">
        <v>419</v>
      </c>
      <c r="CWR17" s="49">
        <v>0</v>
      </c>
      <c r="CWS17" s="49">
        <v>221</v>
      </c>
      <c r="CWT17" s="64">
        <f t="shared" si="778"/>
        <v>1190</v>
      </c>
      <c r="CWU17" s="68">
        <f t="shared" si="779"/>
        <v>198.33333333333334</v>
      </c>
      <c r="CWV17" s="48">
        <v>0</v>
      </c>
      <c r="CWW17" s="49">
        <v>0</v>
      </c>
      <c r="CWX17" s="49">
        <v>0</v>
      </c>
      <c r="CWY17" s="49">
        <v>655</v>
      </c>
      <c r="CWZ17" s="49">
        <v>0</v>
      </c>
      <c r="CXA17" s="49">
        <v>0</v>
      </c>
      <c r="CXB17" s="127">
        <f t="shared" si="780"/>
        <v>655</v>
      </c>
      <c r="CXC17" s="43">
        <f t="shared" si="781"/>
        <v>109.16666666666667</v>
      </c>
      <c r="CXD17" s="48">
        <v>0</v>
      </c>
      <c r="CXE17" s="49">
        <v>0</v>
      </c>
      <c r="CXF17" s="49">
        <v>331</v>
      </c>
      <c r="CXG17" s="49">
        <v>0</v>
      </c>
      <c r="CXH17" s="49">
        <v>0</v>
      </c>
      <c r="CXI17" s="49">
        <v>0</v>
      </c>
      <c r="CXJ17" s="127">
        <f t="shared" si="782"/>
        <v>331</v>
      </c>
      <c r="CXK17" s="43">
        <f t="shared" si="783"/>
        <v>55.166666666666664</v>
      </c>
      <c r="CXL17" s="48">
        <v>0</v>
      </c>
      <c r="CXM17" s="49">
        <v>441</v>
      </c>
      <c r="CXN17" s="49">
        <v>0</v>
      </c>
      <c r="CXO17" s="49">
        <v>542</v>
      </c>
      <c r="CXP17" s="49">
        <v>600</v>
      </c>
      <c r="CXQ17" s="49">
        <v>0</v>
      </c>
      <c r="CXR17" s="127">
        <f t="shared" si="784"/>
        <v>1583</v>
      </c>
      <c r="CXS17" s="43">
        <f t="shared" si="785"/>
        <v>263.83333333333331</v>
      </c>
      <c r="CXT17" s="48">
        <v>0</v>
      </c>
      <c r="CXU17" s="49">
        <v>0</v>
      </c>
      <c r="CXV17" s="49">
        <v>331</v>
      </c>
      <c r="CXW17" s="49">
        <v>0</v>
      </c>
      <c r="CXX17" s="49">
        <v>330</v>
      </c>
      <c r="CXY17" s="49">
        <v>441</v>
      </c>
      <c r="CXZ17" s="127">
        <f t="shared" si="786"/>
        <v>1102</v>
      </c>
      <c r="CYA17" s="43">
        <f t="shared" si="787"/>
        <v>183.66666666666666</v>
      </c>
      <c r="CYB17" s="48">
        <v>0</v>
      </c>
      <c r="CYC17" s="49">
        <v>0</v>
      </c>
      <c r="CYD17" s="49">
        <v>215</v>
      </c>
      <c r="CYE17" s="49">
        <v>0</v>
      </c>
      <c r="CYF17" s="49">
        <v>440</v>
      </c>
      <c r="CYG17" s="49">
        <v>0</v>
      </c>
      <c r="CYH17" s="127">
        <f t="shared" si="788"/>
        <v>655</v>
      </c>
      <c r="CYI17" s="43">
        <f t="shared" si="789"/>
        <v>109.16666666666667</v>
      </c>
      <c r="CYJ17" s="48"/>
      <c r="CYK17" s="49">
        <v>0</v>
      </c>
      <c r="CYL17" s="49">
        <v>0</v>
      </c>
      <c r="CYM17" s="49">
        <v>0</v>
      </c>
      <c r="CYN17" s="49">
        <v>440</v>
      </c>
      <c r="CYO17" s="49">
        <v>0</v>
      </c>
      <c r="CYP17" s="127">
        <f t="shared" si="790"/>
        <v>440</v>
      </c>
      <c r="CYQ17" s="43">
        <f t="shared" si="791"/>
        <v>73.333333333333329</v>
      </c>
      <c r="CYR17" s="48">
        <v>0</v>
      </c>
      <c r="CYS17" s="49">
        <v>280</v>
      </c>
      <c r="CYT17" s="49">
        <v>0</v>
      </c>
      <c r="CYU17" s="49">
        <v>219</v>
      </c>
      <c r="CYV17" s="49">
        <v>0</v>
      </c>
      <c r="CYW17" s="49">
        <v>440</v>
      </c>
      <c r="CYX17" s="127">
        <f t="shared" si="792"/>
        <v>939</v>
      </c>
      <c r="CYY17" s="43">
        <f t="shared" si="793"/>
        <v>156.5</v>
      </c>
      <c r="CYZ17" s="48">
        <v>220</v>
      </c>
      <c r="CZA17" s="49">
        <v>0</v>
      </c>
      <c r="CZB17" s="49">
        <v>0</v>
      </c>
      <c r="CZC17" s="49">
        <v>0</v>
      </c>
      <c r="CZD17" s="49"/>
      <c r="CZE17" s="49">
        <v>0</v>
      </c>
      <c r="CZF17" s="127">
        <f t="shared" si="794"/>
        <v>220</v>
      </c>
      <c r="CZG17" s="43">
        <f t="shared" si="795"/>
        <v>44</v>
      </c>
      <c r="CZH17" s="48">
        <v>0</v>
      </c>
      <c r="CZI17" s="49">
        <v>0</v>
      </c>
      <c r="CZJ17" s="49">
        <v>660</v>
      </c>
      <c r="CZK17" s="49">
        <v>0</v>
      </c>
      <c r="CZL17" s="49">
        <v>0</v>
      </c>
      <c r="CZM17" s="49">
        <v>658</v>
      </c>
      <c r="CZN17" s="127">
        <f t="shared" si="796"/>
        <v>1318</v>
      </c>
      <c r="CZO17" s="43">
        <f t="shared" si="797"/>
        <v>219.66666666666666</v>
      </c>
      <c r="CZP17" s="48">
        <v>0</v>
      </c>
      <c r="CZQ17" s="49"/>
      <c r="CZR17" s="49"/>
      <c r="CZS17" s="49">
        <v>400</v>
      </c>
      <c r="CZT17" s="49">
        <v>0</v>
      </c>
      <c r="CZU17" s="49">
        <v>0</v>
      </c>
      <c r="CZV17" s="127">
        <f t="shared" si="798"/>
        <v>400</v>
      </c>
      <c r="CZW17" s="43">
        <f t="shared" si="799"/>
        <v>66.666666666666671</v>
      </c>
      <c r="CZX17" s="48">
        <v>441</v>
      </c>
      <c r="CZY17" s="49">
        <v>0</v>
      </c>
      <c r="CZZ17" s="49">
        <v>220</v>
      </c>
      <c r="DAA17" s="49">
        <v>0</v>
      </c>
      <c r="DAB17" s="49">
        <v>660</v>
      </c>
      <c r="DAC17" s="49">
        <v>0</v>
      </c>
      <c r="DAD17" s="64">
        <f t="shared" si="800"/>
        <v>1321</v>
      </c>
      <c r="DAE17" s="68">
        <f t="shared" si="801"/>
        <v>220.16666666666666</v>
      </c>
      <c r="DAF17" s="48">
        <v>0</v>
      </c>
      <c r="DAG17" s="49">
        <v>330</v>
      </c>
      <c r="DAH17" s="49">
        <v>0</v>
      </c>
      <c r="DAI17" s="49">
        <v>0</v>
      </c>
      <c r="DAJ17" s="49">
        <v>0</v>
      </c>
      <c r="DAK17" s="49">
        <v>0</v>
      </c>
      <c r="DAL17" s="64">
        <f t="shared" si="802"/>
        <v>330</v>
      </c>
      <c r="DAM17" s="68">
        <f t="shared" si="803"/>
        <v>55</v>
      </c>
      <c r="DAN17" s="48">
        <v>550</v>
      </c>
      <c r="DAO17" s="49">
        <v>0</v>
      </c>
      <c r="DAP17" s="49">
        <v>330</v>
      </c>
      <c r="DAQ17" s="49">
        <v>0</v>
      </c>
      <c r="DAR17" s="49">
        <v>440</v>
      </c>
      <c r="DAS17" s="49"/>
      <c r="DAT17" s="64">
        <f t="shared" si="804"/>
        <v>1320</v>
      </c>
      <c r="DAU17" s="68">
        <f t="shared" si="805"/>
        <v>220</v>
      </c>
      <c r="DAV17" s="48">
        <v>0</v>
      </c>
      <c r="DAW17" s="49">
        <v>0</v>
      </c>
      <c r="DAX17" s="49">
        <v>500</v>
      </c>
      <c r="DAY17" s="49">
        <v>0</v>
      </c>
      <c r="DAZ17" s="49">
        <v>761</v>
      </c>
      <c r="DBA17" s="49">
        <v>0</v>
      </c>
      <c r="DBB17" s="64">
        <f t="shared" si="806"/>
        <v>1261</v>
      </c>
      <c r="DBC17" s="68">
        <f t="shared" si="807"/>
        <v>210.16666666666666</v>
      </c>
      <c r="DBD17" s="48">
        <v>0</v>
      </c>
      <c r="DBE17" s="49">
        <v>0</v>
      </c>
      <c r="DBF17" s="49">
        <v>0</v>
      </c>
      <c r="DBG17" s="49"/>
      <c r="DBH17" s="49">
        <v>440</v>
      </c>
      <c r="DBI17" s="49"/>
      <c r="DBJ17" s="64">
        <f t="shared" si="808"/>
        <v>440</v>
      </c>
      <c r="DBK17" s="68">
        <f t="shared" si="809"/>
        <v>73.333333333333329</v>
      </c>
      <c r="DBL17" s="48"/>
      <c r="DBM17" s="49"/>
      <c r="DBN17" s="49"/>
      <c r="DBO17" s="49">
        <v>440</v>
      </c>
      <c r="DBP17" s="49"/>
      <c r="DBQ17" s="49">
        <v>219</v>
      </c>
      <c r="DBR17" s="64">
        <f t="shared" si="810"/>
        <v>659</v>
      </c>
      <c r="DBS17" s="68">
        <f t="shared" si="811"/>
        <v>109.83333333333333</v>
      </c>
      <c r="DBT17" s="48"/>
      <c r="DBU17" s="49"/>
      <c r="DBV17" s="49">
        <v>658</v>
      </c>
      <c r="DBW17" s="49">
        <v>0</v>
      </c>
      <c r="DBX17" s="49">
        <v>0</v>
      </c>
      <c r="DBY17" s="49">
        <v>221</v>
      </c>
      <c r="DBZ17" s="64">
        <f t="shared" si="812"/>
        <v>879</v>
      </c>
      <c r="DCA17" s="68">
        <f t="shared" si="813"/>
        <v>175.8</v>
      </c>
      <c r="DCB17" s="48">
        <v>220</v>
      </c>
      <c r="DCC17" s="49"/>
      <c r="DCD17" s="49">
        <v>220</v>
      </c>
      <c r="DCE17" s="49">
        <v>0</v>
      </c>
      <c r="DCF17" s="49">
        <v>0</v>
      </c>
      <c r="DCG17" s="49">
        <v>800</v>
      </c>
      <c r="DCH17" s="64">
        <f t="shared" si="814"/>
        <v>1240</v>
      </c>
      <c r="DCI17" s="68">
        <f t="shared" si="815"/>
        <v>206.66666666666666</v>
      </c>
      <c r="DCJ17" s="48">
        <v>0</v>
      </c>
      <c r="DCK17" s="49">
        <v>0</v>
      </c>
      <c r="DCL17" s="49">
        <v>220</v>
      </c>
      <c r="DCM17" s="49">
        <v>0</v>
      </c>
      <c r="DCN17" s="49">
        <v>0</v>
      </c>
      <c r="DCO17" s="49">
        <v>0</v>
      </c>
      <c r="DCP17" s="64">
        <f t="shared" si="816"/>
        <v>220</v>
      </c>
      <c r="DCQ17" s="68">
        <f t="shared" si="817"/>
        <v>36.666666666666664</v>
      </c>
      <c r="DCR17" s="48">
        <v>694</v>
      </c>
      <c r="DCS17" s="49">
        <v>0</v>
      </c>
      <c r="DCT17" s="49">
        <v>0</v>
      </c>
      <c r="DCU17" s="49">
        <v>330</v>
      </c>
      <c r="DCV17" s="49">
        <v>0</v>
      </c>
      <c r="DCW17" s="49">
        <v>0</v>
      </c>
      <c r="DCX17" s="64">
        <f t="shared" si="818"/>
        <v>1024</v>
      </c>
      <c r="DCY17" s="68">
        <f t="shared" si="819"/>
        <v>170.66666666666666</v>
      </c>
      <c r="DCZ17" s="48">
        <v>0</v>
      </c>
      <c r="DDA17" s="49">
        <v>0</v>
      </c>
      <c r="DDB17" s="49">
        <v>658</v>
      </c>
      <c r="DDC17" s="49">
        <v>0</v>
      </c>
      <c r="DDD17" s="49"/>
      <c r="DDE17" s="49">
        <v>0</v>
      </c>
      <c r="DDF17" s="64">
        <f t="shared" si="820"/>
        <v>658</v>
      </c>
      <c r="DDG17" s="68">
        <f t="shared" si="821"/>
        <v>109.66666666666667</v>
      </c>
      <c r="DDH17" s="48">
        <v>642</v>
      </c>
      <c r="DDI17" s="49">
        <v>0</v>
      </c>
      <c r="DDJ17" s="49">
        <v>0</v>
      </c>
      <c r="DDK17" s="49">
        <v>0</v>
      </c>
      <c r="DDL17" s="49">
        <v>440</v>
      </c>
      <c r="DDM17" s="49">
        <v>0</v>
      </c>
      <c r="DDN17" s="127">
        <f t="shared" si="822"/>
        <v>1082</v>
      </c>
      <c r="DDO17" s="43">
        <f t="shared" si="823"/>
        <v>180.33333333333334</v>
      </c>
      <c r="DDP17" s="48">
        <v>332</v>
      </c>
      <c r="DDQ17" s="49">
        <v>324</v>
      </c>
      <c r="DDR17" s="49">
        <v>0</v>
      </c>
      <c r="DDS17" s="49"/>
      <c r="DDT17" s="49">
        <v>0</v>
      </c>
      <c r="DDU17" s="49">
        <v>0</v>
      </c>
      <c r="DDV17" s="127">
        <f t="shared" si="824"/>
        <v>656</v>
      </c>
      <c r="DDW17" s="43">
        <f t="shared" si="825"/>
        <v>109.33333333333333</v>
      </c>
      <c r="DDX17" s="48">
        <v>440</v>
      </c>
      <c r="DDY17" s="49">
        <v>0</v>
      </c>
      <c r="DDZ17" s="49">
        <v>219</v>
      </c>
      <c r="DEA17" s="49">
        <v>0</v>
      </c>
      <c r="DEB17" s="49">
        <v>440</v>
      </c>
      <c r="DEC17" s="49">
        <v>0</v>
      </c>
      <c r="DED17" s="127">
        <f t="shared" si="826"/>
        <v>1099</v>
      </c>
      <c r="DEE17" s="43">
        <f t="shared" si="827"/>
        <v>183.16666666666666</v>
      </c>
      <c r="DEF17" s="48">
        <v>227</v>
      </c>
      <c r="DEG17" s="49">
        <v>0</v>
      </c>
      <c r="DEH17" s="49"/>
      <c r="DEI17" s="49">
        <v>330</v>
      </c>
      <c r="DEJ17" s="49">
        <v>0</v>
      </c>
      <c r="DEK17" s="49">
        <v>0</v>
      </c>
      <c r="DEL17" s="127">
        <f t="shared" si="828"/>
        <v>557</v>
      </c>
      <c r="DEM17" s="43">
        <f t="shared" si="829"/>
        <v>92.833333333333329</v>
      </c>
      <c r="DEN17" s="48"/>
      <c r="DEO17" s="49">
        <v>0</v>
      </c>
      <c r="DEP17" s="49">
        <v>10</v>
      </c>
      <c r="DEQ17" s="49">
        <v>441</v>
      </c>
      <c r="DER17" s="49"/>
      <c r="DES17" s="49">
        <v>0</v>
      </c>
      <c r="DET17" s="127">
        <f t="shared" si="830"/>
        <v>451</v>
      </c>
      <c r="DEU17" s="43">
        <f t="shared" si="831"/>
        <v>75.166666666666671</v>
      </c>
      <c r="DEV17" s="48">
        <v>550</v>
      </c>
      <c r="DEW17" s="49"/>
      <c r="DEX17" s="49">
        <v>0</v>
      </c>
      <c r="DEY17" s="49">
        <v>215</v>
      </c>
      <c r="DEZ17" s="49">
        <v>0</v>
      </c>
      <c r="DFA17" s="49">
        <v>442</v>
      </c>
      <c r="DFB17" s="127">
        <f t="shared" si="832"/>
        <v>1207</v>
      </c>
      <c r="DFC17" s="43">
        <f t="shared" si="833"/>
        <v>201.16666666666666</v>
      </c>
      <c r="DFD17" s="48">
        <v>0</v>
      </c>
      <c r="DFE17" s="49">
        <v>330</v>
      </c>
      <c r="DFF17" s="49"/>
      <c r="DFG17" s="49">
        <v>0</v>
      </c>
      <c r="DFH17" s="49">
        <v>0</v>
      </c>
      <c r="DFI17" s="49"/>
      <c r="DFJ17" s="127">
        <f t="shared" si="834"/>
        <v>330</v>
      </c>
      <c r="DFK17" s="43">
        <f t="shared" si="835"/>
        <v>55</v>
      </c>
      <c r="DFL17" s="63"/>
      <c r="DFM17" s="64">
        <v>0</v>
      </c>
      <c r="DFN17" s="64">
        <v>552</v>
      </c>
      <c r="DFO17" s="64">
        <v>0</v>
      </c>
      <c r="DFP17" s="64">
        <v>287</v>
      </c>
      <c r="DFQ17" s="64">
        <v>0</v>
      </c>
      <c r="DFR17" s="64">
        <f t="shared" si="836"/>
        <v>839</v>
      </c>
      <c r="DFS17" s="68">
        <f t="shared" si="837"/>
        <v>139.83333333333334</v>
      </c>
      <c r="DFT17" s="48">
        <v>442</v>
      </c>
      <c r="DFU17" s="49">
        <v>0</v>
      </c>
      <c r="DFV17" s="49">
        <v>0</v>
      </c>
      <c r="DFW17" s="49">
        <v>0</v>
      </c>
      <c r="DFX17" s="49">
        <v>440</v>
      </c>
      <c r="DFY17" s="49">
        <v>0</v>
      </c>
      <c r="DFZ17" s="127">
        <f t="shared" si="838"/>
        <v>882</v>
      </c>
      <c r="DGA17" s="43">
        <f t="shared" si="839"/>
        <v>147</v>
      </c>
      <c r="DGB17" s="48">
        <v>0</v>
      </c>
      <c r="DGC17" s="49">
        <v>551</v>
      </c>
      <c r="DGD17" s="49">
        <v>0</v>
      </c>
      <c r="DGE17" s="49"/>
      <c r="DGF17" s="49">
        <v>0</v>
      </c>
      <c r="DGG17" s="49">
        <v>0</v>
      </c>
      <c r="DGH17" s="127">
        <f t="shared" si="840"/>
        <v>551</v>
      </c>
      <c r="DGI17" s="43">
        <f t="shared" si="841"/>
        <v>91.833333333333329</v>
      </c>
      <c r="DGJ17" s="48">
        <v>0</v>
      </c>
      <c r="DGK17" s="49">
        <v>0</v>
      </c>
      <c r="DGL17" s="49">
        <v>646</v>
      </c>
      <c r="DGM17" s="49">
        <v>0</v>
      </c>
      <c r="DGN17" s="49">
        <v>0</v>
      </c>
      <c r="DGO17" s="49"/>
      <c r="DGP17" s="64">
        <f t="shared" si="842"/>
        <v>646</v>
      </c>
      <c r="DGQ17" s="68">
        <f t="shared" si="843"/>
        <v>107.66666666666667</v>
      </c>
      <c r="DGR17" s="48">
        <v>0</v>
      </c>
      <c r="DGS17" s="49">
        <v>600</v>
      </c>
      <c r="DGT17" s="49">
        <v>0</v>
      </c>
      <c r="DGU17" s="49">
        <v>330</v>
      </c>
      <c r="DGV17" s="49">
        <v>101</v>
      </c>
      <c r="DGW17" s="49"/>
      <c r="DGX17" s="64">
        <f t="shared" si="844"/>
        <v>1031</v>
      </c>
      <c r="DGY17" s="68">
        <f t="shared" si="845"/>
        <v>171.83333333333334</v>
      </c>
      <c r="DGZ17" s="48">
        <v>0</v>
      </c>
      <c r="DHA17" s="49">
        <v>645</v>
      </c>
      <c r="DHB17" s="49">
        <v>0</v>
      </c>
      <c r="DHC17" s="49">
        <v>0</v>
      </c>
      <c r="DHD17" s="49">
        <v>0</v>
      </c>
      <c r="DHE17" s="49">
        <v>223</v>
      </c>
      <c r="DHF17" s="64">
        <f t="shared" si="846"/>
        <v>868</v>
      </c>
      <c r="DHG17" s="68">
        <f t="shared" si="847"/>
        <v>144.66666666666666</v>
      </c>
      <c r="DHH17" s="63"/>
      <c r="DHI17" s="64">
        <v>0</v>
      </c>
      <c r="DHJ17" s="64">
        <v>0</v>
      </c>
      <c r="DHK17" s="64">
        <v>0</v>
      </c>
      <c r="DHL17" s="64">
        <v>440</v>
      </c>
      <c r="DHM17" s="64"/>
      <c r="DHN17" s="64">
        <f t="shared" si="848"/>
        <v>440</v>
      </c>
      <c r="DHO17" s="68">
        <f t="shared" si="849"/>
        <v>73.333333333333329</v>
      </c>
      <c r="DHP17" s="48"/>
      <c r="DHQ17" s="49">
        <v>0</v>
      </c>
      <c r="DHR17" s="49">
        <v>0</v>
      </c>
      <c r="DHS17" s="49">
        <v>502</v>
      </c>
      <c r="DHT17" s="49">
        <v>0</v>
      </c>
      <c r="DHU17" s="49">
        <v>0</v>
      </c>
      <c r="DHV17" s="64">
        <f t="shared" si="850"/>
        <v>502</v>
      </c>
      <c r="DHW17" s="68">
        <f t="shared" si="851"/>
        <v>83.666666666666671</v>
      </c>
      <c r="DHX17" s="48">
        <v>441</v>
      </c>
      <c r="DHY17" s="49"/>
      <c r="DHZ17" s="49">
        <v>0</v>
      </c>
      <c r="DIA17" s="49">
        <v>328</v>
      </c>
      <c r="DIB17" s="49">
        <v>229</v>
      </c>
      <c r="DIC17" s="49">
        <v>0</v>
      </c>
      <c r="DID17" s="64">
        <f t="shared" si="852"/>
        <v>998</v>
      </c>
      <c r="DIE17" s="68">
        <f t="shared" si="853"/>
        <v>166.33333333333334</v>
      </c>
      <c r="DIF17" s="48"/>
      <c r="DIG17" s="49">
        <v>0</v>
      </c>
      <c r="DIH17" s="49">
        <v>0</v>
      </c>
      <c r="DII17" s="49">
        <v>0</v>
      </c>
      <c r="DIJ17" s="49">
        <v>460</v>
      </c>
      <c r="DIK17" s="49"/>
      <c r="DIL17" s="64">
        <f t="shared" si="854"/>
        <v>460</v>
      </c>
      <c r="DIM17" s="68">
        <f t="shared" si="855"/>
        <v>76.666666666666671</v>
      </c>
      <c r="DIN17" s="48">
        <v>0</v>
      </c>
      <c r="DIO17" s="49"/>
      <c r="DIP17" s="49">
        <v>0</v>
      </c>
      <c r="DIQ17" s="49">
        <v>0</v>
      </c>
      <c r="DIR17" s="49">
        <v>665</v>
      </c>
      <c r="DIS17" s="49">
        <v>0</v>
      </c>
      <c r="DIT17" s="64">
        <f t="shared" si="856"/>
        <v>665</v>
      </c>
      <c r="DIU17" s="68">
        <f t="shared" si="857"/>
        <v>110.83333333333333</v>
      </c>
      <c r="DIV17" s="48">
        <f>SUMIF(SUMPK!$B:$B,$B:$B,SUMPK!$O:$O)</f>
        <v>0</v>
      </c>
      <c r="DIW17" s="49">
        <v>0</v>
      </c>
      <c r="DIX17" s="49">
        <v>330</v>
      </c>
      <c r="DIY17" s="49">
        <v>0</v>
      </c>
      <c r="DIZ17" s="49">
        <v>98</v>
      </c>
      <c r="DJA17" s="49">
        <v>0</v>
      </c>
      <c r="DJB17" s="64">
        <f t="shared" si="858"/>
        <v>428</v>
      </c>
      <c r="DJC17" s="68">
        <f t="shared" si="859"/>
        <v>71.333333333333329</v>
      </c>
      <c r="DJD17" s="48">
        <v>210</v>
      </c>
      <c r="DJE17" s="49">
        <v>0</v>
      </c>
      <c r="DJF17" s="49">
        <v>214</v>
      </c>
      <c r="DJG17" s="49"/>
      <c r="DJH17" s="49">
        <v>334</v>
      </c>
      <c r="DJI17" s="49"/>
      <c r="DJJ17" s="64">
        <f t="shared" si="860"/>
        <v>758</v>
      </c>
      <c r="DJK17" s="68">
        <f t="shared" si="861"/>
        <v>126.33333333333333</v>
      </c>
      <c r="DJL17" s="48">
        <v>0</v>
      </c>
      <c r="DJM17" s="49">
        <v>329</v>
      </c>
      <c r="DJN17" s="49">
        <v>0</v>
      </c>
      <c r="DJO17" s="49">
        <v>393</v>
      </c>
      <c r="DJP17" s="49">
        <v>0</v>
      </c>
      <c r="DJQ17" s="49">
        <v>0</v>
      </c>
      <c r="DJR17" s="64">
        <f t="shared" si="862"/>
        <v>722</v>
      </c>
      <c r="DJS17" s="68">
        <f t="shared" si="863"/>
        <v>120.33333333333333</v>
      </c>
      <c r="DJT17" s="48"/>
      <c r="DJU17" s="49">
        <v>0</v>
      </c>
      <c r="DJV17" s="49">
        <v>0</v>
      </c>
      <c r="DJW17" s="49">
        <v>0</v>
      </c>
      <c r="DJX17" s="49">
        <v>112</v>
      </c>
      <c r="DJY17" s="49">
        <v>0</v>
      </c>
      <c r="DJZ17" s="64">
        <f t="shared" si="864"/>
        <v>112</v>
      </c>
      <c r="DKA17" s="68">
        <f t="shared" si="865"/>
        <v>18.666666666666668</v>
      </c>
      <c r="DKB17" s="48">
        <v>0</v>
      </c>
      <c r="DKC17" s="49">
        <v>589</v>
      </c>
      <c r="DKD17" s="49">
        <v>223</v>
      </c>
      <c r="DKE17" s="49">
        <v>0</v>
      </c>
      <c r="DKF17" s="49">
        <v>221</v>
      </c>
      <c r="DKG17" s="49">
        <v>0</v>
      </c>
      <c r="DKH17" s="64">
        <f t="shared" si="866"/>
        <v>1033</v>
      </c>
      <c r="DKI17" s="68">
        <f t="shared" si="867"/>
        <v>172.16666666666666</v>
      </c>
      <c r="DKJ17" s="48"/>
      <c r="DKK17" s="49"/>
      <c r="DKL17" s="49">
        <v>0</v>
      </c>
      <c r="DKM17" s="49">
        <v>0</v>
      </c>
      <c r="DKN17" s="49">
        <v>626</v>
      </c>
      <c r="DKO17" s="49">
        <v>0</v>
      </c>
      <c r="DKP17" s="64">
        <f t="shared" si="868"/>
        <v>626</v>
      </c>
      <c r="DKQ17" s="68">
        <f t="shared" si="869"/>
        <v>104.33333333333333</v>
      </c>
      <c r="DKR17" s="48"/>
      <c r="DKS17" s="49">
        <v>0</v>
      </c>
      <c r="DKT17" s="49">
        <v>0</v>
      </c>
      <c r="DKU17" s="49">
        <v>551</v>
      </c>
      <c r="DKV17" s="49">
        <v>0</v>
      </c>
      <c r="DKW17" s="49">
        <v>0</v>
      </c>
      <c r="DKX17" s="64">
        <f t="shared" si="870"/>
        <v>551</v>
      </c>
      <c r="DKY17" s="68">
        <f t="shared" si="871"/>
        <v>91.833333333333329</v>
      </c>
      <c r="DKZ17" s="48">
        <v>220</v>
      </c>
      <c r="DLA17" s="49">
        <v>0</v>
      </c>
      <c r="DLB17" s="49">
        <v>330</v>
      </c>
      <c r="DLC17" s="49">
        <v>0</v>
      </c>
      <c r="DLD17" s="49">
        <v>0</v>
      </c>
      <c r="DLE17" s="49">
        <v>440</v>
      </c>
      <c r="DLF17" s="64">
        <f t="shared" si="872"/>
        <v>990</v>
      </c>
      <c r="DLG17" s="68">
        <f t="shared" si="873"/>
        <v>165</v>
      </c>
      <c r="DLH17" s="48"/>
      <c r="DLI17" s="49">
        <v>0</v>
      </c>
      <c r="DLJ17" s="49">
        <v>0</v>
      </c>
      <c r="DLK17" s="49">
        <f>SUMIF(SUMPK!$B:$B,$B:$B,SUMPK!$O:$O)</f>
        <v>0</v>
      </c>
      <c r="DLL17" s="49"/>
      <c r="DLM17" s="49">
        <v>0</v>
      </c>
      <c r="DLN17" s="64">
        <f t="shared" si="874"/>
        <v>0</v>
      </c>
      <c r="DLO17" s="68">
        <f t="shared" si="875"/>
        <v>0</v>
      </c>
      <c r="DLP17" s="48">
        <v>220</v>
      </c>
      <c r="DLR17" s="49">
        <v>220</v>
      </c>
      <c r="DLS17" s="49">
        <v>0</v>
      </c>
      <c r="DLT17" s="49">
        <v>0</v>
      </c>
      <c r="DLU17" s="49">
        <v>223</v>
      </c>
      <c r="DLV17" s="64">
        <f t="shared" si="876"/>
        <v>663</v>
      </c>
      <c r="DLW17" s="68">
        <f t="shared" si="877"/>
        <v>110.5</v>
      </c>
      <c r="DLX17" s="48">
        <v>220</v>
      </c>
      <c r="DLY17" s="49"/>
      <c r="DLZ17" s="49">
        <v>330</v>
      </c>
      <c r="DMA17" s="49">
        <v>110</v>
      </c>
      <c r="DMB17" s="49">
        <v>0</v>
      </c>
      <c r="DMC17" s="49">
        <v>221</v>
      </c>
      <c r="DMD17" s="64">
        <f t="shared" si="878"/>
        <v>881</v>
      </c>
      <c r="DME17" s="68">
        <f t="shared" si="879"/>
        <v>146.83333333333334</v>
      </c>
      <c r="DMF17" s="48"/>
      <c r="DMG17" s="49"/>
      <c r="DMH17" s="49"/>
      <c r="DMI17" s="49">
        <v>0</v>
      </c>
      <c r="DMJ17" s="49">
        <v>220</v>
      </c>
      <c r="DMK17" s="49">
        <v>0</v>
      </c>
      <c r="DML17" s="64">
        <f t="shared" si="880"/>
        <v>220</v>
      </c>
      <c r="DMM17" s="68">
        <f t="shared" si="881"/>
        <v>36.666666666666664</v>
      </c>
      <c r="DMN17" s="48">
        <v>109</v>
      </c>
      <c r="DMO17" s="49">
        <v>0</v>
      </c>
      <c r="DMP17" s="49">
        <v>600</v>
      </c>
      <c r="DMQ17" s="49">
        <v>0</v>
      </c>
      <c r="DMR17" s="49">
        <v>221</v>
      </c>
      <c r="DMS17" s="49">
        <v>220</v>
      </c>
      <c r="DMT17" s="64">
        <f t="shared" si="882"/>
        <v>1150</v>
      </c>
      <c r="DMU17" s="68">
        <f t="shared" si="883"/>
        <v>191.66666666666666</v>
      </c>
      <c r="DMV17" s="48">
        <v>0</v>
      </c>
      <c r="DMW17" s="49">
        <v>0</v>
      </c>
      <c r="DMX17" s="49">
        <v>0</v>
      </c>
      <c r="DMY17" s="49">
        <v>8</v>
      </c>
      <c r="DMZ17" s="49">
        <v>67</v>
      </c>
      <c r="DNA17" s="49">
        <v>0</v>
      </c>
      <c r="DNB17" s="64">
        <f t="shared" si="884"/>
        <v>75</v>
      </c>
      <c r="DNC17" s="68">
        <f t="shared" si="885"/>
        <v>12.5</v>
      </c>
      <c r="DND17" s="48"/>
      <c r="DNE17" s="49">
        <v>489</v>
      </c>
      <c r="DNF17" s="49"/>
      <c r="DNG17" s="49">
        <v>250</v>
      </c>
      <c r="DNH17" s="49">
        <v>0</v>
      </c>
      <c r="DNI17" s="49">
        <v>0</v>
      </c>
      <c r="DNJ17" s="64">
        <f t="shared" si="886"/>
        <v>739</v>
      </c>
      <c r="DNK17" s="68">
        <f t="shared" si="887"/>
        <v>123.16666666666667</v>
      </c>
      <c r="DNL17" s="48"/>
      <c r="DNM17" s="49"/>
      <c r="DNN17" s="49">
        <v>0</v>
      </c>
      <c r="DNO17" s="49">
        <v>220</v>
      </c>
      <c r="DNP17" s="49">
        <v>0</v>
      </c>
      <c r="DNQ17" s="49">
        <v>0</v>
      </c>
      <c r="DNR17" s="64">
        <f t="shared" si="888"/>
        <v>220</v>
      </c>
      <c r="DNS17" s="68">
        <f t="shared" si="889"/>
        <v>36.666666666666664</v>
      </c>
      <c r="DNT17" s="48">
        <v>330</v>
      </c>
      <c r="DNU17" s="49">
        <v>0</v>
      </c>
      <c r="DNV17" s="49">
        <v>0</v>
      </c>
      <c r="DNW17" s="49"/>
      <c r="DNX17" s="49">
        <v>0</v>
      </c>
      <c r="DNY17" s="49">
        <v>603</v>
      </c>
      <c r="DNZ17" s="64">
        <f t="shared" si="890"/>
        <v>933</v>
      </c>
      <c r="DOA17" s="68">
        <f t="shared" si="891"/>
        <v>155.5</v>
      </c>
      <c r="DOB17" s="48">
        <v>0</v>
      </c>
      <c r="DOC17" s="49"/>
      <c r="DOD17" s="49"/>
      <c r="DOE17" s="49">
        <v>0</v>
      </c>
      <c r="DOF17" s="49">
        <v>330</v>
      </c>
      <c r="DOG17" s="49">
        <v>0</v>
      </c>
      <c r="DOH17" s="64">
        <f t="shared" si="892"/>
        <v>330</v>
      </c>
      <c r="DOI17" s="68">
        <f t="shared" si="893"/>
        <v>55</v>
      </c>
      <c r="DOJ17" s="48">
        <v>0</v>
      </c>
      <c r="DOK17" s="49">
        <v>0</v>
      </c>
      <c r="DOL17" s="49">
        <v>438</v>
      </c>
      <c r="DOM17" s="49">
        <v>0</v>
      </c>
      <c r="DON17" s="49"/>
      <c r="DOO17" s="49">
        <v>328</v>
      </c>
      <c r="DOP17" s="64">
        <f t="shared" si="894"/>
        <v>766</v>
      </c>
      <c r="DOQ17" s="68">
        <f t="shared" si="895"/>
        <v>127.66666666666667</v>
      </c>
      <c r="DOR17" s="48"/>
      <c r="DOS17" s="49">
        <v>329</v>
      </c>
      <c r="DOT17" s="49"/>
      <c r="DOU17" s="49">
        <v>0</v>
      </c>
      <c r="DOV17" s="49"/>
      <c r="DOW17" s="49">
        <v>221</v>
      </c>
      <c r="DOX17" s="64">
        <f t="shared" si="896"/>
        <v>550</v>
      </c>
      <c r="DOY17" s="68">
        <f t="shared" si="897"/>
        <v>91.666666666666671</v>
      </c>
      <c r="DOZ17" s="48"/>
      <c r="DPA17" s="49">
        <v>438</v>
      </c>
      <c r="DPB17" s="49">
        <v>0</v>
      </c>
      <c r="DPC17" s="49">
        <v>0</v>
      </c>
      <c r="DPD17" s="49">
        <v>0</v>
      </c>
      <c r="DPE17" s="49">
        <v>0</v>
      </c>
      <c r="DPF17" s="64">
        <f t="shared" si="898"/>
        <v>438</v>
      </c>
      <c r="DPG17" s="68">
        <f t="shared" si="899"/>
        <v>73</v>
      </c>
      <c r="DPH17" s="48">
        <v>111</v>
      </c>
      <c r="DPI17" s="49">
        <v>110</v>
      </c>
      <c r="DPJ17" s="49">
        <v>0</v>
      </c>
      <c r="DPK17" s="49">
        <v>0</v>
      </c>
      <c r="DPL17" s="49">
        <v>0</v>
      </c>
      <c r="DPM17" s="49">
        <v>556</v>
      </c>
      <c r="DPN17" s="64">
        <f t="shared" si="900"/>
        <v>777</v>
      </c>
      <c r="DPO17" s="68">
        <f t="shared" si="901"/>
        <v>129.5</v>
      </c>
      <c r="DPP17" s="48">
        <v>0</v>
      </c>
      <c r="DPQ17" s="49">
        <v>0</v>
      </c>
      <c r="DPR17" s="49">
        <v>220</v>
      </c>
      <c r="DPS17" s="49">
        <v>0</v>
      </c>
      <c r="DPT17" s="49">
        <v>0</v>
      </c>
      <c r="DPU17" s="49">
        <v>1000</v>
      </c>
      <c r="DPV17" s="491">
        <f t="shared" si="902"/>
        <v>1220</v>
      </c>
      <c r="DPW17" s="492">
        <f t="shared" si="903"/>
        <v>203.33333333333334</v>
      </c>
      <c r="DPX17" s="48">
        <v>0</v>
      </c>
      <c r="DPY17" s="49">
        <v>0</v>
      </c>
      <c r="DPZ17" s="49">
        <v>0</v>
      </c>
      <c r="DQA17" s="49">
        <v>0</v>
      </c>
      <c r="DQB17" s="49">
        <v>0</v>
      </c>
      <c r="DQC17" s="49"/>
      <c r="DQD17" s="491">
        <f t="shared" si="904"/>
        <v>0</v>
      </c>
      <c r="DQE17" s="492">
        <f t="shared" si="905"/>
        <v>0</v>
      </c>
      <c r="DQF17" s="48">
        <v>0</v>
      </c>
      <c r="DQG17" s="49">
        <v>267</v>
      </c>
      <c r="DQH17" s="49">
        <v>220</v>
      </c>
      <c r="DQI17" s="49"/>
      <c r="DQJ17" s="49">
        <v>0</v>
      </c>
      <c r="DQK17" s="49">
        <v>550</v>
      </c>
      <c r="DQL17" s="489">
        <f t="shared" si="906"/>
        <v>1037</v>
      </c>
      <c r="DQM17" s="492">
        <f t="shared" si="907"/>
        <v>172.83333333333334</v>
      </c>
      <c r="DQN17" s="48">
        <v>0</v>
      </c>
      <c r="DQO17" s="49">
        <v>220</v>
      </c>
      <c r="DQP17" s="49">
        <v>0</v>
      </c>
      <c r="DQQ17" s="49">
        <v>0</v>
      </c>
      <c r="DQR17" s="49">
        <v>0</v>
      </c>
      <c r="DQS17" s="49"/>
      <c r="DQT17" s="64">
        <f t="shared" si="908"/>
        <v>220</v>
      </c>
      <c r="DQU17" s="68">
        <f t="shared" si="909"/>
        <v>36.666666666666664</v>
      </c>
      <c r="DQV17" s="48">
        <v>220</v>
      </c>
      <c r="DQW17" s="49">
        <v>0</v>
      </c>
      <c r="DQX17" s="49">
        <v>441</v>
      </c>
      <c r="DQY17" s="49">
        <v>0</v>
      </c>
      <c r="DQZ17" s="49">
        <v>0</v>
      </c>
      <c r="DRA17" s="49">
        <v>0</v>
      </c>
      <c r="DRB17" s="491">
        <f t="shared" si="910"/>
        <v>661</v>
      </c>
      <c r="DRC17" s="492">
        <f t="shared" si="911"/>
        <v>110.16666666666667</v>
      </c>
      <c r="DRD17" s="48">
        <v>220</v>
      </c>
      <c r="DRE17" s="49">
        <v>0</v>
      </c>
      <c r="DRF17" s="49">
        <v>0</v>
      </c>
      <c r="DRG17" s="49">
        <v>221</v>
      </c>
      <c r="DRH17" s="49">
        <v>0</v>
      </c>
      <c r="DRI17" s="49"/>
      <c r="DRJ17" s="491">
        <f t="shared" si="912"/>
        <v>441</v>
      </c>
      <c r="DRK17" s="492">
        <f t="shared" si="913"/>
        <v>73.5</v>
      </c>
      <c r="DRL17" s="48"/>
      <c r="DRM17" s="49">
        <v>0</v>
      </c>
      <c r="DRN17" s="49"/>
      <c r="DRO17" s="49">
        <v>0</v>
      </c>
      <c r="DRP17" s="49">
        <v>0</v>
      </c>
      <c r="DRQ17" s="49">
        <v>0</v>
      </c>
      <c r="DRR17" s="64">
        <f t="shared" si="914"/>
        <v>0</v>
      </c>
      <c r="DRS17" s="68">
        <f t="shared" si="915"/>
        <v>0</v>
      </c>
      <c r="DRT17" s="48">
        <v>220</v>
      </c>
      <c r="DRU17" s="49">
        <v>0</v>
      </c>
      <c r="DRV17" s="49">
        <v>0</v>
      </c>
      <c r="DRW17" s="49">
        <v>659</v>
      </c>
      <c r="DRX17" s="49">
        <v>0</v>
      </c>
      <c r="DRY17" s="49"/>
      <c r="DRZ17" s="491">
        <f t="shared" si="916"/>
        <v>879</v>
      </c>
      <c r="DSA17" s="68">
        <f t="shared" si="917"/>
        <v>146.5</v>
      </c>
      <c r="DSB17" s="82"/>
      <c r="DSC17" s="83">
        <v>330</v>
      </c>
      <c r="DSD17" s="83">
        <v>0</v>
      </c>
      <c r="DSE17" s="83"/>
      <c r="DSF17" s="83"/>
      <c r="DSG17" s="83">
        <v>220</v>
      </c>
      <c r="DSH17" s="64">
        <f t="shared" si="918"/>
        <v>550</v>
      </c>
      <c r="DSI17" s="68">
        <f t="shared" si="919"/>
        <v>91.666666666666671</v>
      </c>
      <c r="DSJ17" s="48"/>
      <c r="DSK17" s="49">
        <v>0</v>
      </c>
      <c r="DSL17" s="49">
        <v>330</v>
      </c>
      <c r="DSM17" s="49">
        <v>0</v>
      </c>
      <c r="DSN17" s="49">
        <v>220</v>
      </c>
      <c r="DSO17" s="49">
        <v>0</v>
      </c>
      <c r="DSP17" s="64">
        <f t="shared" si="920"/>
        <v>550</v>
      </c>
      <c r="DSQ17" s="68">
        <f t="shared" si="921"/>
        <v>91.666666666666671</v>
      </c>
      <c r="DSR17" s="48">
        <v>110</v>
      </c>
      <c r="DSS17" s="49">
        <v>0</v>
      </c>
      <c r="DST17" s="49">
        <v>440</v>
      </c>
      <c r="DSU17" s="49">
        <v>0</v>
      </c>
      <c r="DSV17" s="49">
        <v>0</v>
      </c>
      <c r="DSW17" s="49">
        <v>0</v>
      </c>
      <c r="DSX17" s="64">
        <f t="shared" si="922"/>
        <v>550</v>
      </c>
      <c r="DSY17" s="68">
        <f t="shared" si="923"/>
        <v>91.666666666666671</v>
      </c>
      <c r="DSZ17" s="48">
        <v>223</v>
      </c>
      <c r="DTA17" s="49"/>
      <c r="DTB17" s="49">
        <v>0</v>
      </c>
      <c r="DTC17" s="49">
        <v>0</v>
      </c>
      <c r="DTD17" s="49">
        <v>443</v>
      </c>
      <c r="DTE17" s="49">
        <v>0</v>
      </c>
      <c r="DTF17" s="64">
        <f t="shared" si="924"/>
        <v>666</v>
      </c>
      <c r="DTG17" s="68">
        <f t="shared" si="925"/>
        <v>111</v>
      </c>
      <c r="DTH17" s="48"/>
      <c r="DTI17" s="49">
        <v>0</v>
      </c>
      <c r="DTJ17" s="49">
        <v>0</v>
      </c>
      <c r="DTK17" s="49">
        <v>164</v>
      </c>
      <c r="DTL17" s="49">
        <v>0</v>
      </c>
      <c r="DTM17" s="49">
        <v>444</v>
      </c>
      <c r="DTN17" s="64">
        <f t="shared" si="926"/>
        <v>608</v>
      </c>
      <c r="DTO17" s="68">
        <f t="shared" si="927"/>
        <v>101.33333333333333</v>
      </c>
      <c r="DTP17" s="48">
        <v>0</v>
      </c>
      <c r="DTQ17" s="49">
        <v>440</v>
      </c>
      <c r="DTR17" s="49"/>
      <c r="DTS17" s="49">
        <v>0</v>
      </c>
      <c r="DTT17" s="49">
        <v>0</v>
      </c>
      <c r="DTU17" s="49">
        <v>0</v>
      </c>
      <c r="DTV17" s="64">
        <f t="shared" si="928"/>
        <v>440</v>
      </c>
      <c r="DTW17" s="68">
        <f t="shared" si="929"/>
        <v>73.333333333333329</v>
      </c>
      <c r="DTX17" s="48">
        <v>0</v>
      </c>
      <c r="DTY17" s="49">
        <v>441</v>
      </c>
      <c r="DTZ17" s="49"/>
      <c r="DUA17" s="49">
        <v>0</v>
      </c>
      <c r="DUB17" s="49">
        <v>0</v>
      </c>
      <c r="DUC17" s="49">
        <v>0</v>
      </c>
      <c r="DUD17" s="64">
        <f t="shared" si="930"/>
        <v>441</v>
      </c>
      <c r="DUE17" s="68">
        <f t="shared" si="931"/>
        <v>73.5</v>
      </c>
      <c r="DUF17" s="48">
        <v>441</v>
      </c>
      <c r="DUG17" s="49">
        <v>0</v>
      </c>
      <c r="DUH17" s="49"/>
      <c r="DUI17" s="49">
        <v>0</v>
      </c>
      <c r="DUJ17" s="49">
        <v>220</v>
      </c>
      <c r="DUK17" s="49">
        <v>332</v>
      </c>
      <c r="DUL17" s="64">
        <f t="shared" si="932"/>
        <v>993</v>
      </c>
      <c r="DUM17" s="68">
        <f t="shared" si="933"/>
        <v>165.5</v>
      </c>
      <c r="DUN17" s="48"/>
      <c r="DUO17" s="49">
        <v>0</v>
      </c>
      <c r="DUP17" s="49">
        <v>0</v>
      </c>
      <c r="DUQ17" s="49">
        <v>220</v>
      </c>
      <c r="DUR17" s="49">
        <v>221</v>
      </c>
      <c r="DUS17" s="49">
        <v>0</v>
      </c>
      <c r="DUT17" s="64">
        <f t="shared" si="934"/>
        <v>441</v>
      </c>
      <c r="DUU17" s="184">
        <f t="shared" si="935"/>
        <v>73.5</v>
      </c>
      <c r="DUV17" s="48"/>
      <c r="DUW17" s="49">
        <v>0</v>
      </c>
      <c r="DUX17" s="49">
        <v>440</v>
      </c>
      <c r="DUY17" s="49">
        <v>0</v>
      </c>
      <c r="DUZ17" s="49">
        <v>220</v>
      </c>
      <c r="DVA17" s="49"/>
      <c r="DVB17" s="64">
        <f t="shared" si="936"/>
        <v>660</v>
      </c>
      <c r="DVC17" s="68">
        <f t="shared" si="937"/>
        <v>110</v>
      </c>
      <c r="DVD17" s="48"/>
      <c r="DVE17" s="49">
        <v>220</v>
      </c>
      <c r="DVF17" s="49">
        <v>0</v>
      </c>
      <c r="DVG17" s="49">
        <v>220</v>
      </c>
      <c r="DVH17" s="49"/>
      <c r="DVI17" s="49">
        <v>330</v>
      </c>
      <c r="DVJ17" s="64">
        <f t="shared" si="938"/>
        <v>770</v>
      </c>
      <c r="DVK17" s="68">
        <f t="shared" si="939"/>
        <v>128.33333333333334</v>
      </c>
      <c r="DVL17" s="48">
        <v>0</v>
      </c>
      <c r="DVM17" s="49">
        <v>0</v>
      </c>
      <c r="DVN17" s="49">
        <v>0</v>
      </c>
      <c r="DVO17" s="49">
        <v>220</v>
      </c>
      <c r="DVP17" s="49">
        <v>0</v>
      </c>
      <c r="DVQ17" s="49"/>
      <c r="DVR17" s="64">
        <f t="shared" si="940"/>
        <v>220</v>
      </c>
      <c r="DVS17" s="68">
        <f t="shared" si="941"/>
        <v>36.666666666666664</v>
      </c>
      <c r="DVT17" s="48"/>
      <c r="DVU17" s="49">
        <v>440</v>
      </c>
      <c r="DVV17" s="49">
        <v>0</v>
      </c>
      <c r="DVW17" s="49">
        <v>0</v>
      </c>
      <c r="DVX17" s="49"/>
      <c r="DVY17" s="49">
        <v>0</v>
      </c>
      <c r="DVZ17" s="64">
        <f t="shared" si="942"/>
        <v>440</v>
      </c>
      <c r="DWA17" s="68">
        <f t="shared" si="943"/>
        <v>73.333333333333329</v>
      </c>
      <c r="DWB17" s="48"/>
      <c r="DWC17" s="49">
        <v>0</v>
      </c>
      <c r="DWD17" s="49">
        <v>479</v>
      </c>
      <c r="DWE17" s="49">
        <v>0</v>
      </c>
      <c r="DWF17" s="49">
        <v>0</v>
      </c>
      <c r="DWG17" s="49">
        <v>220</v>
      </c>
      <c r="DWH17" s="64">
        <f t="shared" si="944"/>
        <v>699</v>
      </c>
      <c r="DWI17" s="68">
        <f t="shared" si="945"/>
        <v>116.5</v>
      </c>
      <c r="DWJ17" s="48">
        <v>0</v>
      </c>
      <c r="DWK17" s="49"/>
      <c r="DWL17" s="49"/>
      <c r="DWM17" s="49">
        <v>440</v>
      </c>
      <c r="DWN17" s="49">
        <v>0</v>
      </c>
      <c r="DWO17" s="49">
        <v>0</v>
      </c>
      <c r="DWP17" s="64">
        <f t="shared" si="946"/>
        <v>440</v>
      </c>
      <c r="DWQ17" s="68">
        <f t="shared" si="947"/>
        <v>73.333333333333329</v>
      </c>
      <c r="DWR17" s="48"/>
      <c r="DWS17" s="49"/>
      <c r="DWT17" s="49">
        <v>439</v>
      </c>
      <c r="DWU17" s="49">
        <v>0</v>
      </c>
      <c r="DWV17" s="49">
        <v>0</v>
      </c>
      <c r="DWW17" s="49">
        <v>220</v>
      </c>
      <c r="DWX17" s="64">
        <f t="shared" si="948"/>
        <v>659</v>
      </c>
      <c r="DWY17" s="68">
        <f t="shared" si="1201"/>
        <v>109.83333333333333</v>
      </c>
      <c r="DWZ17" s="48">
        <v>440</v>
      </c>
      <c r="DXA17" s="49"/>
      <c r="DXB17" s="49">
        <v>0</v>
      </c>
      <c r="DXC17" s="49">
        <v>223</v>
      </c>
      <c r="DXD17" s="49">
        <v>0</v>
      </c>
      <c r="DXE17" s="49"/>
      <c r="DXF17" s="64">
        <f t="shared" si="949"/>
        <v>663</v>
      </c>
      <c r="DXG17" s="68">
        <f t="shared" si="950"/>
        <v>110.5</v>
      </c>
      <c r="DXH17" s="48">
        <v>0</v>
      </c>
      <c r="DXI17" s="49">
        <v>0</v>
      </c>
      <c r="DXJ17" s="49">
        <v>0</v>
      </c>
      <c r="DXK17" s="49">
        <v>440</v>
      </c>
      <c r="DXL17" s="49"/>
      <c r="DXM17" s="49">
        <v>0</v>
      </c>
      <c r="DXN17" s="64">
        <f t="shared" si="951"/>
        <v>440</v>
      </c>
      <c r="DXO17" s="68">
        <f t="shared" si="952"/>
        <v>73.333333333333329</v>
      </c>
      <c r="DXP17" s="48">
        <v>0</v>
      </c>
      <c r="DXQ17" s="49">
        <v>439</v>
      </c>
      <c r="DXR17" s="49">
        <v>220</v>
      </c>
      <c r="DXS17" s="49">
        <v>0</v>
      </c>
      <c r="DXT17" s="49"/>
      <c r="DXU17" s="49">
        <v>438</v>
      </c>
      <c r="DXV17" s="64">
        <f t="shared" si="953"/>
        <v>1097</v>
      </c>
      <c r="DXW17" s="68">
        <f t="shared" si="954"/>
        <v>182.83333333333334</v>
      </c>
      <c r="DXX17" s="48">
        <v>0</v>
      </c>
      <c r="DXY17" s="49">
        <v>0</v>
      </c>
      <c r="DXZ17" s="49">
        <v>0</v>
      </c>
      <c r="DYA17" s="49">
        <v>0</v>
      </c>
      <c r="DYB17" s="49">
        <v>598</v>
      </c>
      <c r="DYC17" s="49">
        <v>0</v>
      </c>
      <c r="DYD17" s="64">
        <f t="shared" si="955"/>
        <v>598</v>
      </c>
      <c r="DYE17" s="68">
        <f t="shared" si="956"/>
        <v>99.666666666666671</v>
      </c>
      <c r="DYF17" s="48"/>
      <c r="DYG17" s="49">
        <v>0</v>
      </c>
      <c r="DYH17" s="49">
        <v>0</v>
      </c>
      <c r="DYI17" s="49">
        <v>0</v>
      </c>
      <c r="DYJ17" s="49">
        <v>433</v>
      </c>
      <c r="DYK17" s="49"/>
      <c r="DYL17" s="64">
        <f t="shared" si="957"/>
        <v>433</v>
      </c>
      <c r="DYM17" s="68">
        <f t="shared" si="958"/>
        <v>72.166666666666671</v>
      </c>
      <c r="DYN17" s="48">
        <v>0</v>
      </c>
      <c r="DYO17" s="49">
        <v>0</v>
      </c>
      <c r="DYP17" s="49">
        <v>0</v>
      </c>
      <c r="DYQ17" s="49">
        <v>0</v>
      </c>
      <c r="DYR17" s="49">
        <v>0</v>
      </c>
      <c r="DYS17" s="49">
        <v>220</v>
      </c>
      <c r="DYT17" s="64">
        <f t="shared" si="959"/>
        <v>220</v>
      </c>
      <c r="DYU17" s="68">
        <f t="shared" si="960"/>
        <v>36.666666666666664</v>
      </c>
      <c r="DYV17" s="48">
        <v>0</v>
      </c>
      <c r="DYW17" s="49">
        <v>0</v>
      </c>
      <c r="DYX17" s="49">
        <v>0</v>
      </c>
      <c r="DYY17" s="49">
        <v>220</v>
      </c>
      <c r="DYZ17" s="49">
        <v>0</v>
      </c>
      <c r="DZA17" s="49">
        <v>220</v>
      </c>
      <c r="DZB17" s="64">
        <f t="shared" si="961"/>
        <v>440</v>
      </c>
      <c r="DZC17" s="68">
        <f t="shared" si="962"/>
        <v>73.333333333333329</v>
      </c>
      <c r="DZD17" s="48">
        <v>502</v>
      </c>
      <c r="DZE17" s="49">
        <v>0</v>
      </c>
      <c r="DZF17" s="49">
        <v>440</v>
      </c>
      <c r="DZG17" s="49"/>
      <c r="DZH17" s="49">
        <f>SUMIF(SUMPK!$B:$B,$B:$B,SUMPK!$O:$O)</f>
        <v>0</v>
      </c>
      <c r="DZI17" s="49"/>
      <c r="DZJ17" s="64">
        <f t="shared" si="963"/>
        <v>942</v>
      </c>
      <c r="DZK17" s="68">
        <f t="shared" si="964"/>
        <v>157</v>
      </c>
      <c r="DZL17" s="48">
        <v>0</v>
      </c>
      <c r="DZM17" s="49">
        <v>0</v>
      </c>
      <c r="DZN17" s="49"/>
      <c r="DZO17" s="49">
        <v>220</v>
      </c>
      <c r="DZP17" s="49"/>
      <c r="DZQ17" s="49">
        <v>250</v>
      </c>
      <c r="DZR17" s="64">
        <f t="shared" si="965"/>
        <v>470</v>
      </c>
      <c r="DZS17" s="68">
        <f t="shared" si="966"/>
        <v>78.333333333333329</v>
      </c>
      <c r="DZT17" s="48">
        <v>0</v>
      </c>
      <c r="DZU17" s="49">
        <v>0</v>
      </c>
      <c r="DZV17" s="49">
        <v>330</v>
      </c>
      <c r="DZW17" s="49">
        <v>0</v>
      </c>
      <c r="DZX17" s="49">
        <v>0</v>
      </c>
      <c r="DZY17" s="49"/>
      <c r="DZZ17" s="64">
        <f t="shared" si="967"/>
        <v>330</v>
      </c>
      <c r="EAA17" s="68">
        <f t="shared" si="968"/>
        <v>55</v>
      </c>
      <c r="EAB17" s="48"/>
      <c r="EAC17" s="49">
        <v>0</v>
      </c>
      <c r="EAD17" s="49"/>
      <c r="EAE17" s="49"/>
      <c r="EAF17" s="49">
        <v>521</v>
      </c>
      <c r="EAG17" s="49">
        <v>0</v>
      </c>
      <c r="EAH17" s="64">
        <f t="shared" si="969"/>
        <v>521</v>
      </c>
      <c r="EAI17" s="68">
        <f t="shared" si="970"/>
        <v>86.833333333333329</v>
      </c>
      <c r="EAJ17" s="48"/>
      <c r="EAK17" s="49">
        <v>0</v>
      </c>
      <c r="EAL17" s="49">
        <v>480</v>
      </c>
      <c r="EAM17" s="49"/>
      <c r="EAN17" s="49">
        <v>0</v>
      </c>
      <c r="EAO17" s="49">
        <v>330</v>
      </c>
      <c r="EAP17" s="64">
        <f t="shared" si="971"/>
        <v>810</v>
      </c>
      <c r="EAQ17" s="68">
        <f t="shared" si="1202"/>
        <v>135</v>
      </c>
      <c r="EAR17" s="48">
        <v>0</v>
      </c>
      <c r="EAS17" s="49">
        <v>220</v>
      </c>
      <c r="EAT17" s="49">
        <v>0</v>
      </c>
      <c r="EAU17" s="49">
        <v>0</v>
      </c>
      <c r="EAV17" s="49">
        <v>0</v>
      </c>
      <c r="EAW17" s="49">
        <v>441</v>
      </c>
      <c r="EAX17" s="64">
        <f t="shared" si="972"/>
        <v>661</v>
      </c>
      <c r="EAY17" s="68">
        <f t="shared" si="973"/>
        <v>110.16666666666667</v>
      </c>
      <c r="EAZ17" s="48"/>
      <c r="EBA17" s="49">
        <v>220</v>
      </c>
      <c r="EBB17" s="49">
        <v>0</v>
      </c>
      <c r="EBC17" s="49"/>
      <c r="EBD17" s="49">
        <v>220</v>
      </c>
      <c r="EBE17" s="49">
        <v>0</v>
      </c>
      <c r="EBF17" s="64">
        <f t="shared" si="974"/>
        <v>440</v>
      </c>
      <c r="EBG17" s="68">
        <f t="shared" si="975"/>
        <v>73.333333333333329</v>
      </c>
      <c r="EBH17" s="48"/>
      <c r="EBI17" s="49">
        <v>0</v>
      </c>
      <c r="EBJ17" s="49">
        <v>330</v>
      </c>
      <c r="EBK17" s="49">
        <v>288</v>
      </c>
      <c r="EBL17" s="49">
        <v>220</v>
      </c>
      <c r="EBM17" s="49"/>
      <c r="EBN17" s="64">
        <f t="shared" si="976"/>
        <v>838</v>
      </c>
      <c r="EBO17" s="68">
        <f t="shared" si="1131"/>
        <v>139.66666666666666</v>
      </c>
      <c r="EBP17" s="48">
        <v>0</v>
      </c>
      <c r="EBQ17" s="49">
        <v>0</v>
      </c>
      <c r="EBR17" s="49"/>
      <c r="EBS17" s="49">
        <v>0</v>
      </c>
      <c r="EBT17" s="49">
        <v>332</v>
      </c>
      <c r="EBU17" s="49">
        <v>221</v>
      </c>
      <c r="EBV17" s="64">
        <f t="shared" si="977"/>
        <v>553</v>
      </c>
      <c r="EBW17" s="68">
        <f t="shared" si="978"/>
        <v>92.166666666666671</v>
      </c>
      <c r="EBX17" s="48">
        <v>0</v>
      </c>
      <c r="EBY17" s="49">
        <v>0</v>
      </c>
      <c r="EBZ17" s="49">
        <v>0</v>
      </c>
      <c r="ECA17" s="49">
        <v>0</v>
      </c>
      <c r="ECB17" s="49">
        <v>111</v>
      </c>
      <c r="ECC17" s="49">
        <v>222</v>
      </c>
      <c r="ECD17" s="64">
        <f t="shared" si="979"/>
        <v>333</v>
      </c>
      <c r="ECE17" s="68">
        <f t="shared" si="980"/>
        <v>55.5</v>
      </c>
      <c r="ECF17" s="48">
        <v>0</v>
      </c>
      <c r="ECG17" s="49">
        <v>0</v>
      </c>
      <c r="ECH17" s="49">
        <v>660</v>
      </c>
      <c r="ECI17" s="49"/>
      <c r="ECJ17" s="49"/>
      <c r="ECK17" s="49">
        <v>0</v>
      </c>
      <c r="ECL17" s="64">
        <f t="shared" si="981"/>
        <v>660</v>
      </c>
      <c r="ECM17" s="68">
        <f t="shared" si="982"/>
        <v>110</v>
      </c>
      <c r="ECN17" s="48">
        <v>220</v>
      </c>
      <c r="ECO17" s="49">
        <v>0</v>
      </c>
      <c r="ECP17" s="49"/>
      <c r="ECQ17" s="49"/>
      <c r="ECR17" s="49"/>
      <c r="ECS17" s="49">
        <v>330</v>
      </c>
      <c r="ECT17" s="64">
        <f t="shared" si="983"/>
        <v>550</v>
      </c>
      <c r="ECU17" s="68">
        <f t="shared" si="984"/>
        <v>91.666666666666671</v>
      </c>
      <c r="ECV17" s="48">
        <v>0</v>
      </c>
      <c r="ECW17" s="49">
        <v>0</v>
      </c>
      <c r="ECX17" s="49">
        <v>226</v>
      </c>
      <c r="ECY17" s="49">
        <v>200</v>
      </c>
      <c r="ECZ17" s="49"/>
      <c r="EDA17" s="49">
        <v>224</v>
      </c>
      <c r="EDB17" s="64">
        <f t="shared" si="985"/>
        <v>650</v>
      </c>
      <c r="EDC17" s="68">
        <f t="shared" si="986"/>
        <v>108.33333333333333</v>
      </c>
      <c r="EDD17" s="48">
        <v>0</v>
      </c>
      <c r="EDE17" s="49">
        <v>0</v>
      </c>
      <c r="EDF17" s="49">
        <v>218</v>
      </c>
      <c r="EDG17" s="49">
        <v>0</v>
      </c>
      <c r="EDH17" s="49"/>
      <c r="EDI17" s="49"/>
      <c r="EDJ17" s="64">
        <f t="shared" si="987"/>
        <v>218</v>
      </c>
      <c r="EDK17" s="68">
        <f t="shared" si="988"/>
        <v>36.333333333333336</v>
      </c>
      <c r="EDL17" s="48">
        <v>440</v>
      </c>
      <c r="EDM17" s="49"/>
      <c r="EDN17" s="49"/>
      <c r="EDO17" s="49">
        <f>SUMIF(SUMPK!$B:$B,$B:$B,SUMPK!$O:$O)</f>
        <v>0</v>
      </c>
      <c r="EDP17" s="49"/>
      <c r="EDQ17" s="49">
        <v>329</v>
      </c>
      <c r="EDR17" s="64">
        <f t="shared" si="989"/>
        <v>769</v>
      </c>
      <c r="EDS17" s="184">
        <f t="shared" si="990"/>
        <v>128.16666666666666</v>
      </c>
      <c r="EDT17" s="195">
        <v>0</v>
      </c>
      <c r="EDU17" s="49">
        <v>330</v>
      </c>
      <c r="EDV17" s="49">
        <v>0</v>
      </c>
      <c r="EDW17" s="49">
        <v>219</v>
      </c>
      <c r="EDX17" s="49"/>
      <c r="EDY17" s="49"/>
      <c r="EDZ17" s="64">
        <f t="shared" si="991"/>
        <v>549</v>
      </c>
      <c r="EEA17" s="184">
        <f t="shared" si="992"/>
        <v>91.5</v>
      </c>
      <c r="EEB17" s="48">
        <v>0</v>
      </c>
      <c r="EEC17" s="49">
        <v>0</v>
      </c>
      <c r="EED17" s="49">
        <v>440</v>
      </c>
      <c r="EEE17" s="49">
        <v>0</v>
      </c>
      <c r="EEF17" s="49">
        <v>0</v>
      </c>
      <c r="EEG17" s="49"/>
      <c r="EEH17" s="64">
        <f t="shared" si="993"/>
        <v>440</v>
      </c>
      <c r="EEI17" s="68">
        <f t="shared" si="994"/>
        <v>73.333333333333329</v>
      </c>
      <c r="EEJ17" s="48">
        <v>0</v>
      </c>
      <c r="EEK17" s="49"/>
      <c r="EEL17" s="49">
        <v>440</v>
      </c>
      <c r="EEM17" s="49"/>
      <c r="EEN17" s="49"/>
      <c r="EEO17" s="49">
        <v>0</v>
      </c>
      <c r="EEP17" s="64">
        <f t="shared" si="995"/>
        <v>440</v>
      </c>
      <c r="EEQ17" s="68">
        <f t="shared" si="996"/>
        <v>73.333333333333329</v>
      </c>
      <c r="EER17" s="48">
        <v>220</v>
      </c>
      <c r="EES17" s="49">
        <v>219</v>
      </c>
      <c r="EET17" s="49"/>
      <c r="EEU17" s="49">
        <v>0</v>
      </c>
      <c r="EEV17" s="49">
        <v>0</v>
      </c>
      <c r="EEW17" s="49"/>
      <c r="EEX17" s="64">
        <f t="shared" si="997"/>
        <v>439</v>
      </c>
      <c r="EEY17" s="68">
        <f t="shared" si="998"/>
        <v>73.166666666666671</v>
      </c>
      <c r="EEZ17" s="48">
        <v>0</v>
      </c>
      <c r="EFA17" s="49">
        <v>440</v>
      </c>
      <c r="EFB17" s="49">
        <v>0</v>
      </c>
      <c r="EFC17" s="49">
        <v>242</v>
      </c>
      <c r="EFD17" s="49"/>
      <c r="EFE17" s="49">
        <v>0</v>
      </c>
      <c r="EFF17" s="64">
        <f t="shared" si="999"/>
        <v>682</v>
      </c>
      <c r="EFG17" s="68">
        <f t="shared" si="1000"/>
        <v>113.66666666666667</v>
      </c>
      <c r="EFH17" s="48"/>
      <c r="EFI17" s="49">
        <v>329</v>
      </c>
      <c r="EFJ17" s="49"/>
      <c r="EFK17" s="49">
        <v>219</v>
      </c>
      <c r="EFL17" s="49">
        <v>330</v>
      </c>
      <c r="EFM17" s="49">
        <v>0</v>
      </c>
      <c r="EFN17" s="64">
        <f t="shared" si="1001"/>
        <v>878</v>
      </c>
      <c r="EFO17" s="68">
        <f t="shared" si="1002"/>
        <v>146.33333333333334</v>
      </c>
      <c r="EFP17" s="48">
        <v>0</v>
      </c>
      <c r="EFQ17" s="49"/>
      <c r="EFR17" s="49">
        <v>330</v>
      </c>
      <c r="EFS17" s="49">
        <v>0</v>
      </c>
      <c r="EFT17" s="49">
        <v>0</v>
      </c>
      <c r="EFU17" s="49"/>
      <c r="EFV17" s="64">
        <f t="shared" si="1003"/>
        <v>330</v>
      </c>
      <c r="EFW17" s="68">
        <f t="shared" si="1004"/>
        <v>55</v>
      </c>
      <c r="EFX17" s="48"/>
      <c r="EFY17" s="49">
        <v>0</v>
      </c>
      <c r="EFZ17" s="49"/>
      <c r="EGA17" s="49">
        <v>440</v>
      </c>
      <c r="EGB17" s="49">
        <v>0</v>
      </c>
      <c r="EGC17" s="49">
        <v>0</v>
      </c>
      <c r="EGD17" s="64">
        <f t="shared" si="1005"/>
        <v>440</v>
      </c>
      <c r="EGE17" s="68">
        <f t="shared" si="1006"/>
        <v>73.333333333333329</v>
      </c>
      <c r="EGF17" s="48">
        <v>208</v>
      </c>
      <c r="EGG17" s="49">
        <v>0</v>
      </c>
      <c r="EGH17" s="49"/>
      <c r="EGI17" s="49">
        <v>0</v>
      </c>
      <c r="EGJ17" s="49">
        <v>0</v>
      </c>
      <c r="EGK17" s="49">
        <v>202</v>
      </c>
      <c r="EGL17" s="64">
        <f t="shared" si="1007"/>
        <v>410</v>
      </c>
      <c r="EGM17" s="68">
        <f t="shared" si="1008"/>
        <v>68.333333333333329</v>
      </c>
      <c r="EGN17" s="48">
        <v>198</v>
      </c>
      <c r="EGO17" s="49">
        <v>0</v>
      </c>
      <c r="EGP17" s="49"/>
      <c r="EGQ17" s="49">
        <v>0</v>
      </c>
      <c r="EGR17" s="49"/>
      <c r="EGS17" s="49">
        <v>211</v>
      </c>
      <c r="EGT17" s="64">
        <f t="shared" si="1009"/>
        <v>409</v>
      </c>
      <c r="EGU17" s="68">
        <f t="shared" si="1203"/>
        <v>68.166666666666671</v>
      </c>
      <c r="EGV17" s="48">
        <v>440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0"/>
        <v>440</v>
      </c>
      <c r="EHC17" s="68">
        <f t="shared" si="1011"/>
        <v>73.333333333333329</v>
      </c>
      <c r="EHD17" s="48">
        <v>0</v>
      </c>
      <c r="EHE17" s="49">
        <v>440</v>
      </c>
      <c r="EHF17" s="49"/>
      <c r="EHG17" s="49">
        <v>0</v>
      </c>
      <c r="EHH17" s="49">
        <v>424</v>
      </c>
      <c r="EHI17" s="49">
        <v>0</v>
      </c>
      <c r="EHJ17" s="64">
        <f t="shared" si="1012"/>
        <v>864</v>
      </c>
      <c r="EHK17" s="68">
        <f t="shared" si="1013"/>
        <v>144</v>
      </c>
      <c r="EHL17" s="48">
        <v>0</v>
      </c>
      <c r="EHM17" s="49">
        <v>0</v>
      </c>
      <c r="EHN17" s="49">
        <v>0</v>
      </c>
      <c r="EHO17" s="49"/>
      <c r="EHP17" s="49">
        <v>220</v>
      </c>
      <c r="EHQ17" s="49">
        <v>200</v>
      </c>
      <c r="EHR17" s="64">
        <f t="shared" si="1014"/>
        <v>420</v>
      </c>
      <c r="EHS17" s="68">
        <f t="shared" si="1015"/>
        <v>70</v>
      </c>
      <c r="EHT17" s="48"/>
      <c r="EHU17" s="49"/>
      <c r="EHV17" s="49"/>
      <c r="EHW17" s="49">
        <v>0</v>
      </c>
      <c r="EHX17" s="49">
        <v>445</v>
      </c>
      <c r="EHY17" s="49">
        <v>0</v>
      </c>
      <c r="EHZ17" s="64">
        <f t="shared" si="1016"/>
        <v>445</v>
      </c>
      <c r="EIA17" s="68">
        <f t="shared" si="1017"/>
        <v>74.166666666666671</v>
      </c>
      <c r="EIB17" s="48"/>
      <c r="EIC17" s="49"/>
      <c r="EID17" s="49">
        <v>0</v>
      </c>
      <c r="EIE17" s="49">
        <v>0</v>
      </c>
      <c r="EIF17" s="49">
        <v>324</v>
      </c>
      <c r="EIG17" s="49">
        <v>229</v>
      </c>
      <c r="EIH17" s="64">
        <f t="shared" si="1018"/>
        <v>553</v>
      </c>
      <c r="EII17" s="68">
        <f t="shared" si="1019"/>
        <v>92.166666666666671</v>
      </c>
      <c r="EIJ17" s="48">
        <v>0</v>
      </c>
      <c r="EIK17" s="49">
        <v>114</v>
      </c>
      <c r="EIL17" s="49"/>
      <c r="EIM17" s="49">
        <v>220</v>
      </c>
      <c r="EIN17" s="49">
        <v>0</v>
      </c>
      <c r="EIO17" s="49">
        <v>429</v>
      </c>
      <c r="EIP17" s="64">
        <f t="shared" si="1020"/>
        <v>763</v>
      </c>
      <c r="EIQ17" s="68">
        <f t="shared" si="1021"/>
        <v>127.16666666666667</v>
      </c>
      <c r="EIR17" s="48">
        <v>0</v>
      </c>
      <c r="EIS17" s="49">
        <v>0</v>
      </c>
      <c r="EIT17" s="49">
        <v>0</v>
      </c>
      <c r="EIU17" s="49">
        <v>0</v>
      </c>
      <c r="EIV17" s="49"/>
      <c r="EIW17" s="49">
        <v>220</v>
      </c>
      <c r="EIX17" s="64">
        <f t="shared" si="1022"/>
        <v>220</v>
      </c>
      <c r="EIY17" s="68">
        <f t="shared" si="1023"/>
        <v>36.666666666666664</v>
      </c>
      <c r="EIZ17" s="48">
        <v>0</v>
      </c>
      <c r="EJA17" s="49">
        <v>0</v>
      </c>
      <c r="EJB17" s="49"/>
      <c r="EJC17" s="49">
        <v>419</v>
      </c>
      <c r="EJD17" s="49">
        <v>0</v>
      </c>
      <c r="EJE17" s="49">
        <v>0</v>
      </c>
      <c r="EJF17" s="64">
        <f t="shared" si="1024"/>
        <v>419</v>
      </c>
      <c r="EJG17" s="68">
        <f t="shared" si="1025"/>
        <v>69.833333333333329</v>
      </c>
      <c r="EJH17" s="48">
        <v>440</v>
      </c>
      <c r="EJI17" s="49">
        <v>0</v>
      </c>
      <c r="EJJ17" s="49"/>
      <c r="EJK17" s="49">
        <v>0</v>
      </c>
      <c r="EJL17" s="49"/>
      <c r="EJM17" s="49"/>
      <c r="EJN17" s="64">
        <f t="shared" si="1026"/>
        <v>440</v>
      </c>
      <c r="EJO17" s="68">
        <f t="shared" si="1027"/>
        <v>73.333333333333329</v>
      </c>
      <c r="EJP17" s="48"/>
      <c r="EJQ17" s="49">
        <v>0</v>
      </c>
      <c r="EJR17" s="49">
        <v>330</v>
      </c>
      <c r="EJS17" s="49">
        <v>0</v>
      </c>
      <c r="EJT17" s="49">
        <v>0</v>
      </c>
      <c r="EJU17" s="49">
        <v>438</v>
      </c>
      <c r="EJV17" s="64">
        <f t="shared" si="1028"/>
        <v>768</v>
      </c>
      <c r="EJW17" s="68">
        <f t="shared" si="1029"/>
        <v>128</v>
      </c>
      <c r="EJX17" s="48"/>
      <c r="EJY17" s="49">
        <v>0</v>
      </c>
      <c r="EJZ17" s="49">
        <v>0</v>
      </c>
      <c r="EKA17" s="49">
        <v>0</v>
      </c>
      <c r="EKB17" s="49"/>
      <c r="EKC17" s="49"/>
      <c r="EKD17" s="64">
        <f t="shared" si="1030"/>
        <v>0</v>
      </c>
      <c r="EKE17" s="68">
        <f t="shared" si="1031"/>
        <v>0</v>
      </c>
      <c r="EKF17" s="48">
        <v>223</v>
      </c>
      <c r="EKG17" s="49">
        <v>0</v>
      </c>
      <c r="EKH17" s="49"/>
      <c r="EKI17" s="49"/>
      <c r="EKJ17" s="49">
        <v>329</v>
      </c>
      <c r="EKK17" s="49"/>
      <c r="EKL17" s="64">
        <f t="shared" si="1032"/>
        <v>552</v>
      </c>
      <c r="EKM17" s="68">
        <f t="shared" si="1033"/>
        <v>92</v>
      </c>
      <c r="EKN17" s="48"/>
      <c r="EKO17" s="49">
        <v>0</v>
      </c>
      <c r="EKP17" s="49">
        <v>411</v>
      </c>
      <c r="EKQ17" s="49">
        <v>0</v>
      </c>
      <c r="EKR17" s="49"/>
      <c r="EKS17" s="49">
        <v>0</v>
      </c>
      <c r="EKT17" s="64">
        <f t="shared" si="1034"/>
        <v>411</v>
      </c>
      <c r="EKU17" s="184">
        <f t="shared" si="1035"/>
        <v>68.5</v>
      </c>
      <c r="EKV17" s="665"/>
      <c r="EKW17" s="195">
        <v>400</v>
      </c>
      <c r="EKX17" s="49">
        <v>0</v>
      </c>
      <c r="EKY17" s="49">
        <v>0</v>
      </c>
      <c r="EKZ17" s="49">
        <v>441</v>
      </c>
      <c r="ELA17" s="49"/>
      <c r="ELB17" s="49">
        <v>0</v>
      </c>
      <c r="ELC17" s="64">
        <f t="shared" si="1036"/>
        <v>841</v>
      </c>
      <c r="ELD17" s="211">
        <f t="shared" si="1037"/>
        <v>140.16666666666666</v>
      </c>
      <c r="ELE17" s="195">
        <v>439</v>
      </c>
      <c r="ELF17" s="49">
        <v>0</v>
      </c>
      <c r="ELG17" s="49">
        <v>0</v>
      </c>
      <c r="ELH17" s="49">
        <v>221</v>
      </c>
      <c r="ELI17" s="49"/>
      <c r="ELJ17" s="49">
        <v>0</v>
      </c>
      <c r="ELK17" s="64">
        <f t="shared" si="1038"/>
        <v>660</v>
      </c>
      <c r="ELL17" s="211">
        <f t="shared" si="1039"/>
        <v>110</v>
      </c>
      <c r="ELM17" s="195">
        <v>0</v>
      </c>
      <c r="ELN17" s="49">
        <v>220</v>
      </c>
      <c r="ELO17" s="49"/>
      <c r="ELP17" s="49"/>
      <c r="ELQ17" s="49">
        <v>0</v>
      </c>
      <c r="ELR17" s="49">
        <v>441</v>
      </c>
      <c r="ELS17" s="64">
        <f t="shared" si="1040"/>
        <v>661</v>
      </c>
      <c r="ELT17" s="211">
        <f t="shared" si="1041"/>
        <v>110.16666666666667</v>
      </c>
      <c r="ELU17" s="195">
        <v>0</v>
      </c>
      <c r="ELV17" s="49">
        <v>220</v>
      </c>
      <c r="ELW17" s="49">
        <v>224</v>
      </c>
      <c r="ELX17" s="49">
        <v>198</v>
      </c>
      <c r="ELY17" s="49"/>
      <c r="ELZ17" s="49">
        <v>0</v>
      </c>
      <c r="EMA17" s="64">
        <f t="shared" si="1042"/>
        <v>642</v>
      </c>
      <c r="EMB17" s="211">
        <f t="shared" si="1043"/>
        <v>107</v>
      </c>
      <c r="EMC17" s="195"/>
      <c r="EMD17" s="49">
        <v>214</v>
      </c>
      <c r="EME17" s="49">
        <v>0</v>
      </c>
      <c r="EMF17" s="49">
        <v>223</v>
      </c>
      <c r="EMG17" s="49">
        <v>0</v>
      </c>
      <c r="EMH17" s="49">
        <v>0</v>
      </c>
      <c r="EMI17" s="64">
        <f t="shared" si="1044"/>
        <v>437</v>
      </c>
      <c r="EMJ17" s="211">
        <f t="shared" si="1045"/>
        <v>72.833333333333329</v>
      </c>
      <c r="EMK17" s="195">
        <v>225</v>
      </c>
      <c r="EML17" s="49"/>
      <c r="EMM17" s="49">
        <v>220</v>
      </c>
      <c r="EMN17" s="49">
        <v>0</v>
      </c>
      <c r="EMO17" s="49">
        <v>220</v>
      </c>
      <c r="EMP17" s="49">
        <v>0</v>
      </c>
      <c r="EMQ17" s="64">
        <f t="shared" si="1046"/>
        <v>665</v>
      </c>
      <c r="EMR17" s="211">
        <f t="shared" si="1047"/>
        <v>110.83333333333333</v>
      </c>
      <c r="EMS17" s="195"/>
      <c r="EMT17" s="49">
        <v>441</v>
      </c>
      <c r="EMU17" s="49">
        <v>0</v>
      </c>
      <c r="EMV17" s="49">
        <v>226</v>
      </c>
      <c r="EMW17" s="49"/>
      <c r="EMX17" s="49">
        <v>0</v>
      </c>
      <c r="EMY17" s="64">
        <f t="shared" si="1048"/>
        <v>667</v>
      </c>
      <c r="EMZ17" s="211">
        <f t="shared" si="1049"/>
        <v>111.16666666666667</v>
      </c>
      <c r="ENA17" s="195">
        <v>0</v>
      </c>
      <c r="ENB17" s="49">
        <v>69</v>
      </c>
      <c r="ENC17" s="49">
        <v>330</v>
      </c>
      <c r="END17" s="49">
        <v>0</v>
      </c>
      <c r="ENE17" s="49"/>
      <c r="ENF17" s="49">
        <v>220</v>
      </c>
      <c r="ENG17" s="64">
        <f t="shared" si="1050"/>
        <v>619</v>
      </c>
      <c r="ENH17" s="211">
        <f t="shared" si="1051"/>
        <v>103.16666666666667</v>
      </c>
      <c r="ENI17" s="195">
        <v>0</v>
      </c>
      <c r="ENJ17" s="49"/>
      <c r="ENK17" s="49">
        <v>0</v>
      </c>
      <c r="ENL17" s="49">
        <v>437</v>
      </c>
      <c r="ENM17" s="49">
        <v>0</v>
      </c>
      <c r="ENN17" s="49">
        <v>0</v>
      </c>
      <c r="ENO17" s="64">
        <f t="shared" si="1052"/>
        <v>437</v>
      </c>
      <c r="ENP17" s="211">
        <f t="shared" si="1053"/>
        <v>72.833333333333329</v>
      </c>
      <c r="ENQ17" s="195">
        <v>428</v>
      </c>
      <c r="ENR17" s="49">
        <v>0</v>
      </c>
      <c r="ENS17" s="49">
        <v>0</v>
      </c>
      <c r="ENT17" s="49">
        <v>0</v>
      </c>
      <c r="ENU17" s="49">
        <v>219</v>
      </c>
      <c r="ENV17" s="49">
        <v>0</v>
      </c>
      <c r="ENW17" s="64">
        <f t="shared" si="1054"/>
        <v>647</v>
      </c>
      <c r="ENX17" s="211">
        <f t="shared" si="1055"/>
        <v>107.83333333333333</v>
      </c>
      <c r="ENY17" s="195"/>
      <c r="ENZ17" s="49">
        <v>0</v>
      </c>
      <c r="EOA17" s="49">
        <v>434</v>
      </c>
      <c r="EOB17" s="49">
        <v>0</v>
      </c>
      <c r="EOC17" s="49">
        <v>0</v>
      </c>
      <c r="EOD17" s="49">
        <v>110</v>
      </c>
      <c r="EOE17" s="64">
        <f t="shared" si="1056"/>
        <v>544</v>
      </c>
      <c r="EOF17" s="211">
        <f t="shared" si="1057"/>
        <v>90.666666666666671</v>
      </c>
      <c r="EOG17" s="195"/>
      <c r="EOH17" s="360">
        <f>SUMIF(SUMPK!$B:$B,$B:$B,SUMPK!$O:$O)</f>
        <v>0</v>
      </c>
      <c r="EOI17" s="49">
        <v>0</v>
      </c>
      <c r="EOJ17" s="49">
        <v>220</v>
      </c>
      <c r="EOK17" s="49">
        <v>0</v>
      </c>
      <c r="EOL17" s="49">
        <v>0</v>
      </c>
      <c r="EOM17" s="64">
        <f t="shared" si="1058"/>
        <v>220</v>
      </c>
      <c r="EON17" s="211">
        <f t="shared" si="1059"/>
        <v>36.666666666666664</v>
      </c>
      <c r="EOO17" s="195"/>
      <c r="EOP17" s="49">
        <v>437</v>
      </c>
      <c r="EOQ17" s="49">
        <v>0</v>
      </c>
      <c r="EOR17" s="49">
        <v>0</v>
      </c>
      <c r="EOS17" s="49">
        <v>0</v>
      </c>
      <c r="EOT17" s="49">
        <v>0</v>
      </c>
      <c r="EOU17" s="64">
        <f t="shared" si="1060"/>
        <v>437</v>
      </c>
      <c r="EOV17" s="211">
        <f t="shared" si="1061"/>
        <v>72.833333333333329</v>
      </c>
      <c r="EOW17" s="195">
        <v>442</v>
      </c>
      <c r="EOX17" s="49">
        <v>0</v>
      </c>
      <c r="EOY17" s="49">
        <v>327</v>
      </c>
      <c r="EOZ17" s="49">
        <v>0</v>
      </c>
      <c r="EPA17" s="49">
        <v>0</v>
      </c>
      <c r="EPB17" s="49">
        <v>330</v>
      </c>
      <c r="EPC17" s="64">
        <f t="shared" si="1062"/>
        <v>1099</v>
      </c>
      <c r="EPD17" s="211">
        <f t="shared" si="1063"/>
        <v>183.16666666666666</v>
      </c>
      <c r="EPE17" s="195">
        <v>219</v>
      </c>
      <c r="EPF17" s="49">
        <f>SUMIF(SUMPK!$B:$B,$B:$B,SUMPK!$O:$O)</f>
        <v>0</v>
      </c>
      <c r="EPG17" s="49">
        <v>220</v>
      </c>
      <c r="EPH17" s="49">
        <v>0</v>
      </c>
      <c r="EPI17" s="49">
        <v>437</v>
      </c>
      <c r="EPJ17" s="49">
        <v>0</v>
      </c>
      <c r="EPK17" s="64">
        <f t="shared" si="1064"/>
        <v>876</v>
      </c>
      <c r="EPL17" s="211">
        <f t="shared" si="1065"/>
        <v>146</v>
      </c>
      <c r="EPM17" s="195"/>
      <c r="EPN17" s="49">
        <v>0</v>
      </c>
      <c r="EPO17" s="49">
        <v>0</v>
      </c>
      <c r="EPP17" s="49">
        <v>212</v>
      </c>
      <c r="EPQ17" s="49">
        <v>0</v>
      </c>
      <c r="EPR17" s="49">
        <v>220</v>
      </c>
      <c r="EPS17" s="64">
        <f t="shared" si="1066"/>
        <v>432</v>
      </c>
      <c r="EPT17" s="211">
        <f t="shared" si="1067"/>
        <v>72</v>
      </c>
      <c r="EPU17" s="195">
        <v>0</v>
      </c>
      <c r="EPV17" s="49">
        <v>183</v>
      </c>
      <c r="EPW17" s="49"/>
      <c r="EPX17" s="49">
        <v>0</v>
      </c>
      <c r="EPY17" s="49">
        <v>421</v>
      </c>
      <c r="EPZ17" s="49">
        <v>0</v>
      </c>
      <c r="EQA17" s="64">
        <f t="shared" si="1068"/>
        <v>604</v>
      </c>
      <c r="EQB17" s="211">
        <f t="shared" si="1069"/>
        <v>100.66666666666667</v>
      </c>
      <c r="EQC17" s="195">
        <v>221</v>
      </c>
      <c r="EQD17" s="49">
        <v>0</v>
      </c>
      <c r="EQE17" s="49">
        <v>220</v>
      </c>
      <c r="EQF17" s="49">
        <v>0</v>
      </c>
      <c r="EQG17" s="49">
        <v>0</v>
      </c>
      <c r="EQH17" s="49">
        <v>0</v>
      </c>
      <c r="EQI17" s="64">
        <f t="shared" si="1070"/>
        <v>441</v>
      </c>
      <c r="EQJ17" s="211">
        <f t="shared" si="1071"/>
        <v>73.5</v>
      </c>
      <c r="EQK17" s="195"/>
      <c r="EQL17" s="49">
        <v>442</v>
      </c>
      <c r="EQM17" s="49">
        <v>0</v>
      </c>
      <c r="EQN17" s="49"/>
      <c r="EQO17" s="49">
        <v>0</v>
      </c>
      <c r="EQP17" s="49">
        <v>219</v>
      </c>
      <c r="EQQ17" s="64">
        <f t="shared" si="1072"/>
        <v>661</v>
      </c>
      <c r="EQR17" s="211">
        <f t="shared" si="1073"/>
        <v>110.16666666666667</v>
      </c>
      <c r="EQS17" s="195">
        <v>110</v>
      </c>
      <c r="EQT17" s="49">
        <v>0</v>
      </c>
      <c r="EQU17" s="49">
        <v>0</v>
      </c>
      <c r="EQV17" s="49"/>
      <c r="EQW17" s="49">
        <v>331</v>
      </c>
      <c r="EQX17" s="49">
        <v>0</v>
      </c>
      <c r="EQY17" s="64">
        <f t="shared" si="1074"/>
        <v>441</v>
      </c>
      <c r="EQZ17" s="211">
        <f t="shared" si="1075"/>
        <v>73.5</v>
      </c>
      <c r="ERA17" s="195">
        <v>341</v>
      </c>
      <c r="ERB17" s="49">
        <v>0</v>
      </c>
      <c r="ERC17" s="49">
        <v>0</v>
      </c>
      <c r="ERD17" s="49">
        <v>0</v>
      </c>
      <c r="ERE17" s="49">
        <v>0</v>
      </c>
      <c r="ERF17" s="49">
        <v>441</v>
      </c>
      <c r="ERG17" s="64">
        <f t="shared" si="1076"/>
        <v>782</v>
      </c>
      <c r="ERH17" s="211">
        <f t="shared" si="1077"/>
        <v>130.33333333333334</v>
      </c>
      <c r="ERI17" s="195">
        <v>0</v>
      </c>
      <c r="ERJ17" s="49"/>
      <c r="ERK17" s="49"/>
      <c r="ERL17" s="49">
        <v>0</v>
      </c>
      <c r="ERM17" s="49">
        <v>329</v>
      </c>
      <c r="ERN17" s="49"/>
      <c r="ERO17" s="64">
        <f t="shared" si="1078"/>
        <v>329</v>
      </c>
      <c r="ERP17" s="211">
        <f t="shared" si="1079"/>
        <v>54.833333333333336</v>
      </c>
      <c r="ERQ17" s="195"/>
      <c r="ERR17" s="49">
        <v>0</v>
      </c>
      <c r="ERS17" s="49">
        <v>220</v>
      </c>
      <c r="ERT17" s="49">
        <v>0</v>
      </c>
      <c r="ERU17" s="49">
        <v>559</v>
      </c>
      <c r="ERV17" s="49">
        <v>0</v>
      </c>
      <c r="ERW17" s="64">
        <f t="shared" si="1080"/>
        <v>779</v>
      </c>
      <c r="ERX17" s="211">
        <f t="shared" si="1081"/>
        <v>129.83333333333334</v>
      </c>
      <c r="ERY17" s="195">
        <v>228</v>
      </c>
      <c r="ERZ17" s="49">
        <v>0</v>
      </c>
      <c r="ESA17" s="49">
        <v>0</v>
      </c>
      <c r="ESB17" s="49"/>
      <c r="ESC17" s="49"/>
      <c r="ESD17" s="49">
        <v>228</v>
      </c>
      <c r="ESE17" s="64">
        <f t="shared" si="1082"/>
        <v>456</v>
      </c>
      <c r="ESF17" s="211">
        <f t="shared" si="1083"/>
        <v>76</v>
      </c>
      <c r="ESG17" s="195">
        <v>0</v>
      </c>
      <c r="ESH17" s="49"/>
      <c r="ESI17" s="49">
        <v>611</v>
      </c>
      <c r="ESJ17" s="49">
        <v>0</v>
      </c>
      <c r="ESK17" s="49"/>
      <c r="ESL17" s="49">
        <v>211</v>
      </c>
      <c r="ESM17" s="64">
        <f t="shared" si="1084"/>
        <v>822</v>
      </c>
      <c r="ESN17" s="211">
        <f t="shared" si="1085"/>
        <v>137</v>
      </c>
      <c r="ESO17" s="458">
        <v>0</v>
      </c>
      <c r="ESP17" s="83"/>
      <c r="ESQ17" s="83">
        <v>232</v>
      </c>
      <c r="ESR17" s="83">
        <v>0</v>
      </c>
      <c r="ESS17" s="83"/>
      <c r="EST17" s="83">
        <v>215</v>
      </c>
      <c r="ESU17" s="64">
        <f t="shared" si="1086"/>
        <v>447</v>
      </c>
      <c r="ESV17" s="211">
        <f t="shared" si="1087"/>
        <v>74.5</v>
      </c>
      <c r="ESW17" s="195"/>
      <c r="ESX17" s="49"/>
      <c r="ESY17" s="49"/>
      <c r="ESZ17" s="49">
        <v>0</v>
      </c>
      <c r="ETA17" s="49">
        <v>0</v>
      </c>
      <c r="ETB17" s="49">
        <v>440</v>
      </c>
      <c r="ETC17" s="808">
        <f t="shared" si="1088"/>
        <v>440</v>
      </c>
      <c r="ETD17" s="211">
        <f t="shared" si="1089"/>
        <v>73.333333333333329</v>
      </c>
      <c r="ETE17" s="195">
        <v>0</v>
      </c>
      <c r="ETF17" s="49">
        <v>222</v>
      </c>
      <c r="ETG17" s="49">
        <v>0</v>
      </c>
      <c r="ETH17" s="49">
        <v>0</v>
      </c>
      <c r="ETI17" s="49"/>
      <c r="ETJ17" s="49">
        <v>0</v>
      </c>
      <c r="ETK17" s="808">
        <f t="shared" si="1090"/>
        <v>222</v>
      </c>
      <c r="ETL17" s="211">
        <f t="shared" si="1091"/>
        <v>37</v>
      </c>
      <c r="ETM17" s="814"/>
      <c r="ETN17" s="815">
        <v>442</v>
      </c>
      <c r="ETO17" s="815">
        <v>0</v>
      </c>
      <c r="ETP17" s="815">
        <v>0</v>
      </c>
      <c r="ETQ17" s="815">
        <v>215</v>
      </c>
      <c r="ETR17" s="815">
        <v>0</v>
      </c>
      <c r="ETS17" s="808">
        <f t="shared" si="1092"/>
        <v>657</v>
      </c>
      <c r="ETT17" s="211">
        <f t="shared" si="1093"/>
        <v>109.5</v>
      </c>
      <c r="ETU17" s="458">
        <v>0</v>
      </c>
      <c r="ETV17" s="83">
        <v>443</v>
      </c>
      <c r="ETW17" s="83"/>
      <c r="ETX17" s="83">
        <v>0</v>
      </c>
      <c r="ETY17" s="83">
        <v>0</v>
      </c>
      <c r="ETZ17" s="83">
        <v>0</v>
      </c>
      <c r="EUA17" s="808">
        <f t="shared" si="1094"/>
        <v>443</v>
      </c>
      <c r="EUB17" s="211">
        <f t="shared" si="1095"/>
        <v>73.833333333333329</v>
      </c>
      <c r="EUC17" s="458">
        <v>0</v>
      </c>
      <c r="EUD17" s="83">
        <v>0</v>
      </c>
      <c r="EUE17" s="83"/>
      <c r="EUF17" s="83">
        <v>0</v>
      </c>
      <c r="EUG17" s="83">
        <v>404</v>
      </c>
      <c r="EUH17" s="83">
        <v>221</v>
      </c>
      <c r="EUI17" s="808">
        <f t="shared" si="1096"/>
        <v>625</v>
      </c>
      <c r="EUJ17" s="211">
        <f t="shared" si="1097"/>
        <v>104.16666666666667</v>
      </c>
      <c r="EUK17" s="195"/>
      <c r="EUL17" s="49">
        <v>0</v>
      </c>
      <c r="EUM17" s="49">
        <v>221</v>
      </c>
      <c r="EUN17" s="49">
        <f>SUMIF(SUMPK!$B:$B,$B:$B,SUMPK!$O:$O)</f>
        <v>0</v>
      </c>
      <c r="EUO17" s="49"/>
      <c r="EUP17" s="49">
        <v>109</v>
      </c>
      <c r="EUQ17" s="808">
        <f t="shared" si="1098"/>
        <v>330</v>
      </c>
      <c r="EUR17" s="211">
        <f t="shared" si="1099"/>
        <v>55</v>
      </c>
      <c r="EUS17" s="195">
        <v>0</v>
      </c>
      <c r="EUT17" s="49">
        <v>331</v>
      </c>
      <c r="EUU17" s="49">
        <v>0</v>
      </c>
      <c r="EUV17" s="49">
        <v>110</v>
      </c>
      <c r="EUW17" s="49"/>
      <c r="EUX17" s="49">
        <v>220</v>
      </c>
      <c r="EUY17" s="808">
        <f t="shared" si="1100"/>
        <v>661</v>
      </c>
      <c r="EUZ17" s="211">
        <f t="shared" si="1101"/>
        <v>110.16666666666667</v>
      </c>
      <c r="EVA17" s="195">
        <v>220</v>
      </c>
      <c r="EVB17" s="49"/>
      <c r="EVC17" s="49"/>
      <c r="EVD17" s="49"/>
      <c r="EVE17" s="49">
        <v>0</v>
      </c>
      <c r="EVF17" s="49"/>
      <c r="EVG17" s="808">
        <f t="shared" si="1102"/>
        <v>220</v>
      </c>
      <c r="EVH17" s="211">
        <f t="shared" si="1103"/>
        <v>36.666666666666664</v>
      </c>
      <c r="EVI17" s="195">
        <v>0</v>
      </c>
      <c r="EVJ17" s="49">
        <v>420</v>
      </c>
      <c r="EVK17" s="49">
        <v>0</v>
      </c>
      <c r="EVL17" s="49"/>
      <c r="EVM17" s="49"/>
      <c r="EVN17" s="49">
        <v>327</v>
      </c>
      <c r="EVO17" s="808">
        <f t="shared" si="1104"/>
        <v>747</v>
      </c>
      <c r="EVP17" s="211">
        <f t="shared" si="1105"/>
        <v>124.5</v>
      </c>
      <c r="EVQ17" s="195">
        <v>0</v>
      </c>
      <c r="EVR17" s="49">
        <v>0</v>
      </c>
      <c r="EVS17" s="49">
        <v>439</v>
      </c>
      <c r="EVT17" s="49"/>
      <c r="EVU17" s="49">
        <v>0</v>
      </c>
      <c r="EVV17" s="49">
        <v>329</v>
      </c>
      <c r="EVW17" s="808">
        <f t="shared" si="1106"/>
        <v>768</v>
      </c>
      <c r="EVX17" s="211">
        <f t="shared" si="1107"/>
        <v>128</v>
      </c>
      <c r="EVY17" s="195">
        <v>324</v>
      </c>
      <c r="EVZ17" s="49">
        <v>0</v>
      </c>
      <c r="EWA17" s="49"/>
      <c r="EWB17" s="49">
        <v>110</v>
      </c>
      <c r="EWC17" s="49"/>
      <c r="EWD17" s="49">
        <v>0</v>
      </c>
      <c r="EWE17" s="808">
        <f t="shared" si="1108"/>
        <v>434</v>
      </c>
      <c r="EWF17" s="211">
        <f t="shared" si="1109"/>
        <v>72.333333333333329</v>
      </c>
      <c r="EWG17" s="195">
        <v>220</v>
      </c>
      <c r="EWH17" s="49">
        <v>0</v>
      </c>
      <c r="EWI17" s="49"/>
      <c r="EWJ17" s="49"/>
      <c r="EWK17" s="49">
        <v>219</v>
      </c>
      <c r="EWL17" s="49">
        <v>222</v>
      </c>
      <c r="EWM17" s="808">
        <f t="shared" si="1110"/>
        <v>661</v>
      </c>
      <c r="EWN17" s="211">
        <f t="shared" si="175"/>
        <v>110.16666666666667</v>
      </c>
      <c r="EWO17" s="195">
        <v>0</v>
      </c>
      <c r="EWP17" s="49">
        <v>0</v>
      </c>
      <c r="EWQ17" s="49">
        <v>220</v>
      </c>
      <c r="EWR17" s="49">
        <v>0</v>
      </c>
      <c r="EWS17" s="49"/>
      <c r="EWT17" s="49">
        <v>220</v>
      </c>
      <c r="EWU17" s="808">
        <f t="shared" si="1111"/>
        <v>440</v>
      </c>
      <c r="EWV17" s="211">
        <f t="shared" si="1112"/>
        <v>73.333333333333329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3"/>
        <v>0</v>
      </c>
      <c r="EXD17" s="211">
        <f t="shared" si="1114"/>
        <v>0</v>
      </c>
      <c r="EXE17" s="195">
        <v>220</v>
      </c>
      <c r="EXF17" s="49">
        <v>0</v>
      </c>
      <c r="EXG17" s="49"/>
      <c r="EXH17" s="49">
        <v>218</v>
      </c>
      <c r="EXI17" s="49">
        <v>269</v>
      </c>
      <c r="EXJ17" s="49">
        <v>0</v>
      </c>
      <c r="EXK17" s="808">
        <f t="shared" si="1115"/>
        <v>707</v>
      </c>
      <c r="EXL17" s="211">
        <f t="shared" si="1116"/>
        <v>117.83333333333333</v>
      </c>
      <c r="EXM17" s="458">
        <v>219</v>
      </c>
      <c r="EXN17" s="83">
        <v>0</v>
      </c>
      <c r="EXO17" s="83"/>
      <c r="EXP17" s="83">
        <v>0</v>
      </c>
      <c r="EXQ17" s="83"/>
      <c r="EXR17" s="83">
        <v>221</v>
      </c>
      <c r="EXS17" s="808">
        <f t="shared" si="1117"/>
        <v>440</v>
      </c>
      <c r="EXT17" s="211">
        <f t="shared" si="1118"/>
        <v>73.333333333333329</v>
      </c>
      <c r="EXU17" s="195">
        <v>0</v>
      </c>
      <c r="EXV17" s="49"/>
      <c r="EXW17" s="49"/>
      <c r="EXX17" s="49">
        <v>220</v>
      </c>
      <c r="EXY17" s="49"/>
      <c r="EXZ17" s="49">
        <v>0</v>
      </c>
      <c r="EYA17" s="808">
        <f t="shared" si="1119"/>
        <v>220</v>
      </c>
      <c r="EYB17" s="211">
        <f t="shared" si="1120"/>
        <v>36.666666666666664</v>
      </c>
      <c r="EYC17" s="195">
        <v>219</v>
      </c>
      <c r="EYD17" s="49">
        <v>220</v>
      </c>
      <c r="EYE17" s="49">
        <v>220</v>
      </c>
      <c r="EYF17" s="49">
        <v>0</v>
      </c>
      <c r="EYG17" s="49">
        <v>0</v>
      </c>
      <c r="EYH17" s="49">
        <v>400</v>
      </c>
      <c r="EYI17" s="808">
        <f t="shared" si="1121"/>
        <v>1059</v>
      </c>
      <c r="EYJ17" s="211">
        <f t="shared" si="1122"/>
        <v>176.5</v>
      </c>
      <c r="EYK17" s="195">
        <v>0</v>
      </c>
      <c r="EYL17" s="49">
        <v>0</v>
      </c>
      <c r="EYM17" s="49">
        <v>220</v>
      </c>
      <c r="EYN17" s="49"/>
      <c r="EYO17" s="49"/>
      <c r="EYP17" s="49">
        <v>440</v>
      </c>
      <c r="EYQ17" s="808">
        <f t="shared" si="1123"/>
        <v>660</v>
      </c>
      <c r="EYR17" s="211">
        <f t="shared" si="1124"/>
        <v>110</v>
      </c>
      <c r="EYS17" s="195">
        <v>0</v>
      </c>
      <c r="EYT17" s="49">
        <v>0</v>
      </c>
      <c r="EYU17" s="49">
        <v>0</v>
      </c>
      <c r="EYV17" s="49">
        <v>2873</v>
      </c>
      <c r="EYW17" s="49"/>
      <c r="EYX17" s="49"/>
      <c r="EYY17" s="872">
        <f t="shared" si="1125"/>
        <v>2873</v>
      </c>
      <c r="EYZ17" s="873">
        <f t="shared" si="1126"/>
        <v>478.83333333333331</v>
      </c>
      <c r="EZA17" s="195">
        <v>212</v>
      </c>
      <c r="EZB17" s="49">
        <v>0</v>
      </c>
      <c r="EZC17" s="49">
        <v>329</v>
      </c>
      <c r="EZD17" s="49">
        <v>0</v>
      </c>
      <c r="EZE17" s="49"/>
      <c r="EZF17" s="49">
        <v>0</v>
      </c>
      <c r="EZG17" s="872">
        <f t="shared" si="1127"/>
        <v>541</v>
      </c>
      <c r="EZH17" s="873">
        <f t="shared" si="1128"/>
        <v>90.166666666666671</v>
      </c>
      <c r="EZI17" s="195">
        <v>437</v>
      </c>
      <c r="EZJ17" s="49">
        <v>0</v>
      </c>
      <c r="EZK17" s="49">
        <v>0</v>
      </c>
      <c r="EZL17" s="49"/>
      <c r="EZM17" s="49"/>
      <c r="EZN17" s="49"/>
      <c r="EZO17" s="872">
        <f t="shared" si="1129"/>
        <v>437</v>
      </c>
      <c r="EZP17" s="873">
        <f t="shared" si="1130"/>
        <v>72.833333333333329</v>
      </c>
    </row>
    <row r="18" spans="1:4072" s="8" customFormat="1" ht="15" customHeight="1" x14ac:dyDescent="0.2">
      <c r="A18" s="301">
        <v>12</v>
      </c>
      <c r="B18" s="21" t="s">
        <v>129</v>
      </c>
      <c r="C18" s="275" t="s">
        <v>130</v>
      </c>
      <c r="D18" s="21">
        <v>25</v>
      </c>
      <c r="E18" s="24"/>
      <c r="F18" s="24">
        <v>989</v>
      </c>
      <c r="G18" s="24"/>
      <c r="H18" s="24"/>
      <c r="I18" s="24"/>
      <c r="J18" s="360">
        <f>SUMIF(SUMPK!$B:$B,$B:$B,SUMPK!$O:$O)</f>
        <v>0</v>
      </c>
      <c r="K18" s="15">
        <f t="shared" si="1204"/>
        <v>0</v>
      </c>
      <c r="L18" s="24">
        <f t="shared" si="187"/>
        <v>989</v>
      </c>
      <c r="M18" s="24">
        <f t="shared" si="188"/>
        <v>989</v>
      </c>
      <c r="N18" s="15">
        <v>18</v>
      </c>
      <c r="O18" s="276">
        <f t="shared" ref="O18:O21" si="1206">IF(N18=0,0,M18/N18)</f>
        <v>54.944444444444443</v>
      </c>
      <c r="P18" s="712">
        <v>73.333333333333329</v>
      </c>
      <c r="Q18" s="276">
        <f t="shared" si="190"/>
        <v>80.918181818181836</v>
      </c>
      <c r="R18" s="277">
        <f t="shared" si="191"/>
        <v>30.76923076923077</v>
      </c>
      <c r="S18" s="222">
        <v>800</v>
      </c>
      <c r="T18" s="276">
        <f t="shared" ref="T18:T20" si="1207">IF(R18=0,0,M18/R18)</f>
        <v>32.142499999999998</v>
      </c>
      <c r="U18" s="303"/>
      <c r="V18" s="302">
        <f t="shared" si="1205"/>
        <v>32.142499999999998</v>
      </c>
      <c r="W18" s="304">
        <f t="shared" si="0"/>
        <v>1</v>
      </c>
      <c r="X18" s="305"/>
      <c r="Y18" s="280"/>
      <c r="Z18" s="280"/>
      <c r="AA18" s="280"/>
      <c r="AB18" s="280"/>
      <c r="AC18" s="662">
        <v>16</v>
      </c>
      <c r="AD18" s="649"/>
      <c r="AE18" s="49">
        <v>646</v>
      </c>
      <c r="AF18" s="49"/>
      <c r="AG18" s="49"/>
      <c r="AH18" s="49"/>
      <c r="AI18" s="49"/>
      <c r="AJ18" s="42">
        <f t="shared" si="1137"/>
        <v>646</v>
      </c>
      <c r="AK18" s="43">
        <f t="shared" si="1138"/>
        <v>107.66666666666667</v>
      </c>
      <c r="AL18" s="48">
        <v>410</v>
      </c>
      <c r="AM18" s="49"/>
      <c r="AN18" s="49"/>
      <c r="AO18" s="49"/>
      <c r="AP18" s="49">
        <v>799</v>
      </c>
      <c r="AQ18" s="49"/>
      <c r="AR18" s="42">
        <f t="shared" si="1139"/>
        <v>1209</v>
      </c>
      <c r="AS18" s="43">
        <f t="shared" si="1140"/>
        <v>201.5</v>
      </c>
      <c r="AT18" s="48"/>
      <c r="AU18" s="49"/>
      <c r="AV18" s="49">
        <v>300</v>
      </c>
      <c r="AW18" s="49"/>
      <c r="AX18" s="49"/>
      <c r="AY18" s="49"/>
      <c r="AZ18" s="42">
        <f t="shared" si="1141"/>
        <v>300</v>
      </c>
      <c r="BA18" s="43">
        <f t="shared" si="1142"/>
        <v>50</v>
      </c>
      <c r="BB18" s="48"/>
      <c r="BC18" s="49">
        <v>1000</v>
      </c>
      <c r="BD18" s="49"/>
      <c r="BE18" s="49"/>
      <c r="BF18" s="49"/>
      <c r="BG18" s="49"/>
      <c r="BH18" s="42">
        <f t="shared" si="1143"/>
        <v>1000</v>
      </c>
      <c r="BI18" s="43">
        <f t="shared" si="1144"/>
        <v>166.66666666666666</v>
      </c>
      <c r="BJ18" s="48"/>
      <c r="BK18" s="49"/>
      <c r="BL18" s="49"/>
      <c r="BM18" s="49"/>
      <c r="BN18" s="49"/>
      <c r="BO18" s="49">
        <v>750</v>
      </c>
      <c r="BP18" s="42">
        <f t="shared" si="1145"/>
        <v>750</v>
      </c>
      <c r="BQ18" s="43">
        <f t="shared" si="1146"/>
        <v>125</v>
      </c>
      <c r="BR18" s="48"/>
      <c r="BS18" s="49"/>
      <c r="BT18" s="49"/>
      <c r="BU18" s="49">
        <v>600</v>
      </c>
      <c r="BV18" s="49"/>
      <c r="BW18" s="49"/>
      <c r="BX18" s="42">
        <f t="shared" si="1147"/>
        <v>600</v>
      </c>
      <c r="BY18" s="43">
        <f t="shared" si="3"/>
        <v>100</v>
      </c>
      <c r="BZ18" s="48"/>
      <c r="CA18" s="49"/>
      <c r="CB18" s="49">
        <v>1000</v>
      </c>
      <c r="CC18" s="49"/>
      <c r="CD18" s="49"/>
      <c r="CE18" s="49"/>
      <c r="CF18" s="42">
        <f t="shared" si="1148"/>
        <v>1000</v>
      </c>
      <c r="CG18" s="43">
        <f t="shared" si="1149"/>
        <v>166.66666666666666</v>
      </c>
      <c r="CH18" s="48"/>
      <c r="CI18" s="49"/>
      <c r="CJ18" s="49">
        <v>1200</v>
      </c>
      <c r="CK18" s="49"/>
      <c r="CL18" s="49"/>
      <c r="CM18" s="49"/>
      <c r="CN18" s="42">
        <f t="shared" si="1150"/>
        <v>1200</v>
      </c>
      <c r="CO18" s="43">
        <f t="shared" si="1151"/>
        <v>200</v>
      </c>
      <c r="CP18" s="48"/>
      <c r="CQ18" s="49"/>
      <c r="CR18" s="49">
        <v>700</v>
      </c>
      <c r="CS18" s="49"/>
      <c r="CT18" s="49"/>
      <c r="CU18" s="49"/>
      <c r="CV18" s="42">
        <f t="shared" si="1152"/>
        <v>700</v>
      </c>
      <c r="CW18" s="43">
        <f t="shared" si="1153"/>
        <v>116.66666666666667</v>
      </c>
      <c r="CX18" s="48"/>
      <c r="CY18" s="49"/>
      <c r="CZ18" s="49">
        <v>1400</v>
      </c>
      <c r="DA18" s="49"/>
      <c r="DB18" s="49"/>
      <c r="DC18" s="49">
        <v>576</v>
      </c>
      <c r="DD18" s="42">
        <f t="shared" si="1154"/>
        <v>1976</v>
      </c>
      <c r="DE18" s="43">
        <f t="shared" si="1155"/>
        <v>329.33333333333331</v>
      </c>
      <c r="DF18" s="48"/>
      <c r="DG18" s="49"/>
      <c r="DH18" s="49"/>
      <c r="DI18" s="49"/>
      <c r="DJ18" s="49"/>
      <c r="DK18" s="49"/>
      <c r="DL18" s="42">
        <f t="shared" si="1156"/>
        <v>0</v>
      </c>
      <c r="DM18" s="43">
        <f t="shared" si="1157"/>
        <v>0</v>
      </c>
      <c r="DN18" s="48"/>
      <c r="DO18" s="49">
        <v>966</v>
      </c>
      <c r="DP18" s="49"/>
      <c r="DQ18" s="49"/>
      <c r="DR18" s="49"/>
      <c r="DS18" s="49">
        <v>590</v>
      </c>
      <c r="DT18" s="42">
        <f t="shared" si="1158"/>
        <v>1556</v>
      </c>
      <c r="DU18" s="43">
        <f t="shared" si="1159"/>
        <v>259.33333333333331</v>
      </c>
      <c r="DV18" s="48"/>
      <c r="DW18" s="49"/>
      <c r="DX18" s="49"/>
      <c r="DY18" s="49"/>
      <c r="DZ18" s="49"/>
      <c r="EA18" s="49"/>
      <c r="EB18" s="42">
        <f t="shared" si="1160"/>
        <v>0</v>
      </c>
      <c r="EC18" s="43">
        <f t="shared" si="1161"/>
        <v>0</v>
      </c>
      <c r="ED18" s="48"/>
      <c r="EE18" s="49"/>
      <c r="EF18" s="49"/>
      <c r="EG18" s="49">
        <v>800</v>
      </c>
      <c r="EH18" s="49"/>
      <c r="EI18" s="49"/>
      <c r="EJ18" s="42">
        <f t="shared" si="1162"/>
        <v>800</v>
      </c>
      <c r="EK18" s="43">
        <f t="shared" si="1163"/>
        <v>133.33333333333334</v>
      </c>
      <c r="EL18" s="48"/>
      <c r="EM18" s="49"/>
      <c r="EN18" s="49"/>
      <c r="EO18" s="49">
        <v>800</v>
      </c>
      <c r="EP18" s="49"/>
      <c r="EQ18" s="49"/>
      <c r="ER18" s="42">
        <f t="shared" si="1164"/>
        <v>800</v>
      </c>
      <c r="ES18" s="43">
        <f t="shared" si="1165"/>
        <v>133.33333333333334</v>
      </c>
      <c r="ET18" s="48"/>
      <c r="EU18" s="49"/>
      <c r="EV18" s="49"/>
      <c r="EW18" s="49"/>
      <c r="EX18" s="49"/>
      <c r="EY18" s="49">
        <v>785</v>
      </c>
      <c r="EZ18" s="42">
        <f t="shared" si="1166"/>
        <v>785</v>
      </c>
      <c r="FA18" s="43">
        <f t="shared" si="1167"/>
        <v>130.83333333333334</v>
      </c>
      <c r="FB18" s="48"/>
      <c r="FC18" s="49"/>
      <c r="FD18" s="49"/>
      <c r="FE18" s="49"/>
      <c r="FF18" s="49">
        <v>1047</v>
      </c>
      <c r="FG18" s="49"/>
      <c r="FH18" s="42">
        <f t="shared" si="1168"/>
        <v>1047</v>
      </c>
      <c r="FI18" s="43">
        <f t="shared" si="1169"/>
        <v>174.5</v>
      </c>
      <c r="FJ18" s="48"/>
      <c r="FK18" s="49"/>
      <c r="FL18" s="49"/>
      <c r="FM18" s="49"/>
      <c r="FN18" s="49">
        <v>972</v>
      </c>
      <c r="FO18" s="49"/>
      <c r="FP18" s="42">
        <f t="shared" si="1170"/>
        <v>972</v>
      </c>
      <c r="FQ18" s="43">
        <f t="shared" si="1171"/>
        <v>162</v>
      </c>
      <c r="FR18" s="48"/>
      <c r="FS18" s="49"/>
      <c r="FT18" s="49">
        <v>800</v>
      </c>
      <c r="FU18" s="49"/>
      <c r="FV18" s="49"/>
      <c r="FW18" s="49"/>
      <c r="FX18" s="42">
        <f t="shared" si="1172"/>
        <v>800</v>
      </c>
      <c r="FY18" s="43">
        <f t="shared" si="1173"/>
        <v>133.33333333333334</v>
      </c>
      <c r="FZ18" s="48"/>
      <c r="GA18" s="49"/>
      <c r="GB18" s="49"/>
      <c r="GC18" s="49"/>
      <c r="GD18" s="49"/>
      <c r="GE18" s="49"/>
      <c r="GF18" s="42">
        <f t="shared" si="1174"/>
        <v>0</v>
      </c>
      <c r="GG18" s="43">
        <f t="shared" si="1175"/>
        <v>0</v>
      </c>
      <c r="GH18" s="48">
        <v>798</v>
      </c>
      <c r="GI18" s="49"/>
      <c r="GJ18" s="49"/>
      <c r="GK18" s="49"/>
      <c r="GL18" s="49"/>
      <c r="GM18" s="49"/>
      <c r="GN18" s="42">
        <f t="shared" si="1176"/>
        <v>798</v>
      </c>
      <c r="GO18" s="43">
        <f t="shared" si="1177"/>
        <v>133</v>
      </c>
      <c r="GP18" s="48"/>
      <c r="GQ18" s="49"/>
      <c r="GR18" s="49">
        <v>800</v>
      </c>
      <c r="GS18" s="49"/>
      <c r="GT18" s="49"/>
      <c r="GU18" s="49"/>
      <c r="GV18" s="42">
        <f t="shared" si="1178"/>
        <v>800</v>
      </c>
      <c r="GW18" s="43">
        <f t="shared" si="1179"/>
        <v>133.33333333333334</v>
      </c>
      <c r="GX18" s="48"/>
      <c r="GY18" s="49"/>
      <c r="GZ18" s="49"/>
      <c r="HA18" s="49"/>
      <c r="HB18" s="49"/>
      <c r="HC18" s="49"/>
      <c r="HD18" s="42">
        <f t="shared" si="1180"/>
        <v>0</v>
      </c>
      <c r="HE18" s="43">
        <f t="shared" si="1181"/>
        <v>0</v>
      </c>
      <c r="HF18" s="48"/>
      <c r="HG18" s="49"/>
      <c r="HH18" s="49"/>
      <c r="HI18" s="49"/>
      <c r="HJ18" s="49"/>
      <c r="HK18" s="49"/>
      <c r="HL18" s="42">
        <f t="shared" si="1182"/>
        <v>0</v>
      </c>
      <c r="HM18" s="43">
        <f t="shared" si="1183"/>
        <v>0</v>
      </c>
      <c r="HN18" s="82">
        <v>402</v>
      </c>
      <c r="HO18" s="83"/>
      <c r="HP18" s="83"/>
      <c r="HQ18" s="83"/>
      <c r="HR18" s="83">
        <v>574</v>
      </c>
      <c r="HS18" s="83"/>
      <c r="HT18" s="42">
        <f t="shared" si="1184"/>
        <v>976</v>
      </c>
      <c r="HU18" s="43">
        <f t="shared" si="1185"/>
        <v>162.66666666666666</v>
      </c>
      <c r="HV18" s="48"/>
      <c r="HW18" s="49"/>
      <c r="HX18" s="49">
        <v>567</v>
      </c>
      <c r="HY18" s="49"/>
      <c r="HZ18" s="49"/>
      <c r="IA18" s="49"/>
      <c r="IB18" s="42">
        <f t="shared" si="1186"/>
        <v>567</v>
      </c>
      <c r="IC18" s="43">
        <f t="shared" si="1187"/>
        <v>94.5</v>
      </c>
      <c r="ID18" s="48">
        <v>593</v>
      </c>
      <c r="IE18" s="49"/>
      <c r="IF18" s="49"/>
      <c r="IG18" s="49">
        <v>169</v>
      </c>
      <c r="IH18" s="49">
        <v>215</v>
      </c>
      <c r="II18" s="49"/>
      <c r="IJ18" s="42">
        <f t="shared" si="1188"/>
        <v>977</v>
      </c>
      <c r="IK18" s="43">
        <f t="shared" si="1189"/>
        <v>162.83333333333334</v>
      </c>
      <c r="IL18" s="48"/>
      <c r="IM18" s="49">
        <v>1276</v>
      </c>
      <c r="IN18" s="49"/>
      <c r="IO18" s="49"/>
      <c r="IP18" s="49"/>
      <c r="IQ18" s="49"/>
      <c r="IR18" s="67">
        <f t="shared" si="1190"/>
        <v>1276</v>
      </c>
      <c r="IS18" s="68">
        <f t="shared" si="1191"/>
        <v>212.66666666666666</v>
      </c>
      <c r="IT18" s="48"/>
      <c r="IU18" s="49"/>
      <c r="IV18" s="49"/>
      <c r="IW18" s="49"/>
      <c r="IX18" s="49"/>
      <c r="IY18" s="49"/>
      <c r="IZ18" s="67">
        <f t="shared" si="1192"/>
        <v>0</v>
      </c>
      <c r="JA18" s="68">
        <f t="shared" si="1193"/>
        <v>0</v>
      </c>
      <c r="JB18" s="48"/>
      <c r="JC18" s="49"/>
      <c r="JD18" s="49"/>
      <c r="JE18" s="49">
        <v>800</v>
      </c>
      <c r="JF18" s="49"/>
      <c r="JG18" s="49"/>
      <c r="JH18" s="67">
        <f t="shared" si="1194"/>
        <v>800</v>
      </c>
      <c r="JI18" s="68">
        <f t="shared" si="1195"/>
        <v>133.33333333333334</v>
      </c>
      <c r="JJ18" s="48">
        <v>390</v>
      </c>
      <c r="JK18" s="49">
        <v>763</v>
      </c>
      <c r="JL18" s="49"/>
      <c r="JM18" s="49"/>
      <c r="JN18" s="49"/>
      <c r="JO18" s="49"/>
      <c r="JP18" s="42">
        <f t="shared" si="1196"/>
        <v>1153</v>
      </c>
      <c r="JQ18" s="43">
        <f t="shared" si="1197"/>
        <v>192.16666666666666</v>
      </c>
      <c r="JR18" s="48">
        <v>790</v>
      </c>
      <c r="JS18" s="49"/>
      <c r="JT18" s="49"/>
      <c r="JU18" s="49"/>
      <c r="JV18" s="49"/>
      <c r="JW18" s="49"/>
      <c r="JX18" s="42">
        <f t="shared" si="1198"/>
        <v>790</v>
      </c>
      <c r="JY18" s="43">
        <f t="shared" si="1199"/>
        <v>131.66666666666666</v>
      </c>
      <c r="JZ18" s="48">
        <v>500</v>
      </c>
      <c r="KA18" s="49"/>
      <c r="KB18" s="49"/>
      <c r="KC18" s="49"/>
      <c r="KD18" s="49"/>
      <c r="KE18" s="49">
        <v>993</v>
      </c>
      <c r="KF18" s="42">
        <f t="shared" si="194"/>
        <v>1493</v>
      </c>
      <c r="KG18" s="43">
        <f t="shared" si="195"/>
        <v>248.83333333333334</v>
      </c>
      <c r="KH18" s="48"/>
      <c r="KI18" s="49"/>
      <c r="KJ18" s="49"/>
      <c r="KK18" s="49"/>
      <c r="KL18" s="49"/>
      <c r="KM18" s="49">
        <v>600</v>
      </c>
      <c r="KN18" s="67">
        <f t="shared" si="196"/>
        <v>600</v>
      </c>
      <c r="KO18" s="68">
        <f t="shared" si="197"/>
        <v>100</v>
      </c>
      <c r="KP18" s="48"/>
      <c r="KQ18" s="49"/>
      <c r="KR18" s="49"/>
      <c r="KS18" s="49"/>
      <c r="KT18" s="49"/>
      <c r="KU18" s="49">
        <v>1000</v>
      </c>
      <c r="KV18" s="67">
        <f t="shared" si="198"/>
        <v>1000</v>
      </c>
      <c r="KW18" s="68">
        <f t="shared" si="199"/>
        <v>166.66666666666666</v>
      </c>
      <c r="KX18" s="48"/>
      <c r="KY18" s="49"/>
      <c r="KZ18" s="49"/>
      <c r="LA18" s="49"/>
      <c r="LB18" s="49"/>
      <c r="LC18" s="49"/>
      <c r="LD18" s="67">
        <f t="shared" si="200"/>
        <v>0</v>
      </c>
      <c r="LE18" s="68">
        <f t="shared" si="201"/>
        <v>0</v>
      </c>
      <c r="LF18" s="48">
        <v>600</v>
      </c>
      <c r="LG18" s="49"/>
      <c r="LH18" s="49"/>
      <c r="LI18" s="49"/>
      <c r="LJ18" s="49"/>
      <c r="LK18" s="49"/>
      <c r="LL18" s="67">
        <f t="shared" si="202"/>
        <v>600</v>
      </c>
      <c r="LM18" s="68">
        <f t="shared" si="203"/>
        <v>100</v>
      </c>
      <c r="LN18" s="48"/>
      <c r="LO18" s="49">
        <v>800</v>
      </c>
      <c r="LP18" s="49"/>
      <c r="LQ18" s="49"/>
      <c r="LR18" s="49"/>
      <c r="LS18" s="49"/>
      <c r="LT18" s="67">
        <f t="shared" si="204"/>
        <v>800</v>
      </c>
      <c r="LU18" s="68">
        <f t="shared" si="205"/>
        <v>133.33333333333334</v>
      </c>
      <c r="LV18" s="48"/>
      <c r="LW18" s="49"/>
      <c r="LX18" s="49"/>
      <c r="LY18" s="49">
        <v>600</v>
      </c>
      <c r="LZ18" s="49"/>
      <c r="MA18" s="49"/>
      <c r="MB18" s="67">
        <f t="shared" si="206"/>
        <v>600</v>
      </c>
      <c r="MC18" s="68">
        <f t="shared" si="207"/>
        <v>100</v>
      </c>
      <c r="MD18" s="48"/>
      <c r="ME18" s="49"/>
      <c r="MF18" s="49">
        <v>639</v>
      </c>
      <c r="MG18" s="49"/>
      <c r="MH18" s="49"/>
      <c r="MI18" s="49"/>
      <c r="MJ18" s="67">
        <f t="shared" si="208"/>
        <v>639</v>
      </c>
      <c r="MK18" s="68">
        <f t="shared" si="209"/>
        <v>106.5</v>
      </c>
      <c r="ML18" s="48"/>
      <c r="MM18" s="49"/>
      <c r="MN18" s="49"/>
      <c r="MO18" s="49"/>
      <c r="MP18" s="49"/>
      <c r="MQ18" s="49">
        <v>599</v>
      </c>
      <c r="MR18" s="67">
        <f t="shared" si="210"/>
        <v>599</v>
      </c>
      <c r="MS18" s="68">
        <f t="shared" si="211"/>
        <v>99.833333333333329</v>
      </c>
      <c r="MT18" s="48"/>
      <c r="MU18" s="49"/>
      <c r="MV18" s="49"/>
      <c r="MW18" s="49"/>
      <c r="MX18" s="49"/>
      <c r="MY18" s="49"/>
      <c r="MZ18" s="67">
        <f t="shared" si="212"/>
        <v>0</v>
      </c>
      <c r="NA18" s="68">
        <f t="shared" si="213"/>
        <v>0</v>
      </c>
      <c r="NB18" s="48"/>
      <c r="NC18" s="49">
        <v>830</v>
      </c>
      <c r="ND18" s="49"/>
      <c r="NE18" s="49"/>
      <c r="NF18" s="49"/>
      <c r="NG18" s="49"/>
      <c r="NH18" s="67">
        <f t="shared" si="214"/>
        <v>830</v>
      </c>
      <c r="NI18" s="68">
        <f t="shared" si="215"/>
        <v>138.33333333333334</v>
      </c>
      <c r="NJ18" s="48"/>
      <c r="NK18" s="49"/>
      <c r="NL18" s="49"/>
      <c r="NM18" s="49">
        <v>400</v>
      </c>
      <c r="NN18" s="49"/>
      <c r="NO18" s="49"/>
      <c r="NP18" s="67">
        <f t="shared" si="216"/>
        <v>400</v>
      </c>
      <c r="NQ18" s="68">
        <f t="shared" si="217"/>
        <v>66.666666666666671</v>
      </c>
      <c r="NR18" s="48"/>
      <c r="NS18" s="49"/>
      <c r="NT18" s="49"/>
      <c r="NU18" s="49"/>
      <c r="NV18" s="49"/>
      <c r="NW18" s="49"/>
      <c r="NX18" s="67">
        <f t="shared" si="218"/>
        <v>0</v>
      </c>
      <c r="NY18" s="68">
        <f t="shared" si="219"/>
        <v>0</v>
      </c>
      <c r="NZ18" s="48"/>
      <c r="OA18" s="49">
        <v>700</v>
      </c>
      <c r="OB18" s="49">
        <v>145</v>
      </c>
      <c r="OC18" s="49"/>
      <c r="OD18" s="49"/>
      <c r="OE18" s="49"/>
      <c r="OF18" s="67">
        <f t="shared" si="220"/>
        <v>845</v>
      </c>
      <c r="OG18" s="68">
        <f t="shared" si="221"/>
        <v>140.83333333333334</v>
      </c>
      <c r="OH18" s="48"/>
      <c r="OI18" s="49"/>
      <c r="OJ18" s="49"/>
      <c r="OK18" s="49"/>
      <c r="OL18" s="49">
        <v>514</v>
      </c>
      <c r="OM18" s="49"/>
      <c r="ON18" s="67">
        <f t="shared" si="222"/>
        <v>514</v>
      </c>
      <c r="OO18" s="68">
        <f t="shared" si="223"/>
        <v>85.666666666666671</v>
      </c>
      <c r="OP18" s="48"/>
      <c r="OQ18" s="49">
        <v>400</v>
      </c>
      <c r="OR18" s="49"/>
      <c r="OS18" s="49"/>
      <c r="OT18" s="49"/>
      <c r="OU18" s="49"/>
      <c r="OV18" s="67">
        <f t="shared" si="224"/>
        <v>400</v>
      </c>
      <c r="OW18" s="68">
        <f t="shared" si="225"/>
        <v>66.666666666666671</v>
      </c>
      <c r="OX18" s="48"/>
      <c r="OY18" s="49"/>
      <c r="OZ18" s="49"/>
      <c r="PA18" s="49"/>
      <c r="PB18" s="49"/>
      <c r="PC18" s="49">
        <v>300</v>
      </c>
      <c r="PD18" s="67">
        <f t="shared" si="226"/>
        <v>300</v>
      </c>
      <c r="PE18" s="68">
        <f t="shared" si="227"/>
        <v>50</v>
      </c>
      <c r="PF18" s="48">
        <v>300</v>
      </c>
      <c r="PG18" s="49"/>
      <c r="PH18" s="49"/>
      <c r="PI18" s="49"/>
      <c r="PJ18" s="49"/>
      <c r="PK18" s="49"/>
      <c r="PL18" s="67">
        <f t="shared" si="228"/>
        <v>300</v>
      </c>
      <c r="PM18" s="68">
        <f t="shared" si="229"/>
        <v>50</v>
      </c>
      <c r="PN18" s="48"/>
      <c r="PO18" s="49">
        <v>589</v>
      </c>
      <c r="PP18" s="49"/>
      <c r="PQ18" s="49"/>
      <c r="PR18" s="49"/>
      <c r="PS18" s="49"/>
      <c r="PT18" s="104">
        <f t="shared" si="230"/>
        <v>589</v>
      </c>
      <c r="PU18" s="105">
        <f t="shared" si="231"/>
        <v>98.166666666666671</v>
      </c>
      <c r="PV18" s="106"/>
      <c r="PW18" s="107">
        <v>600</v>
      </c>
      <c r="PX18" s="107"/>
      <c r="PY18" s="107"/>
      <c r="PZ18" s="107"/>
      <c r="QA18" s="107"/>
      <c r="QB18" s="104">
        <f t="shared" si="232"/>
        <v>600</v>
      </c>
      <c r="QC18" s="105">
        <f t="shared" si="233"/>
        <v>100</v>
      </c>
      <c r="QD18" s="106"/>
      <c r="QE18" s="107"/>
      <c r="QF18" s="107"/>
      <c r="QG18" s="107">
        <v>415</v>
      </c>
      <c r="QH18" s="107"/>
      <c r="QI18" s="107"/>
      <c r="QJ18" s="104">
        <f t="shared" si="234"/>
        <v>415</v>
      </c>
      <c r="QK18" s="105">
        <f t="shared" si="235"/>
        <v>69.166666666666671</v>
      </c>
      <c r="QL18" s="106"/>
      <c r="QM18" s="107"/>
      <c r="QN18" s="107">
        <v>589</v>
      </c>
      <c r="QO18" s="107"/>
      <c r="QP18" s="107"/>
      <c r="QQ18" s="107"/>
      <c r="QR18" s="104">
        <f t="shared" si="236"/>
        <v>589</v>
      </c>
      <c r="QS18" s="105">
        <f t="shared" si="237"/>
        <v>98.166666666666671</v>
      </c>
      <c r="QT18" s="106"/>
      <c r="QU18" s="107"/>
      <c r="QV18" s="107"/>
      <c r="QW18" s="107"/>
      <c r="QX18" s="107"/>
      <c r="QY18" s="107">
        <v>807</v>
      </c>
      <c r="QZ18" s="104">
        <f t="shared" si="238"/>
        <v>807</v>
      </c>
      <c r="RA18" s="105">
        <f t="shared" si="239"/>
        <v>134.5</v>
      </c>
      <c r="RB18" s="106"/>
      <c r="RC18" s="107"/>
      <c r="RD18" s="107"/>
      <c r="RE18" s="107"/>
      <c r="RF18" s="107"/>
      <c r="RG18" s="107">
        <v>606</v>
      </c>
      <c r="RH18" s="104">
        <f t="shared" si="240"/>
        <v>606</v>
      </c>
      <c r="RI18" s="105">
        <f t="shared" si="241"/>
        <v>101</v>
      </c>
      <c r="RJ18" s="106"/>
      <c r="RK18" s="107"/>
      <c r="RL18" s="107"/>
      <c r="RM18" s="107"/>
      <c r="RN18" s="107"/>
      <c r="RO18" s="107"/>
      <c r="RP18" s="104">
        <f t="shared" si="242"/>
        <v>0</v>
      </c>
      <c r="RQ18" s="105">
        <f t="shared" si="243"/>
        <v>0</v>
      </c>
      <c r="RR18" s="106"/>
      <c r="RS18" s="107"/>
      <c r="RT18" s="107"/>
      <c r="RU18" s="107"/>
      <c r="RV18" s="107"/>
      <c r="RW18" s="107"/>
      <c r="RX18" s="104">
        <f t="shared" si="244"/>
        <v>0</v>
      </c>
      <c r="RY18" s="105">
        <f t="shared" si="245"/>
        <v>0</v>
      </c>
      <c r="RZ18" s="106">
        <v>606</v>
      </c>
      <c r="SA18" s="107"/>
      <c r="SB18" s="107"/>
      <c r="SC18" s="107"/>
      <c r="SD18" s="107"/>
      <c r="SE18" s="107"/>
      <c r="SF18" s="104">
        <f t="shared" si="246"/>
        <v>606</v>
      </c>
      <c r="SG18" s="105">
        <f t="shared" si="247"/>
        <v>101</v>
      </c>
      <c r="SH18" s="106"/>
      <c r="SI18" s="107">
        <v>621</v>
      </c>
      <c r="SJ18" s="107"/>
      <c r="SK18" s="107"/>
      <c r="SL18" s="107"/>
      <c r="SM18" s="107"/>
      <c r="SN18" s="104">
        <f t="shared" si="248"/>
        <v>621</v>
      </c>
      <c r="SO18" s="105">
        <f t="shared" si="249"/>
        <v>103.5</v>
      </c>
      <c r="SP18" s="106"/>
      <c r="SQ18" s="107"/>
      <c r="SR18" s="107">
        <v>594</v>
      </c>
      <c r="SS18" s="107"/>
      <c r="ST18" s="107"/>
      <c r="SU18" s="107"/>
      <c r="SV18" s="104">
        <f t="shared" si="250"/>
        <v>594</v>
      </c>
      <c r="SW18" s="105">
        <f t="shared" si="251"/>
        <v>99</v>
      </c>
      <c r="SX18" s="106"/>
      <c r="SY18" s="107"/>
      <c r="SZ18" s="107"/>
      <c r="TA18" s="107"/>
      <c r="TB18" s="107"/>
      <c r="TC18" s="107"/>
      <c r="TD18" s="104">
        <f t="shared" si="252"/>
        <v>0</v>
      </c>
      <c r="TE18" s="105">
        <f t="shared" si="253"/>
        <v>0</v>
      </c>
      <c r="TF18" s="106"/>
      <c r="TG18" s="107"/>
      <c r="TH18" s="107"/>
      <c r="TI18" s="107"/>
      <c r="TJ18" s="107"/>
      <c r="TK18" s="107"/>
      <c r="TL18" s="104">
        <f t="shared" si="254"/>
        <v>0</v>
      </c>
      <c r="TM18" s="105">
        <f t="shared" si="255"/>
        <v>0</v>
      </c>
      <c r="TN18" s="106"/>
      <c r="TO18" s="107">
        <v>398</v>
      </c>
      <c r="TP18" s="107"/>
      <c r="TQ18" s="107"/>
      <c r="TR18" s="107"/>
      <c r="TS18" s="107"/>
      <c r="TT18" s="104">
        <f t="shared" si="256"/>
        <v>398</v>
      </c>
      <c r="TU18" s="105">
        <f t="shared" si="257"/>
        <v>66.333333333333329</v>
      </c>
      <c r="TV18" s="106"/>
      <c r="TW18" s="107"/>
      <c r="TX18" s="107">
        <v>796</v>
      </c>
      <c r="TY18" s="107"/>
      <c r="TZ18" s="107"/>
      <c r="UA18" s="107"/>
      <c r="UB18" s="104">
        <f t="shared" si="258"/>
        <v>796</v>
      </c>
      <c r="UC18" s="105">
        <f t="shared" si="259"/>
        <v>132.66666666666666</v>
      </c>
      <c r="UD18" s="106"/>
      <c r="UE18" s="107"/>
      <c r="UF18" s="107"/>
      <c r="UG18" s="107">
        <v>593</v>
      </c>
      <c r="UH18" s="107"/>
      <c r="UI18" s="107"/>
      <c r="UJ18" s="104">
        <f t="shared" si="260"/>
        <v>593</v>
      </c>
      <c r="UK18" s="105">
        <f t="shared" si="261"/>
        <v>98.833333333333329</v>
      </c>
      <c r="UL18" s="106"/>
      <c r="UM18" s="107"/>
      <c r="UN18" s="107"/>
      <c r="UO18" s="107">
        <v>400</v>
      </c>
      <c r="UP18" s="107"/>
      <c r="UQ18" s="107"/>
      <c r="UR18" s="107"/>
      <c r="US18" s="104">
        <f t="shared" si="262"/>
        <v>400</v>
      </c>
      <c r="UT18" s="105">
        <f t="shared" si="263"/>
        <v>66.666666666666671</v>
      </c>
      <c r="UU18" s="106"/>
      <c r="UV18" s="107"/>
      <c r="UW18" s="107">
        <v>600</v>
      </c>
      <c r="UX18" s="107"/>
      <c r="UY18" s="107"/>
      <c r="UZ18" s="107"/>
      <c r="VA18" s="104">
        <f t="shared" si="264"/>
        <v>600</v>
      </c>
      <c r="VB18" s="105">
        <f t="shared" si="265"/>
        <v>100</v>
      </c>
      <c r="VC18" s="106"/>
      <c r="VD18" s="107"/>
      <c r="VE18" s="107"/>
      <c r="VF18" s="107"/>
      <c r="VG18" s="107"/>
      <c r="VH18" s="107"/>
      <c r="VI18" s="104">
        <f t="shared" si="266"/>
        <v>0</v>
      </c>
      <c r="VJ18" s="105">
        <f t="shared" si="267"/>
        <v>0</v>
      </c>
      <c r="VK18" s="106"/>
      <c r="VL18" s="107"/>
      <c r="VM18" s="107"/>
      <c r="VN18" s="107">
        <v>568</v>
      </c>
      <c r="VO18" s="107"/>
      <c r="VP18" s="107"/>
      <c r="VQ18" s="104">
        <f t="shared" si="268"/>
        <v>568</v>
      </c>
      <c r="VR18" s="105">
        <f t="shared" si="269"/>
        <v>94.666666666666671</v>
      </c>
      <c r="VS18" s="106"/>
      <c r="VT18" s="107"/>
      <c r="VU18" s="107"/>
      <c r="VV18" s="107"/>
      <c r="VW18" s="107"/>
      <c r="VX18" s="107"/>
      <c r="VY18" s="104">
        <f t="shared" si="270"/>
        <v>0</v>
      </c>
      <c r="VZ18" s="105">
        <f t="shared" si="271"/>
        <v>0</v>
      </c>
      <c r="WA18" s="63"/>
      <c r="WB18" s="64"/>
      <c r="WC18" s="64"/>
      <c r="WD18" s="64"/>
      <c r="WE18" s="64"/>
      <c r="WF18" s="64"/>
      <c r="WG18" s="67">
        <f t="shared" si="272"/>
        <v>0</v>
      </c>
      <c r="WH18" s="68">
        <f t="shared" si="273"/>
        <v>0</v>
      </c>
      <c r="WI18" s="48">
        <v>370</v>
      </c>
      <c r="WJ18" s="49">
        <v>422</v>
      </c>
      <c r="WK18" s="49"/>
      <c r="WL18" s="49"/>
      <c r="WM18" s="49"/>
      <c r="WN18" s="49"/>
      <c r="WO18" s="67">
        <f t="shared" si="274"/>
        <v>792</v>
      </c>
      <c r="WP18" s="68">
        <f t="shared" si="275"/>
        <v>132</v>
      </c>
      <c r="WQ18" s="48"/>
      <c r="WR18" s="49"/>
      <c r="WS18" s="49">
        <v>394</v>
      </c>
      <c r="WT18" s="49"/>
      <c r="WU18" s="49"/>
      <c r="WV18" s="49"/>
      <c r="WW18" s="49"/>
      <c r="WX18" s="67">
        <f t="shared" si="276"/>
        <v>394</v>
      </c>
      <c r="WY18" s="68">
        <f t="shared" si="277"/>
        <v>65.666666666666671</v>
      </c>
      <c r="WZ18" s="48"/>
      <c r="XA18" s="49"/>
      <c r="XB18" s="49">
        <v>802</v>
      </c>
      <c r="XC18" s="49"/>
      <c r="XD18" s="49"/>
      <c r="XE18" s="49"/>
      <c r="XF18" s="49"/>
      <c r="XG18" s="67">
        <f t="shared" si="278"/>
        <v>802</v>
      </c>
      <c r="XH18" s="68">
        <f t="shared" si="279"/>
        <v>133.66666666666666</v>
      </c>
      <c r="XI18" s="106"/>
      <c r="XJ18" s="107"/>
      <c r="XK18" s="107"/>
      <c r="XL18" s="107"/>
      <c r="XM18" s="107">
        <v>420</v>
      </c>
      <c r="XN18" s="107"/>
      <c r="XO18" s="107"/>
      <c r="XP18" s="104">
        <f t="shared" si="280"/>
        <v>420</v>
      </c>
      <c r="XQ18" s="105">
        <f t="shared" si="281"/>
        <v>70</v>
      </c>
      <c r="XR18" s="48"/>
      <c r="XS18" s="49"/>
      <c r="XT18" s="49"/>
      <c r="XU18" s="49"/>
      <c r="XV18" s="49"/>
      <c r="XW18" s="49">
        <v>200</v>
      </c>
      <c r="XX18" s="49"/>
      <c r="XY18" s="67">
        <f t="shared" si="282"/>
        <v>200</v>
      </c>
      <c r="XZ18" s="68">
        <f t="shared" si="283"/>
        <v>33.333333333333336</v>
      </c>
      <c r="YA18" s="48"/>
      <c r="YB18" s="49"/>
      <c r="YC18" s="49"/>
      <c r="YD18" s="49">
        <v>615</v>
      </c>
      <c r="YE18" s="49"/>
      <c r="YF18" s="49"/>
      <c r="YG18" s="49"/>
      <c r="YH18" s="67">
        <f t="shared" si="284"/>
        <v>615</v>
      </c>
      <c r="YI18" s="68">
        <f t="shared" si="285"/>
        <v>102.5</v>
      </c>
      <c r="YJ18" s="48"/>
      <c r="YK18" s="49"/>
      <c r="YL18" s="49"/>
      <c r="YM18" s="49"/>
      <c r="YN18" s="49"/>
      <c r="YO18" s="49"/>
      <c r="YP18" s="49">
        <v>400</v>
      </c>
      <c r="YQ18" s="67">
        <f t="shared" si="286"/>
        <v>400</v>
      </c>
      <c r="YR18" s="68">
        <f t="shared" si="287"/>
        <v>66.666666666666671</v>
      </c>
      <c r="YS18" s="48"/>
      <c r="YT18" s="49"/>
      <c r="YU18" s="49"/>
      <c r="YV18" s="49"/>
      <c r="YW18" s="49">
        <v>788</v>
      </c>
      <c r="YX18" s="49"/>
      <c r="YY18" s="67">
        <f t="shared" si="288"/>
        <v>788</v>
      </c>
      <c r="YZ18" s="68">
        <f t="shared" si="289"/>
        <v>131.33333333333334</v>
      </c>
      <c r="ZA18" s="48"/>
      <c r="ZB18" s="49"/>
      <c r="ZC18" s="49"/>
      <c r="ZD18" s="49"/>
      <c r="ZE18" s="49"/>
      <c r="ZF18" s="49">
        <v>800</v>
      </c>
      <c r="ZG18" s="67">
        <f t="shared" si="290"/>
        <v>800</v>
      </c>
      <c r="ZH18" s="68">
        <f t="shared" si="291"/>
        <v>133.33333333333334</v>
      </c>
      <c r="ZI18" s="48"/>
      <c r="ZJ18" s="49"/>
      <c r="ZK18" s="49"/>
      <c r="ZL18" s="49"/>
      <c r="ZM18" s="49"/>
      <c r="ZN18" s="24"/>
      <c r="ZO18" s="67">
        <f t="shared" si="292"/>
        <v>0</v>
      </c>
      <c r="ZP18" s="68">
        <f t="shared" si="293"/>
        <v>0</v>
      </c>
      <c r="ZQ18" s="48"/>
      <c r="ZR18" s="49"/>
      <c r="ZS18" s="49">
        <v>400</v>
      </c>
      <c r="ZT18" s="49"/>
      <c r="ZU18" s="49"/>
      <c r="ZV18" s="49"/>
      <c r="ZW18" s="49"/>
      <c r="ZX18" s="67">
        <f t="shared" si="294"/>
        <v>400</v>
      </c>
      <c r="ZY18" s="68">
        <f t="shared" si="295"/>
        <v>66.666666666666671</v>
      </c>
      <c r="ZZ18" s="48"/>
      <c r="AAA18" s="49"/>
      <c r="AAB18" s="49">
        <v>400</v>
      </c>
      <c r="AAC18" s="49"/>
      <c r="AAD18" s="49"/>
      <c r="AAE18" s="49"/>
      <c r="AAF18" s="49"/>
      <c r="AAG18" s="67">
        <f t="shared" si="296"/>
        <v>400</v>
      </c>
      <c r="AAH18" s="68">
        <f t="shared" si="297"/>
        <v>66.666666666666671</v>
      </c>
      <c r="AAI18" s="48"/>
      <c r="AAJ18" s="49"/>
      <c r="AAK18" s="49">
        <v>100</v>
      </c>
      <c r="AAL18" s="49"/>
      <c r="AAM18" s="49"/>
      <c r="AAN18" s="49"/>
      <c r="AAO18" s="67">
        <f t="shared" si="298"/>
        <v>100</v>
      </c>
      <c r="AAP18" s="68">
        <f t="shared" si="299"/>
        <v>16.666666666666668</v>
      </c>
      <c r="AAQ18" s="48"/>
      <c r="AAR18" s="49"/>
      <c r="AAS18" s="49"/>
      <c r="AAT18" s="49"/>
      <c r="AAU18" s="49"/>
      <c r="AAV18" s="49">
        <v>800</v>
      </c>
      <c r="AAW18" s="67">
        <f t="shared" si="300"/>
        <v>800</v>
      </c>
      <c r="AAX18" s="68">
        <f t="shared" si="301"/>
        <v>133.33333333333334</v>
      </c>
      <c r="AAY18" s="48"/>
      <c r="AAZ18" s="49"/>
      <c r="ABA18" s="49"/>
      <c r="ABB18" s="49">
        <v>197</v>
      </c>
      <c r="ABC18" s="49"/>
      <c r="ABD18" s="49"/>
      <c r="ABE18" s="67">
        <f t="shared" si="302"/>
        <v>197</v>
      </c>
      <c r="ABF18" s="68">
        <f t="shared" si="303"/>
        <v>32.833333333333336</v>
      </c>
      <c r="ABG18" s="48"/>
      <c r="ABH18" s="49"/>
      <c r="ABI18" s="49"/>
      <c r="ABJ18" s="49"/>
      <c r="ABK18" s="49"/>
      <c r="ABL18" s="49">
        <v>508</v>
      </c>
      <c r="ABM18" s="67">
        <f t="shared" si="304"/>
        <v>508</v>
      </c>
      <c r="ABN18" s="68">
        <f t="shared" si="305"/>
        <v>84.666666666666671</v>
      </c>
      <c r="ABO18" s="48">
        <v>100</v>
      </c>
      <c r="ABP18" s="49"/>
      <c r="ABQ18" s="49"/>
      <c r="ABR18" s="49"/>
      <c r="ABS18" s="49"/>
      <c r="ABT18" s="49">
        <v>803</v>
      </c>
      <c r="ABU18" s="67">
        <f t="shared" si="306"/>
        <v>903</v>
      </c>
      <c r="ABV18" s="68">
        <f t="shared" si="307"/>
        <v>150.5</v>
      </c>
      <c r="ABW18" s="48"/>
      <c r="ABX18" s="49">
        <v>102</v>
      </c>
      <c r="ABY18" s="49"/>
      <c r="ABZ18" s="49"/>
      <c r="ACA18" s="49"/>
      <c r="ACB18" s="49"/>
      <c r="ACC18" s="67">
        <f t="shared" si="308"/>
        <v>102</v>
      </c>
      <c r="ACD18" s="68">
        <f t="shared" si="309"/>
        <v>17</v>
      </c>
      <c r="ACE18" s="48"/>
      <c r="ACF18" s="49"/>
      <c r="ACG18" s="49"/>
      <c r="ACH18" s="49">
        <v>509</v>
      </c>
      <c r="ACI18" s="49"/>
      <c r="ACJ18" s="49">
        <v>554</v>
      </c>
      <c r="ACK18" s="67">
        <f t="shared" si="310"/>
        <v>1063</v>
      </c>
      <c r="ACL18" s="68">
        <f t="shared" si="311"/>
        <v>177.16666666666666</v>
      </c>
      <c r="ACM18" s="48"/>
      <c r="ACN18" s="49"/>
      <c r="ACO18" s="49"/>
      <c r="ACP18" s="49"/>
      <c r="ACQ18" s="49"/>
      <c r="ACR18" s="49"/>
      <c r="ACS18" s="67">
        <f t="shared" si="312"/>
        <v>0</v>
      </c>
      <c r="ACT18" s="68">
        <f t="shared" si="313"/>
        <v>0</v>
      </c>
      <c r="ACU18" s="48"/>
      <c r="ACV18" s="49">
        <v>220</v>
      </c>
      <c r="ACW18" s="49"/>
      <c r="ACX18" s="49"/>
      <c r="ACY18" s="49"/>
      <c r="ACZ18" s="49"/>
      <c r="ADA18" s="67">
        <f t="shared" si="314"/>
        <v>220</v>
      </c>
      <c r="ADB18" s="68">
        <f t="shared" si="315"/>
        <v>36.666666666666664</v>
      </c>
      <c r="ADC18" s="48"/>
      <c r="ADD18" s="49">
        <v>521</v>
      </c>
      <c r="ADE18" s="49"/>
      <c r="ADF18" s="49"/>
      <c r="ADG18" s="49"/>
      <c r="ADH18" s="49"/>
      <c r="ADI18" s="67">
        <f t="shared" si="316"/>
        <v>521</v>
      </c>
      <c r="ADJ18" s="68">
        <f t="shared" si="317"/>
        <v>86.833333333333329</v>
      </c>
      <c r="ADK18" s="48"/>
      <c r="ADL18" s="49">
        <v>506</v>
      </c>
      <c r="ADM18" s="49"/>
      <c r="ADN18" s="49"/>
      <c r="ADO18" s="49"/>
      <c r="ADP18" s="49"/>
      <c r="ADQ18" s="67">
        <f t="shared" si="318"/>
        <v>506</v>
      </c>
      <c r="ADR18" s="68">
        <f t="shared" si="319"/>
        <v>84.333333333333329</v>
      </c>
      <c r="ADS18" s="48"/>
      <c r="ADT18" s="49"/>
      <c r="ADU18" s="49"/>
      <c r="ADV18" s="49">
        <v>660</v>
      </c>
      <c r="ADW18" s="49"/>
      <c r="ADX18" s="49"/>
      <c r="ADY18" s="67">
        <f t="shared" si="320"/>
        <v>660</v>
      </c>
      <c r="ADZ18" s="68">
        <f t="shared" si="321"/>
        <v>110</v>
      </c>
      <c r="AEA18" s="48"/>
      <c r="AEB18" s="49"/>
      <c r="AEC18" s="49"/>
      <c r="AED18" s="49">
        <v>689</v>
      </c>
      <c r="AEE18" s="49"/>
      <c r="AEF18" s="49"/>
      <c r="AEG18" s="67">
        <f t="shared" si="322"/>
        <v>689</v>
      </c>
      <c r="AEH18" s="68">
        <f t="shared" si="323"/>
        <v>114.83333333333333</v>
      </c>
      <c r="AEI18" s="48"/>
      <c r="AEJ18" s="49">
        <v>220</v>
      </c>
      <c r="AEK18" s="49"/>
      <c r="AEL18" s="49"/>
      <c r="AEM18" s="49"/>
      <c r="AEN18" s="49"/>
      <c r="AEO18" s="67">
        <f t="shared" si="324"/>
        <v>220</v>
      </c>
      <c r="AEP18" s="68">
        <f t="shared" si="325"/>
        <v>36.666666666666664</v>
      </c>
      <c r="AEQ18" s="48"/>
      <c r="AER18" s="49"/>
      <c r="AES18" s="49">
        <v>440</v>
      </c>
      <c r="AET18" s="49"/>
      <c r="AEU18" s="49">
        <v>330</v>
      </c>
      <c r="AEV18" s="49">
        <v>76</v>
      </c>
      <c r="AEW18" s="67">
        <f t="shared" si="326"/>
        <v>846</v>
      </c>
      <c r="AEX18" s="68">
        <f t="shared" si="327"/>
        <v>141</v>
      </c>
      <c r="AEY18" s="48"/>
      <c r="AEZ18" s="49"/>
      <c r="AFA18" s="49"/>
      <c r="AFB18" s="49"/>
      <c r="AFC18" s="49"/>
      <c r="AFD18" s="49"/>
      <c r="AFE18" s="67">
        <f t="shared" si="328"/>
        <v>0</v>
      </c>
      <c r="AFF18" s="68">
        <f t="shared" si="329"/>
        <v>0</v>
      </c>
      <c r="AFG18" s="48"/>
      <c r="AFH18" s="49"/>
      <c r="AFI18" s="49"/>
      <c r="AFJ18" s="49">
        <v>364</v>
      </c>
      <c r="AFK18" s="49"/>
      <c r="AFL18" s="49"/>
      <c r="AFM18" s="67">
        <f t="shared" si="330"/>
        <v>364</v>
      </c>
      <c r="AFN18" s="68">
        <f t="shared" si="331"/>
        <v>60.666666666666664</v>
      </c>
      <c r="AFO18" s="48"/>
      <c r="AFP18" s="49"/>
      <c r="AFQ18" s="49">
        <v>880</v>
      </c>
      <c r="AFR18" s="49"/>
      <c r="AFS18" s="49"/>
      <c r="AFT18" s="49"/>
      <c r="AFU18" s="67">
        <f t="shared" si="332"/>
        <v>880</v>
      </c>
      <c r="AFV18" s="68">
        <f t="shared" si="333"/>
        <v>146.66666666666666</v>
      </c>
      <c r="AFW18" s="48"/>
      <c r="AFX18" s="49"/>
      <c r="AFY18" s="49"/>
      <c r="AFZ18" s="49"/>
      <c r="AGA18" s="49"/>
      <c r="AGB18" s="49">
        <v>545</v>
      </c>
      <c r="AGC18" s="67">
        <f t="shared" si="334"/>
        <v>545</v>
      </c>
      <c r="AGD18" s="68">
        <f t="shared" si="335"/>
        <v>90.833333333333329</v>
      </c>
      <c r="AGE18" s="48"/>
      <c r="AGF18" s="49"/>
      <c r="AGG18" s="49"/>
      <c r="AGH18" s="49">
        <v>660</v>
      </c>
      <c r="AGI18" s="49"/>
      <c r="AGJ18" s="49"/>
      <c r="AGK18" s="67">
        <f t="shared" si="336"/>
        <v>660</v>
      </c>
      <c r="AGL18" s="68">
        <f t="shared" si="337"/>
        <v>110</v>
      </c>
      <c r="AGM18" s="48"/>
      <c r="AGN18" s="49"/>
      <c r="AGO18" s="49"/>
      <c r="AGP18" s="49"/>
      <c r="AGQ18" s="49"/>
      <c r="AGR18" s="49"/>
      <c r="AGS18" s="49"/>
      <c r="AGT18" s="67">
        <f t="shared" si="338"/>
        <v>0</v>
      </c>
      <c r="AGU18" s="68">
        <f t="shared" si="339"/>
        <v>0</v>
      </c>
      <c r="AGV18" s="48">
        <v>660</v>
      </c>
      <c r="AGW18" s="49"/>
      <c r="AGX18" s="49"/>
      <c r="AGY18" s="49"/>
      <c r="AGZ18" s="49"/>
      <c r="AHA18" s="49"/>
      <c r="AHB18" s="67">
        <f t="shared" si="340"/>
        <v>660</v>
      </c>
      <c r="AHC18" s="68">
        <f t="shared" si="341"/>
        <v>22.758620689655171</v>
      </c>
      <c r="AHD18" s="48"/>
      <c r="AHE18" s="49"/>
      <c r="AHF18" s="49">
        <v>550</v>
      </c>
      <c r="AHG18" s="49"/>
      <c r="AHH18" s="49"/>
      <c r="AHI18" s="49"/>
      <c r="AHJ18" s="67">
        <f t="shared" si="342"/>
        <v>550</v>
      </c>
      <c r="AHK18" s="68">
        <f t="shared" si="343"/>
        <v>18.96551724137931</v>
      </c>
      <c r="AHL18" s="48"/>
      <c r="AHM18" s="49">
        <v>550</v>
      </c>
      <c r="AHN18" s="49"/>
      <c r="AHO18" s="49"/>
      <c r="AHP18" s="49"/>
      <c r="AHQ18" s="49"/>
      <c r="AHR18" s="67">
        <f t="shared" si="344"/>
        <v>550</v>
      </c>
      <c r="AHS18" s="68">
        <f t="shared" si="345"/>
        <v>18.96551724137931</v>
      </c>
      <c r="AHT18" s="48"/>
      <c r="AHU18" s="49">
        <v>660</v>
      </c>
      <c r="AHV18" s="49"/>
      <c r="AHW18" s="49"/>
      <c r="AHX18" s="49"/>
      <c r="AHY18" s="49"/>
      <c r="AHZ18" s="67">
        <f t="shared" si="346"/>
        <v>660</v>
      </c>
      <c r="AIA18" s="68">
        <f t="shared" si="347"/>
        <v>22.758620689655171</v>
      </c>
      <c r="AIB18" s="48"/>
      <c r="AIC18" s="49"/>
      <c r="AID18" s="49">
        <v>682</v>
      </c>
      <c r="AIE18" s="49"/>
      <c r="AIF18" s="49"/>
      <c r="AIG18" s="49"/>
      <c r="AIH18" s="67">
        <f t="shared" si="348"/>
        <v>682</v>
      </c>
      <c r="AII18" s="68">
        <f t="shared" si="349"/>
        <v>23.517241379310345</v>
      </c>
      <c r="AIJ18" s="48"/>
      <c r="AIK18" s="49"/>
      <c r="AIL18" s="49"/>
      <c r="AIM18" s="49">
        <v>438</v>
      </c>
      <c r="AIN18" s="49"/>
      <c r="AIO18" s="49"/>
      <c r="AIP18" s="67">
        <f t="shared" si="350"/>
        <v>438</v>
      </c>
      <c r="AIQ18" s="68">
        <f t="shared" si="351"/>
        <v>15.103448275862069</v>
      </c>
      <c r="AIR18" s="48"/>
      <c r="AIS18" s="49"/>
      <c r="AIT18" s="49"/>
      <c r="AIU18" s="49">
        <v>330</v>
      </c>
      <c r="AIV18" s="49"/>
      <c r="AIW18" s="49"/>
      <c r="AIX18" s="67">
        <f t="shared" si="352"/>
        <v>330</v>
      </c>
      <c r="AIY18" s="68">
        <f t="shared" si="353"/>
        <v>11.379310344827585</v>
      </c>
      <c r="AIZ18" s="48"/>
      <c r="AJA18" s="49"/>
      <c r="AJB18" s="49">
        <v>440</v>
      </c>
      <c r="AJC18" s="49"/>
      <c r="AJD18" s="49"/>
      <c r="AJE18" s="49"/>
      <c r="AJF18" s="67">
        <f t="shared" si="354"/>
        <v>440</v>
      </c>
      <c r="AJG18" s="68">
        <f t="shared" si="355"/>
        <v>15.172413793103448</v>
      </c>
      <c r="AJH18" s="48"/>
      <c r="AJI18" s="49"/>
      <c r="AJJ18" s="49"/>
      <c r="AJK18" s="49">
        <v>793</v>
      </c>
      <c r="AJL18" s="49"/>
      <c r="AJM18" s="49"/>
      <c r="AJN18" s="42">
        <f t="shared" si="356"/>
        <v>793</v>
      </c>
      <c r="AJO18" s="43">
        <f t="shared" si="357"/>
        <v>27.344827586206897</v>
      </c>
      <c r="AJP18" s="48"/>
      <c r="AJQ18" s="49"/>
      <c r="AJR18" s="49"/>
      <c r="AJS18" s="49"/>
      <c r="AJT18" s="49"/>
      <c r="AJU18" s="49"/>
      <c r="AJV18" s="42">
        <f t="shared" si="358"/>
        <v>0</v>
      </c>
      <c r="AJW18" s="43">
        <f t="shared" si="359"/>
        <v>0</v>
      </c>
      <c r="AJX18" s="48"/>
      <c r="AJY18" s="49"/>
      <c r="AJZ18" s="49"/>
      <c r="AKA18" s="49"/>
      <c r="AKB18" s="49"/>
      <c r="AKC18" s="49">
        <v>880</v>
      </c>
      <c r="AKD18" s="67">
        <f t="shared" si="360"/>
        <v>880</v>
      </c>
      <c r="AKE18" s="68">
        <f t="shared" si="361"/>
        <v>30.344827586206897</v>
      </c>
      <c r="AKF18" s="48"/>
      <c r="AKG18" s="49"/>
      <c r="AKH18" s="49"/>
      <c r="AKI18" s="49">
        <v>725</v>
      </c>
      <c r="AKJ18" s="49"/>
      <c r="AKK18" s="49"/>
      <c r="AKL18" s="67">
        <f t="shared" si="362"/>
        <v>725</v>
      </c>
      <c r="AKM18" s="184">
        <f t="shared" si="363"/>
        <v>120.83333333333333</v>
      </c>
      <c r="AKN18" s="195"/>
      <c r="AKO18" s="49"/>
      <c r="AKP18" s="49"/>
      <c r="AKQ18" s="49"/>
      <c r="AKR18" s="49"/>
      <c r="AKS18" s="49">
        <v>439</v>
      </c>
      <c r="AKT18" s="67">
        <f t="shared" si="364"/>
        <v>439</v>
      </c>
      <c r="AKU18" s="184">
        <f t="shared" si="365"/>
        <v>73.166666666666671</v>
      </c>
      <c r="AKV18" s="48"/>
      <c r="AKW18" s="49"/>
      <c r="AKX18" s="49"/>
      <c r="AKY18" s="49"/>
      <c r="AKZ18" s="49"/>
      <c r="ALA18" s="49"/>
      <c r="ALB18" s="67">
        <f t="shared" si="366"/>
        <v>0</v>
      </c>
      <c r="ALC18" s="68">
        <f t="shared" si="367"/>
        <v>0</v>
      </c>
      <c r="ALD18" s="48">
        <v>445</v>
      </c>
      <c r="ALE18" s="49"/>
      <c r="ALF18" s="49"/>
      <c r="ALG18" s="49"/>
      <c r="ALH18" s="49"/>
      <c r="ALI18" s="49"/>
      <c r="ALJ18" s="67">
        <f t="shared" si="368"/>
        <v>445</v>
      </c>
      <c r="ALK18" s="68">
        <f t="shared" si="369"/>
        <v>74.166666666666671</v>
      </c>
      <c r="ALL18" s="48"/>
      <c r="ALM18" s="49"/>
      <c r="ALN18" s="49">
        <v>440</v>
      </c>
      <c r="ALO18" s="49"/>
      <c r="ALP18" s="49"/>
      <c r="ALQ18" s="49"/>
      <c r="ALR18" s="67">
        <f t="shared" si="370"/>
        <v>440</v>
      </c>
      <c r="ALS18" s="68">
        <f t="shared" si="371"/>
        <v>73.333333333333329</v>
      </c>
      <c r="ALT18" s="48"/>
      <c r="ALU18" s="49"/>
      <c r="ALV18" s="49"/>
      <c r="ALW18" s="49">
        <v>440</v>
      </c>
      <c r="ALX18" s="49"/>
      <c r="ALY18" s="49"/>
      <c r="ALZ18" s="67">
        <f t="shared" si="372"/>
        <v>440</v>
      </c>
      <c r="AMA18" s="68">
        <f t="shared" si="373"/>
        <v>73.333333333333329</v>
      </c>
      <c r="AMB18" s="48"/>
      <c r="AMC18" s="49"/>
      <c r="AMD18" s="49"/>
      <c r="AME18" s="49"/>
      <c r="AMF18" s="49">
        <v>440</v>
      </c>
      <c r="AMG18" s="49"/>
      <c r="AMH18" s="67">
        <f t="shared" si="374"/>
        <v>440</v>
      </c>
      <c r="AMI18" s="68">
        <f t="shared" si="375"/>
        <v>73.333333333333329</v>
      </c>
      <c r="AMJ18" s="48"/>
      <c r="AMK18" s="49">
        <v>440</v>
      </c>
      <c r="AML18" s="49"/>
      <c r="AMM18" s="49"/>
      <c r="AMN18" s="49"/>
      <c r="AMO18" s="49"/>
      <c r="AMP18" s="67">
        <f t="shared" si="376"/>
        <v>440</v>
      </c>
      <c r="AMQ18" s="68">
        <f t="shared" si="377"/>
        <v>73.333333333333329</v>
      </c>
      <c r="AMR18" s="48"/>
      <c r="AMS18" s="49"/>
      <c r="AMT18" s="49"/>
      <c r="AMU18" s="49"/>
      <c r="AMV18" s="49">
        <v>594</v>
      </c>
      <c r="AMW18" s="49"/>
      <c r="AMX18" s="67">
        <f t="shared" si="378"/>
        <v>594</v>
      </c>
      <c r="AMY18" s="68">
        <f t="shared" si="379"/>
        <v>99</v>
      </c>
      <c r="AMZ18" s="48"/>
      <c r="ANA18" s="49"/>
      <c r="ANB18" s="49"/>
      <c r="ANC18" s="49">
        <v>636</v>
      </c>
      <c r="AND18" s="49"/>
      <c r="ANE18" s="49"/>
      <c r="ANF18" s="67">
        <f t="shared" si="380"/>
        <v>636</v>
      </c>
      <c r="ANG18" s="68">
        <f t="shared" si="381"/>
        <v>106</v>
      </c>
      <c r="ANH18" s="48"/>
      <c r="ANI18" s="49"/>
      <c r="ANJ18" s="49"/>
      <c r="ANK18" s="49"/>
      <c r="ANL18" s="49"/>
      <c r="ANM18" s="49"/>
      <c r="ANN18" s="67">
        <f t="shared" si="382"/>
        <v>0</v>
      </c>
      <c r="ANO18" s="68">
        <f t="shared" si="383"/>
        <v>0</v>
      </c>
      <c r="ANP18" s="48"/>
      <c r="ANQ18" s="49">
        <v>437</v>
      </c>
      <c r="ANR18" s="49"/>
      <c r="ANS18" s="49"/>
      <c r="ANT18" s="49"/>
      <c r="ANU18" s="49"/>
      <c r="ANV18" s="67">
        <f t="shared" si="384"/>
        <v>437</v>
      </c>
      <c r="ANW18" s="68">
        <f t="shared" si="385"/>
        <v>72.833333333333329</v>
      </c>
      <c r="ANX18" s="82"/>
      <c r="ANY18" s="83"/>
      <c r="ANZ18" s="83"/>
      <c r="AOA18" s="83">
        <v>897</v>
      </c>
      <c r="AOB18" s="83"/>
      <c r="AOC18" s="83"/>
      <c r="AOD18" s="67">
        <f t="shared" si="386"/>
        <v>897</v>
      </c>
      <c r="AOE18" s="68">
        <f t="shared" si="387"/>
        <v>149.5</v>
      </c>
      <c r="AOF18" s="48"/>
      <c r="AOG18" s="49"/>
      <c r="AOH18" s="49"/>
      <c r="AOI18" s="49"/>
      <c r="AOJ18" s="49"/>
      <c r="AOK18" s="49"/>
      <c r="AOL18" s="67">
        <f t="shared" si="388"/>
        <v>0</v>
      </c>
      <c r="AOM18" s="68">
        <f t="shared" si="389"/>
        <v>0</v>
      </c>
      <c r="AON18" s="48">
        <v>440</v>
      </c>
      <c r="AOO18" s="49"/>
      <c r="AOP18" s="49"/>
      <c r="AOQ18" s="49"/>
      <c r="AOR18" s="49"/>
      <c r="AOS18" s="49"/>
      <c r="AOT18" s="67">
        <f t="shared" si="390"/>
        <v>440</v>
      </c>
      <c r="AOU18" s="68">
        <f t="shared" si="391"/>
        <v>73.333333333333329</v>
      </c>
      <c r="AOV18" s="48">
        <v>2</v>
      </c>
      <c r="AOW18" s="49"/>
      <c r="AOX18" s="49"/>
      <c r="AOY18" s="49">
        <v>770</v>
      </c>
      <c r="AOZ18" s="49"/>
      <c r="APA18" s="49"/>
      <c r="APB18" s="67">
        <f t="shared" si="392"/>
        <v>772</v>
      </c>
      <c r="APC18" s="68">
        <f t="shared" si="393"/>
        <v>128.66666666666666</v>
      </c>
      <c r="APD18" s="48"/>
      <c r="APE18" s="49"/>
      <c r="APF18" s="49"/>
      <c r="APG18" s="49"/>
      <c r="APH18" s="49">
        <v>551</v>
      </c>
      <c r="API18" s="49"/>
      <c r="APJ18" s="67">
        <f t="shared" si="394"/>
        <v>551</v>
      </c>
      <c r="APK18" s="68">
        <f t="shared" si="395"/>
        <v>91.833333333333329</v>
      </c>
      <c r="APL18" s="48"/>
      <c r="APM18" s="49"/>
      <c r="APN18" s="49"/>
      <c r="APO18" s="49"/>
      <c r="APP18" s="49"/>
      <c r="APQ18" s="49"/>
      <c r="APR18" s="67">
        <f t="shared" si="396"/>
        <v>0</v>
      </c>
      <c r="APS18" s="68">
        <f t="shared" si="397"/>
        <v>0</v>
      </c>
      <c r="APT18" s="48"/>
      <c r="APU18" s="49"/>
      <c r="APV18" s="49"/>
      <c r="APW18" s="49">
        <v>660</v>
      </c>
      <c r="APX18" s="49"/>
      <c r="APY18" s="49"/>
      <c r="APZ18" s="67">
        <f t="shared" si="398"/>
        <v>660</v>
      </c>
      <c r="AQA18" s="68">
        <f t="shared" si="399"/>
        <v>110</v>
      </c>
      <c r="AQB18" s="48"/>
      <c r="AQC18" s="49"/>
      <c r="AQD18" s="49"/>
      <c r="AQE18" s="49"/>
      <c r="AQF18" s="49"/>
      <c r="AQG18" s="49">
        <v>660</v>
      </c>
      <c r="AQH18" s="67">
        <f t="shared" si="400"/>
        <v>660</v>
      </c>
      <c r="AQI18" s="68">
        <f t="shared" si="401"/>
        <v>110</v>
      </c>
      <c r="AQJ18" s="48"/>
      <c r="AQK18" s="49"/>
      <c r="AQL18" s="49"/>
      <c r="AQM18" s="49"/>
      <c r="AQN18" s="49"/>
      <c r="AQO18" s="49"/>
      <c r="AQP18" s="67">
        <f t="shared" si="402"/>
        <v>0</v>
      </c>
      <c r="AQQ18" s="68">
        <f t="shared" si="403"/>
        <v>0</v>
      </c>
      <c r="AQR18" s="48"/>
      <c r="AQS18" s="49"/>
      <c r="AQT18" s="49">
        <v>440</v>
      </c>
      <c r="AQU18" s="49"/>
      <c r="AQV18" s="49"/>
      <c r="AQW18" s="49"/>
      <c r="AQX18" s="67">
        <f t="shared" si="404"/>
        <v>440</v>
      </c>
      <c r="AQY18" s="68">
        <f t="shared" si="405"/>
        <v>73.333333333333329</v>
      </c>
      <c r="AQZ18" s="48"/>
      <c r="ARA18" s="49"/>
      <c r="ARB18" s="49">
        <v>440</v>
      </c>
      <c r="ARC18" s="49"/>
      <c r="ARD18" s="49"/>
      <c r="ARE18" s="49"/>
      <c r="ARF18" s="67">
        <f t="shared" si="406"/>
        <v>440</v>
      </c>
      <c r="ARG18" s="68">
        <f t="shared" si="407"/>
        <v>73.333333333333329</v>
      </c>
      <c r="ARH18" s="48"/>
      <c r="ARI18" s="49"/>
      <c r="ARJ18" s="49"/>
      <c r="ARK18" s="49"/>
      <c r="ARL18" s="49">
        <v>439</v>
      </c>
      <c r="ARM18" s="49"/>
      <c r="ARN18" s="67">
        <f t="shared" si="408"/>
        <v>439</v>
      </c>
      <c r="ARO18" s="68">
        <f t="shared" si="409"/>
        <v>73.166666666666671</v>
      </c>
      <c r="ARP18" s="48"/>
      <c r="ARQ18" s="49"/>
      <c r="ARR18" s="49"/>
      <c r="ARS18" s="49"/>
      <c r="ART18" s="49">
        <v>198</v>
      </c>
      <c r="ARU18" s="49"/>
      <c r="ARV18" s="67">
        <f t="shared" si="410"/>
        <v>198</v>
      </c>
      <c r="ARW18" s="68">
        <f t="shared" si="411"/>
        <v>33</v>
      </c>
      <c r="ARX18" s="48"/>
      <c r="ARY18" s="49"/>
      <c r="ARZ18" s="49">
        <v>397</v>
      </c>
      <c r="ASA18" s="49"/>
      <c r="ASB18" s="49"/>
      <c r="ASC18" s="49"/>
      <c r="ASD18" s="67">
        <f t="shared" si="412"/>
        <v>397</v>
      </c>
      <c r="ASE18" s="68">
        <f t="shared" si="413"/>
        <v>66.166666666666671</v>
      </c>
      <c r="ASF18" s="48"/>
      <c r="ASG18" s="49"/>
      <c r="ASH18" s="49">
        <v>439</v>
      </c>
      <c r="ASI18" s="49"/>
      <c r="ASJ18" s="49"/>
      <c r="ASK18" s="49"/>
      <c r="ASL18" s="67">
        <f t="shared" si="414"/>
        <v>439</v>
      </c>
      <c r="ASM18" s="68">
        <f t="shared" si="415"/>
        <v>73.166666666666671</v>
      </c>
      <c r="ASN18" s="48"/>
      <c r="ASO18" s="49"/>
      <c r="ASP18" s="49">
        <v>220</v>
      </c>
      <c r="ASQ18" s="49"/>
      <c r="ASR18" s="49"/>
      <c r="ASS18" s="49"/>
      <c r="AST18" s="67">
        <f t="shared" si="416"/>
        <v>220</v>
      </c>
      <c r="ASU18" s="68">
        <f t="shared" si="417"/>
        <v>36.666666666666664</v>
      </c>
      <c r="ASV18" s="48"/>
      <c r="ASW18" s="49">
        <v>665</v>
      </c>
      <c r="ASX18" s="49"/>
      <c r="ASY18" s="49"/>
      <c r="ASZ18" s="49"/>
      <c r="ATA18" s="49"/>
      <c r="ATB18" s="67">
        <f t="shared" si="418"/>
        <v>665</v>
      </c>
      <c r="ATC18" s="68">
        <f t="shared" si="419"/>
        <v>110.83333333333333</v>
      </c>
      <c r="ATD18" s="48"/>
      <c r="ATE18" s="49"/>
      <c r="ATF18" s="49"/>
      <c r="ATG18" s="49"/>
      <c r="ATH18" s="49"/>
      <c r="ATI18" s="49"/>
      <c r="ATJ18" s="67">
        <f t="shared" si="420"/>
        <v>0</v>
      </c>
      <c r="ATK18" s="68">
        <f t="shared" si="421"/>
        <v>0</v>
      </c>
      <c r="ATL18" s="48"/>
      <c r="ATM18" s="49">
        <v>449</v>
      </c>
      <c r="ATN18" s="49"/>
      <c r="ATO18" s="49"/>
      <c r="ATP18" s="49"/>
      <c r="ATQ18" s="49"/>
      <c r="ATR18" s="67">
        <f t="shared" si="422"/>
        <v>449</v>
      </c>
      <c r="ATS18" s="68">
        <f t="shared" si="423"/>
        <v>74.833333333333329</v>
      </c>
      <c r="ATT18" s="48"/>
      <c r="ATU18" s="49"/>
      <c r="ATV18" s="49"/>
      <c r="ATW18" s="49"/>
      <c r="ATX18" s="49"/>
      <c r="ATY18" s="49"/>
      <c r="ATZ18" s="67">
        <f t="shared" si="424"/>
        <v>0</v>
      </c>
      <c r="AUA18" s="68">
        <f t="shared" si="425"/>
        <v>0</v>
      </c>
      <c r="AUB18" s="48">
        <v>660</v>
      </c>
      <c r="AUC18" s="49"/>
      <c r="AUD18" s="49"/>
      <c r="AUE18" s="49"/>
      <c r="AUF18" s="49"/>
      <c r="AUG18" s="49"/>
      <c r="AUH18" s="67">
        <f t="shared" si="426"/>
        <v>660</v>
      </c>
      <c r="AUI18" s="68">
        <f t="shared" si="427"/>
        <v>110</v>
      </c>
      <c r="AUJ18" s="48"/>
      <c r="AUK18" s="49"/>
      <c r="AUL18" s="49"/>
      <c r="AUM18" s="49"/>
      <c r="AUN18" s="49"/>
      <c r="AUO18" s="49"/>
      <c r="AUP18" s="67">
        <f t="shared" si="428"/>
        <v>0</v>
      </c>
      <c r="AUQ18" s="68">
        <f t="shared" si="429"/>
        <v>0</v>
      </c>
      <c r="AUR18" s="48"/>
      <c r="AUS18" s="49">
        <v>220</v>
      </c>
      <c r="AUT18" s="49"/>
      <c r="AUU18" s="49"/>
      <c r="AUV18" s="49"/>
      <c r="AUW18" s="49"/>
      <c r="AUX18" s="67">
        <f t="shared" si="430"/>
        <v>220</v>
      </c>
      <c r="AUY18" s="68">
        <f t="shared" si="431"/>
        <v>36.666666666666664</v>
      </c>
      <c r="AUZ18" s="48"/>
      <c r="AVA18" s="49"/>
      <c r="AVB18" s="49"/>
      <c r="AVC18" s="49"/>
      <c r="AVD18" s="49">
        <v>478</v>
      </c>
      <c r="AVE18" s="49"/>
      <c r="AVF18" s="67">
        <f t="shared" si="432"/>
        <v>478</v>
      </c>
      <c r="AVG18" s="68">
        <f t="shared" si="433"/>
        <v>79.666666666666671</v>
      </c>
      <c r="AVH18" s="48"/>
      <c r="AVI18" s="49"/>
      <c r="AVJ18" s="49"/>
      <c r="AVK18" s="49"/>
      <c r="AVL18" s="49"/>
      <c r="AVM18" s="49"/>
      <c r="AVN18" s="67">
        <f t="shared" si="434"/>
        <v>0</v>
      </c>
      <c r="AVO18" s="68">
        <f t="shared" si="435"/>
        <v>0</v>
      </c>
      <c r="AVP18" s="48"/>
      <c r="AVQ18" s="49"/>
      <c r="AVR18" s="49"/>
      <c r="AVS18" s="49"/>
      <c r="AVT18" s="49"/>
      <c r="AVU18" s="49"/>
      <c r="AVV18" s="67">
        <f t="shared" si="436"/>
        <v>0</v>
      </c>
      <c r="AVW18" s="68">
        <f t="shared" si="437"/>
        <v>0</v>
      </c>
      <c r="AVX18" s="48">
        <v>418</v>
      </c>
      <c r="AVY18" s="49"/>
      <c r="AVZ18" s="49"/>
      <c r="AWA18" s="49"/>
      <c r="AWB18" s="49"/>
      <c r="AWC18" s="49"/>
      <c r="AWD18" s="67">
        <f t="shared" si="438"/>
        <v>418</v>
      </c>
      <c r="AWE18" s="68">
        <f t="shared" si="439"/>
        <v>69.666666666666671</v>
      </c>
      <c r="AWF18" s="48"/>
      <c r="AWG18" s="49"/>
      <c r="AWH18" s="49">
        <v>550</v>
      </c>
      <c r="AWI18" s="49"/>
      <c r="AWJ18" s="49"/>
      <c r="AWK18" s="49"/>
      <c r="AWL18" s="67">
        <f t="shared" si="440"/>
        <v>550</v>
      </c>
      <c r="AWM18" s="68">
        <f t="shared" si="441"/>
        <v>91.666666666666671</v>
      </c>
      <c r="AWN18" s="48">
        <v>440</v>
      </c>
      <c r="AWO18" s="49"/>
      <c r="AWP18" s="49"/>
      <c r="AWQ18" s="49"/>
      <c r="AWR18" s="49"/>
      <c r="AWS18" s="49"/>
      <c r="AWT18" s="42">
        <f t="shared" si="442"/>
        <v>440</v>
      </c>
      <c r="AWU18" s="43">
        <f t="shared" si="443"/>
        <v>73.333333333333329</v>
      </c>
      <c r="AWV18" s="48"/>
      <c r="AWW18" s="49"/>
      <c r="AWX18" s="49"/>
      <c r="AWY18" s="49"/>
      <c r="AWZ18" s="49"/>
      <c r="AXA18" s="49"/>
      <c r="AXB18" s="42">
        <f t="shared" si="444"/>
        <v>0</v>
      </c>
      <c r="AXC18" s="43">
        <f t="shared" si="445"/>
        <v>0</v>
      </c>
      <c r="AXD18" s="48"/>
      <c r="AXE18" s="49"/>
      <c r="AXF18" s="49"/>
      <c r="AXG18" s="49">
        <v>420</v>
      </c>
      <c r="AXH18" s="49"/>
      <c r="AXI18" s="49"/>
      <c r="AXJ18" s="42">
        <f t="shared" si="446"/>
        <v>420</v>
      </c>
      <c r="AXK18" s="43">
        <f t="shared" si="447"/>
        <v>70</v>
      </c>
      <c r="AXL18" s="48"/>
      <c r="AXM18" s="49"/>
      <c r="AXN18" s="49">
        <v>440</v>
      </c>
      <c r="AXO18" s="49">
        <v>439</v>
      </c>
      <c r="AXP18" s="49"/>
      <c r="AXQ18" s="49"/>
      <c r="AXR18" s="42">
        <f t="shared" si="448"/>
        <v>879</v>
      </c>
      <c r="AXS18" s="43">
        <f t="shared" si="449"/>
        <v>146.5</v>
      </c>
      <c r="AXT18" s="48"/>
      <c r="AXU18" s="49"/>
      <c r="AXV18" s="49"/>
      <c r="AXW18" s="49"/>
      <c r="AXX18" s="49"/>
      <c r="AXY18" s="49"/>
      <c r="AXZ18" s="42">
        <f t="shared" si="450"/>
        <v>0</v>
      </c>
      <c r="AYA18" s="43">
        <f t="shared" si="451"/>
        <v>0</v>
      </c>
      <c r="AYB18" s="48"/>
      <c r="AYC18" s="49"/>
      <c r="AYD18" s="49"/>
      <c r="AYE18" s="49"/>
      <c r="AYF18" s="49"/>
      <c r="AYG18" s="49"/>
      <c r="AYH18" s="42">
        <f t="shared" si="452"/>
        <v>0</v>
      </c>
      <c r="AYI18" s="43">
        <f t="shared" si="453"/>
        <v>0</v>
      </c>
      <c r="AYJ18" s="48"/>
      <c r="AYK18" s="49">
        <v>472</v>
      </c>
      <c r="AYL18" s="49">
        <v>1</v>
      </c>
      <c r="AYM18" s="49"/>
      <c r="AYN18" s="49"/>
      <c r="AYO18" s="49"/>
      <c r="AYP18" s="42">
        <f t="shared" si="454"/>
        <v>473</v>
      </c>
      <c r="AYQ18" s="43">
        <f t="shared" si="455"/>
        <v>78.833333333333329</v>
      </c>
      <c r="AYR18" s="48">
        <v>308</v>
      </c>
      <c r="AYS18" s="49"/>
      <c r="AYT18" s="49"/>
      <c r="AYU18" s="49"/>
      <c r="AYV18" s="49"/>
      <c r="AYW18" s="49"/>
      <c r="AYX18" s="42">
        <f t="shared" si="456"/>
        <v>308</v>
      </c>
      <c r="AYY18" s="43">
        <f t="shared" si="457"/>
        <v>51.333333333333336</v>
      </c>
      <c r="AYZ18" s="48">
        <v>440</v>
      </c>
      <c r="AZA18" s="49"/>
      <c r="AZB18" s="49"/>
      <c r="AZC18" s="49"/>
      <c r="AZD18" s="49"/>
      <c r="AZE18" s="49"/>
      <c r="AZF18" s="42">
        <f t="shared" si="458"/>
        <v>440</v>
      </c>
      <c r="AZG18" s="43">
        <f t="shared" si="459"/>
        <v>73.333333333333329</v>
      </c>
      <c r="AZH18" s="48"/>
      <c r="AZI18" s="49"/>
      <c r="AZJ18" s="49"/>
      <c r="AZK18" s="49"/>
      <c r="AZL18" s="49"/>
      <c r="AZM18" s="49"/>
      <c r="AZN18" s="42">
        <f t="shared" si="460"/>
        <v>0</v>
      </c>
      <c r="AZO18" s="43">
        <f t="shared" si="461"/>
        <v>0</v>
      </c>
      <c r="AZP18" s="48"/>
      <c r="AZQ18" s="49">
        <v>660</v>
      </c>
      <c r="AZR18" s="49"/>
      <c r="AZS18" s="49"/>
      <c r="AZT18" s="49">
        <v>211</v>
      </c>
      <c r="AZU18" s="49"/>
      <c r="AZV18" s="42">
        <f t="shared" si="462"/>
        <v>871</v>
      </c>
      <c r="AZW18" s="43">
        <f t="shared" si="463"/>
        <v>145.16666666666666</v>
      </c>
      <c r="AZX18" s="82"/>
      <c r="AZY18" s="83"/>
      <c r="AZZ18" s="83"/>
      <c r="BAA18" s="83"/>
      <c r="BAB18" s="83"/>
      <c r="BAC18" s="83"/>
      <c r="BAD18" s="42">
        <f t="shared" si="464"/>
        <v>0</v>
      </c>
      <c r="BAE18" s="43">
        <f t="shared" si="465"/>
        <v>0</v>
      </c>
      <c r="BAF18" s="48"/>
      <c r="BAG18" s="49"/>
      <c r="BAH18" s="49"/>
      <c r="BAI18" s="49">
        <v>220</v>
      </c>
      <c r="BAJ18" s="49"/>
      <c r="BAK18" s="49"/>
      <c r="BAL18" s="42">
        <f t="shared" si="466"/>
        <v>220</v>
      </c>
      <c r="BAM18" s="43">
        <f t="shared" si="467"/>
        <v>36.666666666666664</v>
      </c>
      <c r="BAN18" s="48"/>
      <c r="BAO18" s="49"/>
      <c r="BAP18" s="49"/>
      <c r="BAQ18" s="49">
        <v>197</v>
      </c>
      <c r="BAR18" s="49"/>
      <c r="BAS18" s="49"/>
      <c r="BAT18" s="42">
        <f t="shared" si="468"/>
        <v>197</v>
      </c>
      <c r="BAU18" s="43">
        <f t="shared" si="469"/>
        <v>32.833333333333336</v>
      </c>
      <c r="BAV18" s="48">
        <v>440</v>
      </c>
      <c r="BAW18" s="49"/>
      <c r="BAX18" s="49"/>
      <c r="BAY18" s="49"/>
      <c r="BAZ18" s="49">
        <v>191</v>
      </c>
      <c r="BBA18" s="49"/>
      <c r="BBB18" s="42">
        <f t="shared" si="470"/>
        <v>631</v>
      </c>
      <c r="BBC18" s="43">
        <f t="shared" si="471"/>
        <v>105.16666666666667</v>
      </c>
      <c r="BBD18" s="48"/>
      <c r="BBE18" s="49"/>
      <c r="BBF18" s="49"/>
      <c r="BBG18" s="49"/>
      <c r="BBH18" s="49"/>
      <c r="BBI18" s="49">
        <v>334</v>
      </c>
      <c r="BBJ18" s="42">
        <f t="shared" si="472"/>
        <v>334</v>
      </c>
      <c r="BBK18" s="43">
        <f t="shared" si="473"/>
        <v>55.666666666666664</v>
      </c>
      <c r="BBL18" s="48"/>
      <c r="BBM18" s="49"/>
      <c r="BBN18" s="49"/>
      <c r="BBO18" s="49"/>
      <c r="BBP18" s="49"/>
      <c r="BBQ18" s="49"/>
      <c r="BBR18" s="42">
        <f t="shared" si="474"/>
        <v>0</v>
      </c>
      <c r="BBS18" s="43">
        <f t="shared" si="475"/>
        <v>0</v>
      </c>
      <c r="BBT18" s="48">
        <v>403</v>
      </c>
      <c r="BBU18" s="49"/>
      <c r="BBV18" s="49"/>
      <c r="BBW18" s="49"/>
      <c r="BBX18" s="49"/>
      <c r="BBY18" s="49"/>
      <c r="BBZ18" s="42">
        <f t="shared" si="476"/>
        <v>403</v>
      </c>
      <c r="BCA18" s="43">
        <f t="shared" si="477"/>
        <v>67.166666666666671</v>
      </c>
      <c r="BCB18" s="48"/>
      <c r="BCC18" s="49"/>
      <c r="BCD18" s="49">
        <v>110</v>
      </c>
      <c r="BCE18" s="49"/>
      <c r="BCF18" s="49"/>
      <c r="BCG18" s="49"/>
      <c r="BCH18" s="42">
        <f t="shared" si="478"/>
        <v>110</v>
      </c>
      <c r="BCI18" s="43">
        <f t="shared" si="479"/>
        <v>18.333333333333332</v>
      </c>
      <c r="BCJ18" s="48">
        <v>2</v>
      </c>
      <c r="BCK18" s="49">
        <v>413</v>
      </c>
      <c r="BCL18" s="49"/>
      <c r="BCM18" s="49"/>
      <c r="BCN18" s="49"/>
      <c r="BCO18" s="49"/>
      <c r="BCP18" s="42">
        <f t="shared" si="480"/>
        <v>415</v>
      </c>
      <c r="BCQ18" s="43">
        <f t="shared" si="481"/>
        <v>69.166666666666671</v>
      </c>
      <c r="BCR18" s="48"/>
      <c r="BCS18" s="49"/>
      <c r="BCT18" s="49"/>
      <c r="BCU18" s="49">
        <v>458</v>
      </c>
      <c r="BCV18" s="49"/>
      <c r="BCW18" s="49"/>
      <c r="BCX18" s="42">
        <f t="shared" si="482"/>
        <v>458</v>
      </c>
      <c r="BCY18" s="43">
        <f t="shared" si="483"/>
        <v>76.333333333333329</v>
      </c>
      <c r="BCZ18" s="48"/>
      <c r="BDA18" s="49"/>
      <c r="BDB18" s="49">
        <v>440</v>
      </c>
      <c r="BDC18" s="49"/>
      <c r="BDD18" s="49"/>
      <c r="BDE18" s="49"/>
      <c r="BDF18" s="42">
        <f t="shared" si="484"/>
        <v>440</v>
      </c>
      <c r="BDG18" s="43">
        <f t="shared" si="485"/>
        <v>73.333333333333329</v>
      </c>
      <c r="BDH18" s="48"/>
      <c r="BDI18" s="49"/>
      <c r="BDJ18" s="49"/>
      <c r="BDK18" s="49"/>
      <c r="BDL18" s="49"/>
      <c r="BDM18" s="49"/>
      <c r="BDN18" s="42">
        <f t="shared" si="486"/>
        <v>0</v>
      </c>
      <c r="BDO18" s="43">
        <f t="shared" si="487"/>
        <v>0</v>
      </c>
      <c r="BDP18" s="48"/>
      <c r="BDQ18" s="49"/>
      <c r="BDR18" s="49"/>
      <c r="BDS18" s="49"/>
      <c r="BDT18" s="49"/>
      <c r="BDU18" s="49"/>
      <c r="BDV18" s="42">
        <f t="shared" si="488"/>
        <v>0</v>
      </c>
      <c r="BDW18" s="43">
        <f t="shared" si="489"/>
        <v>0</v>
      </c>
      <c r="BDX18" s="48">
        <v>350</v>
      </c>
      <c r="BDY18" s="49"/>
      <c r="BDZ18" s="49"/>
      <c r="BEA18" s="49">
        <v>219</v>
      </c>
      <c r="BEB18" s="49"/>
      <c r="BEC18" s="49"/>
      <c r="BED18" s="42">
        <f t="shared" si="490"/>
        <v>569</v>
      </c>
      <c r="BEE18" s="43">
        <f t="shared" si="491"/>
        <v>94.833333333333329</v>
      </c>
      <c r="BEF18" s="48"/>
      <c r="BEG18" s="49"/>
      <c r="BEH18" s="49">
        <v>392</v>
      </c>
      <c r="BEI18" s="49"/>
      <c r="BEJ18" s="49"/>
      <c r="BEK18" s="49"/>
      <c r="BEL18" s="42">
        <f t="shared" si="492"/>
        <v>392</v>
      </c>
      <c r="BEM18" s="43">
        <f t="shared" si="493"/>
        <v>65.333333333333329</v>
      </c>
      <c r="BEN18" s="48">
        <v>440</v>
      </c>
      <c r="BEO18" s="49"/>
      <c r="BEP18" s="49"/>
      <c r="BEQ18" s="49"/>
      <c r="BER18" s="49"/>
      <c r="BES18" s="49"/>
      <c r="BET18" s="42">
        <f t="shared" si="494"/>
        <v>440</v>
      </c>
      <c r="BEU18" s="43">
        <f t="shared" si="495"/>
        <v>73.333333333333329</v>
      </c>
      <c r="BEV18" s="82">
        <v>111</v>
      </c>
      <c r="BEW18" s="83"/>
      <c r="BEX18" s="83"/>
      <c r="BEY18" s="83"/>
      <c r="BEZ18" s="83"/>
      <c r="BFA18" s="83"/>
      <c r="BFB18" s="42">
        <f t="shared" si="496"/>
        <v>111</v>
      </c>
      <c r="BFC18" s="43">
        <f t="shared" si="497"/>
        <v>18.5</v>
      </c>
      <c r="BFD18" s="48"/>
      <c r="BFE18" s="49">
        <v>220</v>
      </c>
      <c r="BFF18" s="49"/>
      <c r="BFG18" s="49"/>
      <c r="BFH18" s="49"/>
      <c r="BFI18" s="49"/>
      <c r="BFJ18" s="42">
        <f t="shared" si="498"/>
        <v>220</v>
      </c>
      <c r="BFK18" s="43">
        <f t="shared" si="499"/>
        <v>36.666666666666664</v>
      </c>
      <c r="BFL18" s="48">
        <v>338</v>
      </c>
      <c r="BFM18" s="49"/>
      <c r="BFN18" s="49"/>
      <c r="BFO18" s="49"/>
      <c r="BFP18" s="49"/>
      <c r="BFQ18" s="49"/>
      <c r="BFR18" s="42">
        <f t="shared" si="500"/>
        <v>338</v>
      </c>
      <c r="BFS18" s="43">
        <f t="shared" si="501"/>
        <v>56.333333333333336</v>
      </c>
      <c r="BFT18" s="48">
        <v>421</v>
      </c>
      <c r="BFU18" s="49"/>
      <c r="BFV18" s="49"/>
      <c r="BFW18" s="49">
        <v>110</v>
      </c>
      <c r="BFX18" s="49"/>
      <c r="BFY18" s="49"/>
      <c r="BFZ18" s="42">
        <f t="shared" si="502"/>
        <v>531</v>
      </c>
      <c r="BGA18" s="43">
        <f t="shared" si="503"/>
        <v>88.5</v>
      </c>
      <c r="BGB18" s="48"/>
      <c r="BGC18" s="49"/>
      <c r="BGD18" s="49"/>
      <c r="BGE18" s="49"/>
      <c r="BGF18" s="49">
        <v>330</v>
      </c>
      <c r="BGG18" s="49"/>
      <c r="BGH18" s="42">
        <f t="shared" si="504"/>
        <v>330</v>
      </c>
      <c r="BGI18" s="43">
        <f t="shared" si="505"/>
        <v>55</v>
      </c>
      <c r="BGJ18" s="48"/>
      <c r="BGK18" s="49"/>
      <c r="BGL18" s="49">
        <v>220</v>
      </c>
      <c r="BGM18" s="49"/>
      <c r="BGN18" s="49"/>
      <c r="BGO18" s="49"/>
      <c r="BGP18" s="42">
        <f t="shared" si="506"/>
        <v>220</v>
      </c>
      <c r="BGQ18" s="43">
        <f t="shared" si="507"/>
        <v>36.666666666666664</v>
      </c>
      <c r="BGR18" s="48">
        <v>440</v>
      </c>
      <c r="BGS18" s="49"/>
      <c r="BGT18" s="49"/>
      <c r="BGU18" s="49"/>
      <c r="BGV18" s="49"/>
      <c r="BGW18" s="49"/>
      <c r="BGX18" s="42">
        <f t="shared" si="508"/>
        <v>440</v>
      </c>
      <c r="BGY18" s="43">
        <f t="shared" si="509"/>
        <v>73.333333333333329</v>
      </c>
      <c r="BGZ18" s="48">
        <v>226</v>
      </c>
      <c r="BHA18" s="49"/>
      <c r="BHB18" s="49"/>
      <c r="BHC18" s="49"/>
      <c r="BHD18" s="49"/>
      <c r="BHE18" s="49"/>
      <c r="BHF18" s="42">
        <f t="shared" si="510"/>
        <v>226</v>
      </c>
      <c r="BHG18" s="43">
        <f t="shared" si="511"/>
        <v>37.666666666666664</v>
      </c>
      <c r="BHH18" s="63">
        <v>220</v>
      </c>
      <c r="BHI18" s="64"/>
      <c r="BHJ18" s="64"/>
      <c r="BHK18" s="64"/>
      <c r="BHL18" s="64">
        <v>438</v>
      </c>
      <c r="BHM18" s="64"/>
      <c r="BHN18" s="42">
        <f t="shared" si="512"/>
        <v>658</v>
      </c>
      <c r="BHO18" s="43">
        <f t="shared" si="513"/>
        <v>109.66666666666667</v>
      </c>
      <c r="BHP18" s="48"/>
      <c r="BHQ18" s="49"/>
      <c r="BHR18" s="49"/>
      <c r="BHS18" s="49"/>
      <c r="BHT18" s="49"/>
      <c r="BHU18" s="49">
        <v>220</v>
      </c>
      <c r="BHV18" s="42">
        <f t="shared" si="514"/>
        <v>220</v>
      </c>
      <c r="BHW18" s="43">
        <f t="shared" si="515"/>
        <v>36.666666666666664</v>
      </c>
      <c r="BHX18" s="48"/>
      <c r="BHY18" s="49"/>
      <c r="BHZ18" s="49"/>
      <c r="BIA18" s="49">
        <v>220</v>
      </c>
      <c r="BIB18" s="49"/>
      <c r="BIC18" s="49"/>
      <c r="BID18" s="42">
        <f t="shared" si="516"/>
        <v>220</v>
      </c>
      <c r="BIE18" s="43">
        <f t="shared" si="517"/>
        <v>36.666666666666664</v>
      </c>
      <c r="BIF18" s="48"/>
      <c r="BIG18" s="49"/>
      <c r="BIH18" s="49">
        <v>440</v>
      </c>
      <c r="BII18" s="49"/>
      <c r="BIJ18" s="49"/>
      <c r="BIK18" s="49"/>
      <c r="BIL18" s="42">
        <f t="shared" si="518"/>
        <v>440</v>
      </c>
      <c r="BIM18" s="43">
        <f t="shared" si="519"/>
        <v>73.333333333333329</v>
      </c>
      <c r="BIN18" s="48"/>
      <c r="BIO18" s="49"/>
      <c r="BIP18" s="49">
        <v>84</v>
      </c>
      <c r="BIQ18" s="49"/>
      <c r="BIR18" s="49"/>
      <c r="BIS18" s="49"/>
      <c r="BIT18" s="42">
        <f t="shared" si="520"/>
        <v>84</v>
      </c>
      <c r="BIU18" s="43">
        <f t="shared" si="521"/>
        <v>14</v>
      </c>
      <c r="BIV18" s="48"/>
      <c r="BIW18" s="49">
        <v>220</v>
      </c>
      <c r="BIX18" s="49"/>
      <c r="BIY18" s="49"/>
      <c r="BIZ18" s="49"/>
      <c r="BJA18" s="49">
        <v>450</v>
      </c>
      <c r="BJB18" s="42">
        <f t="shared" si="522"/>
        <v>670</v>
      </c>
      <c r="BJC18" s="43">
        <f t="shared" si="523"/>
        <v>111.66666666666667</v>
      </c>
      <c r="BJD18" s="48"/>
      <c r="BJE18" s="49"/>
      <c r="BJF18" s="49"/>
      <c r="BJG18" s="49"/>
      <c r="BJH18" s="49"/>
      <c r="BJI18" s="49">
        <v>221</v>
      </c>
      <c r="BJJ18" s="42">
        <f t="shared" si="524"/>
        <v>221</v>
      </c>
      <c r="BJK18" s="43">
        <f t="shared" si="525"/>
        <v>36.833333333333336</v>
      </c>
      <c r="BJL18" s="48"/>
      <c r="BJM18" s="49"/>
      <c r="BJN18" s="49"/>
      <c r="BJO18" s="49">
        <v>380</v>
      </c>
      <c r="BJP18" s="49"/>
      <c r="BJQ18" s="49"/>
      <c r="BJR18" s="42">
        <f t="shared" si="526"/>
        <v>380</v>
      </c>
      <c r="BJS18" s="43">
        <f t="shared" si="527"/>
        <v>63.333333333333336</v>
      </c>
      <c r="BJT18" s="63"/>
      <c r="BJU18" s="64"/>
      <c r="BJV18" s="64"/>
      <c r="BJW18" s="64"/>
      <c r="BJX18" s="64"/>
      <c r="BJY18" s="64">
        <v>220</v>
      </c>
      <c r="BJZ18" s="42">
        <f t="shared" si="528"/>
        <v>220</v>
      </c>
      <c r="BKA18" s="43">
        <f t="shared" si="529"/>
        <v>44</v>
      </c>
      <c r="BKB18" s="48"/>
      <c r="BKC18" s="49"/>
      <c r="BKD18" s="49"/>
      <c r="BKE18" s="49"/>
      <c r="BKF18" s="49"/>
      <c r="BKG18" s="49"/>
      <c r="BKH18" s="67">
        <f t="shared" si="530"/>
        <v>0</v>
      </c>
      <c r="BKI18" s="68">
        <f t="shared" si="531"/>
        <v>0</v>
      </c>
      <c r="BKJ18" s="48"/>
      <c r="BKK18" s="49"/>
      <c r="BKL18" s="49"/>
      <c r="BKM18" s="49"/>
      <c r="BKN18" s="49"/>
      <c r="BKO18" s="49">
        <v>310</v>
      </c>
      <c r="BKP18" s="42">
        <f t="shared" si="532"/>
        <v>310</v>
      </c>
      <c r="BKQ18" s="43">
        <f t="shared" si="533"/>
        <v>51.666666666666664</v>
      </c>
      <c r="BKR18" s="48"/>
      <c r="BKS18" s="49"/>
      <c r="BKT18" s="49"/>
      <c r="BKU18" s="49">
        <v>231</v>
      </c>
      <c r="BKV18" s="49"/>
      <c r="BKW18" s="49"/>
      <c r="BKX18" s="42">
        <f t="shared" si="534"/>
        <v>231</v>
      </c>
      <c r="BKY18" s="43">
        <f t="shared" si="535"/>
        <v>38.5</v>
      </c>
      <c r="BKZ18" s="48"/>
      <c r="BLA18" s="49"/>
      <c r="BLB18" s="49"/>
      <c r="BLC18" s="49"/>
      <c r="BLD18" s="49"/>
      <c r="BLE18" s="49">
        <v>440</v>
      </c>
      <c r="BLF18" s="42">
        <f t="shared" si="536"/>
        <v>440</v>
      </c>
      <c r="BLG18" s="43">
        <f t="shared" si="537"/>
        <v>73.333333333333329</v>
      </c>
      <c r="BLH18" s="48"/>
      <c r="BLI18" s="49"/>
      <c r="BLJ18" s="49"/>
      <c r="BLK18" s="49"/>
      <c r="BLL18" s="49"/>
      <c r="BLM18" s="49"/>
      <c r="BLN18" s="42">
        <f t="shared" si="538"/>
        <v>0</v>
      </c>
      <c r="BLO18" s="43">
        <f t="shared" si="539"/>
        <v>0</v>
      </c>
      <c r="BLP18" s="48"/>
      <c r="BLQ18" s="49"/>
      <c r="BLR18" s="49"/>
      <c r="BLS18" s="49">
        <v>330</v>
      </c>
      <c r="BLT18" s="49"/>
      <c r="BLU18" s="49"/>
      <c r="BLV18" s="42">
        <f t="shared" si="540"/>
        <v>330</v>
      </c>
      <c r="BLW18" s="43">
        <f t="shared" si="541"/>
        <v>55</v>
      </c>
      <c r="BLX18" s="63"/>
      <c r="BLY18" s="64"/>
      <c r="BLZ18" s="64"/>
      <c r="BMA18" s="64">
        <v>336</v>
      </c>
      <c r="BMB18" s="64"/>
      <c r="BMC18" s="64"/>
      <c r="BMD18" s="42">
        <f t="shared" si="542"/>
        <v>336</v>
      </c>
      <c r="BME18" s="43">
        <f t="shared" si="543"/>
        <v>56</v>
      </c>
      <c r="BMF18" s="48"/>
      <c r="BMG18" s="49"/>
      <c r="BMH18" s="49"/>
      <c r="BMI18" s="49">
        <v>459</v>
      </c>
      <c r="BMJ18" s="49"/>
      <c r="BMK18" s="49"/>
      <c r="BML18" s="42">
        <f t="shared" si="544"/>
        <v>459</v>
      </c>
      <c r="BMM18" s="43">
        <f t="shared" si="545"/>
        <v>76.5</v>
      </c>
      <c r="BMN18" s="63"/>
      <c r="BMO18" s="64">
        <v>327</v>
      </c>
      <c r="BMP18" s="64"/>
      <c r="BMQ18" s="64"/>
      <c r="BMR18" s="64"/>
      <c r="BMS18" s="64"/>
      <c r="BMT18" s="42">
        <f t="shared" si="546"/>
        <v>327</v>
      </c>
      <c r="BMU18" s="43">
        <f t="shared" si="547"/>
        <v>54.5</v>
      </c>
      <c r="BMV18" s="48"/>
      <c r="BMW18" s="49"/>
      <c r="BMX18" s="49"/>
      <c r="BMY18" s="49"/>
      <c r="BMZ18" s="49">
        <v>328</v>
      </c>
      <c r="BNA18" s="49"/>
      <c r="BNB18" s="42">
        <f t="shared" si="548"/>
        <v>328</v>
      </c>
      <c r="BNC18" s="43">
        <f t="shared" si="549"/>
        <v>54.666666666666664</v>
      </c>
      <c r="BND18" s="48"/>
      <c r="BNE18" s="49"/>
      <c r="BNF18" s="49"/>
      <c r="BNG18" s="49">
        <v>330</v>
      </c>
      <c r="BNH18" s="49"/>
      <c r="BNI18" s="49"/>
      <c r="BNJ18" s="42">
        <f t="shared" si="550"/>
        <v>330</v>
      </c>
      <c r="BNK18" s="43">
        <f t="shared" si="551"/>
        <v>55</v>
      </c>
      <c r="BNL18" s="48"/>
      <c r="BNM18" s="49"/>
      <c r="BNN18" s="49"/>
      <c r="BNO18" s="49"/>
      <c r="BNP18" s="49"/>
      <c r="BNQ18" s="49"/>
      <c r="BNR18" s="42">
        <f t="shared" si="552"/>
        <v>0</v>
      </c>
      <c r="BNS18" s="43">
        <f t="shared" si="553"/>
        <v>0</v>
      </c>
      <c r="BNT18" s="48">
        <v>409</v>
      </c>
      <c r="BNU18" s="49"/>
      <c r="BNV18" s="49"/>
      <c r="BNW18" s="49"/>
      <c r="BNX18" s="49">
        <v>6</v>
      </c>
      <c r="BNY18" s="49">
        <v>449</v>
      </c>
      <c r="BNZ18" s="42">
        <f t="shared" si="554"/>
        <v>864</v>
      </c>
      <c r="BOA18" s="43">
        <f t="shared" si="555"/>
        <v>144</v>
      </c>
      <c r="BOB18" s="48"/>
      <c r="BOC18" s="49"/>
      <c r="BOD18" s="49"/>
      <c r="BOE18" s="49"/>
      <c r="BOF18" s="49"/>
      <c r="BOG18" s="49"/>
      <c r="BOH18" s="42">
        <f t="shared" si="556"/>
        <v>0</v>
      </c>
      <c r="BOI18" s="43">
        <f t="shared" si="557"/>
        <v>0</v>
      </c>
      <c r="BOJ18" s="48"/>
      <c r="BOK18" s="49">
        <v>110</v>
      </c>
      <c r="BOL18" s="49"/>
      <c r="BOM18" s="49"/>
      <c r="BON18" s="49"/>
      <c r="BOO18" s="49"/>
      <c r="BOP18" s="42">
        <f t="shared" si="558"/>
        <v>110</v>
      </c>
      <c r="BOQ18" s="43">
        <f t="shared" si="559"/>
        <v>18.333333333333332</v>
      </c>
      <c r="BOR18" s="48"/>
      <c r="BOS18" s="49">
        <v>439</v>
      </c>
      <c r="BOT18" s="49"/>
      <c r="BOU18" s="49"/>
      <c r="BOV18" s="49"/>
      <c r="BOW18" s="49"/>
      <c r="BOX18" s="42">
        <f t="shared" si="560"/>
        <v>439</v>
      </c>
      <c r="BOY18" s="43">
        <f t="shared" si="561"/>
        <v>73.166666666666671</v>
      </c>
      <c r="BOZ18" s="63">
        <v>2</v>
      </c>
      <c r="BPA18" s="64">
        <v>401</v>
      </c>
      <c r="BPB18" s="64"/>
      <c r="BPC18" s="64"/>
      <c r="BPD18" s="64"/>
      <c r="BPE18" s="64">
        <v>231</v>
      </c>
      <c r="BPF18" s="42">
        <f t="shared" si="562"/>
        <v>634</v>
      </c>
      <c r="BPG18" s="43">
        <f t="shared" si="563"/>
        <v>105.66666666666667</v>
      </c>
      <c r="BPH18" s="48"/>
      <c r="BPI18" s="49"/>
      <c r="BPJ18" s="49"/>
      <c r="BPK18" s="49">
        <v>444</v>
      </c>
      <c r="BPL18" s="49"/>
      <c r="BPM18" s="49"/>
      <c r="BPN18" s="42">
        <f t="shared" si="564"/>
        <v>444</v>
      </c>
      <c r="BPO18" s="43">
        <f t="shared" si="565"/>
        <v>74</v>
      </c>
      <c r="BPP18" s="48"/>
      <c r="BPQ18" s="49"/>
      <c r="BPR18" s="49"/>
      <c r="BPS18" s="49">
        <v>108</v>
      </c>
      <c r="BPT18" s="49"/>
      <c r="BPU18" s="49"/>
      <c r="BPV18" s="42">
        <f t="shared" si="566"/>
        <v>108</v>
      </c>
      <c r="BPW18" s="43">
        <f t="shared" si="567"/>
        <v>18</v>
      </c>
      <c r="BPX18" s="48"/>
      <c r="BPY18" s="49"/>
      <c r="BPZ18" s="49"/>
      <c r="BQA18" s="49">
        <v>700</v>
      </c>
      <c r="BQB18" s="49"/>
      <c r="BQC18" s="49"/>
      <c r="BQD18" s="67">
        <f t="shared" si="568"/>
        <v>700</v>
      </c>
      <c r="BQE18" s="43">
        <f t="shared" si="569"/>
        <v>116.66666666666667</v>
      </c>
      <c r="BQF18" s="63"/>
      <c r="BQG18" s="64">
        <v>432</v>
      </c>
      <c r="BQH18" s="64"/>
      <c r="BQI18" s="64"/>
      <c r="BQJ18" s="64"/>
      <c r="BQK18" s="64">
        <v>331</v>
      </c>
      <c r="BQL18" s="67">
        <f t="shared" si="570"/>
        <v>763</v>
      </c>
      <c r="BQM18" s="43">
        <f t="shared" si="571"/>
        <v>127.16666666666667</v>
      </c>
      <c r="BQN18" s="63"/>
      <c r="BQO18" s="64"/>
      <c r="BQP18" s="64">
        <v>219</v>
      </c>
      <c r="BQQ18" s="64"/>
      <c r="BQR18" s="64"/>
      <c r="BQS18" s="64"/>
      <c r="BQT18" s="67">
        <f t="shared" si="572"/>
        <v>219</v>
      </c>
      <c r="BQU18" s="43">
        <f t="shared" si="573"/>
        <v>36.5</v>
      </c>
      <c r="BQV18" s="48"/>
      <c r="BQW18" s="49"/>
      <c r="BQX18" s="49"/>
      <c r="BQY18" s="49">
        <v>210</v>
      </c>
      <c r="BQZ18" s="49"/>
      <c r="BRA18" s="49"/>
      <c r="BRB18" s="67">
        <f t="shared" si="574"/>
        <v>210</v>
      </c>
      <c r="BRC18" s="43">
        <f t="shared" si="575"/>
        <v>35</v>
      </c>
      <c r="BRD18" s="48"/>
      <c r="BRE18" s="49"/>
      <c r="BRF18" s="49">
        <v>226</v>
      </c>
      <c r="BRG18" s="49"/>
      <c r="BRH18" s="49"/>
      <c r="BRI18" s="49"/>
      <c r="BRJ18" s="67">
        <f t="shared" si="576"/>
        <v>226</v>
      </c>
      <c r="BRK18" s="43">
        <f t="shared" si="577"/>
        <v>37.666666666666664</v>
      </c>
      <c r="BRL18" s="48"/>
      <c r="BRM18" s="49">
        <v>330</v>
      </c>
      <c r="BRN18" s="49"/>
      <c r="BRO18" s="49"/>
      <c r="BRP18" s="49">
        <v>440</v>
      </c>
      <c r="BRQ18" s="49"/>
      <c r="BRR18" s="67">
        <f t="shared" si="578"/>
        <v>770</v>
      </c>
      <c r="BRS18" s="68">
        <f t="shared" si="579"/>
        <v>128.33333333333334</v>
      </c>
      <c r="BRT18" s="63">
        <v>210</v>
      </c>
      <c r="BRU18" s="64"/>
      <c r="BRV18" s="64"/>
      <c r="BRW18" s="64"/>
      <c r="BRX18" s="64"/>
      <c r="BRY18" s="64">
        <v>416</v>
      </c>
      <c r="BRZ18" s="67">
        <f t="shared" si="580"/>
        <v>626</v>
      </c>
      <c r="BSA18" s="43">
        <f t="shared" si="581"/>
        <v>104.33333333333333</v>
      </c>
      <c r="BSB18" s="63"/>
      <c r="BSC18" s="64"/>
      <c r="BSD18" s="64"/>
      <c r="BSE18" s="64"/>
      <c r="BSF18" s="64"/>
      <c r="BSG18" s="64"/>
      <c r="BSH18" s="67">
        <f t="shared" si="582"/>
        <v>0</v>
      </c>
      <c r="BSI18" s="43">
        <f t="shared" si="583"/>
        <v>0</v>
      </c>
      <c r="BSJ18" s="63">
        <v>315</v>
      </c>
      <c r="BSK18" s="64"/>
      <c r="BSL18" s="64">
        <v>222</v>
      </c>
      <c r="BSM18" s="64"/>
      <c r="BSN18" s="64"/>
      <c r="BSO18" s="64"/>
      <c r="BSP18" s="67">
        <f t="shared" si="584"/>
        <v>537</v>
      </c>
      <c r="BSQ18" s="43">
        <f t="shared" si="585"/>
        <v>89.5</v>
      </c>
      <c r="BSR18" s="63"/>
      <c r="BSS18" s="64"/>
      <c r="BST18" s="64">
        <v>624</v>
      </c>
      <c r="BSU18" s="64">
        <v>480</v>
      </c>
      <c r="BSV18" s="64"/>
      <c r="BSW18" s="64"/>
      <c r="BSX18" s="67">
        <f t="shared" si="586"/>
        <v>1104</v>
      </c>
      <c r="BSY18" s="43">
        <f t="shared" si="587"/>
        <v>184</v>
      </c>
      <c r="BSZ18" s="63">
        <v>110</v>
      </c>
      <c r="BTA18" s="64"/>
      <c r="BTB18" s="64"/>
      <c r="BTC18" s="64"/>
      <c r="BTD18" s="64"/>
      <c r="BTE18" s="64">
        <v>440</v>
      </c>
      <c r="BTF18" s="67">
        <f t="shared" si="588"/>
        <v>550</v>
      </c>
      <c r="BTG18" s="43">
        <f t="shared" si="589"/>
        <v>91.666666666666671</v>
      </c>
      <c r="BTH18" s="63"/>
      <c r="BTI18" s="64"/>
      <c r="BTJ18" s="64"/>
      <c r="BTK18" s="64"/>
      <c r="BTL18" s="64">
        <v>225</v>
      </c>
      <c r="BTM18" s="64"/>
      <c r="BTN18" s="67">
        <f t="shared" si="590"/>
        <v>225</v>
      </c>
      <c r="BTO18" s="68">
        <f t="shared" si="591"/>
        <v>37.5</v>
      </c>
      <c r="BTP18" s="48"/>
      <c r="BTQ18" s="49"/>
      <c r="BTR18" s="49">
        <v>332</v>
      </c>
      <c r="BTS18" s="49"/>
      <c r="BTT18" s="49"/>
      <c r="BTU18" s="49"/>
      <c r="BTV18" s="67">
        <f t="shared" si="592"/>
        <v>332</v>
      </c>
      <c r="BTW18" s="43">
        <f t="shared" si="593"/>
        <v>55.333333333333336</v>
      </c>
      <c r="BTX18" s="63"/>
      <c r="BTY18" s="64"/>
      <c r="BTZ18" s="64"/>
      <c r="BUA18" s="64">
        <v>321</v>
      </c>
      <c r="BUB18" s="64"/>
      <c r="BUC18" s="64"/>
      <c r="BUD18" s="67">
        <f t="shared" si="594"/>
        <v>321</v>
      </c>
      <c r="BUE18" s="68">
        <f t="shared" si="595"/>
        <v>53.5</v>
      </c>
      <c r="BUF18" s="48">
        <v>221</v>
      </c>
      <c r="BUG18" s="49"/>
      <c r="BUH18" s="49"/>
      <c r="BUI18" s="49">
        <v>441</v>
      </c>
      <c r="BUJ18" s="49"/>
      <c r="BUK18" s="49"/>
      <c r="BUL18" s="67">
        <f t="shared" si="596"/>
        <v>662</v>
      </c>
      <c r="BUM18" s="68">
        <f t="shared" si="597"/>
        <v>110.33333333333333</v>
      </c>
      <c r="BUN18" s="63">
        <v>287</v>
      </c>
      <c r="BUO18" s="64">
        <v>329</v>
      </c>
      <c r="BUP18" s="64"/>
      <c r="BUQ18" s="64"/>
      <c r="BUR18" s="64"/>
      <c r="BUS18" s="64"/>
      <c r="BUT18" s="67">
        <f t="shared" si="598"/>
        <v>616</v>
      </c>
      <c r="BUU18" s="68">
        <f t="shared" si="599"/>
        <v>102.66666666666667</v>
      </c>
      <c r="BUV18" s="48"/>
      <c r="BUW18" s="49"/>
      <c r="BUX18" s="49"/>
      <c r="BUY18" s="49">
        <v>222</v>
      </c>
      <c r="BUZ18" s="49"/>
      <c r="BVA18" s="49"/>
      <c r="BVB18" s="67">
        <f t="shared" si="600"/>
        <v>222</v>
      </c>
      <c r="BVC18" s="68">
        <f t="shared" si="601"/>
        <v>37</v>
      </c>
      <c r="BVD18" s="48">
        <v>499</v>
      </c>
      <c r="BVE18" s="49"/>
      <c r="BVF18" s="49"/>
      <c r="BVG18" s="49"/>
      <c r="BVH18" s="49"/>
      <c r="BVI18" s="49"/>
      <c r="BVJ18" s="67">
        <f t="shared" si="602"/>
        <v>499</v>
      </c>
      <c r="BVK18" s="68">
        <f t="shared" si="603"/>
        <v>83.166666666666671</v>
      </c>
      <c r="BVL18" s="48"/>
      <c r="BVM18" s="49"/>
      <c r="BVN18" s="49">
        <v>334</v>
      </c>
      <c r="BVO18" s="49"/>
      <c r="BVP18" s="49"/>
      <c r="BVQ18" s="49">
        <v>108</v>
      </c>
      <c r="BVR18" s="67">
        <f t="shared" si="604"/>
        <v>442</v>
      </c>
      <c r="BVS18" s="68">
        <f t="shared" si="605"/>
        <v>73.666666666666671</v>
      </c>
      <c r="BVT18" s="48"/>
      <c r="BVU18" s="49"/>
      <c r="BVV18" s="49">
        <v>440</v>
      </c>
      <c r="BVW18" s="49"/>
      <c r="BVX18" s="49"/>
      <c r="BVY18" s="49"/>
      <c r="BVZ18" s="67">
        <f t="shared" si="606"/>
        <v>440</v>
      </c>
      <c r="BWA18" s="68">
        <f t="shared" si="607"/>
        <v>73.333333333333329</v>
      </c>
      <c r="BWB18" s="48">
        <v>112</v>
      </c>
      <c r="BWC18" s="49"/>
      <c r="BWD18" s="49"/>
      <c r="BWE18" s="49"/>
      <c r="BWF18" s="49"/>
      <c r="BWG18" s="49"/>
      <c r="BWH18" s="67">
        <f t="shared" si="608"/>
        <v>112</v>
      </c>
      <c r="BWI18" s="68">
        <f t="shared" si="609"/>
        <v>18.666666666666668</v>
      </c>
      <c r="BWJ18" s="48">
        <v>330</v>
      </c>
      <c r="BWK18" s="49"/>
      <c r="BWL18" s="49"/>
      <c r="BWM18" s="49">
        <v>440</v>
      </c>
      <c r="BWN18" s="49"/>
      <c r="BWO18" s="49"/>
      <c r="BWP18" s="67">
        <f t="shared" si="610"/>
        <v>770</v>
      </c>
      <c r="BWQ18" s="68">
        <f t="shared" si="611"/>
        <v>128.33333333333334</v>
      </c>
      <c r="BWR18" s="48"/>
      <c r="BWS18" s="49"/>
      <c r="BWT18" s="49">
        <v>436</v>
      </c>
      <c r="BWU18" s="49"/>
      <c r="BWV18" s="49"/>
      <c r="BWW18" s="49"/>
      <c r="BWX18" s="67">
        <f t="shared" si="612"/>
        <v>436</v>
      </c>
      <c r="BWY18" s="68">
        <f t="shared" si="613"/>
        <v>72.666666666666671</v>
      </c>
      <c r="BWZ18" s="48">
        <v>112</v>
      </c>
      <c r="BXA18" s="49"/>
      <c r="BXB18" s="49"/>
      <c r="BXC18" s="49">
        <v>325</v>
      </c>
      <c r="BXD18" s="49"/>
      <c r="BXE18" s="49"/>
      <c r="BXF18" s="67">
        <f t="shared" si="614"/>
        <v>437</v>
      </c>
      <c r="BXG18" s="68">
        <f t="shared" si="615"/>
        <v>72.833333333333329</v>
      </c>
      <c r="BXH18" s="48">
        <v>221</v>
      </c>
      <c r="BXI18" s="49"/>
      <c r="BXJ18" s="49"/>
      <c r="BXK18" s="49">
        <v>220</v>
      </c>
      <c r="BXL18" s="49"/>
      <c r="BXM18" s="49">
        <v>550</v>
      </c>
      <c r="BXN18" s="67">
        <f t="shared" si="616"/>
        <v>991</v>
      </c>
      <c r="BXO18" s="68">
        <f t="shared" si="617"/>
        <v>165.16666666666666</v>
      </c>
      <c r="BXP18" s="63"/>
      <c r="BXQ18" s="64">
        <v>290</v>
      </c>
      <c r="BXR18" s="64"/>
      <c r="BXS18" s="64"/>
      <c r="BXT18" s="64"/>
      <c r="BXU18" s="1">
        <v>340</v>
      </c>
      <c r="BXV18" s="67">
        <f t="shared" si="73"/>
        <v>290</v>
      </c>
      <c r="BXW18" s="68">
        <f t="shared" si="618"/>
        <v>48.333333333333336</v>
      </c>
      <c r="BXX18" s="48"/>
      <c r="BXY18" s="49"/>
      <c r="BXZ18" s="49"/>
      <c r="BYA18" s="49">
        <v>280</v>
      </c>
      <c r="BYB18" s="49"/>
      <c r="BYC18" s="49"/>
      <c r="BYD18" s="67">
        <f t="shared" si="619"/>
        <v>280</v>
      </c>
      <c r="BYE18" s="68">
        <f t="shared" si="620"/>
        <v>46.666666666666664</v>
      </c>
      <c r="BYF18" s="63"/>
      <c r="BYG18" s="64">
        <v>95</v>
      </c>
      <c r="BYH18" s="64"/>
      <c r="BYI18" s="64"/>
      <c r="BYJ18" s="64"/>
      <c r="BYK18" s="64">
        <v>305</v>
      </c>
      <c r="BYL18" s="67">
        <f t="shared" si="621"/>
        <v>400</v>
      </c>
      <c r="BYM18" s="68">
        <f t="shared" si="622"/>
        <v>66.666666666666671</v>
      </c>
      <c r="BYN18" s="48"/>
      <c r="BYO18" s="49"/>
      <c r="BYP18" s="49"/>
      <c r="BYQ18" s="49">
        <v>409</v>
      </c>
      <c r="BYR18" s="49"/>
      <c r="BYS18" s="49"/>
      <c r="BYT18" s="67">
        <f t="shared" si="623"/>
        <v>409</v>
      </c>
      <c r="BYU18" s="68">
        <f t="shared" si="624"/>
        <v>68.166666666666671</v>
      </c>
      <c r="BYV18" s="48">
        <v>331</v>
      </c>
      <c r="BYW18" s="49"/>
      <c r="BYX18" s="49"/>
      <c r="BYY18" s="49"/>
      <c r="BYZ18" s="49">
        <v>400</v>
      </c>
      <c r="BZA18" s="49"/>
      <c r="BZB18" s="67">
        <f t="shared" si="625"/>
        <v>731</v>
      </c>
      <c r="BZC18" s="68">
        <f t="shared" si="626"/>
        <v>121.83333333333333</v>
      </c>
      <c r="BZD18" s="48"/>
      <c r="BZE18" s="49">
        <v>110</v>
      </c>
      <c r="BZF18" s="49"/>
      <c r="BZG18" s="49"/>
      <c r="BZH18" s="49"/>
      <c r="BZI18" s="49">
        <v>404</v>
      </c>
      <c r="BZJ18" s="67">
        <f t="shared" si="627"/>
        <v>514</v>
      </c>
      <c r="BZK18" s="68">
        <f t="shared" si="628"/>
        <v>85.666666666666671</v>
      </c>
      <c r="BZL18" s="48"/>
      <c r="BZM18" s="49">
        <v>441</v>
      </c>
      <c r="BZN18" s="49"/>
      <c r="BZO18" s="49"/>
      <c r="BZP18" s="49"/>
      <c r="BZQ18" s="49"/>
      <c r="BZR18" s="67">
        <f t="shared" si="629"/>
        <v>441</v>
      </c>
      <c r="BZS18" s="68">
        <f t="shared" si="630"/>
        <v>73.5</v>
      </c>
      <c r="BZT18" s="48"/>
      <c r="BZU18" s="49"/>
      <c r="BZV18" s="49"/>
      <c r="BZW18" s="49"/>
      <c r="BZX18" s="49"/>
      <c r="BZY18" s="49">
        <v>312</v>
      </c>
      <c r="BZZ18" s="67">
        <f t="shared" si="631"/>
        <v>312</v>
      </c>
      <c r="CAA18" s="68">
        <f t="shared" si="632"/>
        <v>52</v>
      </c>
      <c r="CAB18" s="48"/>
      <c r="CAC18" s="49">
        <v>80</v>
      </c>
      <c r="CAD18" s="49"/>
      <c r="CAE18" s="49"/>
      <c r="CAF18" s="49">
        <v>220</v>
      </c>
      <c r="CAG18" s="49"/>
      <c r="CAH18" s="67">
        <f t="shared" si="633"/>
        <v>300</v>
      </c>
      <c r="CAI18" s="68">
        <f t="shared" si="634"/>
        <v>50</v>
      </c>
      <c r="CAJ18" s="63"/>
      <c r="CAK18" s="64">
        <v>110</v>
      </c>
      <c r="CAL18" s="64"/>
      <c r="CAM18" s="64"/>
      <c r="CAN18" s="64">
        <v>361</v>
      </c>
      <c r="CAO18" s="64"/>
      <c r="CAP18" s="67">
        <f t="shared" si="635"/>
        <v>471</v>
      </c>
      <c r="CAQ18" s="68">
        <f t="shared" si="636"/>
        <v>78.5</v>
      </c>
      <c r="CAR18" s="63"/>
      <c r="CAS18" s="64">
        <v>220</v>
      </c>
      <c r="CAT18" s="64"/>
      <c r="CAU18" s="64"/>
      <c r="CAV18" s="64"/>
      <c r="CAW18" s="64"/>
      <c r="CAX18" s="67">
        <f t="shared" si="637"/>
        <v>220</v>
      </c>
      <c r="CAY18" s="68">
        <f t="shared" si="638"/>
        <v>36.666666666666664</v>
      </c>
      <c r="CAZ18" s="48">
        <v>327</v>
      </c>
      <c r="CBA18" s="49"/>
      <c r="CBB18" s="49"/>
      <c r="CBC18" s="49"/>
      <c r="CBD18" s="49"/>
      <c r="CBE18" s="49"/>
      <c r="CBF18" s="67">
        <f t="shared" si="639"/>
        <v>327</v>
      </c>
      <c r="CBG18" s="68">
        <f t="shared" si="640"/>
        <v>54.5</v>
      </c>
      <c r="CBH18" s="48">
        <v>222</v>
      </c>
      <c r="CBI18" s="49"/>
      <c r="CBJ18" s="49"/>
      <c r="CBK18" s="49">
        <v>330</v>
      </c>
      <c r="CBL18" s="49"/>
      <c r="CBM18" s="49"/>
      <c r="CBN18" s="67">
        <f t="shared" si="641"/>
        <v>552</v>
      </c>
      <c r="CBO18" s="68">
        <f t="shared" si="642"/>
        <v>92</v>
      </c>
      <c r="CBP18" s="48">
        <v>224</v>
      </c>
      <c r="CBQ18" s="49"/>
      <c r="CBR18" s="49"/>
      <c r="CBS18" s="49"/>
      <c r="CBT18" s="49">
        <v>437</v>
      </c>
      <c r="CBU18" s="49"/>
      <c r="CBV18" s="67">
        <f t="shared" si="643"/>
        <v>661</v>
      </c>
      <c r="CBW18" s="68">
        <f t="shared" si="644"/>
        <v>110.16666666666667</v>
      </c>
      <c r="CBX18" s="48"/>
      <c r="CBY18" s="49"/>
      <c r="CBZ18" s="49"/>
      <c r="CCA18" s="49"/>
      <c r="CCB18" s="49"/>
      <c r="CCC18" s="49"/>
      <c r="CCD18" s="67">
        <f t="shared" si="645"/>
        <v>0</v>
      </c>
      <c r="CCE18" s="68">
        <f t="shared" si="646"/>
        <v>0</v>
      </c>
      <c r="CCF18" s="48">
        <v>216</v>
      </c>
      <c r="CCG18" s="49"/>
      <c r="CCH18" s="49"/>
      <c r="CCI18" s="49">
        <v>333</v>
      </c>
      <c r="CCJ18" s="49"/>
      <c r="CCK18" s="49"/>
      <c r="CCL18" s="67">
        <f t="shared" si="647"/>
        <v>549</v>
      </c>
      <c r="CCM18" s="68">
        <f t="shared" si="648"/>
        <v>91.5</v>
      </c>
      <c r="CCN18" s="48">
        <v>110</v>
      </c>
      <c r="CCO18" s="49"/>
      <c r="CCP18" s="49"/>
      <c r="CCQ18" s="49"/>
      <c r="CCR18" s="49">
        <v>219</v>
      </c>
      <c r="CCS18" s="49"/>
      <c r="CCT18" s="67">
        <f t="shared" si="649"/>
        <v>329</v>
      </c>
      <c r="CCU18" s="68">
        <f t="shared" si="650"/>
        <v>54.833333333333336</v>
      </c>
      <c r="CCV18" s="48"/>
      <c r="CCW18" s="49"/>
      <c r="CCX18" s="49">
        <v>440</v>
      </c>
      <c r="CCY18" s="49">
        <v>440</v>
      </c>
      <c r="CCZ18" s="49"/>
      <c r="CDA18" s="49"/>
      <c r="CDB18" s="67">
        <f t="shared" si="651"/>
        <v>880</v>
      </c>
      <c r="CDC18" s="68">
        <f t="shared" si="652"/>
        <v>146.66666666666666</v>
      </c>
      <c r="CDD18" s="48"/>
      <c r="CDE18" s="49"/>
      <c r="CDF18" s="49">
        <v>400</v>
      </c>
      <c r="CDG18" s="49"/>
      <c r="CDH18" s="49"/>
      <c r="CDI18" s="49"/>
      <c r="CDJ18" s="67">
        <f t="shared" si="653"/>
        <v>400</v>
      </c>
      <c r="CDK18" s="68">
        <f t="shared" si="654"/>
        <v>66.666666666666671</v>
      </c>
      <c r="CDL18" s="48">
        <v>240</v>
      </c>
      <c r="CDM18" s="49">
        <v>237</v>
      </c>
      <c r="CDN18" s="49"/>
      <c r="CDO18" s="49">
        <v>108</v>
      </c>
      <c r="CDP18" s="49"/>
      <c r="CDQ18" s="49"/>
      <c r="CDR18" s="67">
        <f t="shared" si="655"/>
        <v>585</v>
      </c>
      <c r="CDS18" s="68">
        <f t="shared" si="656"/>
        <v>97.5</v>
      </c>
      <c r="CDT18" s="48"/>
      <c r="CDU18" s="49"/>
      <c r="CDV18" s="49"/>
      <c r="CDW18" s="49">
        <v>467</v>
      </c>
      <c r="CDX18" s="49"/>
      <c r="CDY18" s="49"/>
      <c r="CDZ18" s="67">
        <f t="shared" si="657"/>
        <v>467</v>
      </c>
      <c r="CEA18" s="68">
        <f t="shared" si="658"/>
        <v>77.833333333333329</v>
      </c>
      <c r="CEB18" s="48">
        <v>233</v>
      </c>
      <c r="CEC18" s="49"/>
      <c r="CED18" s="49"/>
      <c r="CEE18" s="49"/>
      <c r="CEF18" s="49"/>
      <c r="CEG18" s="49">
        <v>221</v>
      </c>
      <c r="CEH18" s="67">
        <f t="shared" si="659"/>
        <v>454</v>
      </c>
      <c r="CEI18" s="68">
        <f t="shared" si="660"/>
        <v>75.666666666666671</v>
      </c>
      <c r="CEJ18" s="48"/>
      <c r="CEK18" s="49"/>
      <c r="CEL18" s="49"/>
      <c r="CEM18" s="49"/>
      <c r="CEN18" s="49">
        <v>440</v>
      </c>
      <c r="CEO18" s="49"/>
      <c r="CEP18" s="67">
        <f t="shared" si="661"/>
        <v>440</v>
      </c>
      <c r="CEQ18" s="68">
        <f t="shared" si="662"/>
        <v>73.333333333333329</v>
      </c>
      <c r="CER18" s="48"/>
      <c r="CES18" s="49">
        <v>220</v>
      </c>
      <c r="CET18" s="49"/>
      <c r="CEU18" s="49"/>
      <c r="CEV18" s="49">
        <v>425</v>
      </c>
      <c r="CEW18" s="49"/>
      <c r="CEX18" s="67">
        <f t="shared" si="663"/>
        <v>645</v>
      </c>
      <c r="CEY18" s="68">
        <f t="shared" si="664"/>
        <v>107.5</v>
      </c>
      <c r="CEZ18" s="48"/>
      <c r="CFA18" s="49">
        <v>110</v>
      </c>
      <c r="CFB18" s="49"/>
      <c r="CFC18" s="49">
        <v>330</v>
      </c>
      <c r="CFD18" s="49"/>
      <c r="CFE18" s="49"/>
      <c r="CFF18" s="67">
        <f t="shared" si="665"/>
        <v>440</v>
      </c>
      <c r="CFG18" s="68">
        <f t="shared" si="666"/>
        <v>73.333333333333329</v>
      </c>
      <c r="CFH18" s="48"/>
      <c r="CFI18" s="49">
        <v>438</v>
      </c>
      <c r="CFJ18" s="49"/>
      <c r="CFK18" s="49"/>
      <c r="CFL18" s="49"/>
      <c r="CFM18" s="49">
        <v>330</v>
      </c>
      <c r="CFN18" s="67">
        <f t="shared" si="667"/>
        <v>768</v>
      </c>
      <c r="CFO18" s="68">
        <f t="shared" si="668"/>
        <v>128</v>
      </c>
      <c r="CFP18" s="48"/>
      <c r="CFQ18" s="49"/>
      <c r="CFR18" s="49"/>
      <c r="CFS18" s="49"/>
      <c r="CFT18" s="49">
        <v>420</v>
      </c>
      <c r="CFU18" s="49"/>
      <c r="CFV18" s="67">
        <f t="shared" si="669"/>
        <v>420</v>
      </c>
      <c r="CFW18" s="68">
        <f t="shared" si="670"/>
        <v>70</v>
      </c>
      <c r="CFX18" s="48"/>
      <c r="CFY18" s="49">
        <v>429</v>
      </c>
      <c r="CFZ18" s="49"/>
      <c r="CGA18" s="49"/>
      <c r="CGB18" s="49"/>
      <c r="CGC18" s="49"/>
      <c r="CGD18" s="67">
        <f t="shared" si="671"/>
        <v>429</v>
      </c>
      <c r="CGE18" s="68">
        <f t="shared" si="672"/>
        <v>71.5</v>
      </c>
      <c r="CGF18" s="48">
        <v>432</v>
      </c>
      <c r="CGG18" s="49"/>
      <c r="CGH18" s="49"/>
      <c r="CGI18" s="49"/>
      <c r="CGJ18" s="49"/>
      <c r="CGK18" s="49">
        <v>436</v>
      </c>
      <c r="CGL18" s="67">
        <f t="shared" si="673"/>
        <v>868</v>
      </c>
      <c r="CGM18" s="68">
        <f t="shared" si="674"/>
        <v>144.66666666666666</v>
      </c>
      <c r="CGN18" s="63"/>
      <c r="CGO18" s="64"/>
      <c r="CGP18" s="64"/>
      <c r="CGQ18" s="64"/>
      <c r="CGR18" s="64">
        <v>291</v>
      </c>
      <c r="CGS18" s="64"/>
      <c r="CGT18" s="67">
        <f t="shared" si="675"/>
        <v>291</v>
      </c>
      <c r="CGU18" s="68">
        <f t="shared" si="676"/>
        <v>48.5</v>
      </c>
      <c r="CGV18" s="48"/>
      <c r="CGW18" s="49"/>
      <c r="CGX18" s="49"/>
      <c r="CGY18" s="49"/>
      <c r="CGZ18" s="49">
        <v>434</v>
      </c>
      <c r="CHA18" s="49"/>
      <c r="CHB18" s="67">
        <f t="shared" si="677"/>
        <v>434</v>
      </c>
      <c r="CHC18" s="68">
        <f t="shared" si="678"/>
        <v>72.333333333333329</v>
      </c>
      <c r="CHD18" s="48"/>
      <c r="CHE18" s="49"/>
      <c r="CHF18" s="49">
        <v>439</v>
      </c>
      <c r="CHG18" s="49"/>
      <c r="CHH18" s="49"/>
      <c r="CHI18" s="49"/>
      <c r="CHJ18" s="67">
        <f t="shared" si="679"/>
        <v>439</v>
      </c>
      <c r="CHK18" s="68">
        <f t="shared" si="680"/>
        <v>73.166666666666671</v>
      </c>
      <c r="CHL18" s="63"/>
      <c r="CHM18" s="64">
        <v>440</v>
      </c>
      <c r="CHN18" s="64"/>
      <c r="CHO18" s="64"/>
      <c r="CHP18" s="64"/>
      <c r="CHQ18" s="64"/>
      <c r="CHR18" s="67">
        <f t="shared" si="681"/>
        <v>440</v>
      </c>
      <c r="CHS18" s="68">
        <f t="shared" si="682"/>
        <v>73.333333333333329</v>
      </c>
      <c r="CHT18" s="48"/>
      <c r="CHU18" s="49"/>
      <c r="CHV18" s="49"/>
      <c r="CHW18" s="49"/>
      <c r="CHX18" s="49">
        <v>479</v>
      </c>
      <c r="CHY18" s="49"/>
      <c r="CHZ18" s="67">
        <f t="shared" si="683"/>
        <v>479</v>
      </c>
      <c r="CIA18" s="68">
        <f t="shared" si="684"/>
        <v>79.833333333333329</v>
      </c>
      <c r="CIB18" s="63"/>
      <c r="CIC18" s="64">
        <v>469</v>
      </c>
      <c r="CID18" s="64"/>
      <c r="CIE18" s="64"/>
      <c r="CIF18" s="64"/>
      <c r="CIG18" s="64"/>
      <c r="CIH18" s="67">
        <f t="shared" si="685"/>
        <v>469</v>
      </c>
      <c r="CII18" s="68">
        <f t="shared" si="686"/>
        <v>78.166666666666671</v>
      </c>
      <c r="CIJ18" s="63">
        <v>451</v>
      </c>
      <c r="CIK18" s="64"/>
      <c r="CIL18" s="64">
        <v>440</v>
      </c>
      <c r="CIM18" s="64"/>
      <c r="CIN18" s="64"/>
      <c r="CIO18" s="64"/>
      <c r="CIP18" s="67">
        <f t="shared" si="687"/>
        <v>891</v>
      </c>
      <c r="CIQ18" s="68">
        <f t="shared" si="688"/>
        <v>148.5</v>
      </c>
      <c r="CIR18" s="48"/>
      <c r="CIS18" s="49">
        <v>327</v>
      </c>
      <c r="CIT18" s="49"/>
      <c r="CIU18" s="49"/>
      <c r="CIV18" s="49"/>
      <c r="CIW18" s="49">
        <v>220</v>
      </c>
      <c r="CIX18" s="67">
        <f t="shared" si="689"/>
        <v>547</v>
      </c>
      <c r="CIY18" s="68">
        <f t="shared" si="690"/>
        <v>91.166666666666671</v>
      </c>
      <c r="CIZ18" s="48"/>
      <c r="CJA18" s="49"/>
      <c r="CJB18" s="49">
        <v>440</v>
      </c>
      <c r="CJC18" s="49"/>
      <c r="CJD18" s="49"/>
      <c r="CJE18" s="49"/>
      <c r="CJF18" s="67">
        <f t="shared" si="691"/>
        <v>440</v>
      </c>
      <c r="CJG18" s="68">
        <f t="shared" si="1200"/>
        <v>73.333333333333329</v>
      </c>
      <c r="CJH18" s="48"/>
      <c r="CJI18" s="49"/>
      <c r="CJJ18" s="49">
        <v>320</v>
      </c>
      <c r="CJK18" s="49"/>
      <c r="CJL18" s="49"/>
      <c r="CJM18" s="49"/>
      <c r="CJN18" s="67">
        <f t="shared" si="692"/>
        <v>320</v>
      </c>
      <c r="CJO18" s="68">
        <f t="shared" si="693"/>
        <v>53.333333333333336</v>
      </c>
      <c r="CJP18" s="48"/>
      <c r="CJQ18" s="49"/>
      <c r="CJR18" s="49">
        <v>441</v>
      </c>
      <c r="CJS18" s="49"/>
      <c r="CJT18" s="49"/>
      <c r="CJU18" s="49"/>
      <c r="CJV18" s="67">
        <f t="shared" si="694"/>
        <v>441</v>
      </c>
      <c r="CJW18" s="68">
        <f t="shared" si="695"/>
        <v>73.5</v>
      </c>
      <c r="CJX18" s="48"/>
      <c r="CJY18" s="49"/>
      <c r="CJZ18" s="49">
        <v>440</v>
      </c>
      <c r="CKA18" s="49"/>
      <c r="CKB18" s="49"/>
      <c r="CKC18" s="49"/>
      <c r="CKD18" s="67">
        <f t="shared" si="696"/>
        <v>440</v>
      </c>
      <c r="CKE18" s="68">
        <f t="shared" si="697"/>
        <v>73.333333333333329</v>
      </c>
      <c r="CKF18" s="63">
        <v>438</v>
      </c>
      <c r="CKG18" s="64"/>
      <c r="CKH18" s="64">
        <v>220</v>
      </c>
      <c r="CKI18" s="64"/>
      <c r="CKJ18" s="64"/>
      <c r="CKK18" s="64"/>
      <c r="CKL18" s="67">
        <f t="shared" si="698"/>
        <v>658</v>
      </c>
      <c r="CKM18" s="68">
        <f t="shared" si="699"/>
        <v>109.66666666666667</v>
      </c>
      <c r="CKN18" s="48">
        <v>408</v>
      </c>
      <c r="CKO18" s="49"/>
      <c r="CKP18" s="49"/>
      <c r="CKQ18" s="49"/>
      <c r="CKR18" s="49">
        <v>100</v>
      </c>
      <c r="CKS18" s="47"/>
      <c r="CKT18" s="67">
        <f t="shared" si="700"/>
        <v>508</v>
      </c>
      <c r="CKU18" s="68">
        <f t="shared" si="701"/>
        <v>84.666666666666671</v>
      </c>
      <c r="CKV18" s="48"/>
      <c r="CKW18" s="49"/>
      <c r="CKX18" s="49"/>
      <c r="CKY18" s="49">
        <v>223</v>
      </c>
      <c r="CKZ18" s="49"/>
      <c r="CLA18" s="49"/>
      <c r="CLB18" s="67">
        <f t="shared" si="702"/>
        <v>223</v>
      </c>
      <c r="CLC18" s="68">
        <f t="shared" si="703"/>
        <v>37.166666666666664</v>
      </c>
      <c r="CLD18" s="48"/>
      <c r="CLE18" s="49">
        <v>325</v>
      </c>
      <c r="CLF18" s="49"/>
      <c r="CLG18" s="49"/>
      <c r="CLH18" s="49"/>
      <c r="CLI18" s="49"/>
      <c r="CLJ18" s="67">
        <f t="shared" si="704"/>
        <v>325</v>
      </c>
      <c r="CLK18" s="68">
        <f t="shared" si="705"/>
        <v>54.166666666666664</v>
      </c>
      <c r="CLL18" s="48">
        <v>220</v>
      </c>
      <c r="CLM18" s="49"/>
      <c r="CLN18" s="49"/>
      <c r="CLO18" s="49"/>
      <c r="CLP18" s="49">
        <v>440</v>
      </c>
      <c r="CLQ18" s="49"/>
      <c r="CLR18" s="67">
        <f t="shared" si="706"/>
        <v>660</v>
      </c>
      <c r="CLS18" s="68">
        <f t="shared" si="707"/>
        <v>110</v>
      </c>
      <c r="CLT18" s="63">
        <v>441</v>
      </c>
      <c r="CLU18" s="64"/>
      <c r="CLV18" s="64"/>
      <c r="CLW18" s="64"/>
      <c r="CLX18" s="64">
        <v>219</v>
      </c>
      <c r="CLY18" s="64"/>
      <c r="CLZ18" s="67">
        <f t="shared" si="708"/>
        <v>660</v>
      </c>
      <c r="CMA18" s="68">
        <f t="shared" si="709"/>
        <v>110</v>
      </c>
      <c r="CMB18" s="48"/>
      <c r="CMC18" s="49">
        <v>229</v>
      </c>
      <c r="CMD18" s="49"/>
      <c r="CME18" s="49"/>
      <c r="CMF18" s="49"/>
      <c r="CMG18" s="49"/>
      <c r="CMH18" s="67">
        <f t="shared" si="710"/>
        <v>229</v>
      </c>
      <c r="CMI18" s="68">
        <f t="shared" si="711"/>
        <v>38.166666666666664</v>
      </c>
      <c r="CMJ18" s="48">
        <v>326</v>
      </c>
      <c r="CMK18" s="49"/>
      <c r="CML18" s="49"/>
      <c r="CMM18" s="49"/>
      <c r="CMN18" s="49"/>
      <c r="CMO18" s="49"/>
      <c r="CMP18" s="67">
        <f t="shared" si="712"/>
        <v>326</v>
      </c>
      <c r="CMQ18" s="68">
        <f t="shared" si="713"/>
        <v>54.333333333333336</v>
      </c>
      <c r="CMR18" s="48">
        <v>330</v>
      </c>
      <c r="CMS18" s="49"/>
      <c r="CMT18" s="49"/>
      <c r="CMU18" s="49"/>
      <c r="CMV18" s="49">
        <v>110</v>
      </c>
      <c r="CMW18" s="49"/>
      <c r="CMX18" s="67">
        <f t="shared" si="714"/>
        <v>440</v>
      </c>
      <c r="CMY18" s="68">
        <f t="shared" si="715"/>
        <v>73.333333333333329</v>
      </c>
      <c r="CMZ18" s="63"/>
      <c r="CNA18" s="64"/>
      <c r="CNB18" s="64"/>
      <c r="CNC18" s="64"/>
      <c r="CND18" s="64">
        <v>329</v>
      </c>
      <c r="CNE18" s="64"/>
      <c r="CNF18" s="67">
        <f t="shared" si="716"/>
        <v>329</v>
      </c>
      <c r="CNG18" s="68">
        <f t="shared" si="717"/>
        <v>54.833333333333336</v>
      </c>
      <c r="CNH18" s="48"/>
      <c r="CNI18" s="49">
        <v>111</v>
      </c>
      <c r="CNJ18" s="49"/>
      <c r="CNK18" s="49"/>
      <c r="CNL18" s="49">
        <v>331</v>
      </c>
      <c r="CNM18" s="49"/>
      <c r="CNN18" s="67">
        <f t="shared" si="718"/>
        <v>442</v>
      </c>
      <c r="CNO18" s="68">
        <f t="shared" si="719"/>
        <v>73.666666666666671</v>
      </c>
      <c r="CNP18" s="63"/>
      <c r="CNQ18" s="64">
        <v>330</v>
      </c>
      <c r="CNR18" s="64"/>
      <c r="CNS18" s="64"/>
      <c r="CNT18" s="64"/>
      <c r="CNU18" s="64"/>
      <c r="CNV18" s="67">
        <f t="shared" si="720"/>
        <v>330</v>
      </c>
      <c r="CNW18" s="68">
        <f t="shared" si="721"/>
        <v>55</v>
      </c>
      <c r="CNX18" s="48">
        <v>330</v>
      </c>
      <c r="CNY18" s="49"/>
      <c r="CNZ18" s="49"/>
      <c r="COA18" s="49"/>
      <c r="COB18" s="49">
        <v>220</v>
      </c>
      <c r="COC18" s="49"/>
      <c r="COD18" s="67">
        <f t="shared" si="722"/>
        <v>550</v>
      </c>
      <c r="COE18" s="68">
        <f t="shared" si="723"/>
        <v>91.666666666666671</v>
      </c>
      <c r="COF18" s="48"/>
      <c r="COG18" s="49"/>
      <c r="COH18" s="49"/>
      <c r="COI18" s="49"/>
      <c r="COJ18" s="49">
        <v>319</v>
      </c>
      <c r="COK18" s="49"/>
      <c r="COL18" s="67">
        <f t="shared" si="724"/>
        <v>319</v>
      </c>
      <c r="COM18" s="68">
        <f t="shared" si="725"/>
        <v>53.166666666666664</v>
      </c>
      <c r="CON18" s="48"/>
      <c r="COO18" s="49"/>
      <c r="COP18" s="49"/>
      <c r="COQ18" s="49"/>
      <c r="COR18" s="49">
        <v>332</v>
      </c>
      <c r="COS18" s="49"/>
      <c r="COT18" s="67">
        <f t="shared" si="726"/>
        <v>332</v>
      </c>
      <c r="COU18" s="68">
        <f t="shared" si="727"/>
        <v>55.333333333333336</v>
      </c>
      <c r="COV18" s="48"/>
      <c r="COW18" s="49"/>
      <c r="COX18" s="49"/>
      <c r="COY18" s="49"/>
      <c r="COZ18" s="49"/>
      <c r="CPA18" s="49">
        <v>333</v>
      </c>
      <c r="CPB18" s="67">
        <f t="shared" si="728"/>
        <v>333</v>
      </c>
      <c r="CPC18" s="68">
        <f t="shared" si="729"/>
        <v>55.5</v>
      </c>
      <c r="CPD18" s="48">
        <v>0</v>
      </c>
      <c r="CPE18" s="49">
        <v>0</v>
      </c>
      <c r="CPF18" s="49">
        <v>0</v>
      </c>
      <c r="CPG18" s="49">
        <v>0</v>
      </c>
      <c r="CPH18" s="49">
        <v>218</v>
      </c>
      <c r="CPI18" s="49">
        <v>0</v>
      </c>
      <c r="CPJ18" s="67">
        <f t="shared" si="730"/>
        <v>218</v>
      </c>
      <c r="CPK18" s="68">
        <f t="shared" si="731"/>
        <v>36.333333333333336</v>
      </c>
      <c r="CPL18" s="48"/>
      <c r="CPM18" s="49">
        <v>0</v>
      </c>
      <c r="CPN18" s="49">
        <v>0</v>
      </c>
      <c r="CPO18" s="49">
        <v>0</v>
      </c>
      <c r="CPP18" s="49">
        <v>110</v>
      </c>
      <c r="CPQ18" s="49">
        <v>0</v>
      </c>
      <c r="CPR18" s="67">
        <f t="shared" si="732"/>
        <v>110</v>
      </c>
      <c r="CPS18" s="68">
        <f t="shared" si="733"/>
        <v>18.333333333333332</v>
      </c>
      <c r="CPT18" s="63">
        <v>0</v>
      </c>
      <c r="CPU18" s="64">
        <v>0</v>
      </c>
      <c r="CPV18" s="64">
        <v>262</v>
      </c>
      <c r="CPW18" s="64">
        <v>0</v>
      </c>
      <c r="CPX18" s="64">
        <v>0</v>
      </c>
      <c r="CPY18" s="64">
        <v>0</v>
      </c>
      <c r="CPZ18" s="67">
        <f t="shared" si="734"/>
        <v>262</v>
      </c>
      <c r="CQA18" s="68">
        <f t="shared" si="735"/>
        <v>43.666666666666664</v>
      </c>
      <c r="CQB18" s="48">
        <v>0</v>
      </c>
      <c r="CQC18" s="49">
        <v>0</v>
      </c>
      <c r="CQD18" s="49">
        <v>324</v>
      </c>
      <c r="CQE18" s="49">
        <v>0</v>
      </c>
      <c r="CQF18" s="49">
        <v>0</v>
      </c>
      <c r="CQG18" s="49"/>
      <c r="CQH18" s="67">
        <f t="shared" si="736"/>
        <v>324</v>
      </c>
      <c r="CQI18" s="68">
        <f t="shared" si="737"/>
        <v>54</v>
      </c>
      <c r="CQJ18" s="82">
        <v>219</v>
      </c>
      <c r="CQK18" s="83">
        <v>0</v>
      </c>
      <c r="CQL18" s="83">
        <v>0</v>
      </c>
      <c r="CQM18" s="83">
        <v>249</v>
      </c>
      <c r="CQN18" s="83">
        <v>0</v>
      </c>
      <c r="CQO18" s="83"/>
      <c r="CQP18" s="67">
        <f t="shared" si="738"/>
        <v>468</v>
      </c>
      <c r="CQQ18" s="68">
        <f t="shared" si="739"/>
        <v>78</v>
      </c>
      <c r="CQR18" s="48"/>
      <c r="CQS18" s="49">
        <v>0</v>
      </c>
      <c r="CQT18" s="49">
        <v>110</v>
      </c>
      <c r="CQU18" s="49">
        <v>0</v>
      </c>
      <c r="CQV18" s="49">
        <v>0</v>
      </c>
      <c r="CQW18" s="49">
        <v>0</v>
      </c>
      <c r="CQX18" s="67">
        <f t="shared" si="740"/>
        <v>110</v>
      </c>
      <c r="CQY18" s="68">
        <f t="shared" si="741"/>
        <v>18.333333333333332</v>
      </c>
      <c r="CQZ18" s="48">
        <v>0</v>
      </c>
      <c r="CRA18" s="49"/>
      <c r="CRB18" s="49">
        <v>109</v>
      </c>
      <c r="CRC18" s="49"/>
      <c r="CRD18" s="49">
        <v>216</v>
      </c>
      <c r="CRE18" s="49">
        <v>0</v>
      </c>
      <c r="CRF18" s="67">
        <f t="shared" si="742"/>
        <v>325</v>
      </c>
      <c r="CRG18" s="68">
        <f t="shared" si="743"/>
        <v>54.166666666666664</v>
      </c>
      <c r="CRH18" s="48"/>
      <c r="CRI18" s="49">
        <v>0</v>
      </c>
      <c r="CRJ18" s="49">
        <v>0</v>
      </c>
      <c r="CRK18" s="49">
        <v>331</v>
      </c>
      <c r="CRL18" s="49">
        <v>0</v>
      </c>
      <c r="CRM18" s="49">
        <v>0</v>
      </c>
      <c r="CRN18" s="67">
        <f t="shared" si="744"/>
        <v>331</v>
      </c>
      <c r="CRO18" s="68">
        <f t="shared" si="745"/>
        <v>55.166666666666664</v>
      </c>
      <c r="CRP18" s="48"/>
      <c r="CRQ18" s="49">
        <v>0</v>
      </c>
      <c r="CRR18" s="49">
        <v>0</v>
      </c>
      <c r="CRS18" s="49">
        <v>351</v>
      </c>
      <c r="CRT18" s="49">
        <v>0</v>
      </c>
      <c r="CRU18" s="49">
        <v>0</v>
      </c>
      <c r="CRV18" s="47">
        <f t="shared" si="746"/>
        <v>351</v>
      </c>
      <c r="CRW18" s="68">
        <f t="shared" si="747"/>
        <v>58.5</v>
      </c>
      <c r="CRX18" s="63">
        <v>0</v>
      </c>
      <c r="CRY18" s="64">
        <v>111</v>
      </c>
      <c r="CRZ18" s="64">
        <v>0</v>
      </c>
      <c r="CSA18" s="64">
        <v>0</v>
      </c>
      <c r="CSB18" s="64">
        <v>220</v>
      </c>
      <c r="CSC18" s="64">
        <v>0</v>
      </c>
      <c r="CSD18" s="67">
        <f t="shared" si="748"/>
        <v>331</v>
      </c>
      <c r="CSE18" s="68">
        <f t="shared" si="749"/>
        <v>55.166666666666664</v>
      </c>
      <c r="CSF18" s="48">
        <v>0</v>
      </c>
      <c r="CSG18" s="49">
        <v>0</v>
      </c>
      <c r="CSH18" s="49">
        <v>218</v>
      </c>
      <c r="CSI18" s="49">
        <v>0</v>
      </c>
      <c r="CSJ18" s="49">
        <v>0</v>
      </c>
      <c r="CSK18" s="49">
        <v>0</v>
      </c>
      <c r="CSL18" s="64">
        <f t="shared" si="750"/>
        <v>218</v>
      </c>
      <c r="CSM18" s="68">
        <f t="shared" si="751"/>
        <v>36.333333333333336</v>
      </c>
      <c r="CSN18" s="48">
        <v>0</v>
      </c>
      <c r="CSO18" s="49">
        <v>0</v>
      </c>
      <c r="CSP18" s="49">
        <v>221</v>
      </c>
      <c r="CSQ18" s="49">
        <v>0</v>
      </c>
      <c r="CSR18" s="49">
        <v>0</v>
      </c>
      <c r="CSS18" s="49">
        <v>0</v>
      </c>
      <c r="CST18" s="64">
        <f t="shared" si="752"/>
        <v>221</v>
      </c>
      <c r="CSU18" s="68">
        <f t="shared" si="753"/>
        <v>36.833333333333336</v>
      </c>
      <c r="CSV18" s="48">
        <v>0</v>
      </c>
      <c r="CSW18" s="49">
        <v>0</v>
      </c>
      <c r="CSX18" s="49">
        <v>0</v>
      </c>
      <c r="CSY18" s="49">
        <v>345</v>
      </c>
      <c r="CSZ18" s="49"/>
      <c r="CTA18" s="49">
        <v>0</v>
      </c>
      <c r="CTB18" s="64">
        <f t="shared" si="754"/>
        <v>345</v>
      </c>
      <c r="CTC18" s="68">
        <f t="shared" si="755"/>
        <v>57.5</v>
      </c>
      <c r="CTD18" s="48">
        <v>0</v>
      </c>
      <c r="CTE18" s="49">
        <v>0</v>
      </c>
      <c r="CTF18" s="49">
        <v>220</v>
      </c>
      <c r="CTG18" s="49">
        <v>0</v>
      </c>
      <c r="CTH18" s="49">
        <v>0</v>
      </c>
      <c r="CTI18" s="49"/>
      <c r="CTJ18" s="64">
        <f t="shared" si="756"/>
        <v>220</v>
      </c>
      <c r="CTK18" s="68">
        <f t="shared" si="757"/>
        <v>36.666666666666664</v>
      </c>
      <c r="CTL18" s="48">
        <v>0</v>
      </c>
      <c r="CTM18" s="49">
        <v>0</v>
      </c>
      <c r="CTN18" s="49">
        <v>0</v>
      </c>
      <c r="CTO18" s="49">
        <v>219</v>
      </c>
      <c r="CTP18" s="49">
        <v>0</v>
      </c>
      <c r="CTQ18" s="49"/>
      <c r="CTR18" s="64">
        <f t="shared" si="758"/>
        <v>219</v>
      </c>
      <c r="CTS18" s="68">
        <f t="shared" si="759"/>
        <v>36.5</v>
      </c>
      <c r="CTT18" s="48">
        <v>0</v>
      </c>
      <c r="CTU18" s="49"/>
      <c r="CTV18" s="49">
        <v>330</v>
      </c>
      <c r="CTW18" s="49"/>
      <c r="CTX18" s="49"/>
      <c r="CTY18" s="49"/>
      <c r="CTZ18" s="64">
        <f t="shared" si="760"/>
        <v>330</v>
      </c>
      <c r="CUA18" s="68">
        <f t="shared" si="761"/>
        <v>55</v>
      </c>
      <c r="CUB18" s="48"/>
      <c r="CUC18" s="49"/>
      <c r="CUD18" s="49">
        <v>212</v>
      </c>
      <c r="CUE18" s="49"/>
      <c r="CUF18" s="49">
        <v>0</v>
      </c>
      <c r="CUG18" s="49">
        <v>0</v>
      </c>
      <c r="CUH18" s="64">
        <f t="shared" si="762"/>
        <v>212</v>
      </c>
      <c r="CUI18" s="68">
        <f t="shared" si="763"/>
        <v>35.333333333333336</v>
      </c>
      <c r="CUJ18" s="48"/>
      <c r="CUK18" s="49">
        <v>0</v>
      </c>
      <c r="CUL18" s="49">
        <v>0</v>
      </c>
      <c r="CUM18" s="49">
        <v>372</v>
      </c>
      <c r="CUN18" s="49">
        <v>0</v>
      </c>
      <c r="CUO18" s="49">
        <v>0</v>
      </c>
      <c r="CUP18" s="64">
        <f t="shared" si="764"/>
        <v>372</v>
      </c>
      <c r="CUQ18" s="68">
        <f t="shared" si="765"/>
        <v>62</v>
      </c>
      <c r="CUR18" s="48">
        <v>0</v>
      </c>
      <c r="CUS18" s="49"/>
      <c r="CUT18" s="49"/>
      <c r="CUU18" s="49">
        <v>219</v>
      </c>
      <c r="CUV18" s="49">
        <v>0</v>
      </c>
      <c r="CUW18" s="49">
        <v>0</v>
      </c>
      <c r="CUX18" s="64">
        <f t="shared" si="766"/>
        <v>219</v>
      </c>
      <c r="CUY18" s="68">
        <f t="shared" si="767"/>
        <v>36.5</v>
      </c>
      <c r="CUZ18" s="48">
        <v>0</v>
      </c>
      <c r="CVA18" s="49">
        <v>0</v>
      </c>
      <c r="CVB18" s="49">
        <v>0</v>
      </c>
      <c r="CVC18" s="49">
        <v>0</v>
      </c>
      <c r="CVD18" s="49">
        <v>0</v>
      </c>
      <c r="CVE18" s="49">
        <v>0</v>
      </c>
      <c r="CVF18" s="64">
        <f t="shared" si="768"/>
        <v>0</v>
      </c>
      <c r="CVG18" s="68">
        <f t="shared" si="769"/>
        <v>0</v>
      </c>
      <c r="CVH18" s="48">
        <v>0</v>
      </c>
      <c r="CVI18" s="49">
        <v>372</v>
      </c>
      <c r="CVJ18" s="49">
        <v>0</v>
      </c>
      <c r="CVK18" s="49">
        <v>0</v>
      </c>
      <c r="CVL18" s="49">
        <v>0</v>
      </c>
      <c r="CVM18" s="49">
        <v>0</v>
      </c>
      <c r="CVN18" s="64">
        <f t="shared" si="770"/>
        <v>372</v>
      </c>
      <c r="CVO18" s="68">
        <f t="shared" si="771"/>
        <v>62</v>
      </c>
      <c r="CVP18" s="48"/>
      <c r="CVQ18" s="49">
        <v>20</v>
      </c>
      <c r="CVR18" s="49">
        <v>0</v>
      </c>
      <c r="CVS18" s="49">
        <v>318</v>
      </c>
      <c r="CVT18" s="49">
        <v>0</v>
      </c>
      <c r="CVU18" s="49">
        <v>0</v>
      </c>
      <c r="CVV18" s="64">
        <f t="shared" si="772"/>
        <v>338</v>
      </c>
      <c r="CVW18" s="68">
        <f t="shared" si="773"/>
        <v>56.333333333333336</v>
      </c>
      <c r="CVX18" s="48">
        <v>0</v>
      </c>
      <c r="CVY18" s="49">
        <v>0</v>
      </c>
      <c r="CVZ18" s="49">
        <v>0</v>
      </c>
      <c r="CWA18" s="49"/>
      <c r="CWB18" s="49">
        <v>220</v>
      </c>
      <c r="CWC18" s="49">
        <v>0</v>
      </c>
      <c r="CWD18" s="64">
        <f t="shared" si="774"/>
        <v>220</v>
      </c>
      <c r="CWE18" s="68">
        <f t="shared" si="775"/>
        <v>36.666666666666664</v>
      </c>
      <c r="CWF18" s="48">
        <v>117</v>
      </c>
      <c r="CWG18" s="49">
        <v>0</v>
      </c>
      <c r="CWH18" s="49">
        <v>0</v>
      </c>
      <c r="CWI18" s="49">
        <v>0</v>
      </c>
      <c r="CWJ18" s="49">
        <v>0</v>
      </c>
      <c r="CWK18" s="49">
        <v>0</v>
      </c>
      <c r="CWL18" s="64">
        <f t="shared" si="776"/>
        <v>117</v>
      </c>
      <c r="CWM18" s="68">
        <f t="shared" si="777"/>
        <v>19.5</v>
      </c>
      <c r="CWN18" s="48">
        <v>0</v>
      </c>
      <c r="CWO18" s="49">
        <v>332</v>
      </c>
      <c r="CWP18" s="49">
        <v>0</v>
      </c>
      <c r="CWQ18" s="49">
        <v>0</v>
      </c>
      <c r="CWR18" s="49">
        <v>0</v>
      </c>
      <c r="CWS18" s="49">
        <v>0</v>
      </c>
      <c r="CWT18" s="64">
        <f t="shared" si="778"/>
        <v>332</v>
      </c>
      <c r="CWU18" s="68">
        <f t="shared" si="779"/>
        <v>55.333333333333336</v>
      </c>
      <c r="CWV18" s="48">
        <v>221</v>
      </c>
      <c r="CWW18" s="49">
        <v>0</v>
      </c>
      <c r="CWX18" s="49">
        <v>0</v>
      </c>
      <c r="CWY18" s="49">
        <v>0</v>
      </c>
      <c r="CWZ18" s="49">
        <v>110</v>
      </c>
      <c r="CXA18" s="49">
        <v>0</v>
      </c>
      <c r="CXB18" s="127">
        <f t="shared" si="780"/>
        <v>331</v>
      </c>
      <c r="CXC18" s="43">
        <f t="shared" si="781"/>
        <v>55.166666666666664</v>
      </c>
      <c r="CXD18" s="48">
        <v>0</v>
      </c>
      <c r="CXE18" s="49">
        <v>0</v>
      </c>
      <c r="CXF18" s="49">
        <v>0</v>
      </c>
      <c r="CXG18" s="49">
        <v>0</v>
      </c>
      <c r="CXH18" s="49">
        <v>0</v>
      </c>
      <c r="CXI18" s="49">
        <v>219</v>
      </c>
      <c r="CXJ18" s="127">
        <f t="shared" si="782"/>
        <v>219</v>
      </c>
      <c r="CXK18" s="43">
        <f t="shared" si="783"/>
        <v>36.5</v>
      </c>
      <c r="CXL18" s="48">
        <v>0</v>
      </c>
      <c r="CXM18" s="49">
        <v>0</v>
      </c>
      <c r="CXN18" s="49">
        <v>332</v>
      </c>
      <c r="CXO18" s="49">
        <v>0</v>
      </c>
      <c r="CXP18" s="49">
        <v>0</v>
      </c>
      <c r="CXQ18" s="49">
        <v>0</v>
      </c>
      <c r="CXR18" s="127">
        <f t="shared" si="784"/>
        <v>332</v>
      </c>
      <c r="CXS18" s="43">
        <f t="shared" si="785"/>
        <v>55.333333333333336</v>
      </c>
      <c r="CXT18" s="48">
        <v>0</v>
      </c>
      <c r="CXU18" s="49">
        <v>330</v>
      </c>
      <c r="CXV18" s="49">
        <v>0</v>
      </c>
      <c r="CXW18" s="49">
        <v>0</v>
      </c>
      <c r="CXX18" s="49">
        <v>0</v>
      </c>
      <c r="CXY18" s="49">
        <v>110</v>
      </c>
      <c r="CXZ18" s="127">
        <f t="shared" si="786"/>
        <v>440</v>
      </c>
      <c r="CYA18" s="43">
        <f t="shared" si="787"/>
        <v>73.333333333333329</v>
      </c>
      <c r="CYB18" s="48">
        <v>0</v>
      </c>
      <c r="CYC18" s="49">
        <v>0</v>
      </c>
      <c r="CYD18" s="49">
        <v>0</v>
      </c>
      <c r="CYE18" s="49">
        <v>220</v>
      </c>
      <c r="CYF18" s="49">
        <v>0</v>
      </c>
      <c r="CYG18" s="49">
        <v>0</v>
      </c>
      <c r="CYH18" s="127">
        <f t="shared" si="788"/>
        <v>220</v>
      </c>
      <c r="CYI18" s="43">
        <f t="shared" si="789"/>
        <v>36.666666666666664</v>
      </c>
      <c r="CYJ18" s="48"/>
      <c r="CYK18" s="49">
        <v>0</v>
      </c>
      <c r="CYL18" s="49">
        <v>0</v>
      </c>
      <c r="CYM18" s="49">
        <v>0</v>
      </c>
      <c r="CYN18" s="49">
        <v>221</v>
      </c>
      <c r="CYO18" s="49">
        <v>0</v>
      </c>
      <c r="CYP18" s="127">
        <f t="shared" si="790"/>
        <v>221</v>
      </c>
      <c r="CYQ18" s="43">
        <f t="shared" si="791"/>
        <v>36.833333333333336</v>
      </c>
      <c r="CYR18" s="48">
        <v>0</v>
      </c>
      <c r="CYS18" s="49">
        <v>0</v>
      </c>
      <c r="CYT18" s="49">
        <v>0</v>
      </c>
      <c r="CYU18" s="49">
        <v>220</v>
      </c>
      <c r="CYV18" s="49">
        <v>0</v>
      </c>
      <c r="CYW18" s="49">
        <v>0</v>
      </c>
      <c r="CYX18" s="127">
        <f t="shared" si="792"/>
        <v>220</v>
      </c>
      <c r="CYY18" s="43">
        <f t="shared" si="793"/>
        <v>36.666666666666664</v>
      </c>
      <c r="CYZ18" s="48">
        <v>0</v>
      </c>
      <c r="CZA18" s="49">
        <v>0</v>
      </c>
      <c r="CZB18" s="49">
        <v>220</v>
      </c>
      <c r="CZC18" s="49">
        <v>0</v>
      </c>
      <c r="CZD18" s="49"/>
      <c r="CZE18" s="49">
        <v>0</v>
      </c>
      <c r="CZF18" s="127">
        <f t="shared" si="794"/>
        <v>220</v>
      </c>
      <c r="CZG18" s="43">
        <f t="shared" si="795"/>
        <v>44</v>
      </c>
      <c r="CZH18" s="48">
        <v>0</v>
      </c>
      <c r="CZI18" s="49">
        <v>110</v>
      </c>
      <c r="CZJ18" s="49">
        <v>0</v>
      </c>
      <c r="CZK18" s="49">
        <v>0</v>
      </c>
      <c r="CZL18" s="49">
        <v>0</v>
      </c>
      <c r="CZM18" s="49">
        <v>0</v>
      </c>
      <c r="CZN18" s="127">
        <f t="shared" si="796"/>
        <v>110</v>
      </c>
      <c r="CZO18" s="43">
        <f t="shared" si="797"/>
        <v>18.333333333333332</v>
      </c>
      <c r="CZP18" s="48"/>
      <c r="CZQ18" s="49"/>
      <c r="CZR18" s="49">
        <v>220</v>
      </c>
      <c r="CZS18" s="49">
        <v>0</v>
      </c>
      <c r="CZT18" s="49">
        <v>0</v>
      </c>
      <c r="CZU18" s="49">
        <v>0</v>
      </c>
      <c r="CZV18" s="127">
        <f t="shared" si="798"/>
        <v>220</v>
      </c>
      <c r="CZW18" s="43">
        <f t="shared" si="799"/>
        <v>36.666666666666664</v>
      </c>
      <c r="CZX18" s="48">
        <v>0</v>
      </c>
      <c r="CZY18" s="49">
        <v>329</v>
      </c>
      <c r="CZZ18" s="49">
        <v>0</v>
      </c>
      <c r="DAA18" s="49">
        <v>0</v>
      </c>
      <c r="DAB18" s="49">
        <v>0</v>
      </c>
      <c r="DAC18" s="49">
        <v>0</v>
      </c>
      <c r="DAD18" s="64">
        <f t="shared" si="800"/>
        <v>329</v>
      </c>
      <c r="DAE18" s="68">
        <f t="shared" si="801"/>
        <v>54.833333333333336</v>
      </c>
      <c r="DAF18" s="48">
        <v>0</v>
      </c>
      <c r="DAG18" s="49">
        <v>0</v>
      </c>
      <c r="DAH18" s="49">
        <v>0</v>
      </c>
      <c r="DAI18" s="49">
        <v>330</v>
      </c>
      <c r="DAJ18" s="49">
        <v>0</v>
      </c>
      <c r="DAK18" s="49">
        <v>0</v>
      </c>
      <c r="DAL18" s="64">
        <f t="shared" si="802"/>
        <v>330</v>
      </c>
      <c r="DAM18" s="68">
        <f t="shared" si="803"/>
        <v>55</v>
      </c>
      <c r="DAN18" s="48">
        <v>0</v>
      </c>
      <c r="DAO18" s="49">
        <v>0</v>
      </c>
      <c r="DAP18" s="49">
        <v>0</v>
      </c>
      <c r="DAQ18" s="49">
        <v>224</v>
      </c>
      <c r="DAR18" s="49">
        <v>0</v>
      </c>
      <c r="DAS18" s="49"/>
      <c r="DAT18" s="64">
        <f t="shared" si="804"/>
        <v>224</v>
      </c>
      <c r="DAU18" s="68">
        <f t="shared" si="805"/>
        <v>37.333333333333336</v>
      </c>
      <c r="DAV18" s="48">
        <v>0</v>
      </c>
      <c r="DAW18" s="49">
        <v>0</v>
      </c>
      <c r="DAX18" s="49">
        <v>0</v>
      </c>
      <c r="DAY18" s="49">
        <v>117</v>
      </c>
      <c r="DAZ18" s="49">
        <v>0</v>
      </c>
      <c r="DBA18" s="49">
        <v>0</v>
      </c>
      <c r="DBB18" s="64">
        <f t="shared" si="806"/>
        <v>117</v>
      </c>
      <c r="DBC18" s="68">
        <f t="shared" si="807"/>
        <v>19.5</v>
      </c>
      <c r="DBD18" s="48">
        <v>0</v>
      </c>
      <c r="DBE18" s="49">
        <v>0</v>
      </c>
      <c r="DBF18" s="49">
        <v>0</v>
      </c>
      <c r="DBG18" s="49">
        <v>338</v>
      </c>
      <c r="DBH18" s="49"/>
      <c r="DBI18" s="49">
        <v>0</v>
      </c>
      <c r="DBJ18" s="64">
        <f t="shared" si="808"/>
        <v>338</v>
      </c>
      <c r="DBK18" s="68">
        <f t="shared" si="809"/>
        <v>56.333333333333336</v>
      </c>
      <c r="DBL18" s="48"/>
      <c r="DBM18" s="49"/>
      <c r="DBN18" s="49">
        <v>0</v>
      </c>
      <c r="DBO18" s="49">
        <v>0</v>
      </c>
      <c r="DBP18" s="49"/>
      <c r="DBQ18" s="49"/>
      <c r="DBR18" s="64">
        <f t="shared" si="810"/>
        <v>0</v>
      </c>
      <c r="DBS18" s="68">
        <f t="shared" si="811"/>
        <v>0</v>
      </c>
      <c r="DBT18" s="48">
        <v>0</v>
      </c>
      <c r="DBU18" s="49"/>
      <c r="DBV18" s="49">
        <v>340</v>
      </c>
      <c r="DBW18" s="49">
        <v>0</v>
      </c>
      <c r="DBX18" s="49">
        <v>0</v>
      </c>
      <c r="DBY18" s="49">
        <v>0</v>
      </c>
      <c r="DBZ18" s="64">
        <f t="shared" si="812"/>
        <v>340</v>
      </c>
      <c r="DCA18" s="68">
        <f t="shared" si="813"/>
        <v>68</v>
      </c>
      <c r="DCB18" s="48">
        <v>0</v>
      </c>
      <c r="DCC18" s="49">
        <v>333</v>
      </c>
      <c r="DCD18" s="49">
        <v>0</v>
      </c>
      <c r="DCE18" s="49">
        <v>0</v>
      </c>
      <c r="DCF18" s="49">
        <v>0</v>
      </c>
      <c r="DCG18" s="49">
        <v>0</v>
      </c>
      <c r="DCH18" s="64">
        <f t="shared" si="814"/>
        <v>333</v>
      </c>
      <c r="DCI18" s="68">
        <f t="shared" si="815"/>
        <v>55.5</v>
      </c>
      <c r="DCJ18" s="48">
        <v>0</v>
      </c>
      <c r="DCK18" s="49">
        <v>0</v>
      </c>
      <c r="DCL18" s="49">
        <v>0</v>
      </c>
      <c r="DCM18" s="49">
        <v>221</v>
      </c>
      <c r="DCN18" s="49">
        <v>0</v>
      </c>
      <c r="DCO18" s="49">
        <v>0</v>
      </c>
      <c r="DCP18" s="64">
        <f t="shared" si="816"/>
        <v>221</v>
      </c>
      <c r="DCQ18" s="68">
        <f t="shared" si="817"/>
        <v>36.833333333333336</v>
      </c>
      <c r="DCR18" s="48">
        <v>0</v>
      </c>
      <c r="DCS18" s="49">
        <v>218</v>
      </c>
      <c r="DCT18" s="49">
        <v>0</v>
      </c>
      <c r="DCU18" s="49">
        <v>0</v>
      </c>
      <c r="DCV18" s="49">
        <v>0</v>
      </c>
      <c r="DCW18" s="49">
        <v>0</v>
      </c>
      <c r="DCX18" s="64">
        <f t="shared" si="818"/>
        <v>218</v>
      </c>
      <c r="DCY18" s="68">
        <f t="shared" si="819"/>
        <v>36.333333333333336</v>
      </c>
      <c r="DCZ18" s="48">
        <v>0</v>
      </c>
      <c r="DDA18" s="49">
        <v>0</v>
      </c>
      <c r="DDB18" s="49">
        <v>221</v>
      </c>
      <c r="DDC18" s="49">
        <v>0</v>
      </c>
      <c r="DDD18" s="49"/>
      <c r="DDE18" s="49">
        <v>0</v>
      </c>
      <c r="DDF18" s="64">
        <f t="shared" si="820"/>
        <v>221</v>
      </c>
      <c r="DDG18" s="68">
        <f t="shared" si="821"/>
        <v>36.833333333333336</v>
      </c>
      <c r="DDH18" s="48">
        <v>0</v>
      </c>
      <c r="DDI18" s="49">
        <v>0</v>
      </c>
      <c r="DDJ18" s="49">
        <v>0</v>
      </c>
      <c r="DDK18" s="49">
        <v>306</v>
      </c>
      <c r="DDL18" s="49">
        <v>0</v>
      </c>
      <c r="DDM18" s="49">
        <v>0</v>
      </c>
      <c r="DDN18" s="127">
        <f t="shared" si="822"/>
        <v>306</v>
      </c>
      <c r="DDO18" s="43">
        <f t="shared" si="823"/>
        <v>51</v>
      </c>
      <c r="DDP18" s="48">
        <v>0</v>
      </c>
      <c r="DDQ18" s="49">
        <v>0</v>
      </c>
      <c r="DDR18" s="49">
        <v>0</v>
      </c>
      <c r="DDS18" s="49"/>
      <c r="DDT18" s="49">
        <v>0</v>
      </c>
      <c r="DDU18" s="49"/>
      <c r="DDV18" s="127">
        <f t="shared" si="824"/>
        <v>0</v>
      </c>
      <c r="DDW18" s="43">
        <f t="shared" si="825"/>
        <v>0</v>
      </c>
      <c r="DDX18" s="48">
        <v>220</v>
      </c>
      <c r="DDY18" s="49">
        <v>0</v>
      </c>
      <c r="DDZ18" s="49">
        <v>0</v>
      </c>
      <c r="DEA18" s="49"/>
      <c r="DEB18" s="49">
        <v>0</v>
      </c>
      <c r="DEC18" s="49">
        <v>0</v>
      </c>
      <c r="DED18" s="127">
        <f t="shared" si="826"/>
        <v>220</v>
      </c>
      <c r="DEE18" s="43">
        <f t="shared" si="827"/>
        <v>36.666666666666664</v>
      </c>
      <c r="DEF18" s="48">
        <v>0</v>
      </c>
      <c r="DEG18" s="49">
        <v>0</v>
      </c>
      <c r="DEH18" s="49">
        <v>331</v>
      </c>
      <c r="DEI18" s="49">
        <v>0</v>
      </c>
      <c r="DEJ18" s="49">
        <v>0</v>
      </c>
      <c r="DEK18" s="49">
        <v>0</v>
      </c>
      <c r="DEL18" s="127">
        <f t="shared" si="828"/>
        <v>331</v>
      </c>
      <c r="DEM18" s="43">
        <f t="shared" si="829"/>
        <v>55.166666666666664</v>
      </c>
      <c r="DEN18" s="48"/>
      <c r="DEO18" s="49">
        <v>0</v>
      </c>
      <c r="DEP18" s="49">
        <v>0</v>
      </c>
      <c r="DEQ18" s="49">
        <v>0</v>
      </c>
      <c r="DER18" s="49"/>
      <c r="DES18" s="49">
        <v>0</v>
      </c>
      <c r="DET18" s="127">
        <f t="shared" si="830"/>
        <v>0</v>
      </c>
      <c r="DEU18" s="43">
        <f t="shared" si="831"/>
        <v>0</v>
      </c>
      <c r="DEV18" s="48">
        <v>0</v>
      </c>
      <c r="DEW18" s="49"/>
      <c r="DEX18" s="49">
        <v>0</v>
      </c>
      <c r="DEY18" s="49">
        <v>330</v>
      </c>
      <c r="DEZ18" s="49">
        <v>0</v>
      </c>
      <c r="DFA18" s="49">
        <v>0</v>
      </c>
      <c r="DFB18" s="127">
        <f t="shared" si="832"/>
        <v>330</v>
      </c>
      <c r="DFC18" s="43">
        <f t="shared" si="833"/>
        <v>55</v>
      </c>
      <c r="DFD18" s="48">
        <v>0</v>
      </c>
      <c r="DFE18" s="49">
        <v>0</v>
      </c>
      <c r="DFF18" s="49"/>
      <c r="DFG18" s="49">
        <v>110</v>
      </c>
      <c r="DFH18" s="49">
        <v>0</v>
      </c>
      <c r="DFI18" s="49"/>
      <c r="DFJ18" s="127">
        <f t="shared" si="834"/>
        <v>110</v>
      </c>
      <c r="DFK18" s="43">
        <f t="shared" si="835"/>
        <v>18.333333333333332</v>
      </c>
      <c r="DFL18" s="63"/>
      <c r="DFM18" s="64">
        <v>0</v>
      </c>
      <c r="DFN18" s="64">
        <v>0</v>
      </c>
      <c r="DFO18" s="64">
        <v>0</v>
      </c>
      <c r="DFP18" s="64">
        <v>330</v>
      </c>
      <c r="DFQ18" s="64">
        <v>0</v>
      </c>
      <c r="DFR18" s="64">
        <f t="shared" si="836"/>
        <v>330</v>
      </c>
      <c r="DFS18" s="68">
        <f t="shared" si="837"/>
        <v>55</v>
      </c>
      <c r="DFT18" s="48">
        <v>0</v>
      </c>
      <c r="DFU18" s="49">
        <v>0</v>
      </c>
      <c r="DFV18" s="49">
        <v>0</v>
      </c>
      <c r="DFW18" s="49">
        <v>0</v>
      </c>
      <c r="DFX18" s="49"/>
      <c r="DFY18" s="49">
        <v>0</v>
      </c>
      <c r="DFZ18" s="127">
        <f t="shared" si="838"/>
        <v>0</v>
      </c>
      <c r="DGA18" s="43">
        <f t="shared" si="839"/>
        <v>0</v>
      </c>
      <c r="DGB18" s="48">
        <v>0</v>
      </c>
      <c r="DGC18" s="49">
        <v>329</v>
      </c>
      <c r="DGD18" s="49">
        <v>0</v>
      </c>
      <c r="DGE18" s="49"/>
      <c r="DGF18" s="49">
        <v>0</v>
      </c>
      <c r="DGG18" s="49">
        <v>0</v>
      </c>
      <c r="DGH18" s="127">
        <f t="shared" si="840"/>
        <v>329</v>
      </c>
      <c r="DGI18" s="43">
        <f t="shared" si="841"/>
        <v>54.833333333333336</v>
      </c>
      <c r="DGJ18" s="48">
        <v>0</v>
      </c>
      <c r="DGK18" s="49">
        <v>81</v>
      </c>
      <c r="DGL18" s="49">
        <v>0</v>
      </c>
      <c r="DGM18" s="49">
        <v>0</v>
      </c>
      <c r="DGN18" s="49">
        <v>0</v>
      </c>
      <c r="DGO18" s="49"/>
      <c r="DGP18" s="64">
        <f t="shared" si="842"/>
        <v>81</v>
      </c>
      <c r="DGQ18" s="68">
        <f t="shared" si="843"/>
        <v>13.5</v>
      </c>
      <c r="DGR18" s="48">
        <v>0</v>
      </c>
      <c r="DGS18" s="49">
        <v>0</v>
      </c>
      <c r="DGT18" s="49">
        <v>0</v>
      </c>
      <c r="DGU18" s="49">
        <v>0</v>
      </c>
      <c r="DGV18" s="49">
        <v>0</v>
      </c>
      <c r="DGW18" s="49"/>
      <c r="DGX18" s="64">
        <f t="shared" si="844"/>
        <v>0</v>
      </c>
      <c r="DGY18" s="68">
        <f t="shared" si="845"/>
        <v>0</v>
      </c>
      <c r="DGZ18" s="48">
        <v>330</v>
      </c>
      <c r="DHA18" s="49">
        <v>0</v>
      </c>
      <c r="DHB18" s="49">
        <v>0</v>
      </c>
      <c r="DHC18" s="49">
        <v>0</v>
      </c>
      <c r="DHD18" s="49">
        <v>0</v>
      </c>
      <c r="DHE18" s="49">
        <v>0</v>
      </c>
      <c r="DHF18" s="64">
        <f t="shared" si="846"/>
        <v>330</v>
      </c>
      <c r="DHG18" s="68">
        <f t="shared" si="847"/>
        <v>55</v>
      </c>
      <c r="DHH18" s="63"/>
      <c r="DHI18" s="64">
        <v>135</v>
      </c>
      <c r="DHJ18" s="64">
        <v>0</v>
      </c>
      <c r="DHK18" s="64">
        <v>0</v>
      </c>
      <c r="DHL18" s="64">
        <v>0</v>
      </c>
      <c r="DHM18" s="64"/>
      <c r="DHN18" s="64">
        <f t="shared" si="848"/>
        <v>135</v>
      </c>
      <c r="DHO18" s="68">
        <f t="shared" si="849"/>
        <v>22.5</v>
      </c>
      <c r="DHP18" s="48"/>
      <c r="DHQ18" s="49">
        <v>0</v>
      </c>
      <c r="DHR18" s="49">
        <v>0</v>
      </c>
      <c r="DHS18" s="49">
        <v>0</v>
      </c>
      <c r="DHT18" s="49">
        <v>0</v>
      </c>
      <c r="DHU18" s="49">
        <v>220</v>
      </c>
      <c r="DHV18" s="64">
        <f t="shared" si="850"/>
        <v>220</v>
      </c>
      <c r="DHW18" s="68">
        <f t="shared" si="851"/>
        <v>36.666666666666664</v>
      </c>
      <c r="DHX18" s="48">
        <v>0</v>
      </c>
      <c r="DHY18" s="49"/>
      <c r="DHZ18" s="49">
        <v>0</v>
      </c>
      <c r="DIA18" s="49">
        <v>0</v>
      </c>
      <c r="DIB18" s="49">
        <v>0</v>
      </c>
      <c r="DIC18" s="49">
        <v>0</v>
      </c>
      <c r="DID18" s="64">
        <f t="shared" si="852"/>
        <v>0</v>
      </c>
      <c r="DIE18" s="68">
        <f t="shared" si="853"/>
        <v>0</v>
      </c>
      <c r="DIF18" s="48"/>
      <c r="DIG18" s="49">
        <v>0</v>
      </c>
      <c r="DIH18" s="49"/>
      <c r="DII18" s="49">
        <v>220</v>
      </c>
      <c r="DIJ18" s="49">
        <v>0</v>
      </c>
      <c r="DIK18" s="49"/>
      <c r="DIL18" s="64">
        <f t="shared" si="854"/>
        <v>220</v>
      </c>
      <c r="DIM18" s="68">
        <f t="shared" si="855"/>
        <v>36.666666666666664</v>
      </c>
      <c r="DIN18" s="48">
        <v>0</v>
      </c>
      <c r="DIO18" s="49"/>
      <c r="DIP18" s="49">
        <v>0</v>
      </c>
      <c r="DIQ18" s="49">
        <v>0</v>
      </c>
      <c r="DIR18" s="49">
        <v>0</v>
      </c>
      <c r="DIS18" s="49">
        <v>219</v>
      </c>
      <c r="DIT18" s="64">
        <f t="shared" si="856"/>
        <v>219</v>
      </c>
      <c r="DIU18" s="68">
        <f t="shared" si="857"/>
        <v>36.5</v>
      </c>
      <c r="DIV18" s="48">
        <f>SUMIF(SUMPK!$B:$B,$B:$B,SUMPK!$O:$O)</f>
        <v>0</v>
      </c>
      <c r="DIW18" s="49">
        <v>0</v>
      </c>
      <c r="DIX18" s="49">
        <v>0</v>
      </c>
      <c r="DIY18" s="49">
        <v>0</v>
      </c>
      <c r="DIZ18" s="49">
        <v>0</v>
      </c>
      <c r="DJA18" s="49">
        <v>110</v>
      </c>
      <c r="DJB18" s="64">
        <f t="shared" si="858"/>
        <v>110</v>
      </c>
      <c r="DJC18" s="68">
        <f t="shared" si="859"/>
        <v>18.333333333333332</v>
      </c>
      <c r="DJD18" s="48">
        <v>0</v>
      </c>
      <c r="DJE18" s="49">
        <v>0</v>
      </c>
      <c r="DJF18" s="49">
        <v>0</v>
      </c>
      <c r="DJG18" s="49"/>
      <c r="DJH18" s="49">
        <v>0</v>
      </c>
      <c r="DJI18" s="49"/>
      <c r="DJJ18" s="64">
        <f t="shared" si="860"/>
        <v>0</v>
      </c>
      <c r="DJK18" s="68">
        <f t="shared" si="861"/>
        <v>0</v>
      </c>
      <c r="DJL18" s="48">
        <v>409</v>
      </c>
      <c r="DJM18" s="49">
        <v>0</v>
      </c>
      <c r="DJN18" s="49">
        <v>0</v>
      </c>
      <c r="DJO18" s="49">
        <v>0</v>
      </c>
      <c r="DJP18" s="49">
        <v>0</v>
      </c>
      <c r="DJQ18" s="49">
        <v>0</v>
      </c>
      <c r="DJR18" s="64">
        <f t="shared" si="862"/>
        <v>409</v>
      </c>
      <c r="DJS18" s="68">
        <f t="shared" si="863"/>
        <v>68.166666666666671</v>
      </c>
      <c r="DJT18" s="48"/>
      <c r="DJU18" s="49">
        <v>0</v>
      </c>
      <c r="DJV18" s="49">
        <v>0</v>
      </c>
      <c r="DJW18" s="49">
        <v>0</v>
      </c>
      <c r="DJX18" s="49">
        <v>0</v>
      </c>
      <c r="DJY18" s="49">
        <v>0</v>
      </c>
      <c r="DJZ18" s="64">
        <f t="shared" si="864"/>
        <v>0</v>
      </c>
      <c r="DKA18" s="68">
        <f t="shared" si="865"/>
        <v>0</v>
      </c>
      <c r="DKB18" s="48">
        <v>0</v>
      </c>
      <c r="DKC18" s="49">
        <v>224</v>
      </c>
      <c r="DKD18" s="49">
        <v>0</v>
      </c>
      <c r="DKE18" s="49">
        <v>0</v>
      </c>
      <c r="DKF18" s="49">
        <v>0</v>
      </c>
      <c r="DKG18" s="49">
        <v>0</v>
      </c>
      <c r="DKH18" s="64">
        <f t="shared" si="866"/>
        <v>224</v>
      </c>
      <c r="DKI18" s="68">
        <f t="shared" si="867"/>
        <v>37.333333333333336</v>
      </c>
      <c r="DKJ18" s="48"/>
      <c r="DKK18" s="49"/>
      <c r="DKL18" s="49">
        <v>111</v>
      </c>
      <c r="DKM18" s="49">
        <v>0</v>
      </c>
      <c r="DKN18" s="49">
        <v>0</v>
      </c>
      <c r="DKO18" s="49">
        <v>0</v>
      </c>
      <c r="DKP18" s="64">
        <f t="shared" si="868"/>
        <v>111</v>
      </c>
      <c r="DKQ18" s="68">
        <f t="shared" si="869"/>
        <v>18.5</v>
      </c>
      <c r="DKR18" s="48"/>
      <c r="DKS18" s="49">
        <v>0</v>
      </c>
      <c r="DKT18" s="49">
        <v>0</v>
      </c>
      <c r="DKU18" s="49">
        <v>331</v>
      </c>
      <c r="DKV18" s="49">
        <v>0</v>
      </c>
      <c r="DKW18" s="49">
        <v>0</v>
      </c>
      <c r="DKX18" s="64">
        <f t="shared" si="870"/>
        <v>331</v>
      </c>
      <c r="DKY18" s="68">
        <f t="shared" si="871"/>
        <v>55.166666666666664</v>
      </c>
      <c r="DKZ18" s="48">
        <v>0</v>
      </c>
      <c r="DLA18" s="49">
        <v>0</v>
      </c>
      <c r="DLB18" s="49">
        <v>0</v>
      </c>
      <c r="DLC18" s="49">
        <v>0</v>
      </c>
      <c r="DLD18" s="49">
        <v>0</v>
      </c>
      <c r="DLE18" s="49">
        <v>0</v>
      </c>
      <c r="DLF18" s="64">
        <f t="shared" si="872"/>
        <v>0</v>
      </c>
      <c r="DLG18" s="68">
        <f t="shared" si="873"/>
        <v>0</v>
      </c>
      <c r="DLH18" s="48"/>
      <c r="DLI18" s="49"/>
      <c r="DLJ18" s="49">
        <v>219</v>
      </c>
      <c r="DLK18" s="49">
        <f>SUMIF(SUMPK!$B:$B,$B:$B,SUMPK!$O:$O)</f>
        <v>0</v>
      </c>
      <c r="DLL18" s="49"/>
      <c r="DLM18" s="49">
        <v>0</v>
      </c>
      <c r="DLN18" s="64">
        <f t="shared" si="874"/>
        <v>219</v>
      </c>
      <c r="DLO18" s="68">
        <f t="shared" si="875"/>
        <v>36.5</v>
      </c>
      <c r="DLP18" s="48">
        <v>0</v>
      </c>
      <c r="DLR18" s="49">
        <v>215</v>
      </c>
      <c r="DLS18" s="49">
        <v>0</v>
      </c>
      <c r="DLT18" s="49">
        <v>0</v>
      </c>
      <c r="DLU18" s="49">
        <v>0</v>
      </c>
      <c r="DLV18" s="64">
        <f t="shared" si="876"/>
        <v>215</v>
      </c>
      <c r="DLW18" s="68">
        <f t="shared" si="877"/>
        <v>35.833333333333336</v>
      </c>
      <c r="DLX18" s="48">
        <v>0</v>
      </c>
      <c r="DLY18" s="49"/>
      <c r="DLZ18" s="49">
        <v>0</v>
      </c>
      <c r="DMA18" s="49">
        <v>0</v>
      </c>
      <c r="DMB18" s="49">
        <v>0</v>
      </c>
      <c r="DMC18" s="49"/>
      <c r="DMD18" s="64">
        <f t="shared" si="878"/>
        <v>0</v>
      </c>
      <c r="DME18" s="68">
        <f t="shared" si="879"/>
        <v>0</v>
      </c>
      <c r="DMF18" s="48"/>
      <c r="DMG18" s="49"/>
      <c r="DMH18" s="49"/>
      <c r="DMI18" s="49">
        <v>0</v>
      </c>
      <c r="DMJ18" s="49">
        <v>223</v>
      </c>
      <c r="DMK18" s="49">
        <v>0</v>
      </c>
      <c r="DML18" s="64">
        <f t="shared" si="880"/>
        <v>223</v>
      </c>
      <c r="DMM18" s="68">
        <f t="shared" si="881"/>
        <v>37.166666666666664</v>
      </c>
      <c r="DMN18" s="48">
        <v>0</v>
      </c>
      <c r="DMO18" s="49">
        <v>0</v>
      </c>
      <c r="DMP18" s="49">
        <v>0</v>
      </c>
      <c r="DMQ18" s="49">
        <v>0</v>
      </c>
      <c r="DMR18" s="49">
        <v>0</v>
      </c>
      <c r="DMS18" s="49">
        <v>221</v>
      </c>
      <c r="DMT18" s="64">
        <f t="shared" si="882"/>
        <v>221</v>
      </c>
      <c r="DMU18" s="68">
        <f t="shared" si="883"/>
        <v>36.833333333333336</v>
      </c>
      <c r="DMV18" s="48">
        <v>0</v>
      </c>
      <c r="DMW18" s="49">
        <v>0</v>
      </c>
      <c r="DMX18" s="49">
        <v>0</v>
      </c>
      <c r="DMY18" s="49">
        <v>0</v>
      </c>
      <c r="DMZ18" s="49">
        <v>0</v>
      </c>
      <c r="DNA18" s="49">
        <v>109</v>
      </c>
      <c r="DNB18" s="64">
        <f t="shared" si="884"/>
        <v>109</v>
      </c>
      <c r="DNC18" s="68">
        <f t="shared" si="885"/>
        <v>18.166666666666668</v>
      </c>
      <c r="DND18" s="48"/>
      <c r="DNE18" s="49">
        <v>0</v>
      </c>
      <c r="DNF18" s="49"/>
      <c r="DNG18" s="49"/>
      <c r="DNH18" s="49">
        <v>220</v>
      </c>
      <c r="DNI18" s="49"/>
      <c r="DNJ18" s="64">
        <f t="shared" si="886"/>
        <v>220</v>
      </c>
      <c r="DNK18" s="68">
        <f t="shared" si="887"/>
        <v>36.666666666666664</v>
      </c>
      <c r="DNL18" s="48"/>
      <c r="DNM18" s="49"/>
      <c r="DNN18" s="49">
        <v>0</v>
      </c>
      <c r="DNO18" s="49">
        <v>0</v>
      </c>
      <c r="DNP18" s="49">
        <v>110</v>
      </c>
      <c r="DNQ18" s="49">
        <v>0</v>
      </c>
      <c r="DNR18" s="64">
        <f t="shared" si="888"/>
        <v>110</v>
      </c>
      <c r="DNS18" s="68">
        <f t="shared" si="889"/>
        <v>18.333333333333332</v>
      </c>
      <c r="DNT18" s="48"/>
      <c r="DNU18" s="49">
        <v>0</v>
      </c>
      <c r="DNV18" s="49">
        <v>0</v>
      </c>
      <c r="DNW18" s="49"/>
      <c r="DNX18" s="49">
        <v>110</v>
      </c>
      <c r="DNY18" s="49">
        <v>0</v>
      </c>
      <c r="DNZ18" s="64">
        <f t="shared" si="890"/>
        <v>110</v>
      </c>
      <c r="DOA18" s="68">
        <f t="shared" si="891"/>
        <v>18.333333333333332</v>
      </c>
      <c r="DOB18" s="48">
        <v>0</v>
      </c>
      <c r="DOC18" s="49"/>
      <c r="DOD18" s="49"/>
      <c r="DOE18" s="49">
        <v>220</v>
      </c>
      <c r="DOF18" s="49">
        <v>0</v>
      </c>
      <c r="DOG18" s="49">
        <v>0</v>
      </c>
      <c r="DOH18" s="64">
        <f t="shared" si="892"/>
        <v>220</v>
      </c>
      <c r="DOI18" s="68">
        <f t="shared" si="893"/>
        <v>36.666666666666664</v>
      </c>
      <c r="DOJ18" s="48">
        <v>0</v>
      </c>
      <c r="DOK18" s="49">
        <v>0</v>
      </c>
      <c r="DOL18" s="49"/>
      <c r="DOM18" s="49">
        <v>220</v>
      </c>
      <c r="DON18" s="49"/>
      <c r="DOO18" s="49">
        <v>0</v>
      </c>
      <c r="DOP18" s="64">
        <f t="shared" si="894"/>
        <v>220</v>
      </c>
      <c r="DOQ18" s="68">
        <f t="shared" si="895"/>
        <v>36.666666666666664</v>
      </c>
      <c r="DOR18" s="48"/>
      <c r="DOS18" s="49">
        <v>0</v>
      </c>
      <c r="DOT18" s="49"/>
      <c r="DOU18" s="49">
        <v>219</v>
      </c>
      <c r="DOV18" s="49"/>
      <c r="DOW18" s="49">
        <v>0</v>
      </c>
      <c r="DOX18" s="64">
        <f t="shared" si="896"/>
        <v>219</v>
      </c>
      <c r="DOY18" s="68">
        <f t="shared" si="897"/>
        <v>36.5</v>
      </c>
      <c r="DOZ18" s="48"/>
      <c r="DPA18" s="49">
        <v>0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898"/>
        <v>0</v>
      </c>
      <c r="DPG18" s="68">
        <f t="shared" si="899"/>
        <v>0</v>
      </c>
      <c r="DPH18" s="48">
        <v>0</v>
      </c>
      <c r="DPI18" s="49">
        <v>0</v>
      </c>
      <c r="DPJ18" s="49">
        <v>109</v>
      </c>
      <c r="DPK18" s="49">
        <v>0</v>
      </c>
      <c r="DPL18" s="49">
        <v>0</v>
      </c>
      <c r="DPM18" s="49">
        <v>0</v>
      </c>
      <c r="DPN18" s="64">
        <f t="shared" si="900"/>
        <v>109</v>
      </c>
      <c r="DPO18" s="68">
        <f t="shared" si="901"/>
        <v>18.166666666666668</v>
      </c>
      <c r="DPP18" s="48">
        <v>0</v>
      </c>
      <c r="DPQ18" s="49">
        <v>0</v>
      </c>
      <c r="DPR18" s="49">
        <v>0</v>
      </c>
      <c r="DPS18" s="49">
        <v>0</v>
      </c>
      <c r="DPT18" s="49">
        <v>0</v>
      </c>
      <c r="DPU18" s="49">
        <v>0</v>
      </c>
      <c r="DPV18" s="491">
        <f t="shared" si="902"/>
        <v>0</v>
      </c>
      <c r="DPW18" s="492">
        <f t="shared" si="903"/>
        <v>0</v>
      </c>
      <c r="DPX18" s="48"/>
      <c r="DPY18" s="49">
        <v>0</v>
      </c>
      <c r="DPZ18" s="49">
        <v>220</v>
      </c>
      <c r="DQA18" s="49">
        <v>0</v>
      </c>
      <c r="DQB18" s="49">
        <v>0</v>
      </c>
      <c r="DQC18" s="49"/>
      <c r="DQD18" s="491">
        <f t="shared" si="904"/>
        <v>220</v>
      </c>
      <c r="DQE18" s="492">
        <f t="shared" si="905"/>
        <v>36.666666666666664</v>
      </c>
      <c r="DQF18" s="48">
        <v>109</v>
      </c>
      <c r="DQG18" s="49">
        <v>0</v>
      </c>
      <c r="DQH18" s="49">
        <v>0</v>
      </c>
      <c r="DQI18" s="49"/>
      <c r="DQJ18" s="49">
        <v>80</v>
      </c>
      <c r="DQK18" s="49">
        <v>0</v>
      </c>
      <c r="DQL18" s="489">
        <f t="shared" si="906"/>
        <v>189</v>
      </c>
      <c r="DQM18" s="492">
        <f t="shared" si="907"/>
        <v>31.5</v>
      </c>
      <c r="DQN18" s="48">
        <v>110</v>
      </c>
      <c r="DQO18" s="49">
        <v>0</v>
      </c>
      <c r="DQP18" s="49">
        <v>0</v>
      </c>
      <c r="DQQ18" s="49">
        <v>0</v>
      </c>
      <c r="DQR18" s="49">
        <v>0</v>
      </c>
      <c r="DQS18" s="49"/>
      <c r="DQT18" s="64">
        <f t="shared" si="908"/>
        <v>110</v>
      </c>
      <c r="DQU18" s="68">
        <f t="shared" si="909"/>
        <v>18.333333333333332</v>
      </c>
      <c r="DQV18" s="48">
        <v>220</v>
      </c>
      <c r="DQW18" s="49">
        <v>0</v>
      </c>
      <c r="DQX18" s="49">
        <v>0</v>
      </c>
      <c r="DQY18" s="49">
        <v>0</v>
      </c>
      <c r="DQZ18" s="49">
        <v>0</v>
      </c>
      <c r="DRA18" s="49">
        <v>0</v>
      </c>
      <c r="DRB18" s="491">
        <f t="shared" si="910"/>
        <v>220</v>
      </c>
      <c r="DRC18" s="492">
        <f t="shared" si="911"/>
        <v>36.666666666666664</v>
      </c>
      <c r="DRD18" s="48">
        <v>0</v>
      </c>
      <c r="DRE18" s="49">
        <v>219</v>
      </c>
      <c r="DRF18" s="49">
        <v>0</v>
      </c>
      <c r="DRG18" s="49">
        <v>0</v>
      </c>
      <c r="DRH18" s="49">
        <v>100</v>
      </c>
      <c r="DRI18" s="49"/>
      <c r="DRJ18" s="491">
        <f t="shared" si="912"/>
        <v>319</v>
      </c>
      <c r="DRK18" s="492">
        <f t="shared" si="913"/>
        <v>53.166666666666664</v>
      </c>
      <c r="DRL18" s="48"/>
      <c r="DRM18" s="49"/>
      <c r="DRN18" s="49"/>
      <c r="DRO18" s="49"/>
      <c r="DRP18" s="49"/>
      <c r="DRQ18" s="49">
        <v>0</v>
      </c>
      <c r="DRR18" s="64">
        <f t="shared" si="914"/>
        <v>0</v>
      </c>
      <c r="DRS18" s="68">
        <f t="shared" si="915"/>
        <v>0</v>
      </c>
      <c r="DRT18" s="48">
        <v>0</v>
      </c>
      <c r="DRU18" s="49">
        <v>110</v>
      </c>
      <c r="DRV18" s="49">
        <v>0</v>
      </c>
      <c r="DRW18" s="49">
        <v>0</v>
      </c>
      <c r="DRX18" s="49">
        <v>0</v>
      </c>
      <c r="DRY18" s="49"/>
      <c r="DRZ18" s="491">
        <f t="shared" si="916"/>
        <v>110</v>
      </c>
      <c r="DSA18" s="68">
        <f t="shared" si="917"/>
        <v>18.333333333333332</v>
      </c>
      <c r="DSB18" s="82"/>
      <c r="DSC18" s="83">
        <v>0</v>
      </c>
      <c r="DSD18" s="83">
        <v>220</v>
      </c>
      <c r="DSE18" s="83"/>
      <c r="DSF18" s="83"/>
      <c r="DSG18" s="83">
        <v>0</v>
      </c>
      <c r="DSH18" s="64">
        <f t="shared" si="918"/>
        <v>220</v>
      </c>
      <c r="DSI18" s="68">
        <f t="shared" si="919"/>
        <v>36.666666666666664</v>
      </c>
      <c r="DSJ18" s="48"/>
      <c r="DSK18" s="49">
        <v>220</v>
      </c>
      <c r="DSL18" s="49">
        <v>0</v>
      </c>
      <c r="DSM18" s="49">
        <v>0</v>
      </c>
      <c r="DSN18" s="49">
        <v>0</v>
      </c>
      <c r="DSO18" s="49">
        <v>0</v>
      </c>
      <c r="DSP18" s="64">
        <f t="shared" si="920"/>
        <v>220</v>
      </c>
      <c r="DSQ18" s="68">
        <f t="shared" si="921"/>
        <v>36.666666666666664</v>
      </c>
      <c r="DSR18" s="48">
        <v>0</v>
      </c>
      <c r="DSS18" s="49">
        <v>0</v>
      </c>
      <c r="DST18" s="49">
        <v>110</v>
      </c>
      <c r="DSU18" s="49">
        <v>0</v>
      </c>
      <c r="DSV18" s="49">
        <v>0</v>
      </c>
      <c r="DSW18" s="49">
        <v>0</v>
      </c>
      <c r="DSX18" s="64">
        <f t="shared" si="922"/>
        <v>110</v>
      </c>
      <c r="DSY18" s="68">
        <f t="shared" si="923"/>
        <v>18.333333333333332</v>
      </c>
      <c r="DSZ18" s="48">
        <v>221</v>
      </c>
      <c r="DTA18" s="49"/>
      <c r="DTB18" s="49">
        <v>0</v>
      </c>
      <c r="DTC18" s="49">
        <v>0</v>
      </c>
      <c r="DTD18" s="49">
        <v>0</v>
      </c>
      <c r="DTE18" s="49">
        <v>0</v>
      </c>
      <c r="DTF18" s="64">
        <f t="shared" si="924"/>
        <v>221</v>
      </c>
      <c r="DTG18" s="68">
        <f t="shared" si="925"/>
        <v>36.833333333333336</v>
      </c>
      <c r="DTH18" s="48"/>
      <c r="DTI18" s="49">
        <v>111</v>
      </c>
      <c r="DTJ18" s="49">
        <v>0</v>
      </c>
      <c r="DTK18" s="49">
        <v>0</v>
      </c>
      <c r="DTL18" s="49">
        <v>201</v>
      </c>
      <c r="DTM18" s="49">
        <v>0</v>
      </c>
      <c r="DTN18" s="64">
        <f t="shared" si="926"/>
        <v>312</v>
      </c>
      <c r="DTO18" s="68">
        <f t="shared" si="927"/>
        <v>52</v>
      </c>
      <c r="DTP18" s="48">
        <v>0</v>
      </c>
      <c r="DTQ18" s="49">
        <v>0</v>
      </c>
      <c r="DTR18" s="49"/>
      <c r="DTS18" s="49">
        <v>220</v>
      </c>
      <c r="DTT18" s="49">
        <v>0</v>
      </c>
      <c r="DTU18" s="49">
        <v>0</v>
      </c>
      <c r="DTV18" s="64">
        <f t="shared" si="928"/>
        <v>220</v>
      </c>
      <c r="DTW18" s="68">
        <f t="shared" si="929"/>
        <v>36.666666666666664</v>
      </c>
      <c r="DTX18" s="48">
        <v>0</v>
      </c>
      <c r="DTY18" s="49">
        <v>0</v>
      </c>
      <c r="DTZ18" s="49"/>
      <c r="DUA18" s="49"/>
      <c r="DUB18" s="49">
        <v>0</v>
      </c>
      <c r="DUC18" s="49">
        <v>218</v>
      </c>
      <c r="DUD18" s="64">
        <f t="shared" si="930"/>
        <v>218</v>
      </c>
      <c r="DUE18" s="68">
        <f t="shared" si="931"/>
        <v>36.333333333333336</v>
      </c>
      <c r="DUF18" s="48">
        <v>0</v>
      </c>
      <c r="DUG18" s="49">
        <v>0</v>
      </c>
      <c r="DUH18" s="49"/>
      <c r="DUI18" s="49">
        <v>0</v>
      </c>
      <c r="DUJ18" s="49">
        <v>0</v>
      </c>
      <c r="DUK18" s="49">
        <v>0</v>
      </c>
      <c r="DUL18" s="64">
        <f t="shared" si="932"/>
        <v>0</v>
      </c>
      <c r="DUM18" s="68">
        <f t="shared" si="933"/>
        <v>0</v>
      </c>
      <c r="DUN18" s="48"/>
      <c r="DUO18" s="49">
        <v>0</v>
      </c>
      <c r="DUP18" s="49">
        <v>216</v>
      </c>
      <c r="DUQ18" s="49">
        <v>0</v>
      </c>
      <c r="DUR18" s="49"/>
      <c r="DUS18" s="49">
        <v>0</v>
      </c>
      <c r="DUT18" s="64">
        <f t="shared" si="934"/>
        <v>216</v>
      </c>
      <c r="DUU18" s="184">
        <f t="shared" si="935"/>
        <v>36</v>
      </c>
      <c r="DUV18" s="48"/>
      <c r="DUW18" s="49">
        <v>0</v>
      </c>
      <c r="DUX18" s="49">
        <v>0</v>
      </c>
      <c r="DUY18" s="49">
        <v>0</v>
      </c>
      <c r="DUZ18" s="49">
        <v>110</v>
      </c>
      <c r="DVA18" s="49"/>
      <c r="DVB18" s="64">
        <f t="shared" si="936"/>
        <v>110</v>
      </c>
      <c r="DVC18" s="68">
        <f t="shared" si="937"/>
        <v>18.333333333333332</v>
      </c>
      <c r="DVD18" s="48"/>
      <c r="DVE18" s="49">
        <v>0</v>
      </c>
      <c r="DVF18" s="49">
        <v>0</v>
      </c>
      <c r="DVG18" s="49">
        <v>220</v>
      </c>
      <c r="DVH18" s="49"/>
      <c r="DVI18" s="49"/>
      <c r="DVJ18" s="64">
        <f t="shared" si="938"/>
        <v>220</v>
      </c>
      <c r="DVK18" s="68">
        <f t="shared" si="939"/>
        <v>36.666666666666664</v>
      </c>
      <c r="DVL18" s="48">
        <v>0</v>
      </c>
      <c r="DVM18" s="49">
        <v>0</v>
      </c>
      <c r="DVN18" s="49">
        <v>0</v>
      </c>
      <c r="DVO18" s="49">
        <v>0</v>
      </c>
      <c r="DVP18" s="49">
        <v>220</v>
      </c>
      <c r="DVQ18" s="49"/>
      <c r="DVR18" s="64">
        <f t="shared" si="940"/>
        <v>220</v>
      </c>
      <c r="DVS18" s="68">
        <f t="shared" si="941"/>
        <v>36.666666666666664</v>
      </c>
      <c r="DVT18" s="48"/>
      <c r="DVU18" s="49">
        <v>0</v>
      </c>
      <c r="DVV18" s="49">
        <v>0</v>
      </c>
      <c r="DVW18" s="49">
        <v>0</v>
      </c>
      <c r="DVX18" s="49"/>
      <c r="DVY18" s="49">
        <v>111</v>
      </c>
      <c r="DVZ18" s="64">
        <f t="shared" si="942"/>
        <v>111</v>
      </c>
      <c r="DWA18" s="68">
        <f t="shared" si="943"/>
        <v>18.5</v>
      </c>
      <c r="DWB18" s="48"/>
      <c r="DWC18" s="49">
        <v>0</v>
      </c>
      <c r="DWD18" s="49">
        <v>0</v>
      </c>
      <c r="DWE18" s="49">
        <v>0</v>
      </c>
      <c r="DWF18" s="49">
        <v>220</v>
      </c>
      <c r="DWG18" s="49">
        <v>0</v>
      </c>
      <c r="DWH18" s="64">
        <f t="shared" si="944"/>
        <v>220</v>
      </c>
      <c r="DWI18" s="68">
        <f t="shared" si="945"/>
        <v>36.666666666666664</v>
      </c>
      <c r="DWJ18" s="48">
        <v>0</v>
      </c>
      <c r="DWK18" s="49"/>
      <c r="DWL18" s="49"/>
      <c r="DWM18" s="49">
        <v>0</v>
      </c>
      <c r="DWN18" s="49">
        <v>101</v>
      </c>
      <c r="DWO18" s="49">
        <v>0</v>
      </c>
      <c r="DWP18" s="64">
        <f t="shared" si="946"/>
        <v>101</v>
      </c>
      <c r="DWQ18" s="68">
        <f t="shared" si="947"/>
        <v>16.833333333333332</v>
      </c>
      <c r="DWR18" s="48"/>
      <c r="DWS18" s="49"/>
      <c r="DWT18" s="49">
        <v>0</v>
      </c>
      <c r="DWU18" s="49"/>
      <c r="DWV18" s="49">
        <v>0</v>
      </c>
      <c r="DWW18" s="49">
        <v>0</v>
      </c>
      <c r="DWX18" s="64">
        <f t="shared" si="948"/>
        <v>0</v>
      </c>
      <c r="DWY18" s="68">
        <f t="shared" si="1201"/>
        <v>0</v>
      </c>
      <c r="DWZ18" s="48">
        <v>205</v>
      </c>
      <c r="DXA18" s="49"/>
      <c r="DXB18" s="49">
        <v>0</v>
      </c>
      <c r="DXC18" s="49">
        <v>0</v>
      </c>
      <c r="DXD18" s="49">
        <v>0</v>
      </c>
      <c r="DXE18" s="49"/>
      <c r="DXF18" s="64">
        <f t="shared" si="949"/>
        <v>205</v>
      </c>
      <c r="DXG18" s="68">
        <f t="shared" si="950"/>
        <v>34.166666666666664</v>
      </c>
      <c r="DXH18" s="48">
        <v>330</v>
      </c>
      <c r="DXI18" s="49">
        <v>0</v>
      </c>
      <c r="DXJ18" s="49">
        <v>0</v>
      </c>
      <c r="DXK18" s="49">
        <v>0</v>
      </c>
      <c r="DXL18" s="49"/>
      <c r="DXM18" s="49">
        <v>0</v>
      </c>
      <c r="DXN18" s="64">
        <f t="shared" si="951"/>
        <v>330</v>
      </c>
      <c r="DXO18" s="68">
        <f t="shared" si="952"/>
        <v>55</v>
      </c>
      <c r="DXP18" s="48">
        <v>220</v>
      </c>
      <c r="DXQ18" s="49">
        <v>0</v>
      </c>
      <c r="DXR18" s="49">
        <v>0</v>
      </c>
      <c r="DXS18" s="49">
        <v>0</v>
      </c>
      <c r="DXT18" s="49"/>
      <c r="DXU18" s="49"/>
      <c r="DXV18" s="64">
        <f t="shared" si="953"/>
        <v>220</v>
      </c>
      <c r="DXW18" s="68">
        <f t="shared" si="954"/>
        <v>36.666666666666664</v>
      </c>
      <c r="DXX18" s="48">
        <v>117</v>
      </c>
      <c r="DXY18" s="49">
        <v>0</v>
      </c>
      <c r="DXZ18" s="49"/>
      <c r="DYA18" s="49">
        <v>0</v>
      </c>
      <c r="DYB18" s="49">
        <v>0</v>
      </c>
      <c r="DYC18" s="49">
        <v>0</v>
      </c>
      <c r="DYD18" s="64">
        <f t="shared" si="955"/>
        <v>117</v>
      </c>
      <c r="DYE18" s="68">
        <f t="shared" si="956"/>
        <v>19.5</v>
      </c>
      <c r="DYF18" s="48"/>
      <c r="DYG18" s="49">
        <v>110</v>
      </c>
      <c r="DYH18" s="49">
        <v>0</v>
      </c>
      <c r="DYI18" s="49">
        <v>0</v>
      </c>
      <c r="DYJ18" s="49">
        <v>0</v>
      </c>
      <c r="DYK18" s="49"/>
      <c r="DYL18" s="64">
        <f t="shared" si="957"/>
        <v>110</v>
      </c>
      <c r="DYM18" s="68">
        <f t="shared" si="958"/>
        <v>18.333333333333332</v>
      </c>
      <c r="DYN18" s="48">
        <v>110</v>
      </c>
      <c r="DYO18" s="49">
        <v>0</v>
      </c>
      <c r="DYP18" s="49">
        <v>0</v>
      </c>
      <c r="DYQ18" s="49">
        <v>0</v>
      </c>
      <c r="DYR18" s="49"/>
      <c r="DYS18" s="49">
        <v>0</v>
      </c>
      <c r="DYT18" s="64">
        <f t="shared" si="959"/>
        <v>110</v>
      </c>
      <c r="DYU18" s="68">
        <f t="shared" si="960"/>
        <v>18.333333333333332</v>
      </c>
      <c r="DYV18" s="48">
        <v>220</v>
      </c>
      <c r="DYW18" s="49">
        <v>0</v>
      </c>
      <c r="DYX18" s="49">
        <v>0</v>
      </c>
      <c r="DYY18" s="49">
        <v>0</v>
      </c>
      <c r="DYZ18" s="49">
        <v>0</v>
      </c>
      <c r="DZA18" s="49">
        <v>0</v>
      </c>
      <c r="DZB18" s="64">
        <f t="shared" si="961"/>
        <v>220</v>
      </c>
      <c r="DZC18" s="68">
        <f t="shared" si="962"/>
        <v>36.666666666666664</v>
      </c>
      <c r="DZD18" s="48">
        <v>114</v>
      </c>
      <c r="DZE18" s="49">
        <v>0</v>
      </c>
      <c r="DZF18" s="49">
        <v>0</v>
      </c>
      <c r="DZG18" s="49"/>
      <c r="DZH18" s="49">
        <f>SUMIF(SUMPK!$B:$B,$B:$B,SUMPK!$O:$O)</f>
        <v>0</v>
      </c>
      <c r="DZI18" s="49"/>
      <c r="DZJ18" s="64">
        <f t="shared" si="963"/>
        <v>114</v>
      </c>
      <c r="DZK18" s="68">
        <f t="shared" si="964"/>
        <v>19</v>
      </c>
      <c r="DZL18" s="48">
        <v>110</v>
      </c>
      <c r="DZM18" s="49">
        <v>0</v>
      </c>
      <c r="DZN18" s="49"/>
      <c r="DZO18" s="49">
        <v>0</v>
      </c>
      <c r="DZP18" s="49"/>
      <c r="DZQ18" s="49"/>
      <c r="DZR18" s="64">
        <f t="shared" si="965"/>
        <v>110</v>
      </c>
      <c r="DZS18" s="68">
        <f t="shared" si="966"/>
        <v>18.333333333333332</v>
      </c>
      <c r="DZT18" s="48">
        <v>0</v>
      </c>
      <c r="DZU18" s="49">
        <v>0</v>
      </c>
      <c r="DZV18" s="49">
        <v>0</v>
      </c>
      <c r="DZW18" s="49">
        <v>220</v>
      </c>
      <c r="DZX18" s="49">
        <v>0</v>
      </c>
      <c r="DZY18" s="49"/>
      <c r="DZZ18" s="64">
        <f t="shared" si="967"/>
        <v>220</v>
      </c>
      <c r="EAA18" s="68">
        <f t="shared" si="968"/>
        <v>36.666666666666664</v>
      </c>
      <c r="EAB18" s="48"/>
      <c r="EAC18" s="49">
        <v>0</v>
      </c>
      <c r="EAD18" s="49"/>
      <c r="EAE18" s="49"/>
      <c r="EAF18" s="49">
        <v>0</v>
      </c>
      <c r="EAG18" s="49">
        <v>220</v>
      </c>
      <c r="EAH18" s="64">
        <f t="shared" si="969"/>
        <v>220</v>
      </c>
      <c r="EAI18" s="68">
        <f t="shared" si="970"/>
        <v>36.666666666666664</v>
      </c>
      <c r="EAJ18" s="48"/>
      <c r="EAK18" s="49">
        <v>0</v>
      </c>
      <c r="EAL18" s="49">
        <v>0</v>
      </c>
      <c r="EAM18" s="49"/>
      <c r="EAN18" s="49"/>
      <c r="EAO18" s="49">
        <v>0</v>
      </c>
      <c r="EAP18" s="64">
        <f t="shared" si="971"/>
        <v>0</v>
      </c>
      <c r="EAQ18" s="68">
        <f t="shared" si="1202"/>
        <v>0</v>
      </c>
      <c r="EAR18" s="48">
        <v>110</v>
      </c>
      <c r="EAS18" s="49">
        <v>0</v>
      </c>
      <c r="EAT18" s="49">
        <v>0</v>
      </c>
      <c r="EAU18" s="49"/>
      <c r="EAV18" s="49">
        <v>0</v>
      </c>
      <c r="EAW18" s="49"/>
      <c r="EAX18" s="64">
        <f t="shared" si="972"/>
        <v>110</v>
      </c>
      <c r="EAY18" s="68">
        <f t="shared" si="973"/>
        <v>18.333333333333332</v>
      </c>
      <c r="EAZ18" s="48">
        <v>110</v>
      </c>
      <c r="EBA18" s="49">
        <v>0</v>
      </c>
      <c r="EBB18" s="49"/>
      <c r="EBC18" s="49"/>
      <c r="EBD18" s="49">
        <v>121</v>
      </c>
      <c r="EBE18" s="49">
        <v>0</v>
      </c>
      <c r="EBF18" s="64">
        <f t="shared" si="974"/>
        <v>231</v>
      </c>
      <c r="EBG18" s="68">
        <f t="shared" si="975"/>
        <v>38.5</v>
      </c>
      <c r="EBH18" s="48"/>
      <c r="EBI18" s="49">
        <v>0</v>
      </c>
      <c r="EBJ18" s="49">
        <v>0</v>
      </c>
      <c r="EBK18" s="49"/>
      <c r="EBL18" s="49">
        <v>220</v>
      </c>
      <c r="EBM18" s="49"/>
      <c r="EBN18" s="64">
        <f t="shared" si="976"/>
        <v>220</v>
      </c>
      <c r="EBO18" s="68">
        <f t="shared" si="1131"/>
        <v>36.666666666666664</v>
      </c>
      <c r="EBP18" s="48"/>
      <c r="EBQ18" s="49">
        <v>0</v>
      </c>
      <c r="EBR18" s="49"/>
      <c r="EBS18" s="49">
        <v>0</v>
      </c>
      <c r="EBT18" s="49">
        <v>0</v>
      </c>
      <c r="EBU18" s="49">
        <v>0</v>
      </c>
      <c r="EBV18" s="64">
        <f t="shared" si="977"/>
        <v>0</v>
      </c>
      <c r="EBW18" s="68">
        <f t="shared" si="978"/>
        <v>0</v>
      </c>
      <c r="EBX18" s="48"/>
      <c r="EBY18" s="49">
        <v>219</v>
      </c>
      <c r="EBZ18" s="49">
        <v>0</v>
      </c>
      <c r="ECA18" s="49">
        <v>0</v>
      </c>
      <c r="ECB18" s="49">
        <v>0</v>
      </c>
      <c r="ECC18" s="49">
        <v>0</v>
      </c>
      <c r="ECD18" s="64">
        <f t="shared" si="979"/>
        <v>219</v>
      </c>
      <c r="ECE18" s="68">
        <f t="shared" si="980"/>
        <v>36.5</v>
      </c>
      <c r="ECF18" s="48">
        <v>110</v>
      </c>
      <c r="ECG18" s="49">
        <v>0</v>
      </c>
      <c r="ECH18" s="49">
        <v>0</v>
      </c>
      <c r="ECI18" s="49"/>
      <c r="ECJ18" s="49"/>
      <c r="ECK18" s="49">
        <v>0</v>
      </c>
      <c r="ECL18" s="64">
        <f t="shared" si="981"/>
        <v>110</v>
      </c>
      <c r="ECM18" s="68">
        <f t="shared" si="982"/>
        <v>18.333333333333332</v>
      </c>
      <c r="ECN18" s="48">
        <v>160</v>
      </c>
      <c r="ECO18" s="49">
        <v>0</v>
      </c>
      <c r="ECP18" s="49"/>
      <c r="ECQ18" s="49"/>
      <c r="ECR18" s="49"/>
      <c r="ECS18" s="49">
        <v>0</v>
      </c>
      <c r="ECT18" s="64">
        <f t="shared" si="983"/>
        <v>160</v>
      </c>
      <c r="ECU18" s="68">
        <f t="shared" si="984"/>
        <v>26.666666666666668</v>
      </c>
      <c r="ECV18" s="48">
        <v>109</v>
      </c>
      <c r="ECW18" s="49"/>
      <c r="ECX18" s="49">
        <v>0</v>
      </c>
      <c r="ECY18" s="49">
        <v>0</v>
      </c>
      <c r="ECZ18" s="49">
        <v>211</v>
      </c>
      <c r="EDA18" s="49">
        <v>0</v>
      </c>
      <c r="EDB18" s="64">
        <f t="shared" si="985"/>
        <v>320</v>
      </c>
      <c r="EDC18" s="68">
        <f t="shared" si="986"/>
        <v>53.333333333333336</v>
      </c>
      <c r="EDD18" s="48">
        <v>0</v>
      </c>
      <c r="EDE18" s="49"/>
      <c r="EDF18" s="49">
        <v>0</v>
      </c>
      <c r="EDG18" s="49">
        <v>0</v>
      </c>
      <c r="EDH18" s="49"/>
      <c r="EDI18" s="49"/>
      <c r="EDJ18" s="64">
        <f t="shared" si="987"/>
        <v>0</v>
      </c>
      <c r="EDK18" s="68">
        <f t="shared" si="988"/>
        <v>0</v>
      </c>
      <c r="EDL18" s="48">
        <v>0</v>
      </c>
      <c r="EDM18" s="49"/>
      <c r="EDN18" s="49"/>
      <c r="EDO18" s="49">
        <f>SUMIF(SUMPK!$B:$B,$B:$B,SUMPK!$O:$O)</f>
        <v>0</v>
      </c>
      <c r="EDP18" s="49"/>
      <c r="EDQ18" s="49">
        <v>0</v>
      </c>
      <c r="EDR18" s="64">
        <f t="shared" si="989"/>
        <v>0</v>
      </c>
      <c r="EDS18" s="184">
        <f t="shared" si="990"/>
        <v>0</v>
      </c>
      <c r="EDT18" s="195">
        <v>0</v>
      </c>
      <c r="EDU18" s="49">
        <v>0</v>
      </c>
      <c r="EDV18" s="49">
        <v>110</v>
      </c>
      <c r="EDW18" s="49">
        <v>0</v>
      </c>
      <c r="EDX18" s="49"/>
      <c r="EDY18" s="49"/>
      <c r="EDZ18" s="64">
        <f t="shared" si="991"/>
        <v>110</v>
      </c>
      <c r="EEA18" s="184">
        <f t="shared" si="992"/>
        <v>18.333333333333332</v>
      </c>
      <c r="EEB18" s="48">
        <v>0</v>
      </c>
      <c r="EEC18" s="49">
        <v>0</v>
      </c>
      <c r="EED18" s="49">
        <v>160</v>
      </c>
      <c r="EEE18" s="49">
        <v>0</v>
      </c>
      <c r="EEF18" s="49">
        <v>0</v>
      </c>
      <c r="EEG18" s="49"/>
      <c r="EEH18" s="64">
        <f t="shared" si="993"/>
        <v>160</v>
      </c>
      <c r="EEI18" s="68">
        <f t="shared" si="994"/>
        <v>26.666666666666668</v>
      </c>
      <c r="EEJ18" s="48">
        <v>0</v>
      </c>
      <c r="EEK18" s="49"/>
      <c r="EEL18" s="49">
        <v>0</v>
      </c>
      <c r="EEM18" s="49"/>
      <c r="EEN18" s="49"/>
      <c r="EEO18" s="49">
        <v>0</v>
      </c>
      <c r="EEP18" s="64">
        <f t="shared" si="995"/>
        <v>0</v>
      </c>
      <c r="EEQ18" s="68">
        <f t="shared" si="996"/>
        <v>0</v>
      </c>
      <c r="EER18" s="48">
        <v>110</v>
      </c>
      <c r="EES18" s="49">
        <v>0</v>
      </c>
      <c r="EET18" s="49"/>
      <c r="EEU18" s="49"/>
      <c r="EEV18" s="49">
        <v>110</v>
      </c>
      <c r="EEW18" s="49"/>
      <c r="EEX18" s="64">
        <f t="shared" si="997"/>
        <v>220</v>
      </c>
      <c r="EEY18" s="68">
        <f t="shared" si="998"/>
        <v>36.666666666666664</v>
      </c>
      <c r="EEZ18" s="48">
        <v>0</v>
      </c>
      <c r="EFA18" s="49">
        <v>0</v>
      </c>
      <c r="EFB18" s="49">
        <v>0</v>
      </c>
      <c r="EFC18" s="49">
        <v>80</v>
      </c>
      <c r="EFD18" s="49"/>
      <c r="EFE18" s="49">
        <v>0</v>
      </c>
      <c r="EFF18" s="64">
        <f t="shared" si="999"/>
        <v>80</v>
      </c>
      <c r="EFG18" s="68">
        <f t="shared" si="1000"/>
        <v>13.333333333333334</v>
      </c>
      <c r="EFH18" s="48"/>
      <c r="EFI18" s="49">
        <v>0</v>
      </c>
      <c r="EFJ18" s="49"/>
      <c r="EFK18" s="49">
        <v>220</v>
      </c>
      <c r="EFL18" s="49">
        <v>0</v>
      </c>
      <c r="EFM18" s="49">
        <v>0</v>
      </c>
      <c r="EFN18" s="64">
        <f t="shared" si="1001"/>
        <v>220</v>
      </c>
      <c r="EFO18" s="68">
        <f t="shared" si="1002"/>
        <v>36.666666666666664</v>
      </c>
      <c r="EFP18" s="48">
        <v>110</v>
      </c>
      <c r="EFQ18" s="49"/>
      <c r="EFR18" s="49"/>
      <c r="EFS18" s="49">
        <v>0</v>
      </c>
      <c r="EFT18" s="49">
        <v>0</v>
      </c>
      <c r="EFU18" s="49"/>
      <c r="EFV18" s="64">
        <f t="shared" si="1003"/>
        <v>110</v>
      </c>
      <c r="EFW18" s="68">
        <f t="shared" si="1004"/>
        <v>18.333333333333332</v>
      </c>
      <c r="EFX18" s="48"/>
      <c r="EFY18" s="49">
        <v>0</v>
      </c>
      <c r="EFZ18" s="49"/>
      <c r="EGA18" s="49">
        <v>220</v>
      </c>
      <c r="EGB18" s="49">
        <v>0</v>
      </c>
      <c r="EGC18" s="49">
        <v>0</v>
      </c>
      <c r="EGD18" s="64">
        <f t="shared" si="1005"/>
        <v>220</v>
      </c>
      <c r="EGE18" s="68">
        <f t="shared" si="1006"/>
        <v>36.666666666666664</v>
      </c>
      <c r="EGF18" s="48">
        <v>0</v>
      </c>
      <c r="EGG18" s="49">
        <v>0</v>
      </c>
      <c r="EGH18" s="49"/>
      <c r="EGI18" s="49">
        <v>0</v>
      </c>
      <c r="EGJ18" s="49">
        <v>110</v>
      </c>
      <c r="EGK18" s="49">
        <v>0</v>
      </c>
      <c r="EGL18" s="64">
        <f t="shared" si="1007"/>
        <v>110</v>
      </c>
      <c r="EGM18" s="68">
        <f t="shared" si="1008"/>
        <v>18.333333333333332</v>
      </c>
      <c r="EGN18" s="48">
        <v>0</v>
      </c>
      <c r="EGO18" s="49">
        <v>0</v>
      </c>
      <c r="EGP18" s="49"/>
      <c r="EGQ18" s="49">
        <v>108</v>
      </c>
      <c r="EGR18" s="49"/>
      <c r="EGS18" s="49">
        <v>0</v>
      </c>
      <c r="EGT18" s="64">
        <f t="shared" si="1009"/>
        <v>108</v>
      </c>
      <c r="EGU18" s="68">
        <f t="shared" si="1203"/>
        <v>18</v>
      </c>
      <c r="EGV18" s="48">
        <v>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0"/>
        <v>0</v>
      </c>
      <c r="EHC18" s="68">
        <f t="shared" si="1011"/>
        <v>0</v>
      </c>
      <c r="EHD18" s="48">
        <v>0</v>
      </c>
      <c r="EHE18" s="49">
        <v>0</v>
      </c>
      <c r="EHF18" s="49"/>
      <c r="EHG18" s="49">
        <v>0</v>
      </c>
      <c r="EHH18" s="49">
        <v>0</v>
      </c>
      <c r="EHI18" s="49">
        <v>110</v>
      </c>
      <c r="EHJ18" s="64">
        <f t="shared" si="1012"/>
        <v>110</v>
      </c>
      <c r="EHK18" s="68">
        <f t="shared" si="1013"/>
        <v>18.333333333333332</v>
      </c>
      <c r="EHL18" s="48"/>
      <c r="EHM18" s="49">
        <v>0</v>
      </c>
      <c r="EHN18" s="49">
        <v>0</v>
      </c>
      <c r="EHO18" s="49"/>
      <c r="EHP18" s="49">
        <v>0</v>
      </c>
      <c r="EHQ18" s="49">
        <v>0</v>
      </c>
      <c r="EHR18" s="64">
        <f t="shared" si="1014"/>
        <v>0</v>
      </c>
      <c r="EHS18" s="68">
        <f t="shared" si="1015"/>
        <v>0</v>
      </c>
      <c r="EHT18" s="48"/>
      <c r="EHU18" s="49"/>
      <c r="EHV18" s="49"/>
      <c r="EHW18" s="49">
        <v>109</v>
      </c>
      <c r="EHX18" s="49"/>
      <c r="EHY18" s="49">
        <v>0</v>
      </c>
      <c r="EHZ18" s="64">
        <f t="shared" si="1016"/>
        <v>109</v>
      </c>
      <c r="EIA18" s="68">
        <f t="shared" si="1017"/>
        <v>18.166666666666668</v>
      </c>
      <c r="EIB18" s="48"/>
      <c r="EIC18" s="49"/>
      <c r="EID18" s="49">
        <v>100</v>
      </c>
      <c r="EIE18" s="49">
        <v>0</v>
      </c>
      <c r="EIF18" s="49">
        <v>0</v>
      </c>
      <c r="EIG18" s="49">
        <v>0</v>
      </c>
      <c r="EIH18" s="64">
        <f t="shared" si="1018"/>
        <v>100</v>
      </c>
      <c r="EII18" s="68">
        <f t="shared" si="1019"/>
        <v>16.666666666666668</v>
      </c>
      <c r="EIJ18" s="48">
        <v>110</v>
      </c>
      <c r="EIK18" s="49">
        <v>0</v>
      </c>
      <c r="EIL18" s="49"/>
      <c r="EIM18" s="49">
        <v>0</v>
      </c>
      <c r="EIN18" s="49">
        <v>0</v>
      </c>
      <c r="EIO18" s="49">
        <v>0</v>
      </c>
      <c r="EIP18" s="64">
        <f t="shared" si="1020"/>
        <v>110</v>
      </c>
      <c r="EIQ18" s="68">
        <f t="shared" si="1021"/>
        <v>18.333333333333332</v>
      </c>
      <c r="EIR18" s="48">
        <v>220</v>
      </c>
      <c r="EIS18" s="49">
        <v>0</v>
      </c>
      <c r="EIT18" s="49">
        <v>0</v>
      </c>
      <c r="EIU18" s="49">
        <v>0</v>
      </c>
      <c r="EIV18" s="49"/>
      <c r="EIW18" s="49"/>
      <c r="EIX18" s="64">
        <f t="shared" si="1022"/>
        <v>220</v>
      </c>
      <c r="EIY18" s="68">
        <f t="shared" si="1023"/>
        <v>36.666666666666664</v>
      </c>
      <c r="EIZ18" s="48">
        <v>0</v>
      </c>
      <c r="EJA18" s="49">
        <v>0</v>
      </c>
      <c r="EJB18" s="49"/>
      <c r="EJC18" s="49">
        <v>0</v>
      </c>
      <c r="EJD18" s="49">
        <v>110</v>
      </c>
      <c r="EJE18" s="49"/>
      <c r="EJF18" s="64">
        <f t="shared" si="1024"/>
        <v>110</v>
      </c>
      <c r="EJG18" s="68">
        <f t="shared" si="1025"/>
        <v>18.333333333333332</v>
      </c>
      <c r="EJH18" s="48">
        <v>0</v>
      </c>
      <c r="EJI18" s="49">
        <v>0</v>
      </c>
      <c r="EJJ18" s="49"/>
      <c r="EJK18" s="49">
        <v>110</v>
      </c>
      <c r="EJL18" s="49"/>
      <c r="EJM18" s="49"/>
      <c r="EJN18" s="64">
        <f t="shared" si="1026"/>
        <v>110</v>
      </c>
      <c r="EJO18" s="68">
        <f t="shared" si="1027"/>
        <v>18.333333333333332</v>
      </c>
      <c r="EJP18" s="48"/>
      <c r="EJQ18" s="49">
        <v>0</v>
      </c>
      <c r="EJR18" s="49">
        <v>0</v>
      </c>
      <c r="EJS18" s="49">
        <v>0</v>
      </c>
      <c r="EJT18" s="49"/>
      <c r="EJU18" s="49">
        <v>0</v>
      </c>
      <c r="EJV18" s="64">
        <f t="shared" si="1028"/>
        <v>0</v>
      </c>
      <c r="EJW18" s="68">
        <f t="shared" si="1029"/>
        <v>0</v>
      </c>
      <c r="EJX18" s="48"/>
      <c r="EJY18" s="49">
        <v>159</v>
      </c>
      <c r="EJZ18" s="49">
        <v>0</v>
      </c>
      <c r="EKA18" s="49">
        <v>0</v>
      </c>
      <c r="EKB18" s="49"/>
      <c r="EKC18" s="49"/>
      <c r="EKD18" s="64">
        <f t="shared" si="1030"/>
        <v>159</v>
      </c>
      <c r="EKE18" s="68">
        <f t="shared" si="1031"/>
        <v>26.5</v>
      </c>
      <c r="EKF18" s="48">
        <v>0</v>
      </c>
      <c r="EKG18" s="49">
        <v>0</v>
      </c>
      <c r="EKH18" s="49"/>
      <c r="EKI18" s="49">
        <v>40</v>
      </c>
      <c r="EKJ18" s="49">
        <v>0</v>
      </c>
      <c r="EKK18" s="49"/>
      <c r="EKL18" s="64">
        <f t="shared" si="1032"/>
        <v>40</v>
      </c>
      <c r="EKM18" s="68">
        <f t="shared" si="1033"/>
        <v>6.666666666666667</v>
      </c>
      <c r="EKN18" s="48"/>
      <c r="EKO18" s="49">
        <v>0</v>
      </c>
      <c r="EKP18" s="49">
        <v>160</v>
      </c>
      <c r="EKQ18" s="49">
        <v>0</v>
      </c>
      <c r="EKR18" s="49"/>
      <c r="EKS18" s="49">
        <v>0</v>
      </c>
      <c r="EKT18" s="64">
        <f t="shared" si="1034"/>
        <v>160</v>
      </c>
      <c r="EKU18" s="184">
        <f t="shared" si="1035"/>
        <v>26.666666666666668</v>
      </c>
      <c r="EKV18" s="665"/>
      <c r="EKW18" s="195">
        <v>0</v>
      </c>
      <c r="EKX18" s="49">
        <v>0</v>
      </c>
      <c r="EKY18" s="49">
        <v>0</v>
      </c>
      <c r="EKZ18" s="49">
        <v>0</v>
      </c>
      <c r="ELA18" s="49"/>
      <c r="ELB18" s="49">
        <v>0</v>
      </c>
      <c r="ELC18" s="64">
        <f t="shared" si="1036"/>
        <v>0</v>
      </c>
      <c r="ELD18" s="211">
        <f t="shared" si="1037"/>
        <v>0</v>
      </c>
      <c r="ELE18" s="195">
        <v>219</v>
      </c>
      <c r="ELF18" s="49"/>
      <c r="ELG18" s="49"/>
      <c r="ELH18" s="49">
        <v>0</v>
      </c>
      <c r="ELI18" s="49"/>
      <c r="ELJ18" s="49">
        <v>0</v>
      </c>
      <c r="ELK18" s="64">
        <f t="shared" si="1038"/>
        <v>219</v>
      </c>
      <c r="ELL18" s="211">
        <f t="shared" si="1039"/>
        <v>36.5</v>
      </c>
      <c r="ELM18" s="195">
        <v>0</v>
      </c>
      <c r="ELN18" s="49">
        <v>0</v>
      </c>
      <c r="ELO18" s="49"/>
      <c r="ELP18" s="49"/>
      <c r="ELQ18" s="49">
        <v>120</v>
      </c>
      <c r="ELR18" s="49">
        <v>0</v>
      </c>
      <c r="ELS18" s="64">
        <f t="shared" si="1040"/>
        <v>120</v>
      </c>
      <c r="ELT18" s="211">
        <f t="shared" si="1041"/>
        <v>20</v>
      </c>
      <c r="ELU18" s="195">
        <v>0</v>
      </c>
      <c r="ELV18" s="49">
        <v>0</v>
      </c>
      <c r="ELW18" s="49">
        <v>0</v>
      </c>
      <c r="ELX18" s="49">
        <v>0</v>
      </c>
      <c r="ELY18" s="49"/>
      <c r="ELZ18" s="49">
        <v>0</v>
      </c>
      <c r="EMA18" s="64">
        <f t="shared" si="1042"/>
        <v>0</v>
      </c>
      <c r="EMB18" s="211">
        <f t="shared" si="1043"/>
        <v>0</v>
      </c>
      <c r="EMC18" s="195"/>
      <c r="EMD18" s="49">
        <v>0</v>
      </c>
      <c r="EME18" s="49">
        <v>0</v>
      </c>
      <c r="EMF18" s="49">
        <v>0</v>
      </c>
      <c r="EMG18" s="49">
        <v>200</v>
      </c>
      <c r="EMH18" s="49"/>
      <c r="EMI18" s="64">
        <f t="shared" si="1044"/>
        <v>200</v>
      </c>
      <c r="EMJ18" s="211">
        <f t="shared" si="1045"/>
        <v>33.333333333333336</v>
      </c>
      <c r="EMK18" s="195">
        <v>0</v>
      </c>
      <c r="EML18" s="49"/>
      <c r="EMM18" s="49">
        <v>98</v>
      </c>
      <c r="EMN18" s="49">
        <v>0</v>
      </c>
      <c r="EMO18" s="49">
        <v>0</v>
      </c>
      <c r="EMP18" s="49">
        <v>0</v>
      </c>
      <c r="EMQ18" s="64">
        <f t="shared" si="1046"/>
        <v>98</v>
      </c>
      <c r="EMR18" s="211">
        <f t="shared" si="1047"/>
        <v>16.333333333333332</v>
      </c>
      <c r="EMS18" s="195"/>
      <c r="EMT18" s="49">
        <v>0</v>
      </c>
      <c r="EMU18" s="49">
        <v>0</v>
      </c>
      <c r="EMV18" s="49">
        <v>108</v>
      </c>
      <c r="EMW18" s="49"/>
      <c r="EMX18" s="49">
        <v>0</v>
      </c>
      <c r="EMY18" s="64">
        <f t="shared" si="1048"/>
        <v>108</v>
      </c>
      <c r="EMZ18" s="211">
        <f t="shared" si="1049"/>
        <v>18</v>
      </c>
      <c r="ENA18" s="195"/>
      <c r="ENB18" s="49">
        <v>0</v>
      </c>
      <c r="ENC18" s="49">
        <v>0</v>
      </c>
      <c r="END18" s="49">
        <v>0</v>
      </c>
      <c r="ENE18" s="49"/>
      <c r="ENF18" s="49">
        <v>0</v>
      </c>
      <c r="ENG18" s="64">
        <f t="shared" si="1050"/>
        <v>0</v>
      </c>
      <c r="ENH18" s="211">
        <f t="shared" si="1051"/>
        <v>0</v>
      </c>
      <c r="ENI18" s="195">
        <v>0</v>
      </c>
      <c r="ENJ18" s="49"/>
      <c r="ENK18" s="49"/>
      <c r="ENL18" s="49">
        <v>0</v>
      </c>
      <c r="ENM18" s="49">
        <v>0</v>
      </c>
      <c r="ENN18" s="49">
        <v>220</v>
      </c>
      <c r="ENO18" s="64">
        <f t="shared" si="1052"/>
        <v>220</v>
      </c>
      <c r="ENP18" s="211">
        <f t="shared" si="1053"/>
        <v>36.666666666666664</v>
      </c>
      <c r="ENQ18" s="195">
        <v>0</v>
      </c>
      <c r="ENR18" s="49"/>
      <c r="ENS18" s="49">
        <v>0</v>
      </c>
      <c r="ENT18" s="49">
        <v>0</v>
      </c>
      <c r="ENU18" s="49">
        <v>0</v>
      </c>
      <c r="ENV18" s="49">
        <v>0</v>
      </c>
      <c r="ENW18" s="64">
        <f t="shared" si="1054"/>
        <v>0</v>
      </c>
      <c r="ENX18" s="211">
        <f t="shared" si="1055"/>
        <v>0</v>
      </c>
      <c r="ENY18" s="195"/>
      <c r="ENZ18" s="49">
        <v>0</v>
      </c>
      <c r="EOA18" s="49">
        <v>0</v>
      </c>
      <c r="EOB18" s="49">
        <v>0</v>
      </c>
      <c r="EOC18" s="49">
        <v>210</v>
      </c>
      <c r="EOD18" s="49">
        <v>0</v>
      </c>
      <c r="EOE18" s="64">
        <f t="shared" si="1056"/>
        <v>210</v>
      </c>
      <c r="EOF18" s="211">
        <f t="shared" si="1057"/>
        <v>35</v>
      </c>
      <c r="EOG18" s="195"/>
      <c r="EOH18" s="360">
        <f>SUMIF(SUMPK!$B:$B,$B:$B,SUMPK!$O:$O)</f>
        <v>0</v>
      </c>
      <c r="EOI18" s="49">
        <v>0</v>
      </c>
      <c r="EOJ18" s="49">
        <v>0</v>
      </c>
      <c r="EOK18" s="49">
        <v>0</v>
      </c>
      <c r="EOL18" s="49"/>
      <c r="EOM18" s="64">
        <f t="shared" si="1058"/>
        <v>0</v>
      </c>
      <c r="EON18" s="211">
        <f t="shared" si="1059"/>
        <v>0</v>
      </c>
      <c r="EOO18" s="195"/>
      <c r="EOP18" s="49">
        <v>0</v>
      </c>
      <c r="EOQ18" s="49">
        <v>109</v>
      </c>
      <c r="EOR18" s="49">
        <v>0</v>
      </c>
      <c r="EOS18" s="49">
        <v>0</v>
      </c>
      <c r="EOT18" s="49">
        <v>0</v>
      </c>
      <c r="EOU18" s="64">
        <f t="shared" si="1060"/>
        <v>109</v>
      </c>
      <c r="EOV18" s="211">
        <f t="shared" si="1061"/>
        <v>18.166666666666668</v>
      </c>
      <c r="EOW18" s="195">
        <v>0</v>
      </c>
      <c r="EOX18" s="49">
        <v>0</v>
      </c>
      <c r="EOY18" s="49">
        <v>0</v>
      </c>
      <c r="EOZ18" s="49">
        <v>0</v>
      </c>
      <c r="EPA18" s="49">
        <v>108</v>
      </c>
      <c r="EPB18" s="49">
        <v>0</v>
      </c>
      <c r="EPC18" s="64">
        <f t="shared" si="1062"/>
        <v>108</v>
      </c>
      <c r="EPD18" s="211">
        <f t="shared" si="1063"/>
        <v>18</v>
      </c>
      <c r="EPE18" s="195">
        <v>0</v>
      </c>
      <c r="EPF18" s="49">
        <f>SUMIF(SUMPK!$B:$B,$B:$B,SUMPK!$O:$O)</f>
        <v>0</v>
      </c>
      <c r="EPG18" s="49">
        <v>0</v>
      </c>
      <c r="EPH18" s="49">
        <v>218</v>
      </c>
      <c r="EPI18" s="49">
        <v>0</v>
      </c>
      <c r="EPJ18" s="49">
        <v>0</v>
      </c>
      <c r="EPK18" s="64">
        <f t="shared" si="1064"/>
        <v>218</v>
      </c>
      <c r="EPL18" s="211">
        <f t="shared" si="1065"/>
        <v>36.333333333333336</v>
      </c>
      <c r="EPM18" s="195"/>
      <c r="EPN18" s="49">
        <v>0</v>
      </c>
      <c r="EPO18" s="49"/>
      <c r="EPP18" s="49">
        <v>0</v>
      </c>
      <c r="EPQ18" s="49">
        <v>110</v>
      </c>
      <c r="EPR18" s="49">
        <v>0</v>
      </c>
      <c r="EPS18" s="64">
        <f t="shared" si="1066"/>
        <v>110</v>
      </c>
      <c r="EPT18" s="211">
        <f t="shared" si="1067"/>
        <v>18.333333333333332</v>
      </c>
      <c r="EPU18" s="195">
        <v>0</v>
      </c>
      <c r="EPV18" s="49">
        <v>0</v>
      </c>
      <c r="EPW18" s="49"/>
      <c r="EPX18" s="49">
        <v>0</v>
      </c>
      <c r="EPY18" s="49">
        <v>0</v>
      </c>
      <c r="EPZ18" s="49">
        <v>0</v>
      </c>
      <c r="EQA18" s="64">
        <f t="shared" si="1068"/>
        <v>0</v>
      </c>
      <c r="EQB18" s="211">
        <f t="shared" si="1069"/>
        <v>0</v>
      </c>
      <c r="EQC18" s="195">
        <v>0</v>
      </c>
      <c r="EQD18" s="49">
        <v>110</v>
      </c>
      <c r="EQE18" s="49">
        <v>0</v>
      </c>
      <c r="EQF18" s="49">
        <v>0</v>
      </c>
      <c r="EQG18" s="49">
        <v>0</v>
      </c>
      <c r="EQH18" s="49">
        <v>0</v>
      </c>
      <c r="EQI18" s="64">
        <f t="shared" si="1070"/>
        <v>110</v>
      </c>
      <c r="EQJ18" s="211">
        <f t="shared" si="1071"/>
        <v>18.333333333333332</v>
      </c>
      <c r="EQK18" s="195"/>
      <c r="EQL18" s="49">
        <v>0</v>
      </c>
      <c r="EQM18" s="49">
        <v>0</v>
      </c>
      <c r="EQN18" s="49"/>
      <c r="EQO18" s="49">
        <v>0</v>
      </c>
      <c r="EQP18" s="49">
        <v>218</v>
      </c>
      <c r="EQQ18" s="64">
        <f t="shared" si="1072"/>
        <v>218</v>
      </c>
      <c r="EQR18" s="211">
        <f t="shared" si="1073"/>
        <v>36.333333333333336</v>
      </c>
      <c r="EQS18" s="195">
        <v>0</v>
      </c>
      <c r="EQT18" s="49">
        <v>0</v>
      </c>
      <c r="EQU18" s="49">
        <v>0</v>
      </c>
      <c r="EQV18" s="49"/>
      <c r="EQW18" s="49">
        <v>0</v>
      </c>
      <c r="EQX18" s="49">
        <v>0</v>
      </c>
      <c r="EQY18" s="64">
        <f t="shared" si="1074"/>
        <v>0</v>
      </c>
      <c r="EQZ18" s="211">
        <f t="shared" si="1075"/>
        <v>0</v>
      </c>
      <c r="ERA18" s="195">
        <v>0</v>
      </c>
      <c r="ERB18" s="49">
        <v>0</v>
      </c>
      <c r="ERC18" s="49">
        <v>0</v>
      </c>
      <c r="ERD18" s="49">
        <v>109</v>
      </c>
      <c r="ERE18" s="49">
        <v>0</v>
      </c>
      <c r="ERF18" s="49"/>
      <c r="ERG18" s="64">
        <f t="shared" si="1076"/>
        <v>109</v>
      </c>
      <c r="ERH18" s="211">
        <f t="shared" si="1077"/>
        <v>18.166666666666668</v>
      </c>
      <c r="ERI18" s="195">
        <v>0</v>
      </c>
      <c r="ERJ18" s="49"/>
      <c r="ERK18" s="49"/>
      <c r="ERL18" s="49">
        <v>110</v>
      </c>
      <c r="ERM18" s="49">
        <v>0</v>
      </c>
      <c r="ERN18" s="49"/>
      <c r="ERO18" s="64">
        <f t="shared" si="1078"/>
        <v>110</v>
      </c>
      <c r="ERP18" s="211">
        <f t="shared" si="1079"/>
        <v>18.333333333333332</v>
      </c>
      <c r="ERQ18" s="195"/>
      <c r="ERR18" s="49">
        <v>110</v>
      </c>
      <c r="ERS18" s="49">
        <v>0</v>
      </c>
      <c r="ERT18" s="49">
        <v>0</v>
      </c>
      <c r="ERU18" s="49">
        <v>0</v>
      </c>
      <c r="ERV18" s="49">
        <v>0</v>
      </c>
      <c r="ERW18" s="64">
        <f t="shared" si="1080"/>
        <v>110</v>
      </c>
      <c r="ERX18" s="211">
        <f t="shared" si="1081"/>
        <v>18.333333333333332</v>
      </c>
      <c r="ERY18" s="195">
        <v>0</v>
      </c>
      <c r="ERZ18" s="49">
        <v>0</v>
      </c>
      <c r="ESA18" s="49">
        <v>109</v>
      </c>
      <c r="ESB18" s="49"/>
      <c r="ESC18" s="49"/>
      <c r="ESD18" s="49">
        <v>0</v>
      </c>
      <c r="ESE18" s="64">
        <f t="shared" si="1082"/>
        <v>109</v>
      </c>
      <c r="ESF18" s="211">
        <f t="shared" si="1083"/>
        <v>18.166666666666668</v>
      </c>
      <c r="ESG18" s="195">
        <v>0</v>
      </c>
      <c r="ESH18" s="49"/>
      <c r="ESI18" s="49">
        <v>110</v>
      </c>
      <c r="ESJ18" s="49"/>
      <c r="ESK18" s="49"/>
      <c r="ESL18" s="49">
        <v>0</v>
      </c>
      <c r="ESM18" s="64">
        <f t="shared" si="1084"/>
        <v>110</v>
      </c>
      <c r="ESN18" s="211">
        <f t="shared" si="1085"/>
        <v>18.333333333333332</v>
      </c>
      <c r="ESO18" s="458">
        <v>0</v>
      </c>
      <c r="ESP18" s="83"/>
      <c r="ESQ18" s="83">
        <v>0</v>
      </c>
      <c r="ESR18" s="83">
        <v>220</v>
      </c>
      <c r="ESS18" s="83"/>
      <c r="EST18" s="83">
        <v>0</v>
      </c>
      <c r="ESU18" s="64">
        <f t="shared" si="1086"/>
        <v>220</v>
      </c>
      <c r="ESV18" s="211">
        <f t="shared" si="1087"/>
        <v>36.666666666666664</v>
      </c>
      <c r="ESW18" s="195"/>
      <c r="ESX18" s="49"/>
      <c r="ESY18" s="49"/>
      <c r="ESZ18" s="49">
        <v>0</v>
      </c>
      <c r="ETA18" s="49">
        <v>0</v>
      </c>
      <c r="ETB18" s="49">
        <v>0</v>
      </c>
      <c r="ETC18" s="808">
        <f t="shared" si="1088"/>
        <v>0</v>
      </c>
      <c r="ETD18" s="211">
        <f t="shared" si="1089"/>
        <v>0</v>
      </c>
      <c r="ETE18" s="195">
        <v>0</v>
      </c>
      <c r="ETF18" s="49">
        <v>0</v>
      </c>
      <c r="ETG18" s="49">
        <v>0</v>
      </c>
      <c r="ETH18" s="49">
        <v>0</v>
      </c>
      <c r="ETI18" s="49"/>
      <c r="ETJ18" s="49">
        <v>110</v>
      </c>
      <c r="ETK18" s="808">
        <f t="shared" si="1090"/>
        <v>110</v>
      </c>
      <c r="ETL18" s="211">
        <f t="shared" si="1091"/>
        <v>18.333333333333332</v>
      </c>
      <c r="ETM18" s="814"/>
      <c r="ETN18" s="815">
        <v>0</v>
      </c>
      <c r="ETO18" s="815">
        <v>0</v>
      </c>
      <c r="ETP18" s="815">
        <v>159</v>
      </c>
      <c r="ETQ18" s="815">
        <v>0</v>
      </c>
      <c r="ETR18" s="815"/>
      <c r="ETS18" s="808">
        <f t="shared" si="1092"/>
        <v>159</v>
      </c>
      <c r="ETT18" s="211">
        <f t="shared" si="1093"/>
        <v>26.5</v>
      </c>
      <c r="ETU18" s="458">
        <v>0</v>
      </c>
      <c r="ETV18" s="83">
        <v>0</v>
      </c>
      <c r="ETW18" s="83"/>
      <c r="ETX18" s="83">
        <v>0</v>
      </c>
      <c r="ETY18" s="83">
        <v>108</v>
      </c>
      <c r="ETZ18" s="83">
        <v>0</v>
      </c>
      <c r="EUA18" s="808">
        <f t="shared" si="1094"/>
        <v>108</v>
      </c>
      <c r="EUB18" s="211">
        <f t="shared" si="1095"/>
        <v>18</v>
      </c>
      <c r="EUC18" s="458">
        <v>0</v>
      </c>
      <c r="EUD18" s="83"/>
      <c r="EUE18" s="83"/>
      <c r="EUF18" s="83"/>
      <c r="EUG18" s="83">
        <v>0</v>
      </c>
      <c r="EUH18" s="83">
        <v>111</v>
      </c>
      <c r="EUI18" s="808">
        <f t="shared" si="1096"/>
        <v>111</v>
      </c>
      <c r="EUJ18" s="211">
        <f t="shared" si="1097"/>
        <v>18.5</v>
      </c>
      <c r="EUK18" s="195"/>
      <c r="EUL18" s="49">
        <v>0</v>
      </c>
      <c r="EUM18" s="49">
        <v>0</v>
      </c>
      <c r="EUN18" s="49">
        <f>SUMIF(SUMPK!$B:$B,$B:$B,SUMPK!$O:$O)</f>
        <v>0</v>
      </c>
      <c r="EUO18" s="49"/>
      <c r="EUP18" s="49">
        <v>0</v>
      </c>
      <c r="EUQ18" s="808">
        <f t="shared" si="1098"/>
        <v>0</v>
      </c>
      <c r="EUR18" s="211">
        <f t="shared" si="1099"/>
        <v>0</v>
      </c>
      <c r="EUS18" s="195">
        <v>0</v>
      </c>
      <c r="EUT18" s="49">
        <v>0</v>
      </c>
      <c r="EUU18" s="49">
        <v>0</v>
      </c>
      <c r="EUV18" s="49">
        <v>110</v>
      </c>
      <c r="EUW18" s="49"/>
      <c r="EUX18" s="49">
        <v>110</v>
      </c>
      <c r="EUY18" s="808">
        <f t="shared" si="1100"/>
        <v>220</v>
      </c>
      <c r="EUZ18" s="211">
        <f t="shared" si="1101"/>
        <v>36.666666666666664</v>
      </c>
      <c r="EVA18" s="195">
        <v>0</v>
      </c>
      <c r="EVB18" s="49"/>
      <c r="EVC18" s="49"/>
      <c r="EVD18" s="49"/>
      <c r="EVE18" s="49">
        <v>0</v>
      </c>
      <c r="EVF18" s="49"/>
      <c r="EVG18" s="808">
        <f t="shared" si="1102"/>
        <v>0</v>
      </c>
      <c r="EVH18" s="211">
        <f t="shared" si="1103"/>
        <v>0</v>
      </c>
      <c r="EVI18" s="195">
        <v>0</v>
      </c>
      <c r="EVJ18" s="49">
        <v>0</v>
      </c>
      <c r="EVK18" s="49">
        <v>0</v>
      </c>
      <c r="EVL18" s="49"/>
      <c r="EVM18" s="49"/>
      <c r="EVN18" s="49">
        <v>0</v>
      </c>
      <c r="EVO18" s="808">
        <f t="shared" si="1104"/>
        <v>0</v>
      </c>
      <c r="EVP18" s="211">
        <f t="shared" si="1105"/>
        <v>0</v>
      </c>
      <c r="EVQ18" s="195">
        <v>161</v>
      </c>
      <c r="EVR18" s="49">
        <v>0</v>
      </c>
      <c r="EVS18" s="49">
        <v>0</v>
      </c>
      <c r="EVT18" s="49"/>
      <c r="EVU18" s="49">
        <v>0</v>
      </c>
      <c r="EVV18" s="49">
        <v>0</v>
      </c>
      <c r="EVW18" s="808">
        <f t="shared" si="1106"/>
        <v>161</v>
      </c>
      <c r="EVX18" s="211">
        <f t="shared" si="1107"/>
        <v>26.833333333333332</v>
      </c>
      <c r="EVY18" s="195">
        <v>161</v>
      </c>
      <c r="EVZ18" s="49">
        <v>0</v>
      </c>
      <c r="EWA18" s="49"/>
      <c r="EWB18" s="49">
        <v>0</v>
      </c>
      <c r="EWC18" s="49"/>
      <c r="EWD18" s="49"/>
      <c r="EWE18" s="808">
        <f t="shared" si="1108"/>
        <v>161</v>
      </c>
      <c r="EWF18" s="211">
        <f t="shared" si="1109"/>
        <v>26.833333333333332</v>
      </c>
      <c r="EWG18" s="195"/>
      <c r="EWH18" s="49">
        <v>0</v>
      </c>
      <c r="EWI18" s="49"/>
      <c r="EWJ18" s="49"/>
      <c r="EWK18" s="49">
        <v>110</v>
      </c>
      <c r="EWL18" s="49">
        <v>0</v>
      </c>
      <c r="EWM18" s="808">
        <f t="shared" si="1110"/>
        <v>110</v>
      </c>
      <c r="EWN18" s="211">
        <f t="shared" si="175"/>
        <v>18.333333333333332</v>
      </c>
      <c r="EWO18" s="195">
        <v>0</v>
      </c>
      <c r="EWP18" s="49">
        <v>110</v>
      </c>
      <c r="EWQ18" s="49">
        <v>0</v>
      </c>
      <c r="EWR18" s="49">
        <v>0</v>
      </c>
      <c r="EWS18" s="49"/>
      <c r="EWT18" s="49">
        <v>214</v>
      </c>
      <c r="EWU18" s="808">
        <f t="shared" si="1111"/>
        <v>324</v>
      </c>
      <c r="EWV18" s="211">
        <f t="shared" si="1112"/>
        <v>54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3"/>
        <v>0</v>
      </c>
      <c r="EXD18" s="211">
        <f t="shared" si="1114"/>
        <v>0</v>
      </c>
      <c r="EXE18" s="195">
        <v>0</v>
      </c>
      <c r="EXF18" s="49">
        <v>0</v>
      </c>
      <c r="EXG18" s="49"/>
      <c r="EXH18" s="49">
        <v>110</v>
      </c>
      <c r="EXI18" s="49">
        <v>0</v>
      </c>
      <c r="EXJ18" s="49">
        <v>0</v>
      </c>
      <c r="EXK18" s="808">
        <f t="shared" si="1115"/>
        <v>110</v>
      </c>
      <c r="EXL18" s="211">
        <f t="shared" si="1116"/>
        <v>18.333333333333332</v>
      </c>
      <c r="EXM18" s="458">
        <v>0</v>
      </c>
      <c r="EXN18" s="83"/>
      <c r="EXO18" s="83"/>
      <c r="EXP18" s="83">
        <v>110</v>
      </c>
      <c r="EXQ18" s="83"/>
      <c r="EXR18" s="83">
        <v>0</v>
      </c>
      <c r="EXS18" s="808">
        <f t="shared" si="1117"/>
        <v>110</v>
      </c>
      <c r="EXT18" s="211">
        <f t="shared" si="1118"/>
        <v>18.333333333333332</v>
      </c>
      <c r="EXU18" s="195">
        <v>0</v>
      </c>
      <c r="EXV18" s="49"/>
      <c r="EXW18" s="49"/>
      <c r="EXX18" s="49">
        <v>0</v>
      </c>
      <c r="EXY18" s="49"/>
      <c r="EXZ18" s="49">
        <v>220</v>
      </c>
      <c r="EYA18" s="808">
        <f t="shared" si="1119"/>
        <v>220</v>
      </c>
      <c r="EYB18" s="211">
        <f t="shared" si="1120"/>
        <v>36.666666666666664</v>
      </c>
      <c r="EYC18" s="195">
        <v>0</v>
      </c>
      <c r="EYD18" s="49"/>
      <c r="EYE18" s="49">
        <v>0</v>
      </c>
      <c r="EYF18" s="49">
        <v>0</v>
      </c>
      <c r="EYG18" s="49">
        <v>0</v>
      </c>
      <c r="EYH18" s="49">
        <v>0</v>
      </c>
      <c r="EYI18" s="808">
        <f t="shared" si="1121"/>
        <v>0</v>
      </c>
      <c r="EYJ18" s="211">
        <f t="shared" si="1122"/>
        <v>0</v>
      </c>
      <c r="EYK18" s="195">
        <v>110</v>
      </c>
      <c r="EYL18" s="49">
        <v>0</v>
      </c>
      <c r="EYM18" s="49">
        <v>0</v>
      </c>
      <c r="EYN18" s="49"/>
      <c r="EYO18" s="49"/>
      <c r="EYP18" s="49">
        <v>0</v>
      </c>
      <c r="EYQ18" s="808">
        <f t="shared" si="1123"/>
        <v>110</v>
      </c>
      <c r="EYR18" s="211">
        <f t="shared" si="1124"/>
        <v>18.333333333333332</v>
      </c>
      <c r="EYS18" s="195">
        <v>110</v>
      </c>
      <c r="EYT18" s="49">
        <v>0</v>
      </c>
      <c r="EYU18" s="49"/>
      <c r="EYV18" s="49"/>
      <c r="EYW18" s="49"/>
      <c r="EYX18" s="49"/>
      <c r="EYY18" s="872">
        <f t="shared" si="1125"/>
        <v>110</v>
      </c>
      <c r="EYZ18" s="873">
        <f t="shared" si="1126"/>
        <v>18.333333333333332</v>
      </c>
      <c r="EZA18" s="195">
        <v>0</v>
      </c>
      <c r="EZB18" s="49">
        <v>0</v>
      </c>
      <c r="EZC18" s="49">
        <v>108</v>
      </c>
      <c r="EZD18" s="49">
        <v>0</v>
      </c>
      <c r="EZE18" s="49"/>
      <c r="EZF18" s="49">
        <v>0</v>
      </c>
      <c r="EZG18" s="872">
        <f t="shared" si="1127"/>
        <v>108</v>
      </c>
      <c r="EZH18" s="873">
        <f t="shared" si="1128"/>
        <v>18</v>
      </c>
      <c r="EZI18" s="195"/>
      <c r="EZJ18" s="49"/>
      <c r="EZK18" s="49">
        <v>220</v>
      </c>
      <c r="EZL18" s="49"/>
      <c r="EZM18" s="49"/>
      <c r="EZN18" s="49"/>
      <c r="EZO18" s="872">
        <f t="shared" si="1129"/>
        <v>220</v>
      </c>
      <c r="EZP18" s="873">
        <f t="shared" si="1130"/>
        <v>36.666666666666664</v>
      </c>
    </row>
    <row r="19" spans="1:4072" s="8" customFormat="1" ht="15" customHeight="1" x14ac:dyDescent="0.2">
      <c r="A19" s="301">
        <v>13</v>
      </c>
      <c r="B19" s="21" t="s">
        <v>131</v>
      </c>
      <c r="C19" s="275" t="s">
        <v>132</v>
      </c>
      <c r="D19" s="21">
        <v>25</v>
      </c>
      <c r="E19" s="24"/>
      <c r="F19" s="24">
        <v>1328</v>
      </c>
      <c r="G19" s="24"/>
      <c r="H19" s="24"/>
      <c r="I19" s="360"/>
      <c r="J19" s="360">
        <f>SUMIF(SUMPK!$B:$B,$B:$B,SUMPK!$O:$O)</f>
        <v>0</v>
      </c>
      <c r="K19" s="15">
        <f t="shared" si="1204"/>
        <v>0</v>
      </c>
      <c r="L19" s="24">
        <f t="shared" si="187"/>
        <v>1328</v>
      </c>
      <c r="M19" s="24">
        <f t="shared" si="188"/>
        <v>1328</v>
      </c>
      <c r="N19" s="15">
        <v>54.666666666666664</v>
      </c>
      <c r="O19" s="276">
        <f t="shared" si="1206"/>
        <v>24.292682926829269</v>
      </c>
      <c r="P19" s="712">
        <v>15.666666666666666</v>
      </c>
      <c r="Q19" s="276">
        <f t="shared" si="190"/>
        <v>508.59574468085111</v>
      </c>
      <c r="R19" s="277">
        <f t="shared" si="191"/>
        <v>30.76923076923077</v>
      </c>
      <c r="S19" s="222">
        <v>800</v>
      </c>
      <c r="T19" s="276">
        <f t="shared" si="1207"/>
        <v>43.16</v>
      </c>
      <c r="U19" s="303"/>
      <c r="V19" s="302">
        <f t="shared" si="1205"/>
        <v>43.16</v>
      </c>
      <c r="W19" s="304">
        <f t="shared" si="0"/>
        <v>1</v>
      </c>
      <c r="X19" s="305"/>
      <c r="Y19" s="280"/>
      <c r="Z19" s="280"/>
      <c r="AA19" s="280"/>
      <c r="AB19" s="280"/>
      <c r="AC19" s="662">
        <v>17</v>
      </c>
      <c r="AD19" s="650"/>
      <c r="AE19" s="88"/>
      <c r="AF19" s="88"/>
      <c r="AG19" s="88"/>
      <c r="AH19" s="88"/>
      <c r="AI19" s="88"/>
      <c r="AJ19" s="89"/>
      <c r="AK19" s="90"/>
      <c r="AL19" s="91"/>
      <c r="AM19" s="88"/>
      <c r="AN19" s="88"/>
      <c r="AO19" s="88"/>
      <c r="AP19" s="88"/>
      <c r="AQ19" s="88"/>
      <c r="AR19" s="89"/>
      <c r="AS19" s="90"/>
      <c r="AT19" s="91"/>
      <c r="AU19" s="88"/>
      <c r="AV19" s="88"/>
      <c r="AW19" s="88"/>
      <c r="AX19" s="88"/>
      <c r="AY19" s="88"/>
      <c r="AZ19" s="89"/>
      <c r="BA19" s="90"/>
      <c r="BB19" s="91"/>
      <c r="BC19" s="88"/>
      <c r="BD19" s="88"/>
      <c r="BE19" s="88"/>
      <c r="BF19" s="88"/>
      <c r="BG19" s="88"/>
      <c r="BH19" s="89"/>
      <c r="BI19" s="90"/>
      <c r="BJ19" s="91"/>
      <c r="BK19" s="88"/>
      <c r="BL19" s="88"/>
      <c r="BM19" s="88"/>
      <c r="BN19" s="88"/>
      <c r="BO19" s="88"/>
      <c r="BP19" s="89"/>
      <c r="BQ19" s="90"/>
      <c r="BR19" s="91"/>
      <c r="BS19" s="88"/>
      <c r="BT19" s="88"/>
      <c r="BU19" s="88"/>
      <c r="BV19" s="88"/>
      <c r="BW19" s="88"/>
      <c r="BX19" s="89"/>
      <c r="BY19" s="90"/>
      <c r="BZ19" s="91"/>
      <c r="CA19" s="88"/>
      <c r="CB19" s="88"/>
      <c r="CC19" s="88"/>
      <c r="CD19" s="88"/>
      <c r="CE19" s="88"/>
      <c r="CF19" s="89"/>
      <c r="CG19" s="90"/>
      <c r="CH19" s="91"/>
      <c r="CI19" s="88"/>
      <c r="CJ19" s="88"/>
      <c r="CK19" s="88"/>
      <c r="CL19" s="88"/>
      <c r="CM19" s="88"/>
      <c r="CN19" s="89"/>
      <c r="CO19" s="90"/>
      <c r="CP19" s="91"/>
      <c r="CQ19" s="88"/>
      <c r="CR19" s="88"/>
      <c r="CS19" s="88"/>
      <c r="CT19" s="88"/>
      <c r="CU19" s="88"/>
      <c r="CV19" s="89"/>
      <c r="CW19" s="90"/>
      <c r="CX19" s="91"/>
      <c r="CY19" s="88"/>
      <c r="CZ19" s="88"/>
      <c r="DA19" s="88"/>
      <c r="DB19" s="88"/>
      <c r="DC19" s="88"/>
      <c r="DD19" s="89"/>
      <c r="DE19" s="90"/>
      <c r="DF19" s="91"/>
      <c r="DG19" s="88"/>
      <c r="DH19" s="88"/>
      <c r="DI19" s="88"/>
      <c r="DJ19" s="88"/>
      <c r="DK19" s="88"/>
      <c r="DL19" s="89"/>
      <c r="DM19" s="90"/>
      <c r="DN19" s="91"/>
      <c r="DO19" s="88"/>
      <c r="DP19" s="88"/>
      <c r="DQ19" s="88"/>
      <c r="DR19" s="88"/>
      <c r="DS19" s="88"/>
      <c r="DT19" s="89"/>
      <c r="DU19" s="90"/>
      <c r="DV19" s="91"/>
      <c r="DW19" s="88"/>
      <c r="DX19" s="88"/>
      <c r="DY19" s="88"/>
      <c r="DZ19" s="88"/>
      <c r="EA19" s="88"/>
      <c r="EB19" s="89"/>
      <c r="EC19" s="90"/>
      <c r="ED19" s="91"/>
      <c r="EE19" s="88"/>
      <c r="EF19" s="88"/>
      <c r="EG19" s="88"/>
      <c r="EH19" s="88"/>
      <c r="EI19" s="88"/>
      <c r="EJ19" s="89"/>
      <c r="EK19" s="90"/>
      <c r="EL19" s="91"/>
      <c r="EM19" s="88"/>
      <c r="EN19" s="88"/>
      <c r="EO19" s="88"/>
      <c r="EP19" s="88"/>
      <c r="EQ19" s="88"/>
      <c r="ER19" s="89"/>
      <c r="ES19" s="90"/>
      <c r="ET19" s="91"/>
      <c r="EU19" s="88"/>
      <c r="EV19" s="88"/>
      <c r="EW19" s="88"/>
      <c r="EX19" s="88"/>
      <c r="EY19" s="88"/>
      <c r="EZ19" s="89"/>
      <c r="FA19" s="90"/>
      <c r="FB19" s="91"/>
      <c r="FC19" s="88"/>
      <c r="FD19" s="88"/>
      <c r="FE19" s="88"/>
      <c r="FF19" s="88"/>
      <c r="FG19" s="88"/>
      <c r="FH19" s="89"/>
      <c r="FI19" s="90"/>
      <c r="FJ19" s="91"/>
      <c r="FK19" s="88"/>
      <c r="FL19" s="88"/>
      <c r="FM19" s="88"/>
      <c r="FN19" s="88"/>
      <c r="FO19" s="88"/>
      <c r="FP19" s="89"/>
      <c r="FQ19" s="90"/>
      <c r="FR19" s="91"/>
      <c r="FS19" s="88"/>
      <c r="FT19" s="88"/>
      <c r="FU19" s="88"/>
      <c r="FV19" s="88"/>
      <c r="FW19" s="88"/>
      <c r="FX19" s="89"/>
      <c r="FY19" s="90"/>
      <c r="FZ19" s="91"/>
      <c r="GA19" s="88"/>
      <c r="GB19" s="88"/>
      <c r="GC19" s="88"/>
      <c r="GD19" s="88"/>
      <c r="GE19" s="88"/>
      <c r="GF19" s="89"/>
      <c r="GG19" s="90"/>
      <c r="GH19" s="91"/>
      <c r="GI19" s="88"/>
      <c r="GJ19" s="88"/>
      <c r="GK19" s="88"/>
      <c r="GL19" s="88"/>
      <c r="GM19" s="88"/>
      <c r="GN19" s="89"/>
      <c r="GO19" s="90"/>
      <c r="GP19" s="91"/>
      <c r="GQ19" s="88"/>
      <c r="GR19" s="88"/>
      <c r="GS19" s="88"/>
      <c r="GT19" s="88"/>
      <c r="GU19" s="88"/>
      <c r="GV19" s="89"/>
      <c r="GW19" s="90"/>
      <c r="GX19" s="91"/>
      <c r="GY19" s="88"/>
      <c r="GZ19" s="88"/>
      <c r="HA19" s="88"/>
      <c r="HB19" s="88"/>
      <c r="HC19" s="88"/>
      <c r="HD19" s="89"/>
      <c r="HE19" s="90"/>
      <c r="HF19" s="91"/>
      <c r="HG19" s="88"/>
      <c r="HH19" s="88"/>
      <c r="HI19" s="88"/>
      <c r="HJ19" s="88"/>
      <c r="HK19" s="88"/>
      <c r="HL19" s="89"/>
      <c r="HM19" s="90"/>
      <c r="HN19" s="92"/>
      <c r="HO19" s="93"/>
      <c r="HP19" s="93"/>
      <c r="HQ19" s="93"/>
      <c r="HR19" s="93"/>
      <c r="HS19" s="93"/>
      <c r="HT19" s="89"/>
      <c r="HU19" s="90"/>
      <c r="HV19" s="91"/>
      <c r="HW19" s="88"/>
      <c r="HX19" s="88"/>
      <c r="HY19" s="88"/>
      <c r="HZ19" s="88"/>
      <c r="IA19" s="88"/>
      <c r="IB19" s="89"/>
      <c r="IC19" s="90"/>
      <c r="ID19" s="91"/>
      <c r="IE19" s="88"/>
      <c r="IF19" s="88"/>
      <c r="IG19" s="88"/>
      <c r="IH19" s="88"/>
      <c r="II19" s="88"/>
      <c r="IJ19" s="89"/>
      <c r="IK19" s="90"/>
      <c r="IL19" s="91"/>
      <c r="IM19" s="88"/>
      <c r="IN19" s="88"/>
      <c r="IO19" s="88"/>
      <c r="IP19" s="88"/>
      <c r="IQ19" s="88"/>
      <c r="IR19" s="94"/>
      <c r="IS19" s="95"/>
      <c r="IT19" s="91"/>
      <c r="IU19" s="88"/>
      <c r="IV19" s="88"/>
      <c r="IW19" s="88"/>
      <c r="IX19" s="88"/>
      <c r="IY19" s="88"/>
      <c r="IZ19" s="94"/>
      <c r="JA19" s="95"/>
      <c r="JB19" s="91"/>
      <c r="JC19" s="88"/>
      <c r="JD19" s="88"/>
      <c r="JE19" s="88"/>
      <c r="JF19" s="88"/>
      <c r="JG19" s="88"/>
      <c r="JH19" s="94"/>
      <c r="JI19" s="95"/>
      <c r="JJ19" s="48"/>
      <c r="JK19" s="49">
        <v>290</v>
      </c>
      <c r="JL19" s="49"/>
      <c r="JM19" s="49"/>
      <c r="JN19" s="49"/>
      <c r="JO19" s="49">
        <v>196</v>
      </c>
      <c r="JP19" s="42">
        <f t="shared" si="1196"/>
        <v>486</v>
      </c>
      <c r="JQ19" s="43">
        <f t="shared" si="1197"/>
        <v>81</v>
      </c>
      <c r="JR19" s="48"/>
      <c r="JS19" s="49"/>
      <c r="JT19" s="49"/>
      <c r="JU19" s="49"/>
      <c r="JV19" s="49"/>
      <c r="JW19" s="49"/>
      <c r="JX19" s="42">
        <f t="shared" si="1198"/>
        <v>0</v>
      </c>
      <c r="JY19" s="43">
        <f t="shared" si="1199"/>
        <v>0</v>
      </c>
      <c r="JZ19" s="48"/>
      <c r="KA19" s="49"/>
      <c r="KB19" s="49"/>
      <c r="KC19" s="49"/>
      <c r="KD19" s="49"/>
      <c r="KE19" s="49"/>
      <c r="KF19" s="42">
        <f t="shared" si="194"/>
        <v>0</v>
      </c>
      <c r="KG19" s="43">
        <f t="shared" si="195"/>
        <v>0</v>
      </c>
      <c r="KH19" s="48"/>
      <c r="KI19" s="49"/>
      <c r="KJ19" s="49"/>
      <c r="KK19" s="49"/>
      <c r="KL19" s="49"/>
      <c r="KM19" s="49"/>
      <c r="KN19" s="67">
        <f t="shared" si="196"/>
        <v>0</v>
      </c>
      <c r="KO19" s="68">
        <f t="shared" si="197"/>
        <v>0</v>
      </c>
      <c r="KP19" s="48">
        <v>200</v>
      </c>
      <c r="KQ19" s="49"/>
      <c r="KR19" s="49"/>
      <c r="KS19" s="49"/>
      <c r="KT19" s="49"/>
      <c r="KU19" s="49"/>
      <c r="KV19" s="67">
        <f t="shared" si="198"/>
        <v>200</v>
      </c>
      <c r="KW19" s="68">
        <f t="shared" si="199"/>
        <v>33.333333333333336</v>
      </c>
      <c r="KX19" s="48"/>
      <c r="KY19" s="49"/>
      <c r="KZ19" s="49"/>
      <c r="LA19" s="49">
        <v>200</v>
      </c>
      <c r="LB19" s="49"/>
      <c r="LC19" s="49"/>
      <c r="LD19" s="67">
        <f t="shared" si="200"/>
        <v>200</v>
      </c>
      <c r="LE19" s="68">
        <f t="shared" si="201"/>
        <v>33.333333333333336</v>
      </c>
      <c r="LF19" s="48">
        <v>199</v>
      </c>
      <c r="LG19" s="49"/>
      <c r="LH19" s="49"/>
      <c r="LI19" s="49"/>
      <c r="LJ19" s="49"/>
      <c r="LK19" s="49"/>
      <c r="LL19" s="67">
        <f t="shared" si="202"/>
        <v>199</v>
      </c>
      <c r="LM19" s="68">
        <f t="shared" si="203"/>
        <v>33.166666666666664</v>
      </c>
      <c r="LN19" s="48"/>
      <c r="LO19" s="49"/>
      <c r="LP19" s="49"/>
      <c r="LQ19" s="49"/>
      <c r="LR19" s="49"/>
      <c r="LS19" s="49"/>
      <c r="LT19" s="67">
        <f t="shared" si="204"/>
        <v>0</v>
      </c>
      <c r="LU19" s="68">
        <f t="shared" si="205"/>
        <v>0</v>
      </c>
      <c r="LV19" s="48"/>
      <c r="LW19" s="49"/>
      <c r="LX19" s="49"/>
      <c r="LY19" s="49"/>
      <c r="LZ19" s="49"/>
      <c r="MA19" s="49"/>
      <c r="MB19" s="67">
        <f t="shared" si="206"/>
        <v>0</v>
      </c>
      <c r="MC19" s="68">
        <f t="shared" si="207"/>
        <v>0</v>
      </c>
      <c r="MD19" s="48"/>
      <c r="ME19" s="49"/>
      <c r="MF19" s="49"/>
      <c r="MG19" s="49"/>
      <c r="MH19" s="49"/>
      <c r="MI19" s="49"/>
      <c r="MJ19" s="67">
        <f t="shared" si="208"/>
        <v>0</v>
      </c>
      <c r="MK19" s="68">
        <f t="shared" si="209"/>
        <v>0</v>
      </c>
      <c r="ML19" s="48"/>
      <c r="MM19" s="49"/>
      <c r="MN19" s="49"/>
      <c r="MO19" s="49">
        <v>200</v>
      </c>
      <c r="MP19" s="49"/>
      <c r="MQ19" s="49"/>
      <c r="MR19" s="67">
        <f t="shared" si="210"/>
        <v>200</v>
      </c>
      <c r="MS19" s="68">
        <f t="shared" si="211"/>
        <v>33.333333333333336</v>
      </c>
      <c r="MT19" s="48"/>
      <c r="MU19" s="49"/>
      <c r="MV19" s="49"/>
      <c r="MW19" s="49"/>
      <c r="MX19" s="49"/>
      <c r="MY19" s="49"/>
      <c r="MZ19" s="67">
        <f t="shared" si="212"/>
        <v>0</v>
      </c>
      <c r="NA19" s="68">
        <f t="shared" si="213"/>
        <v>0</v>
      </c>
      <c r="NB19" s="48"/>
      <c r="NC19" s="49"/>
      <c r="ND19" s="49"/>
      <c r="NE19" s="49"/>
      <c r="NF19" s="49"/>
      <c r="NG19" s="49"/>
      <c r="NH19" s="67">
        <f t="shared" si="214"/>
        <v>0</v>
      </c>
      <c r="NI19" s="68">
        <f t="shared" si="215"/>
        <v>0</v>
      </c>
      <c r="NJ19" s="48"/>
      <c r="NK19" s="49">
        <v>300</v>
      </c>
      <c r="NL19" s="49"/>
      <c r="NM19" s="49"/>
      <c r="NN19" s="49"/>
      <c r="NO19" s="49"/>
      <c r="NP19" s="67">
        <f t="shared" si="216"/>
        <v>300</v>
      </c>
      <c r="NQ19" s="68">
        <f t="shared" si="217"/>
        <v>50</v>
      </c>
      <c r="NR19" s="48"/>
      <c r="NS19" s="49"/>
      <c r="NT19" s="49"/>
      <c r="NU19" s="49"/>
      <c r="NV19" s="49"/>
      <c r="NW19" s="49"/>
      <c r="NX19" s="67">
        <f t="shared" si="218"/>
        <v>0</v>
      </c>
      <c r="NY19" s="68">
        <f t="shared" si="219"/>
        <v>0</v>
      </c>
      <c r="NZ19" s="48"/>
      <c r="OA19" s="49"/>
      <c r="OB19" s="49"/>
      <c r="OC19" s="49"/>
      <c r="OD19" s="49"/>
      <c r="OE19" s="49"/>
      <c r="OF19" s="67">
        <f t="shared" si="220"/>
        <v>0</v>
      </c>
      <c r="OG19" s="68">
        <f t="shared" si="221"/>
        <v>0</v>
      </c>
      <c r="OH19" s="48"/>
      <c r="OI19" s="49"/>
      <c r="OJ19" s="49"/>
      <c r="OK19" s="49"/>
      <c r="OL19" s="49"/>
      <c r="OM19" s="49"/>
      <c r="ON19" s="67">
        <f t="shared" si="222"/>
        <v>0</v>
      </c>
      <c r="OO19" s="68">
        <f t="shared" si="223"/>
        <v>0</v>
      </c>
      <c r="OP19" s="48"/>
      <c r="OQ19" s="49"/>
      <c r="OR19" s="49"/>
      <c r="OS19" s="49"/>
      <c r="OT19" s="49"/>
      <c r="OU19" s="49"/>
      <c r="OV19" s="67">
        <f t="shared" si="224"/>
        <v>0</v>
      </c>
      <c r="OW19" s="68">
        <f t="shared" si="225"/>
        <v>0</v>
      </c>
      <c r="OX19" s="48"/>
      <c r="OY19" s="49"/>
      <c r="OZ19" s="49"/>
      <c r="PA19" s="49"/>
      <c r="PB19" s="49">
        <v>200</v>
      </c>
      <c r="PC19" s="49"/>
      <c r="PD19" s="67">
        <f t="shared" si="226"/>
        <v>200</v>
      </c>
      <c r="PE19" s="68">
        <f t="shared" si="227"/>
        <v>33.333333333333336</v>
      </c>
      <c r="PF19" s="48"/>
      <c r="PG19" s="49"/>
      <c r="PH19" s="49"/>
      <c r="PI19" s="49"/>
      <c r="PJ19" s="49"/>
      <c r="PK19" s="49"/>
      <c r="PL19" s="67">
        <f t="shared" si="228"/>
        <v>0</v>
      </c>
      <c r="PM19" s="68">
        <f t="shared" si="229"/>
        <v>0</v>
      </c>
      <c r="PN19" s="48">
        <v>338</v>
      </c>
      <c r="PO19" s="49"/>
      <c r="PP19" s="49"/>
      <c r="PQ19" s="49"/>
      <c r="PR19" s="49">
        <v>247</v>
      </c>
      <c r="PS19" s="49"/>
      <c r="PT19" s="104">
        <f t="shared" si="230"/>
        <v>585</v>
      </c>
      <c r="PU19" s="105">
        <f t="shared" si="231"/>
        <v>97.5</v>
      </c>
      <c r="PV19" s="106"/>
      <c r="PW19" s="107"/>
      <c r="PX19" s="107"/>
      <c r="PY19" s="107"/>
      <c r="PZ19" s="107"/>
      <c r="QA19" s="107"/>
      <c r="QB19" s="104">
        <f t="shared" si="232"/>
        <v>0</v>
      </c>
      <c r="QC19" s="105">
        <f t="shared" si="233"/>
        <v>0</v>
      </c>
      <c r="QD19" s="106"/>
      <c r="QE19" s="107"/>
      <c r="QF19" s="107"/>
      <c r="QG19" s="107"/>
      <c r="QH19" s="107"/>
      <c r="QI19" s="107"/>
      <c r="QJ19" s="104">
        <f t="shared" si="234"/>
        <v>0</v>
      </c>
      <c r="QK19" s="105">
        <f t="shared" si="235"/>
        <v>0</v>
      </c>
      <c r="QL19" s="106"/>
      <c r="QM19" s="107"/>
      <c r="QN19" s="107"/>
      <c r="QO19" s="107"/>
      <c r="QP19" s="107"/>
      <c r="QQ19" s="107"/>
      <c r="QR19" s="104">
        <f t="shared" si="236"/>
        <v>0</v>
      </c>
      <c r="QS19" s="105">
        <f t="shared" si="237"/>
        <v>0</v>
      </c>
      <c r="QT19" s="106"/>
      <c r="QU19" s="107"/>
      <c r="QV19" s="107">
        <v>200</v>
      </c>
      <c r="QW19" s="107"/>
      <c r="QX19" s="107"/>
      <c r="QY19" s="107"/>
      <c r="QZ19" s="104">
        <f t="shared" si="238"/>
        <v>200</v>
      </c>
      <c r="RA19" s="105">
        <f t="shared" si="239"/>
        <v>33.333333333333336</v>
      </c>
      <c r="RB19" s="106"/>
      <c r="RC19" s="107"/>
      <c r="RD19" s="107"/>
      <c r="RE19" s="107"/>
      <c r="RF19" s="107"/>
      <c r="RG19" s="107"/>
      <c r="RH19" s="104">
        <f t="shared" si="240"/>
        <v>0</v>
      </c>
      <c r="RI19" s="105">
        <f t="shared" si="241"/>
        <v>0</v>
      </c>
      <c r="RJ19" s="106"/>
      <c r="RK19" s="107">
        <v>200</v>
      </c>
      <c r="RL19" s="107"/>
      <c r="RM19" s="107"/>
      <c r="RN19" s="107"/>
      <c r="RO19" s="107"/>
      <c r="RP19" s="104">
        <f t="shared" si="242"/>
        <v>200</v>
      </c>
      <c r="RQ19" s="105">
        <f t="shared" si="243"/>
        <v>33.333333333333336</v>
      </c>
      <c r="RR19" s="106"/>
      <c r="RS19" s="107"/>
      <c r="RT19" s="107"/>
      <c r="RU19" s="107"/>
      <c r="RV19" s="107"/>
      <c r="RW19" s="107">
        <v>200</v>
      </c>
      <c r="RX19" s="104">
        <f t="shared" si="244"/>
        <v>200</v>
      </c>
      <c r="RY19" s="105">
        <f t="shared" si="245"/>
        <v>33.333333333333336</v>
      </c>
      <c r="RZ19" s="106"/>
      <c r="SA19" s="107"/>
      <c r="SB19" s="107"/>
      <c r="SC19" s="107"/>
      <c r="SD19" s="107"/>
      <c r="SE19" s="107"/>
      <c r="SF19" s="104">
        <f t="shared" si="246"/>
        <v>0</v>
      </c>
      <c r="SG19" s="105">
        <f t="shared" si="247"/>
        <v>0</v>
      </c>
      <c r="SH19" s="106"/>
      <c r="SI19" s="107"/>
      <c r="SJ19" s="107"/>
      <c r="SK19" s="107"/>
      <c r="SL19" s="107"/>
      <c r="SM19" s="107"/>
      <c r="SN19" s="104">
        <f t="shared" si="248"/>
        <v>0</v>
      </c>
      <c r="SO19" s="105">
        <f t="shared" si="249"/>
        <v>0</v>
      </c>
      <c r="SP19" s="106">
        <v>400</v>
      </c>
      <c r="SQ19" s="107"/>
      <c r="SR19" s="107"/>
      <c r="SS19" s="107"/>
      <c r="ST19" s="107"/>
      <c r="SU19" s="107"/>
      <c r="SV19" s="104">
        <f t="shared" si="250"/>
        <v>400</v>
      </c>
      <c r="SW19" s="105">
        <f t="shared" si="251"/>
        <v>66.666666666666671</v>
      </c>
      <c r="SX19" s="106"/>
      <c r="SY19" s="107"/>
      <c r="SZ19" s="107">
        <v>198</v>
      </c>
      <c r="TA19" s="107"/>
      <c r="TB19" s="107"/>
      <c r="TC19" s="107"/>
      <c r="TD19" s="104">
        <f t="shared" si="252"/>
        <v>198</v>
      </c>
      <c r="TE19" s="105">
        <f t="shared" si="253"/>
        <v>33</v>
      </c>
      <c r="TF19" s="106"/>
      <c r="TG19" s="107"/>
      <c r="TH19" s="107"/>
      <c r="TI19" s="107"/>
      <c r="TJ19" s="107"/>
      <c r="TK19" s="107"/>
      <c r="TL19" s="104">
        <f t="shared" si="254"/>
        <v>0</v>
      </c>
      <c r="TM19" s="105">
        <f t="shared" si="255"/>
        <v>0</v>
      </c>
      <c r="TN19" s="106"/>
      <c r="TO19" s="107"/>
      <c r="TP19" s="107"/>
      <c r="TQ19" s="107"/>
      <c r="TR19" s="107"/>
      <c r="TS19" s="107"/>
      <c r="TT19" s="104">
        <f t="shared" si="256"/>
        <v>0</v>
      </c>
      <c r="TU19" s="105">
        <f t="shared" si="257"/>
        <v>0</v>
      </c>
      <c r="TV19" s="106"/>
      <c r="TW19" s="107"/>
      <c r="TX19" s="107">
        <v>400</v>
      </c>
      <c r="TY19" s="107"/>
      <c r="TZ19" s="107"/>
      <c r="UA19" s="107"/>
      <c r="UB19" s="104">
        <f t="shared" si="258"/>
        <v>400</v>
      </c>
      <c r="UC19" s="105">
        <f t="shared" si="259"/>
        <v>66.666666666666671</v>
      </c>
      <c r="UD19" s="106"/>
      <c r="UE19" s="107"/>
      <c r="UF19" s="107"/>
      <c r="UG19" s="107"/>
      <c r="UH19" s="107"/>
      <c r="UI19" s="107"/>
      <c r="UJ19" s="104">
        <f t="shared" si="260"/>
        <v>0</v>
      </c>
      <c r="UK19" s="105">
        <f t="shared" si="261"/>
        <v>0</v>
      </c>
      <c r="UL19" s="106"/>
      <c r="UM19" s="107"/>
      <c r="UN19" s="107"/>
      <c r="UO19" s="107"/>
      <c r="UP19" s="107"/>
      <c r="UQ19" s="107"/>
      <c r="UR19" s="107"/>
      <c r="US19" s="104">
        <f t="shared" si="262"/>
        <v>0</v>
      </c>
      <c r="UT19" s="105">
        <f t="shared" si="263"/>
        <v>0</v>
      </c>
      <c r="UU19" s="106"/>
      <c r="UV19" s="107"/>
      <c r="UW19" s="107"/>
      <c r="UX19" s="107"/>
      <c r="UY19" s="107"/>
      <c r="UZ19" s="107"/>
      <c r="VA19" s="104">
        <f t="shared" si="264"/>
        <v>0</v>
      </c>
      <c r="VB19" s="105">
        <f t="shared" si="265"/>
        <v>0</v>
      </c>
      <c r="VC19" s="106"/>
      <c r="VD19" s="107"/>
      <c r="VE19" s="107"/>
      <c r="VF19" s="107"/>
      <c r="VG19" s="107"/>
      <c r="VH19" s="107"/>
      <c r="VI19" s="104">
        <f t="shared" si="266"/>
        <v>0</v>
      </c>
      <c r="VJ19" s="105">
        <f t="shared" si="267"/>
        <v>0</v>
      </c>
      <c r="VK19" s="106"/>
      <c r="VL19" s="107"/>
      <c r="VM19" s="107"/>
      <c r="VN19" s="107"/>
      <c r="VO19" s="107"/>
      <c r="VP19" s="107">
        <v>199</v>
      </c>
      <c r="VQ19" s="104">
        <f t="shared" si="268"/>
        <v>199</v>
      </c>
      <c r="VR19" s="105">
        <f t="shared" si="269"/>
        <v>33.166666666666664</v>
      </c>
      <c r="VS19" s="106"/>
      <c r="VT19" s="107"/>
      <c r="VU19" s="107"/>
      <c r="VV19" s="107"/>
      <c r="VW19" s="107"/>
      <c r="VX19" s="107"/>
      <c r="VY19" s="104">
        <f t="shared" si="270"/>
        <v>0</v>
      </c>
      <c r="VZ19" s="105">
        <f t="shared" si="271"/>
        <v>0</v>
      </c>
      <c r="WA19" s="63"/>
      <c r="WB19" s="64">
        <v>200</v>
      </c>
      <c r="WC19" s="64"/>
      <c r="WD19" s="64"/>
      <c r="WE19" s="64"/>
      <c r="WF19" s="64"/>
      <c r="WG19" s="67">
        <f t="shared" si="272"/>
        <v>200</v>
      </c>
      <c r="WH19" s="68">
        <f t="shared" si="273"/>
        <v>33.333333333333336</v>
      </c>
      <c r="WI19" s="48"/>
      <c r="WJ19" s="49"/>
      <c r="WK19" s="49"/>
      <c r="WL19" s="49"/>
      <c r="WM19" s="49"/>
      <c r="WN19" s="49">
        <v>200</v>
      </c>
      <c r="WO19" s="67">
        <f t="shared" si="274"/>
        <v>200</v>
      </c>
      <c r="WP19" s="68">
        <f t="shared" si="275"/>
        <v>33.333333333333336</v>
      </c>
      <c r="WQ19" s="48"/>
      <c r="WR19" s="49"/>
      <c r="WS19" s="49"/>
      <c r="WT19" s="49"/>
      <c r="WU19" s="49"/>
      <c r="WV19" s="49"/>
      <c r="WW19" s="49">
        <v>102</v>
      </c>
      <c r="WX19" s="67">
        <f t="shared" si="276"/>
        <v>102</v>
      </c>
      <c r="WY19" s="68">
        <f t="shared" si="277"/>
        <v>17</v>
      </c>
      <c r="WZ19" s="48"/>
      <c r="XA19" s="49"/>
      <c r="XB19" s="49"/>
      <c r="XC19" s="49"/>
      <c r="XD19" s="49"/>
      <c r="XE19" s="49"/>
      <c r="XF19" s="49"/>
      <c r="XG19" s="67">
        <f t="shared" si="278"/>
        <v>0</v>
      </c>
      <c r="XH19" s="68">
        <f t="shared" si="279"/>
        <v>0</v>
      </c>
      <c r="XI19" s="106"/>
      <c r="XJ19" s="107">
        <v>261</v>
      </c>
      <c r="XK19" s="107"/>
      <c r="XL19" s="107"/>
      <c r="XM19" s="107"/>
      <c r="XN19" s="107"/>
      <c r="XO19" s="107"/>
      <c r="XP19" s="104">
        <f t="shared" si="280"/>
        <v>261</v>
      </c>
      <c r="XQ19" s="105">
        <f t="shared" si="281"/>
        <v>43.5</v>
      </c>
      <c r="XR19" s="48"/>
      <c r="XS19" s="49">
        <v>195</v>
      </c>
      <c r="XT19" s="49"/>
      <c r="XU19" s="49"/>
      <c r="XV19" s="49"/>
      <c r="XW19" s="49"/>
      <c r="XX19" s="49"/>
      <c r="XY19" s="67">
        <f t="shared" si="282"/>
        <v>195</v>
      </c>
      <c r="XZ19" s="68">
        <f t="shared" si="283"/>
        <v>32.5</v>
      </c>
      <c r="YA19" s="48"/>
      <c r="YB19" s="49"/>
      <c r="YC19" s="49"/>
      <c r="YD19" s="49"/>
      <c r="YE19" s="49"/>
      <c r="YF19" s="49">
        <v>200</v>
      </c>
      <c r="YG19" s="49"/>
      <c r="YH19" s="67">
        <f t="shared" si="284"/>
        <v>200</v>
      </c>
      <c r="YI19" s="68">
        <f t="shared" si="285"/>
        <v>33.333333333333336</v>
      </c>
      <c r="YJ19" s="48"/>
      <c r="YK19" s="49"/>
      <c r="YL19" s="49"/>
      <c r="YM19" s="49"/>
      <c r="YN19" s="49"/>
      <c r="YO19" s="49"/>
      <c r="YP19" s="49"/>
      <c r="YQ19" s="67">
        <f t="shared" si="286"/>
        <v>0</v>
      </c>
      <c r="YR19" s="68">
        <f t="shared" si="287"/>
        <v>0</v>
      </c>
      <c r="YS19" s="48"/>
      <c r="YT19" s="49"/>
      <c r="YU19" s="49"/>
      <c r="YV19" s="49"/>
      <c r="YW19" s="49"/>
      <c r="YX19" s="49"/>
      <c r="YY19" s="67">
        <f t="shared" si="288"/>
        <v>0</v>
      </c>
      <c r="YZ19" s="68">
        <f t="shared" si="289"/>
        <v>0</v>
      </c>
      <c r="ZA19" s="48">
        <v>206</v>
      </c>
      <c r="ZB19" s="49"/>
      <c r="ZC19" s="49"/>
      <c r="ZD19" s="49"/>
      <c r="ZE19" s="49"/>
      <c r="ZF19" s="49">
        <v>109</v>
      </c>
      <c r="ZG19" s="67">
        <f t="shared" si="290"/>
        <v>315</v>
      </c>
      <c r="ZH19" s="68">
        <f t="shared" si="291"/>
        <v>52.5</v>
      </c>
      <c r="ZI19" s="48"/>
      <c r="ZJ19" s="49"/>
      <c r="ZK19" s="49"/>
      <c r="ZL19" s="49"/>
      <c r="ZM19" s="49"/>
      <c r="ZN19" s="24"/>
      <c r="ZO19" s="67">
        <f t="shared" si="292"/>
        <v>0</v>
      </c>
      <c r="ZP19" s="68">
        <f t="shared" si="293"/>
        <v>0</v>
      </c>
      <c r="ZQ19" s="48"/>
      <c r="ZR19" s="49"/>
      <c r="ZS19" s="49"/>
      <c r="ZT19" s="49"/>
      <c r="ZU19" s="49"/>
      <c r="ZV19" s="49"/>
      <c r="ZW19" s="49"/>
      <c r="ZX19" s="67">
        <f t="shared" si="294"/>
        <v>0</v>
      </c>
      <c r="ZY19" s="68">
        <f t="shared" si="295"/>
        <v>0</v>
      </c>
      <c r="ZZ19" s="48"/>
      <c r="AAA19" s="49">
        <v>200</v>
      </c>
      <c r="AAB19" s="49"/>
      <c r="AAC19" s="49"/>
      <c r="AAD19" s="49"/>
      <c r="AAE19" s="49"/>
      <c r="AAF19" s="49"/>
      <c r="AAG19" s="67">
        <f t="shared" si="296"/>
        <v>200</v>
      </c>
      <c r="AAH19" s="68">
        <f t="shared" si="297"/>
        <v>33.333333333333336</v>
      </c>
      <c r="AAI19" s="48"/>
      <c r="AAJ19" s="49">
        <v>300</v>
      </c>
      <c r="AAK19" s="49">
        <v>200</v>
      </c>
      <c r="AAL19" s="49"/>
      <c r="AAM19" s="49"/>
      <c r="AAN19" s="49">
        <v>200</v>
      </c>
      <c r="AAO19" s="67">
        <f t="shared" si="298"/>
        <v>700</v>
      </c>
      <c r="AAP19" s="68">
        <f t="shared" si="299"/>
        <v>116.66666666666667</v>
      </c>
      <c r="AAQ19" s="48"/>
      <c r="AAR19" s="49"/>
      <c r="AAS19" s="49"/>
      <c r="AAT19" s="49"/>
      <c r="AAU19" s="49"/>
      <c r="AAV19" s="49">
        <v>200</v>
      </c>
      <c r="AAW19" s="67">
        <f t="shared" si="300"/>
        <v>200</v>
      </c>
      <c r="AAX19" s="68">
        <f t="shared" si="301"/>
        <v>33.333333333333336</v>
      </c>
      <c r="AAY19" s="48"/>
      <c r="AAZ19" s="49"/>
      <c r="ABA19" s="49"/>
      <c r="ABB19" s="49"/>
      <c r="ABC19" s="49"/>
      <c r="ABD19" s="49"/>
      <c r="ABE19" s="67">
        <f t="shared" si="302"/>
        <v>0</v>
      </c>
      <c r="ABF19" s="68">
        <f t="shared" si="303"/>
        <v>0</v>
      </c>
      <c r="ABG19" s="48"/>
      <c r="ABH19" s="49"/>
      <c r="ABI19" s="49"/>
      <c r="ABJ19" s="49">
        <v>200</v>
      </c>
      <c r="ABK19" s="49"/>
      <c r="ABL19" s="49"/>
      <c r="ABM19" s="67">
        <f t="shared" si="304"/>
        <v>200</v>
      </c>
      <c r="ABN19" s="68">
        <f t="shared" si="305"/>
        <v>33.333333333333336</v>
      </c>
      <c r="ABO19" s="48"/>
      <c r="ABP19" s="49"/>
      <c r="ABQ19" s="49"/>
      <c r="ABR19" s="49"/>
      <c r="ABS19" s="49"/>
      <c r="ABT19" s="49"/>
      <c r="ABU19" s="67">
        <f t="shared" si="306"/>
        <v>0</v>
      </c>
      <c r="ABV19" s="68">
        <f t="shared" si="307"/>
        <v>0</v>
      </c>
      <c r="ABW19" s="48"/>
      <c r="ABX19" s="49"/>
      <c r="ABY19" s="49"/>
      <c r="ABZ19" s="49"/>
      <c r="ACA19" s="49"/>
      <c r="ACB19" s="49">
        <v>200</v>
      </c>
      <c r="ACC19" s="67">
        <f t="shared" si="308"/>
        <v>200</v>
      </c>
      <c r="ACD19" s="68">
        <f t="shared" si="309"/>
        <v>33.333333333333336</v>
      </c>
      <c r="ACE19" s="48"/>
      <c r="ACF19" s="49"/>
      <c r="ACG19" s="49"/>
      <c r="ACH19" s="49"/>
      <c r="ACI19" s="49"/>
      <c r="ACJ19" s="49"/>
      <c r="ACK19" s="67">
        <f t="shared" si="310"/>
        <v>0</v>
      </c>
      <c r="ACL19" s="68">
        <f t="shared" si="311"/>
        <v>0</v>
      </c>
      <c r="ACM19" s="48"/>
      <c r="ACN19" s="49">
        <v>220</v>
      </c>
      <c r="ACO19" s="49"/>
      <c r="ACP19" s="49"/>
      <c r="ACQ19" s="49"/>
      <c r="ACR19" s="49"/>
      <c r="ACS19" s="67">
        <f t="shared" si="312"/>
        <v>220</v>
      </c>
      <c r="ACT19" s="68">
        <f t="shared" si="313"/>
        <v>36.666666666666664</v>
      </c>
      <c r="ACU19" s="48"/>
      <c r="ACV19" s="49"/>
      <c r="ACW19" s="49"/>
      <c r="ACX19" s="49"/>
      <c r="ACY19" s="49"/>
      <c r="ACZ19" s="49"/>
      <c r="ADA19" s="67">
        <f t="shared" si="314"/>
        <v>0</v>
      </c>
      <c r="ADB19" s="68">
        <f t="shared" si="315"/>
        <v>0</v>
      </c>
      <c r="ADC19" s="48"/>
      <c r="ADD19" s="49">
        <v>199</v>
      </c>
      <c r="ADE19" s="49"/>
      <c r="ADF19" s="49"/>
      <c r="ADG19" s="49"/>
      <c r="ADH19" s="49"/>
      <c r="ADI19" s="67">
        <f t="shared" si="316"/>
        <v>199</v>
      </c>
      <c r="ADJ19" s="68">
        <f t="shared" si="317"/>
        <v>33.166666666666664</v>
      </c>
      <c r="ADK19" s="48"/>
      <c r="ADL19" s="49"/>
      <c r="ADM19" s="49"/>
      <c r="ADN19" s="49"/>
      <c r="ADO19" s="49"/>
      <c r="ADP19" s="49"/>
      <c r="ADQ19" s="67">
        <f t="shared" si="318"/>
        <v>0</v>
      </c>
      <c r="ADR19" s="68">
        <f t="shared" si="319"/>
        <v>0</v>
      </c>
      <c r="ADS19" s="48"/>
      <c r="ADT19" s="49"/>
      <c r="ADU19" s="49"/>
      <c r="ADV19" s="49"/>
      <c r="ADW19" s="49"/>
      <c r="ADX19" s="49"/>
      <c r="ADY19" s="67">
        <f t="shared" si="320"/>
        <v>0</v>
      </c>
      <c r="ADZ19" s="68">
        <f t="shared" si="321"/>
        <v>0</v>
      </c>
      <c r="AEA19" s="48"/>
      <c r="AEB19" s="49"/>
      <c r="AEC19" s="49"/>
      <c r="AED19" s="49">
        <v>221</v>
      </c>
      <c r="AEE19" s="49"/>
      <c r="AEF19" s="49"/>
      <c r="AEG19" s="67">
        <f t="shared" si="322"/>
        <v>221</v>
      </c>
      <c r="AEH19" s="68">
        <f t="shared" si="323"/>
        <v>36.833333333333336</v>
      </c>
      <c r="AEI19" s="48"/>
      <c r="AEJ19" s="49"/>
      <c r="AEK19" s="49"/>
      <c r="AEL19" s="49"/>
      <c r="AEM19" s="49"/>
      <c r="AEN19" s="49"/>
      <c r="AEO19" s="67">
        <f t="shared" si="324"/>
        <v>0</v>
      </c>
      <c r="AEP19" s="68">
        <f t="shared" si="325"/>
        <v>0</v>
      </c>
      <c r="AEQ19" s="48"/>
      <c r="AER19" s="49"/>
      <c r="AES19" s="49">
        <v>220</v>
      </c>
      <c r="AET19" s="49"/>
      <c r="AEU19" s="49"/>
      <c r="AEV19" s="49"/>
      <c r="AEW19" s="67">
        <f t="shared" si="326"/>
        <v>220</v>
      </c>
      <c r="AEX19" s="68">
        <f t="shared" si="327"/>
        <v>36.666666666666664</v>
      </c>
      <c r="AEY19" s="48"/>
      <c r="AEZ19" s="49"/>
      <c r="AFA19" s="49"/>
      <c r="AFB19" s="49"/>
      <c r="AFC19" s="49"/>
      <c r="AFD19" s="49"/>
      <c r="AFE19" s="67">
        <f t="shared" si="328"/>
        <v>0</v>
      </c>
      <c r="AFF19" s="68">
        <f t="shared" si="329"/>
        <v>0</v>
      </c>
      <c r="AFG19" s="48"/>
      <c r="AFH19" s="49"/>
      <c r="AFI19" s="49"/>
      <c r="AFJ19" s="49">
        <v>330</v>
      </c>
      <c r="AFK19" s="49"/>
      <c r="AFL19" s="49"/>
      <c r="AFM19" s="67">
        <f t="shared" si="330"/>
        <v>330</v>
      </c>
      <c r="AFN19" s="68">
        <f t="shared" si="331"/>
        <v>55</v>
      </c>
      <c r="AFO19" s="48"/>
      <c r="AFP19" s="49"/>
      <c r="AFQ19" s="49"/>
      <c r="AFR19" s="49"/>
      <c r="AFS19" s="49"/>
      <c r="AFT19" s="49"/>
      <c r="AFU19" s="67">
        <f t="shared" si="332"/>
        <v>0</v>
      </c>
      <c r="AFV19" s="68">
        <f t="shared" si="333"/>
        <v>0</v>
      </c>
      <c r="AFW19" s="48"/>
      <c r="AFX19" s="49"/>
      <c r="AFY19" s="49"/>
      <c r="AFZ19" s="49"/>
      <c r="AGA19" s="49">
        <v>200</v>
      </c>
      <c r="AGB19" s="49"/>
      <c r="AGC19" s="67">
        <f t="shared" si="334"/>
        <v>200</v>
      </c>
      <c r="AGD19" s="68">
        <f t="shared" si="335"/>
        <v>33.333333333333336</v>
      </c>
      <c r="AGE19" s="48"/>
      <c r="AGF19" s="49">
        <v>220</v>
      </c>
      <c r="AGG19" s="49"/>
      <c r="AGH19" s="49"/>
      <c r="AGI19" s="49"/>
      <c r="AGJ19" s="49"/>
      <c r="AGK19" s="67">
        <f t="shared" si="336"/>
        <v>220</v>
      </c>
      <c r="AGL19" s="68">
        <f t="shared" si="337"/>
        <v>36.666666666666664</v>
      </c>
      <c r="AGM19" s="48"/>
      <c r="AGN19" s="49"/>
      <c r="AGO19" s="49"/>
      <c r="AGP19" s="49"/>
      <c r="AGQ19" s="49"/>
      <c r="AGR19" s="49"/>
      <c r="AGS19" s="49"/>
      <c r="AGT19" s="67">
        <f t="shared" si="338"/>
        <v>0</v>
      </c>
      <c r="AGU19" s="68">
        <f t="shared" si="339"/>
        <v>0</v>
      </c>
      <c r="AGV19" s="48"/>
      <c r="AGW19" s="49"/>
      <c r="AGX19" s="49"/>
      <c r="AGY19" s="49"/>
      <c r="AGZ19" s="49"/>
      <c r="AHA19" s="49"/>
      <c r="AHB19" s="67">
        <f t="shared" si="340"/>
        <v>0</v>
      </c>
      <c r="AHC19" s="68">
        <f t="shared" si="341"/>
        <v>0</v>
      </c>
      <c r="AHD19" s="48"/>
      <c r="AHE19" s="49"/>
      <c r="AHF19" s="49"/>
      <c r="AHG19" s="49"/>
      <c r="AHH19" s="49"/>
      <c r="AHI19" s="49"/>
      <c r="AHJ19" s="67">
        <f t="shared" si="342"/>
        <v>0</v>
      </c>
      <c r="AHK19" s="68">
        <f t="shared" si="343"/>
        <v>0</v>
      </c>
      <c r="AHL19" s="48">
        <v>220</v>
      </c>
      <c r="AHM19" s="49"/>
      <c r="AHN19" s="49"/>
      <c r="AHO19" s="49"/>
      <c r="AHP19" s="49"/>
      <c r="AHQ19" s="49"/>
      <c r="AHR19" s="67">
        <f t="shared" si="344"/>
        <v>220</v>
      </c>
      <c r="AHS19" s="68">
        <f t="shared" si="345"/>
        <v>7.5862068965517242</v>
      </c>
      <c r="AHT19" s="48"/>
      <c r="AHU19" s="49"/>
      <c r="AHV19" s="49"/>
      <c r="AHW19" s="49"/>
      <c r="AHX19" s="49"/>
      <c r="AHY19" s="49">
        <v>238</v>
      </c>
      <c r="AHZ19" s="67">
        <f t="shared" si="346"/>
        <v>238</v>
      </c>
      <c r="AIA19" s="68">
        <f t="shared" si="347"/>
        <v>8.2068965517241388</v>
      </c>
      <c r="AIB19" s="48"/>
      <c r="AIC19" s="49"/>
      <c r="AID19" s="49"/>
      <c r="AIE19" s="49"/>
      <c r="AIF19" s="49"/>
      <c r="AIG19" s="49"/>
      <c r="AIH19" s="67">
        <f t="shared" si="348"/>
        <v>0</v>
      </c>
      <c r="AII19" s="68">
        <f t="shared" si="349"/>
        <v>0</v>
      </c>
      <c r="AIJ19" s="48"/>
      <c r="AIK19" s="49"/>
      <c r="AIL19" s="49"/>
      <c r="AIM19" s="49"/>
      <c r="AIN19" s="49"/>
      <c r="AIO19" s="49"/>
      <c r="AIP19" s="67">
        <f t="shared" si="350"/>
        <v>0</v>
      </c>
      <c r="AIQ19" s="68">
        <f t="shared" si="351"/>
        <v>0</v>
      </c>
      <c r="AIR19" s="48"/>
      <c r="AIS19" s="49"/>
      <c r="AIT19" s="49"/>
      <c r="AIU19" s="49"/>
      <c r="AIV19" s="49"/>
      <c r="AIW19" s="49"/>
      <c r="AIX19" s="67">
        <f t="shared" si="352"/>
        <v>0</v>
      </c>
      <c r="AIY19" s="68">
        <f t="shared" si="353"/>
        <v>0</v>
      </c>
      <c r="AIZ19" s="48"/>
      <c r="AJA19" s="49"/>
      <c r="AJB19" s="49"/>
      <c r="AJC19" s="49"/>
      <c r="AJD19" s="49">
        <v>200</v>
      </c>
      <c r="AJE19" s="49"/>
      <c r="AJF19" s="67">
        <f t="shared" si="354"/>
        <v>200</v>
      </c>
      <c r="AJG19" s="68">
        <f t="shared" si="355"/>
        <v>6.8965517241379306</v>
      </c>
      <c r="AJH19" s="48"/>
      <c r="AJI19" s="49"/>
      <c r="AJJ19" s="49"/>
      <c r="AJK19" s="49"/>
      <c r="AJL19" s="49"/>
      <c r="AJM19" s="49">
        <v>226</v>
      </c>
      <c r="AJN19" s="42">
        <f t="shared" si="356"/>
        <v>226</v>
      </c>
      <c r="AJO19" s="43">
        <f t="shared" si="357"/>
        <v>7.7931034482758621</v>
      </c>
      <c r="AJP19" s="48"/>
      <c r="AJQ19" s="49"/>
      <c r="AJR19" s="49"/>
      <c r="AJS19" s="49"/>
      <c r="AJT19" s="49"/>
      <c r="AJU19" s="49"/>
      <c r="AJV19" s="42">
        <f t="shared" si="358"/>
        <v>0</v>
      </c>
      <c r="AJW19" s="43">
        <f t="shared" si="359"/>
        <v>0</v>
      </c>
      <c r="AJX19" s="48"/>
      <c r="AJY19" s="49"/>
      <c r="AJZ19" s="49"/>
      <c r="AKA19" s="49"/>
      <c r="AKB19" s="49"/>
      <c r="AKC19" s="49"/>
      <c r="AKD19" s="67">
        <f t="shared" si="360"/>
        <v>0</v>
      </c>
      <c r="AKE19" s="68">
        <f t="shared" si="361"/>
        <v>0</v>
      </c>
      <c r="AKF19" s="48"/>
      <c r="AKG19" s="49"/>
      <c r="AKH19" s="49"/>
      <c r="AKI19" s="49"/>
      <c r="AKJ19" s="49"/>
      <c r="AKK19" s="49"/>
      <c r="AKL19" s="67">
        <f t="shared" si="362"/>
        <v>0</v>
      </c>
      <c r="AKM19" s="184">
        <f t="shared" si="363"/>
        <v>0</v>
      </c>
      <c r="AKN19" s="195"/>
      <c r="AKO19" s="49"/>
      <c r="AKP19" s="49"/>
      <c r="AKQ19" s="49"/>
      <c r="AKR19" s="49"/>
      <c r="AKS19" s="49"/>
      <c r="AKT19" s="67">
        <f t="shared" si="364"/>
        <v>0</v>
      </c>
      <c r="AKU19" s="184">
        <f t="shared" si="365"/>
        <v>0</v>
      </c>
      <c r="AKV19" s="48"/>
      <c r="AKW19" s="49">
        <v>219</v>
      </c>
      <c r="AKX19" s="49"/>
      <c r="AKY19" s="49"/>
      <c r="AKZ19" s="49"/>
      <c r="ALA19" s="49"/>
      <c r="ALB19" s="67">
        <f t="shared" si="366"/>
        <v>219</v>
      </c>
      <c r="ALC19" s="68">
        <f t="shared" si="367"/>
        <v>36.5</v>
      </c>
      <c r="ALD19" s="48"/>
      <c r="ALE19" s="49"/>
      <c r="ALF19" s="49">
        <v>220</v>
      </c>
      <c r="ALG19" s="49"/>
      <c r="ALH19" s="49"/>
      <c r="ALI19" s="49"/>
      <c r="ALJ19" s="67">
        <f t="shared" si="368"/>
        <v>220</v>
      </c>
      <c r="ALK19" s="68">
        <f t="shared" si="369"/>
        <v>36.666666666666664</v>
      </c>
      <c r="ALL19" s="48"/>
      <c r="ALM19" s="49"/>
      <c r="ALN19" s="49"/>
      <c r="ALO19" s="49"/>
      <c r="ALP19" s="49"/>
      <c r="ALQ19" s="49"/>
      <c r="ALR19" s="67">
        <f t="shared" si="370"/>
        <v>0</v>
      </c>
      <c r="ALS19" s="68">
        <f t="shared" si="371"/>
        <v>0</v>
      </c>
      <c r="ALT19" s="48"/>
      <c r="ALU19" s="49">
        <v>220</v>
      </c>
      <c r="ALV19" s="49"/>
      <c r="ALW19" s="49"/>
      <c r="ALX19" s="49"/>
      <c r="ALY19" s="49"/>
      <c r="ALZ19" s="67">
        <f t="shared" si="372"/>
        <v>220</v>
      </c>
      <c r="AMA19" s="68">
        <f t="shared" si="373"/>
        <v>36.666666666666664</v>
      </c>
      <c r="AMB19" s="48"/>
      <c r="AMC19" s="49">
        <v>220</v>
      </c>
      <c r="AMD19" s="49"/>
      <c r="AME19" s="49"/>
      <c r="AMF19" s="49"/>
      <c r="AMG19" s="49"/>
      <c r="AMH19" s="67">
        <f t="shared" si="374"/>
        <v>220</v>
      </c>
      <c r="AMI19" s="68">
        <f t="shared" si="375"/>
        <v>36.666666666666664</v>
      </c>
      <c r="AMJ19" s="48"/>
      <c r="AMK19" s="49"/>
      <c r="AML19" s="49"/>
      <c r="AMM19" s="49"/>
      <c r="AMN19" s="49"/>
      <c r="AMO19" s="49"/>
      <c r="AMP19" s="67">
        <f t="shared" si="376"/>
        <v>0</v>
      </c>
      <c r="AMQ19" s="68">
        <f t="shared" si="377"/>
        <v>0</v>
      </c>
      <c r="AMR19" s="48"/>
      <c r="AMS19" s="49"/>
      <c r="AMT19" s="49"/>
      <c r="AMU19" s="49"/>
      <c r="AMV19" s="49">
        <v>214</v>
      </c>
      <c r="AMW19" s="49"/>
      <c r="AMX19" s="67">
        <f t="shared" si="378"/>
        <v>214</v>
      </c>
      <c r="AMY19" s="68">
        <f t="shared" si="379"/>
        <v>35.666666666666664</v>
      </c>
      <c r="AMZ19" s="48">
        <v>220</v>
      </c>
      <c r="ANA19" s="49"/>
      <c r="ANB19" s="49"/>
      <c r="ANC19" s="49"/>
      <c r="AND19" s="49"/>
      <c r="ANE19" s="49"/>
      <c r="ANF19" s="67">
        <f t="shared" si="380"/>
        <v>220</v>
      </c>
      <c r="ANG19" s="68">
        <f t="shared" si="381"/>
        <v>36.666666666666664</v>
      </c>
      <c r="ANH19" s="48"/>
      <c r="ANI19" s="49"/>
      <c r="ANJ19" s="49"/>
      <c r="ANK19" s="49">
        <v>220</v>
      </c>
      <c r="ANL19" s="49">
        <v>220</v>
      </c>
      <c r="ANM19" s="49"/>
      <c r="ANN19" s="67">
        <f t="shared" si="382"/>
        <v>440</v>
      </c>
      <c r="ANO19" s="68">
        <f t="shared" si="383"/>
        <v>73.333333333333329</v>
      </c>
      <c r="ANP19" s="48"/>
      <c r="ANQ19" s="49"/>
      <c r="ANR19" s="49"/>
      <c r="ANS19" s="49"/>
      <c r="ANT19" s="49"/>
      <c r="ANU19" s="49"/>
      <c r="ANV19" s="67">
        <f t="shared" si="384"/>
        <v>0</v>
      </c>
      <c r="ANW19" s="68">
        <f t="shared" si="385"/>
        <v>0</v>
      </c>
      <c r="ANX19" s="82"/>
      <c r="ANY19" s="83"/>
      <c r="ANZ19" s="83"/>
      <c r="AOA19" s="83"/>
      <c r="AOB19" s="83"/>
      <c r="AOC19" s="83"/>
      <c r="AOD19" s="67">
        <f t="shared" si="386"/>
        <v>0</v>
      </c>
      <c r="AOE19" s="68">
        <f t="shared" si="387"/>
        <v>0</v>
      </c>
      <c r="AOF19" s="48"/>
      <c r="AOG19" s="49"/>
      <c r="AOH19" s="49"/>
      <c r="AOI19" s="49"/>
      <c r="AOJ19" s="49"/>
      <c r="AOK19" s="49"/>
      <c r="AOL19" s="67">
        <f t="shared" si="388"/>
        <v>0</v>
      </c>
      <c r="AOM19" s="68">
        <f t="shared" si="389"/>
        <v>0</v>
      </c>
      <c r="AON19" s="48"/>
      <c r="AOO19" s="49"/>
      <c r="AOP19" s="49"/>
      <c r="AOQ19" s="49"/>
      <c r="AOR19" s="49"/>
      <c r="AOS19" s="49"/>
      <c r="AOT19" s="67">
        <f t="shared" si="390"/>
        <v>0</v>
      </c>
      <c r="AOU19" s="68">
        <f t="shared" si="391"/>
        <v>0</v>
      </c>
      <c r="AOV19" s="48"/>
      <c r="AOW19" s="49"/>
      <c r="AOX19" s="49">
        <v>220</v>
      </c>
      <c r="AOY19" s="49"/>
      <c r="AOZ19" s="49"/>
      <c r="APA19" s="49"/>
      <c r="APB19" s="67">
        <f t="shared" si="392"/>
        <v>220</v>
      </c>
      <c r="APC19" s="68">
        <f t="shared" si="393"/>
        <v>36.666666666666664</v>
      </c>
      <c r="APD19" s="48"/>
      <c r="APE19" s="49"/>
      <c r="APF19" s="49"/>
      <c r="APG19" s="49"/>
      <c r="APH19" s="49">
        <v>220</v>
      </c>
      <c r="API19" s="49"/>
      <c r="APJ19" s="67">
        <f t="shared" si="394"/>
        <v>220</v>
      </c>
      <c r="APK19" s="68">
        <f t="shared" si="395"/>
        <v>36.666666666666664</v>
      </c>
      <c r="APL19" s="48"/>
      <c r="APM19" s="49"/>
      <c r="APN19" s="49"/>
      <c r="APO19" s="49"/>
      <c r="APP19" s="49"/>
      <c r="APQ19" s="49"/>
      <c r="APR19" s="67">
        <f t="shared" si="396"/>
        <v>0</v>
      </c>
      <c r="APS19" s="68">
        <f t="shared" si="397"/>
        <v>0</v>
      </c>
      <c r="APT19" s="48"/>
      <c r="APU19" s="49"/>
      <c r="APV19" s="49"/>
      <c r="APW19" s="49"/>
      <c r="APX19" s="49"/>
      <c r="APY19" s="49"/>
      <c r="APZ19" s="67">
        <f t="shared" si="398"/>
        <v>0</v>
      </c>
      <c r="AQA19" s="68">
        <f t="shared" si="399"/>
        <v>0</v>
      </c>
      <c r="AQB19" s="48"/>
      <c r="AQC19" s="49"/>
      <c r="AQD19" s="49"/>
      <c r="AQE19" s="49">
        <v>222</v>
      </c>
      <c r="AQF19" s="49">
        <v>4</v>
      </c>
      <c r="AQG19" s="49"/>
      <c r="AQH19" s="67">
        <f t="shared" si="400"/>
        <v>226</v>
      </c>
      <c r="AQI19" s="68">
        <f t="shared" si="401"/>
        <v>37.666666666666664</v>
      </c>
      <c r="AQJ19" s="48"/>
      <c r="AQK19" s="49">
        <v>220</v>
      </c>
      <c r="AQL19" s="49"/>
      <c r="AQM19" s="49"/>
      <c r="AQN19" s="49"/>
      <c r="AQO19" s="49"/>
      <c r="AQP19" s="67">
        <f t="shared" si="402"/>
        <v>220</v>
      </c>
      <c r="AQQ19" s="68">
        <f t="shared" si="403"/>
        <v>36.666666666666664</v>
      </c>
      <c r="AQR19" s="48"/>
      <c r="AQS19" s="49"/>
      <c r="AQT19" s="49"/>
      <c r="AQU19" s="49"/>
      <c r="AQV19" s="49"/>
      <c r="AQW19" s="49"/>
      <c r="AQX19" s="67">
        <f t="shared" si="404"/>
        <v>0</v>
      </c>
      <c r="AQY19" s="68">
        <f t="shared" si="405"/>
        <v>0</v>
      </c>
      <c r="AQZ19" s="48"/>
      <c r="ARA19" s="49"/>
      <c r="ARB19" s="49"/>
      <c r="ARC19" s="49"/>
      <c r="ARD19" s="49"/>
      <c r="ARE19" s="49"/>
      <c r="ARF19" s="67">
        <f t="shared" si="406"/>
        <v>0</v>
      </c>
      <c r="ARG19" s="68">
        <f t="shared" si="407"/>
        <v>0</v>
      </c>
      <c r="ARH19" s="48"/>
      <c r="ARI19" s="49"/>
      <c r="ARJ19" s="49"/>
      <c r="ARK19" s="49"/>
      <c r="ARL19" s="49"/>
      <c r="ARM19" s="49">
        <v>110</v>
      </c>
      <c r="ARN19" s="67">
        <f t="shared" si="408"/>
        <v>110</v>
      </c>
      <c r="ARO19" s="68">
        <f t="shared" si="409"/>
        <v>18.333333333333332</v>
      </c>
      <c r="ARP19" s="48"/>
      <c r="ARQ19" s="49"/>
      <c r="ARR19" s="49"/>
      <c r="ARS19" s="49"/>
      <c r="ART19" s="49"/>
      <c r="ARU19" s="49"/>
      <c r="ARV19" s="67">
        <f t="shared" si="410"/>
        <v>0</v>
      </c>
      <c r="ARW19" s="68">
        <f t="shared" si="411"/>
        <v>0</v>
      </c>
      <c r="ARX19" s="48"/>
      <c r="ARY19" s="49"/>
      <c r="ARZ19" s="49"/>
      <c r="ASA19" s="49">
        <v>220</v>
      </c>
      <c r="ASB19" s="49"/>
      <c r="ASC19" s="49"/>
      <c r="ASD19" s="67">
        <f t="shared" si="412"/>
        <v>220</v>
      </c>
      <c r="ASE19" s="68">
        <f t="shared" si="413"/>
        <v>36.666666666666664</v>
      </c>
      <c r="ASF19" s="48"/>
      <c r="ASG19" s="49"/>
      <c r="ASH19" s="49">
        <v>201</v>
      </c>
      <c r="ASI19" s="49"/>
      <c r="ASJ19" s="49"/>
      <c r="ASK19" s="49"/>
      <c r="ASL19" s="67">
        <f t="shared" si="414"/>
        <v>201</v>
      </c>
      <c r="ASM19" s="68">
        <f t="shared" si="415"/>
        <v>33.5</v>
      </c>
      <c r="ASN19" s="48"/>
      <c r="ASO19" s="49"/>
      <c r="ASP19" s="49"/>
      <c r="ASQ19" s="49"/>
      <c r="ASR19" s="49"/>
      <c r="ASS19" s="49"/>
      <c r="AST19" s="67">
        <f t="shared" si="416"/>
        <v>0</v>
      </c>
      <c r="ASU19" s="68">
        <f t="shared" si="417"/>
        <v>0</v>
      </c>
      <c r="ASV19" s="48"/>
      <c r="ASW19" s="49"/>
      <c r="ASX19" s="49"/>
      <c r="ASY19" s="49"/>
      <c r="ASZ19" s="49"/>
      <c r="ATA19" s="49"/>
      <c r="ATB19" s="67">
        <f t="shared" si="418"/>
        <v>0</v>
      </c>
      <c r="ATC19" s="68">
        <f t="shared" si="419"/>
        <v>0</v>
      </c>
      <c r="ATD19" s="48"/>
      <c r="ATE19" s="49"/>
      <c r="ATF19" s="49"/>
      <c r="ATG19" s="49"/>
      <c r="ATH19" s="49"/>
      <c r="ATI19" s="49"/>
      <c r="ATJ19" s="67">
        <f t="shared" si="420"/>
        <v>0</v>
      </c>
      <c r="ATK19" s="68">
        <f t="shared" si="421"/>
        <v>0</v>
      </c>
      <c r="ATL19" s="48"/>
      <c r="ATM19" s="49">
        <v>220</v>
      </c>
      <c r="ATN19" s="49"/>
      <c r="ATO19" s="49"/>
      <c r="ATP19" s="49"/>
      <c r="ATQ19" s="49"/>
      <c r="ATR19" s="67">
        <f t="shared" si="422"/>
        <v>220</v>
      </c>
      <c r="ATS19" s="68">
        <f t="shared" si="423"/>
        <v>36.666666666666664</v>
      </c>
      <c r="ATT19" s="48"/>
      <c r="ATU19" s="49"/>
      <c r="ATV19" s="49"/>
      <c r="ATW19" s="49"/>
      <c r="ATX19" s="49"/>
      <c r="ATY19" s="49"/>
      <c r="ATZ19" s="67">
        <f t="shared" si="424"/>
        <v>0</v>
      </c>
      <c r="AUA19" s="68">
        <f t="shared" si="425"/>
        <v>0</v>
      </c>
      <c r="AUB19" s="48">
        <v>220</v>
      </c>
      <c r="AUC19" s="49"/>
      <c r="AUD19" s="49"/>
      <c r="AUE19" s="49"/>
      <c r="AUF19" s="49"/>
      <c r="AUG19" s="49"/>
      <c r="AUH19" s="67">
        <f t="shared" si="426"/>
        <v>220</v>
      </c>
      <c r="AUI19" s="68">
        <f t="shared" si="427"/>
        <v>36.666666666666664</v>
      </c>
      <c r="AUJ19" s="48"/>
      <c r="AUK19" s="49"/>
      <c r="AUL19" s="49"/>
      <c r="AUM19" s="49"/>
      <c r="AUN19" s="49"/>
      <c r="AUO19" s="49"/>
      <c r="AUP19" s="67">
        <f t="shared" si="428"/>
        <v>0</v>
      </c>
      <c r="AUQ19" s="68">
        <f t="shared" si="429"/>
        <v>0</v>
      </c>
      <c r="AUR19" s="48"/>
      <c r="AUS19" s="49"/>
      <c r="AUT19" s="49"/>
      <c r="AUU19" s="49"/>
      <c r="AUV19" s="49"/>
      <c r="AUW19" s="49"/>
      <c r="AUX19" s="67">
        <f t="shared" si="430"/>
        <v>0</v>
      </c>
      <c r="AUY19" s="68">
        <f t="shared" si="431"/>
        <v>0</v>
      </c>
      <c r="AUZ19" s="48"/>
      <c r="AVA19" s="49"/>
      <c r="AVB19" s="49">
        <v>220</v>
      </c>
      <c r="AVC19" s="49"/>
      <c r="AVD19" s="49"/>
      <c r="AVE19" s="49"/>
      <c r="AVF19" s="67">
        <f t="shared" si="432"/>
        <v>220</v>
      </c>
      <c r="AVG19" s="68">
        <f t="shared" si="433"/>
        <v>36.666666666666664</v>
      </c>
      <c r="AVH19" s="48"/>
      <c r="AVI19" s="49"/>
      <c r="AVJ19" s="49"/>
      <c r="AVK19" s="49"/>
      <c r="AVL19" s="49"/>
      <c r="AVM19" s="49"/>
      <c r="AVN19" s="67">
        <f t="shared" si="434"/>
        <v>0</v>
      </c>
      <c r="AVO19" s="68">
        <f t="shared" si="435"/>
        <v>0</v>
      </c>
      <c r="AVP19" s="48"/>
      <c r="AVQ19" s="49"/>
      <c r="AVR19" s="49"/>
      <c r="AVS19" s="49"/>
      <c r="AVT19" s="49"/>
      <c r="AVU19" s="49"/>
      <c r="AVV19" s="67">
        <f t="shared" si="436"/>
        <v>0</v>
      </c>
      <c r="AVW19" s="68">
        <f t="shared" si="437"/>
        <v>0</v>
      </c>
      <c r="AVX19" s="48"/>
      <c r="AVY19" s="49"/>
      <c r="AVZ19" s="49"/>
      <c r="AWA19" s="49"/>
      <c r="AWB19" s="49"/>
      <c r="AWC19" s="49"/>
      <c r="AWD19" s="67">
        <f t="shared" si="438"/>
        <v>0</v>
      </c>
      <c r="AWE19" s="68">
        <f t="shared" si="439"/>
        <v>0</v>
      </c>
      <c r="AWF19" s="48"/>
      <c r="AWG19" s="49"/>
      <c r="AWH19" s="49"/>
      <c r="AWI19" s="49">
        <v>110</v>
      </c>
      <c r="AWJ19" s="49"/>
      <c r="AWK19" s="49"/>
      <c r="AWL19" s="67">
        <f t="shared" si="440"/>
        <v>110</v>
      </c>
      <c r="AWM19" s="68">
        <f t="shared" si="441"/>
        <v>18.333333333333332</v>
      </c>
      <c r="AWN19" s="48"/>
      <c r="AWO19" s="49"/>
      <c r="AWP19" s="49"/>
      <c r="AWQ19" s="49"/>
      <c r="AWR19" s="49"/>
      <c r="AWS19" s="49"/>
      <c r="AWT19" s="42">
        <f t="shared" si="442"/>
        <v>0</v>
      </c>
      <c r="AWU19" s="43">
        <f t="shared" si="443"/>
        <v>0</v>
      </c>
      <c r="AWV19" s="48"/>
      <c r="AWW19" s="49"/>
      <c r="AWX19" s="49"/>
      <c r="AWY19" s="49"/>
      <c r="AWZ19" s="49"/>
      <c r="AXA19" s="49"/>
      <c r="AXB19" s="42">
        <f t="shared" si="444"/>
        <v>0</v>
      </c>
      <c r="AXC19" s="43">
        <f t="shared" si="445"/>
        <v>0</v>
      </c>
      <c r="AXD19" s="48"/>
      <c r="AXE19" s="49"/>
      <c r="AXF19" s="49">
        <v>165</v>
      </c>
      <c r="AXG19" s="49"/>
      <c r="AXH19" s="49"/>
      <c r="AXI19" s="49"/>
      <c r="AXJ19" s="42">
        <f t="shared" si="446"/>
        <v>165</v>
      </c>
      <c r="AXK19" s="43">
        <f t="shared" si="447"/>
        <v>27.5</v>
      </c>
      <c r="AXL19" s="48"/>
      <c r="AXM19" s="49"/>
      <c r="AXN19" s="49"/>
      <c r="AXO19" s="49"/>
      <c r="AXP19" s="49"/>
      <c r="AXQ19" s="49"/>
      <c r="AXR19" s="42">
        <f t="shared" si="448"/>
        <v>0</v>
      </c>
      <c r="AXS19" s="43">
        <f t="shared" si="449"/>
        <v>0</v>
      </c>
      <c r="AXT19" s="48"/>
      <c r="AXU19" s="49"/>
      <c r="AXV19" s="49"/>
      <c r="AXW19" s="49"/>
      <c r="AXX19" s="49"/>
      <c r="AXY19" s="49"/>
      <c r="AXZ19" s="42">
        <f t="shared" si="450"/>
        <v>0</v>
      </c>
      <c r="AYA19" s="43">
        <f t="shared" si="451"/>
        <v>0</v>
      </c>
      <c r="AYB19" s="48"/>
      <c r="AYC19" s="49">
        <v>220</v>
      </c>
      <c r="AYD19" s="49"/>
      <c r="AYE19" s="49">
        <v>214</v>
      </c>
      <c r="AYF19" s="49"/>
      <c r="AYG19" s="49"/>
      <c r="AYH19" s="42">
        <f t="shared" si="452"/>
        <v>434</v>
      </c>
      <c r="AYI19" s="43">
        <f t="shared" si="453"/>
        <v>72.333333333333329</v>
      </c>
      <c r="AYJ19" s="48"/>
      <c r="AYK19" s="49"/>
      <c r="AYL19" s="49"/>
      <c r="AYM19" s="49"/>
      <c r="AYN19" s="49"/>
      <c r="AYO19" s="49"/>
      <c r="AYP19" s="42">
        <f t="shared" si="454"/>
        <v>0</v>
      </c>
      <c r="AYQ19" s="43">
        <f t="shared" si="455"/>
        <v>0</v>
      </c>
      <c r="AYR19" s="48"/>
      <c r="AYS19" s="49"/>
      <c r="AYT19" s="49"/>
      <c r="AYU19" s="49"/>
      <c r="AYV19" s="49"/>
      <c r="AYW19" s="49"/>
      <c r="AYX19" s="42">
        <f t="shared" si="456"/>
        <v>0</v>
      </c>
      <c r="AYY19" s="43">
        <f t="shared" si="457"/>
        <v>0</v>
      </c>
      <c r="AYZ19" s="48"/>
      <c r="AZA19" s="49"/>
      <c r="AZB19" s="49"/>
      <c r="AZC19" s="49"/>
      <c r="AZD19" s="49"/>
      <c r="AZE19" s="49"/>
      <c r="AZF19" s="42">
        <f t="shared" si="458"/>
        <v>0</v>
      </c>
      <c r="AZG19" s="43">
        <f t="shared" si="459"/>
        <v>0</v>
      </c>
      <c r="AZH19" s="48"/>
      <c r="AZI19" s="49"/>
      <c r="AZJ19" s="49"/>
      <c r="AZK19" s="49"/>
      <c r="AZL19" s="49"/>
      <c r="AZM19" s="49"/>
      <c r="AZN19" s="42">
        <f t="shared" si="460"/>
        <v>0</v>
      </c>
      <c r="AZO19" s="43">
        <f t="shared" si="461"/>
        <v>0</v>
      </c>
      <c r="AZP19" s="48"/>
      <c r="AZQ19" s="49"/>
      <c r="AZR19" s="49"/>
      <c r="AZS19" s="49"/>
      <c r="AZT19" s="49"/>
      <c r="AZU19" s="49"/>
      <c r="AZV19" s="42">
        <f t="shared" si="462"/>
        <v>0</v>
      </c>
      <c r="AZW19" s="43">
        <f t="shared" si="463"/>
        <v>0</v>
      </c>
      <c r="AZX19" s="82"/>
      <c r="AZY19" s="83"/>
      <c r="AZZ19" s="83"/>
      <c r="BAA19" s="83"/>
      <c r="BAB19" s="83"/>
      <c r="BAC19" s="83"/>
      <c r="BAD19" s="42">
        <f t="shared" si="464"/>
        <v>0</v>
      </c>
      <c r="BAE19" s="43">
        <f t="shared" si="465"/>
        <v>0</v>
      </c>
      <c r="BAF19" s="48"/>
      <c r="BAG19" s="49"/>
      <c r="BAH19" s="49"/>
      <c r="BAI19" s="49">
        <v>233</v>
      </c>
      <c r="BAJ19" s="49"/>
      <c r="BAK19" s="49"/>
      <c r="BAL19" s="42">
        <f t="shared" si="466"/>
        <v>233</v>
      </c>
      <c r="BAM19" s="43">
        <f t="shared" si="467"/>
        <v>38.833333333333336</v>
      </c>
      <c r="BAN19" s="48"/>
      <c r="BAO19" s="49"/>
      <c r="BAP19" s="49"/>
      <c r="BAQ19" s="49"/>
      <c r="BAR19" s="49"/>
      <c r="BAS19" s="49"/>
      <c r="BAT19" s="42">
        <f t="shared" si="468"/>
        <v>0</v>
      </c>
      <c r="BAU19" s="43">
        <f t="shared" si="469"/>
        <v>0</v>
      </c>
      <c r="BAV19" s="48"/>
      <c r="BAW19" s="49"/>
      <c r="BAX19" s="49"/>
      <c r="BAY19" s="49"/>
      <c r="BAZ19" s="49"/>
      <c r="BBA19" s="49"/>
      <c r="BBB19" s="42">
        <f t="shared" si="470"/>
        <v>0</v>
      </c>
      <c r="BBC19" s="43">
        <f t="shared" si="471"/>
        <v>0</v>
      </c>
      <c r="BBD19" s="48"/>
      <c r="BBE19" s="49"/>
      <c r="BBF19" s="49"/>
      <c r="BBG19" s="49">
        <v>110</v>
      </c>
      <c r="BBH19" s="49"/>
      <c r="BBI19" s="49"/>
      <c r="BBJ19" s="42">
        <f t="shared" si="472"/>
        <v>110</v>
      </c>
      <c r="BBK19" s="43">
        <f t="shared" si="473"/>
        <v>18.333333333333332</v>
      </c>
      <c r="BBL19" s="48"/>
      <c r="BBM19" s="49"/>
      <c r="BBN19" s="49"/>
      <c r="BBO19" s="49"/>
      <c r="BBP19" s="49"/>
      <c r="BBQ19" s="49"/>
      <c r="BBR19" s="42">
        <f t="shared" si="474"/>
        <v>0</v>
      </c>
      <c r="BBS19" s="43">
        <f t="shared" si="475"/>
        <v>0</v>
      </c>
      <c r="BBT19" s="48"/>
      <c r="BBU19" s="49"/>
      <c r="BBV19" s="49"/>
      <c r="BBW19" s="49"/>
      <c r="BBX19" s="49"/>
      <c r="BBY19" s="49"/>
      <c r="BBZ19" s="42">
        <f t="shared" si="476"/>
        <v>0</v>
      </c>
      <c r="BCA19" s="43">
        <f t="shared" si="477"/>
        <v>0</v>
      </c>
      <c r="BCB19" s="48">
        <v>220</v>
      </c>
      <c r="BCC19" s="49"/>
      <c r="BCD19" s="49"/>
      <c r="BCE19" s="49"/>
      <c r="BCF19" s="49"/>
      <c r="BCG19" s="49"/>
      <c r="BCH19" s="42">
        <f t="shared" si="478"/>
        <v>220</v>
      </c>
      <c r="BCI19" s="43">
        <f t="shared" si="479"/>
        <v>36.666666666666664</v>
      </c>
      <c r="BCJ19" s="48"/>
      <c r="BCK19" s="49"/>
      <c r="BCL19" s="49"/>
      <c r="BCM19" s="49"/>
      <c r="BCN19" s="49"/>
      <c r="BCO19" s="49"/>
      <c r="BCP19" s="42">
        <f t="shared" si="480"/>
        <v>0</v>
      </c>
      <c r="BCQ19" s="43">
        <f t="shared" si="481"/>
        <v>0</v>
      </c>
      <c r="BCR19" s="48"/>
      <c r="BCS19" s="49"/>
      <c r="BCT19" s="49"/>
      <c r="BCU19" s="49"/>
      <c r="BCV19" s="49"/>
      <c r="BCW19" s="49"/>
      <c r="BCX19" s="42">
        <f t="shared" si="482"/>
        <v>0</v>
      </c>
      <c r="BCY19" s="43">
        <f t="shared" si="483"/>
        <v>0</v>
      </c>
      <c r="BCZ19" s="48">
        <v>110</v>
      </c>
      <c r="BDA19" s="49"/>
      <c r="BDB19" s="49">
        <v>110</v>
      </c>
      <c r="BDC19" s="49"/>
      <c r="BDD19" s="49"/>
      <c r="BDE19" s="49"/>
      <c r="BDF19" s="42">
        <f t="shared" si="484"/>
        <v>220</v>
      </c>
      <c r="BDG19" s="43">
        <f t="shared" si="485"/>
        <v>36.666666666666664</v>
      </c>
      <c r="BDH19" s="48"/>
      <c r="BDI19" s="49"/>
      <c r="BDJ19" s="49"/>
      <c r="BDK19" s="49"/>
      <c r="BDL19" s="49"/>
      <c r="BDM19" s="49"/>
      <c r="BDN19" s="42">
        <f t="shared" si="486"/>
        <v>0</v>
      </c>
      <c r="BDO19" s="43">
        <f t="shared" si="487"/>
        <v>0</v>
      </c>
      <c r="BDP19" s="48"/>
      <c r="BDQ19" s="49"/>
      <c r="BDR19" s="49"/>
      <c r="BDS19" s="49"/>
      <c r="BDT19" s="49">
        <v>109</v>
      </c>
      <c r="BDU19" s="49"/>
      <c r="BDV19" s="42">
        <f t="shared" si="488"/>
        <v>109</v>
      </c>
      <c r="BDW19" s="43">
        <f t="shared" si="489"/>
        <v>18.166666666666668</v>
      </c>
      <c r="BDX19" s="48"/>
      <c r="BDY19" s="49"/>
      <c r="BDZ19" s="49"/>
      <c r="BEA19" s="49"/>
      <c r="BEB19" s="49"/>
      <c r="BEC19" s="49"/>
      <c r="BED19" s="42">
        <f t="shared" si="490"/>
        <v>0</v>
      </c>
      <c r="BEE19" s="43">
        <f t="shared" si="491"/>
        <v>0</v>
      </c>
      <c r="BEF19" s="48"/>
      <c r="BEG19" s="49"/>
      <c r="BEH19" s="49"/>
      <c r="BEI19" s="49">
        <v>110</v>
      </c>
      <c r="BEJ19" s="49"/>
      <c r="BEK19" s="49">
        <v>110</v>
      </c>
      <c r="BEL19" s="42">
        <f t="shared" si="492"/>
        <v>220</v>
      </c>
      <c r="BEM19" s="43">
        <f t="shared" si="493"/>
        <v>36.666666666666664</v>
      </c>
      <c r="BEN19" s="48"/>
      <c r="BEO19" s="49"/>
      <c r="BEP19" s="49"/>
      <c r="BEQ19" s="49"/>
      <c r="BER19" s="49"/>
      <c r="BES19" s="49"/>
      <c r="BET19" s="42">
        <f t="shared" si="494"/>
        <v>0</v>
      </c>
      <c r="BEU19" s="43">
        <f t="shared" si="495"/>
        <v>0</v>
      </c>
      <c r="BEV19" s="82"/>
      <c r="BEW19" s="83"/>
      <c r="BEX19" s="83"/>
      <c r="BEY19" s="83">
        <v>110</v>
      </c>
      <c r="BEZ19" s="83"/>
      <c r="BFA19" s="83"/>
      <c r="BFB19" s="42">
        <f t="shared" si="496"/>
        <v>110</v>
      </c>
      <c r="BFC19" s="43">
        <f t="shared" si="497"/>
        <v>18.333333333333332</v>
      </c>
      <c r="BFD19" s="48"/>
      <c r="BFE19" s="49"/>
      <c r="BFF19" s="49"/>
      <c r="BFG19" s="49"/>
      <c r="BFH19" s="49"/>
      <c r="BFI19" s="49">
        <v>110</v>
      </c>
      <c r="BFJ19" s="42">
        <f t="shared" si="498"/>
        <v>110</v>
      </c>
      <c r="BFK19" s="43">
        <f t="shared" si="499"/>
        <v>18.333333333333332</v>
      </c>
      <c r="BFL19" s="48"/>
      <c r="BFM19" s="49"/>
      <c r="BFN19" s="49"/>
      <c r="BFO19" s="49">
        <v>110</v>
      </c>
      <c r="BFP19" s="49"/>
      <c r="BFQ19" s="49"/>
      <c r="BFR19" s="42">
        <f t="shared" si="500"/>
        <v>110</v>
      </c>
      <c r="BFS19" s="43">
        <f t="shared" si="501"/>
        <v>18.333333333333332</v>
      </c>
      <c r="BFT19" s="48"/>
      <c r="BFU19" s="49"/>
      <c r="BFV19" s="49"/>
      <c r="BFW19" s="49"/>
      <c r="BFX19" s="49"/>
      <c r="BFY19" s="49"/>
      <c r="BFZ19" s="42">
        <f t="shared" si="502"/>
        <v>0</v>
      </c>
      <c r="BGA19" s="43">
        <f t="shared" si="503"/>
        <v>0</v>
      </c>
      <c r="BGB19" s="48">
        <v>110</v>
      </c>
      <c r="BGC19" s="49"/>
      <c r="BGD19" s="49"/>
      <c r="BGE19" s="49"/>
      <c r="BGF19" s="49"/>
      <c r="BGG19" s="49">
        <v>110</v>
      </c>
      <c r="BGH19" s="42">
        <f t="shared" si="504"/>
        <v>220</v>
      </c>
      <c r="BGI19" s="43">
        <f t="shared" si="505"/>
        <v>36.666666666666664</v>
      </c>
      <c r="BGJ19" s="48"/>
      <c r="BGK19" s="49"/>
      <c r="BGL19" s="49"/>
      <c r="BGM19" s="49"/>
      <c r="BGN19" s="49"/>
      <c r="BGO19" s="49"/>
      <c r="BGP19" s="42">
        <f t="shared" si="506"/>
        <v>0</v>
      </c>
      <c r="BGQ19" s="43">
        <f t="shared" si="507"/>
        <v>0</v>
      </c>
      <c r="BGR19" s="48"/>
      <c r="BGS19" s="49"/>
      <c r="BGT19" s="49"/>
      <c r="BGU19" s="49"/>
      <c r="BGV19" s="49"/>
      <c r="BGW19" s="49"/>
      <c r="BGX19" s="42">
        <f t="shared" si="508"/>
        <v>0</v>
      </c>
      <c r="BGY19" s="43">
        <f t="shared" si="509"/>
        <v>0</v>
      </c>
      <c r="BGZ19" s="48"/>
      <c r="BHA19" s="49">
        <v>110</v>
      </c>
      <c r="BHB19" s="49"/>
      <c r="BHC19" s="49"/>
      <c r="BHD19" s="49"/>
      <c r="BHE19" s="49">
        <v>110</v>
      </c>
      <c r="BHF19" s="42">
        <f t="shared" si="510"/>
        <v>220</v>
      </c>
      <c r="BHG19" s="43">
        <f t="shared" si="511"/>
        <v>36.666666666666664</v>
      </c>
      <c r="BHH19" s="63"/>
      <c r="BHI19" s="64"/>
      <c r="BHJ19" s="64"/>
      <c r="BHK19" s="64"/>
      <c r="BHL19" s="64"/>
      <c r="BHM19" s="64"/>
      <c r="BHN19" s="42">
        <f t="shared" si="512"/>
        <v>0</v>
      </c>
      <c r="BHO19" s="43">
        <f t="shared" si="513"/>
        <v>0</v>
      </c>
      <c r="BHP19" s="48"/>
      <c r="BHQ19" s="49"/>
      <c r="BHR19" s="49"/>
      <c r="BHS19" s="49"/>
      <c r="BHT19" s="49"/>
      <c r="BHU19" s="49"/>
      <c r="BHV19" s="42">
        <f t="shared" si="514"/>
        <v>0</v>
      </c>
      <c r="BHW19" s="43">
        <f t="shared" si="515"/>
        <v>0</v>
      </c>
      <c r="BHX19" s="48"/>
      <c r="BHY19" s="49">
        <v>221</v>
      </c>
      <c r="BHZ19" s="49"/>
      <c r="BIA19" s="49"/>
      <c r="BIB19" s="49"/>
      <c r="BIC19" s="49"/>
      <c r="BID19" s="42">
        <f t="shared" si="516"/>
        <v>221</v>
      </c>
      <c r="BIE19" s="43">
        <f t="shared" si="517"/>
        <v>36.833333333333336</v>
      </c>
      <c r="BIF19" s="48"/>
      <c r="BIG19" s="49"/>
      <c r="BIH19" s="49"/>
      <c r="BII19" s="49">
        <v>220</v>
      </c>
      <c r="BIJ19" s="49"/>
      <c r="BIK19" s="49"/>
      <c r="BIL19" s="42">
        <f t="shared" si="518"/>
        <v>220</v>
      </c>
      <c r="BIM19" s="43">
        <f t="shared" si="519"/>
        <v>36.666666666666664</v>
      </c>
      <c r="BIN19" s="48"/>
      <c r="BIO19" s="49">
        <v>110</v>
      </c>
      <c r="BIP19" s="49"/>
      <c r="BIQ19" s="49"/>
      <c r="BIR19" s="49"/>
      <c r="BIS19" s="49">
        <v>110</v>
      </c>
      <c r="BIT19" s="42">
        <f t="shared" si="520"/>
        <v>220</v>
      </c>
      <c r="BIU19" s="43">
        <f t="shared" si="521"/>
        <v>36.666666666666664</v>
      </c>
      <c r="BIV19" s="48"/>
      <c r="BIW19" s="49"/>
      <c r="BIX19" s="49">
        <v>2</v>
      </c>
      <c r="BIY19" s="49">
        <v>220</v>
      </c>
      <c r="BIZ19" s="49"/>
      <c r="BJA19" s="49"/>
      <c r="BJB19" s="42">
        <f t="shared" si="522"/>
        <v>222</v>
      </c>
      <c r="BJC19" s="43">
        <f t="shared" si="523"/>
        <v>37</v>
      </c>
      <c r="BJD19" s="48"/>
      <c r="BJE19" s="49"/>
      <c r="BJF19" s="49"/>
      <c r="BJG19" s="49"/>
      <c r="BJH19" s="49"/>
      <c r="BJI19" s="49"/>
      <c r="BJJ19" s="42">
        <f t="shared" si="524"/>
        <v>0</v>
      </c>
      <c r="BJK19" s="43">
        <f t="shared" si="525"/>
        <v>0</v>
      </c>
      <c r="BJL19" s="48"/>
      <c r="BJM19" s="49"/>
      <c r="BJN19" s="49"/>
      <c r="BJO19" s="49"/>
      <c r="BJP19" s="49"/>
      <c r="BJQ19" s="49"/>
      <c r="BJR19" s="42">
        <f t="shared" si="526"/>
        <v>0</v>
      </c>
      <c r="BJS19" s="43">
        <f t="shared" si="527"/>
        <v>0</v>
      </c>
      <c r="BJT19" s="63"/>
      <c r="BJU19" s="64"/>
      <c r="BJV19" s="64"/>
      <c r="BJW19" s="64">
        <v>252</v>
      </c>
      <c r="BJX19" s="64"/>
      <c r="BJY19" s="64"/>
      <c r="BJZ19" s="42">
        <f t="shared" si="528"/>
        <v>252</v>
      </c>
      <c r="BKA19" s="43">
        <f t="shared" si="529"/>
        <v>50.4</v>
      </c>
      <c r="BKB19" s="48"/>
      <c r="BKC19" s="49"/>
      <c r="BKD19" s="49"/>
      <c r="BKE19" s="49"/>
      <c r="BKF19" s="49"/>
      <c r="BKG19" s="49"/>
      <c r="BKH19" s="67">
        <f t="shared" si="530"/>
        <v>0</v>
      </c>
      <c r="BKI19" s="68">
        <f t="shared" si="531"/>
        <v>0</v>
      </c>
      <c r="BKJ19" s="48"/>
      <c r="BKK19" s="49"/>
      <c r="BKL19" s="49"/>
      <c r="BKM19" s="49"/>
      <c r="BKN19" s="49"/>
      <c r="BKO19" s="49"/>
      <c r="BKP19" s="42">
        <f t="shared" si="532"/>
        <v>0</v>
      </c>
      <c r="BKQ19" s="43">
        <f t="shared" si="533"/>
        <v>0</v>
      </c>
      <c r="BKR19" s="48"/>
      <c r="BKS19" s="49"/>
      <c r="BKT19" s="49"/>
      <c r="BKU19" s="49"/>
      <c r="BKV19" s="49">
        <v>221</v>
      </c>
      <c r="BKW19" s="49"/>
      <c r="BKX19" s="42">
        <f t="shared" si="534"/>
        <v>221</v>
      </c>
      <c r="BKY19" s="43">
        <f t="shared" si="535"/>
        <v>36.833333333333336</v>
      </c>
      <c r="BKZ19" s="48"/>
      <c r="BLA19" s="49"/>
      <c r="BLB19" s="49"/>
      <c r="BLC19" s="49"/>
      <c r="BLD19" s="49"/>
      <c r="BLE19" s="49"/>
      <c r="BLF19" s="42">
        <f t="shared" si="536"/>
        <v>0</v>
      </c>
      <c r="BLG19" s="43">
        <f t="shared" si="537"/>
        <v>0</v>
      </c>
      <c r="BLH19" s="48"/>
      <c r="BLI19" s="49"/>
      <c r="BLJ19" s="49"/>
      <c r="BLK19" s="49"/>
      <c r="BLL19" s="49"/>
      <c r="BLM19" s="49">
        <v>108</v>
      </c>
      <c r="BLN19" s="42">
        <f t="shared" si="538"/>
        <v>108</v>
      </c>
      <c r="BLO19" s="43">
        <f t="shared" si="539"/>
        <v>18</v>
      </c>
      <c r="BLP19" s="48"/>
      <c r="BLQ19" s="49"/>
      <c r="BLR19" s="49"/>
      <c r="BLS19" s="49"/>
      <c r="BLT19" s="49"/>
      <c r="BLU19" s="49"/>
      <c r="BLV19" s="42">
        <f t="shared" si="540"/>
        <v>0</v>
      </c>
      <c r="BLW19" s="43">
        <f t="shared" si="541"/>
        <v>0</v>
      </c>
      <c r="BLX19" s="63"/>
      <c r="BLY19" s="64"/>
      <c r="BLZ19" s="64"/>
      <c r="BMA19" s="64"/>
      <c r="BMB19" s="64"/>
      <c r="BMC19" s="64">
        <v>125</v>
      </c>
      <c r="BMD19" s="42">
        <f t="shared" si="542"/>
        <v>125</v>
      </c>
      <c r="BME19" s="43">
        <f t="shared" si="543"/>
        <v>20.833333333333332</v>
      </c>
      <c r="BMF19" s="48"/>
      <c r="BMG19" s="49"/>
      <c r="BMH19" s="49"/>
      <c r="BMI19" s="49"/>
      <c r="BMJ19" s="49"/>
      <c r="BMK19" s="49"/>
      <c r="BML19" s="42">
        <f t="shared" si="544"/>
        <v>0</v>
      </c>
      <c r="BMM19" s="43">
        <f t="shared" si="545"/>
        <v>0</v>
      </c>
      <c r="BMN19" s="63">
        <v>220</v>
      </c>
      <c r="BMO19" s="64"/>
      <c r="BMP19" s="64"/>
      <c r="BMQ19" s="64"/>
      <c r="BMR19" s="64"/>
      <c r="BMS19" s="64"/>
      <c r="BMT19" s="42">
        <f t="shared" si="546"/>
        <v>220</v>
      </c>
      <c r="BMU19" s="43">
        <f t="shared" si="547"/>
        <v>36.666666666666664</v>
      </c>
      <c r="BMV19" s="48">
        <v>110</v>
      </c>
      <c r="BMW19" s="49"/>
      <c r="BMX19" s="49"/>
      <c r="BMY19" s="49"/>
      <c r="BMZ19" s="49"/>
      <c r="BNA19" s="49"/>
      <c r="BNB19" s="42">
        <f t="shared" si="548"/>
        <v>110</v>
      </c>
      <c r="BNC19" s="43">
        <f t="shared" si="549"/>
        <v>18.333333333333332</v>
      </c>
      <c r="BND19" s="48"/>
      <c r="BNE19" s="49"/>
      <c r="BNF19" s="49"/>
      <c r="BNG19" s="49"/>
      <c r="BNH19" s="49"/>
      <c r="BNI19" s="49"/>
      <c r="BNJ19" s="42">
        <f t="shared" si="550"/>
        <v>0</v>
      </c>
      <c r="BNK19" s="43">
        <f t="shared" si="551"/>
        <v>0</v>
      </c>
      <c r="BNL19" s="48"/>
      <c r="BNM19" s="49"/>
      <c r="BNN19" s="49"/>
      <c r="BNO19" s="49"/>
      <c r="BNP19" s="49"/>
      <c r="BNQ19" s="49"/>
      <c r="BNR19" s="42">
        <f t="shared" si="552"/>
        <v>0</v>
      </c>
      <c r="BNS19" s="43">
        <f t="shared" si="553"/>
        <v>0</v>
      </c>
      <c r="BNT19" s="48">
        <v>111</v>
      </c>
      <c r="BNU19" s="49"/>
      <c r="BNV19" s="49"/>
      <c r="BNW19" s="49"/>
      <c r="BNX19" s="49"/>
      <c r="BNY19" s="49"/>
      <c r="BNZ19" s="42">
        <f t="shared" si="554"/>
        <v>111</v>
      </c>
      <c r="BOA19" s="43">
        <f t="shared" si="555"/>
        <v>18.5</v>
      </c>
      <c r="BOB19" s="48"/>
      <c r="BOC19" s="49"/>
      <c r="BOD19" s="49">
        <v>120</v>
      </c>
      <c r="BOE19" s="49"/>
      <c r="BOF19" s="49"/>
      <c r="BOG19" s="49"/>
      <c r="BOH19" s="42">
        <f t="shared" si="556"/>
        <v>120</v>
      </c>
      <c r="BOI19" s="43">
        <f t="shared" si="557"/>
        <v>20</v>
      </c>
      <c r="BOJ19" s="48"/>
      <c r="BOK19" s="49">
        <v>111</v>
      </c>
      <c r="BOL19" s="49"/>
      <c r="BOM19" s="49"/>
      <c r="BON19" s="49"/>
      <c r="BOO19" s="49">
        <v>104</v>
      </c>
      <c r="BOP19" s="42">
        <f t="shared" si="558"/>
        <v>215</v>
      </c>
      <c r="BOQ19" s="43">
        <f t="shared" si="559"/>
        <v>35.833333333333336</v>
      </c>
      <c r="BOR19" s="48"/>
      <c r="BOS19" s="49">
        <v>335</v>
      </c>
      <c r="BOT19" s="49"/>
      <c r="BOU19" s="49"/>
      <c r="BOV19" s="49"/>
      <c r="BOW19" s="49"/>
      <c r="BOX19" s="42">
        <f t="shared" si="560"/>
        <v>335</v>
      </c>
      <c r="BOY19" s="43">
        <f t="shared" si="561"/>
        <v>55.833333333333336</v>
      </c>
      <c r="BOZ19" s="63"/>
      <c r="BPA19" s="64"/>
      <c r="BPB19" s="64"/>
      <c r="BPC19" s="64"/>
      <c r="BPD19" s="64"/>
      <c r="BPE19" s="64"/>
      <c r="BPF19" s="42">
        <f t="shared" si="562"/>
        <v>0</v>
      </c>
      <c r="BPG19" s="43">
        <f t="shared" si="563"/>
        <v>0</v>
      </c>
      <c r="BPH19" s="48"/>
      <c r="BPI19" s="49"/>
      <c r="BPJ19" s="49"/>
      <c r="BPK19" s="49"/>
      <c r="BPL19" s="49"/>
      <c r="BPM19" s="49"/>
      <c r="BPN19" s="42">
        <f t="shared" si="564"/>
        <v>0</v>
      </c>
      <c r="BPO19" s="43">
        <f t="shared" si="565"/>
        <v>0</v>
      </c>
      <c r="BPP19" s="48"/>
      <c r="BPQ19" s="49"/>
      <c r="BPR19" s="49"/>
      <c r="BPS19" s="49"/>
      <c r="BPT19" s="49"/>
      <c r="BPU19" s="49"/>
      <c r="BPV19" s="42">
        <f t="shared" si="566"/>
        <v>0</v>
      </c>
      <c r="BPW19" s="43">
        <f t="shared" si="567"/>
        <v>0</v>
      </c>
      <c r="BPX19" s="48"/>
      <c r="BPY19" s="49"/>
      <c r="BPZ19" s="49">
        <v>109</v>
      </c>
      <c r="BQA19" s="49">
        <v>110</v>
      </c>
      <c r="BQB19" s="49"/>
      <c r="BQC19" s="49"/>
      <c r="BQD19" s="67">
        <f t="shared" si="568"/>
        <v>219</v>
      </c>
      <c r="BQE19" s="43">
        <f t="shared" si="569"/>
        <v>36.5</v>
      </c>
      <c r="BQF19" s="63">
        <v>99</v>
      </c>
      <c r="BQG19" s="64"/>
      <c r="BQH19" s="64"/>
      <c r="BQI19" s="64">
        <v>110</v>
      </c>
      <c r="BQJ19" s="64"/>
      <c r="BQK19" s="64">
        <v>127</v>
      </c>
      <c r="BQL19" s="67">
        <f t="shared" si="570"/>
        <v>336</v>
      </c>
      <c r="BQM19" s="43">
        <f t="shared" si="571"/>
        <v>56</v>
      </c>
      <c r="BQN19" s="63"/>
      <c r="BQO19" s="64"/>
      <c r="BQP19" s="64"/>
      <c r="BQQ19" s="64"/>
      <c r="BQR19" s="64"/>
      <c r="BQS19" s="64"/>
      <c r="BQT19" s="67">
        <f t="shared" si="572"/>
        <v>0</v>
      </c>
      <c r="BQU19" s="43">
        <f t="shared" si="573"/>
        <v>0</v>
      </c>
      <c r="BQV19" s="48"/>
      <c r="BQW19" s="49"/>
      <c r="BQX19" s="49">
        <v>100</v>
      </c>
      <c r="BQY19" s="49"/>
      <c r="BQZ19" s="49"/>
      <c r="BRA19" s="49"/>
      <c r="BRB19" s="67">
        <f t="shared" si="574"/>
        <v>100</v>
      </c>
      <c r="BRC19" s="43">
        <f t="shared" si="575"/>
        <v>16.666666666666668</v>
      </c>
      <c r="BRD19" s="48"/>
      <c r="BRE19" s="49"/>
      <c r="BRF19" s="49">
        <v>110</v>
      </c>
      <c r="BRG19" s="49"/>
      <c r="BRH19" s="49"/>
      <c r="BRI19" s="49"/>
      <c r="BRJ19" s="67">
        <f t="shared" si="576"/>
        <v>110</v>
      </c>
      <c r="BRK19" s="43">
        <f t="shared" si="577"/>
        <v>18.333333333333332</v>
      </c>
      <c r="BRL19" s="48">
        <v>110</v>
      </c>
      <c r="BRM19" s="49"/>
      <c r="BRN19" s="49"/>
      <c r="BRO19" s="49"/>
      <c r="BRP19" s="49">
        <v>110</v>
      </c>
      <c r="BRQ19" s="49"/>
      <c r="BRR19" s="67">
        <f t="shared" si="578"/>
        <v>220</v>
      </c>
      <c r="BRS19" s="68">
        <f t="shared" si="579"/>
        <v>36.666666666666664</v>
      </c>
      <c r="BRT19" s="63">
        <v>107</v>
      </c>
      <c r="BRU19" s="64"/>
      <c r="BRV19" s="64">
        <v>110</v>
      </c>
      <c r="BRW19" s="64"/>
      <c r="BRX19" s="64"/>
      <c r="BRY19" s="64"/>
      <c r="BRZ19" s="67">
        <f t="shared" si="580"/>
        <v>217</v>
      </c>
      <c r="BSA19" s="43">
        <f t="shared" si="581"/>
        <v>36.166666666666664</v>
      </c>
      <c r="BSB19" s="63"/>
      <c r="BSC19" s="64"/>
      <c r="BSD19" s="64"/>
      <c r="BSE19" s="64"/>
      <c r="BSF19" s="64"/>
      <c r="BSG19" s="64">
        <v>110</v>
      </c>
      <c r="BSH19" s="67">
        <f t="shared" si="582"/>
        <v>110</v>
      </c>
      <c r="BSI19" s="43">
        <f t="shared" si="583"/>
        <v>18.333333333333332</v>
      </c>
      <c r="BSJ19" s="63"/>
      <c r="BSK19" s="64"/>
      <c r="BSL19" s="64"/>
      <c r="BSM19" s="64"/>
      <c r="BSN19" s="64"/>
      <c r="BSO19" s="64"/>
      <c r="BSP19" s="67">
        <f t="shared" si="584"/>
        <v>0</v>
      </c>
      <c r="BSQ19" s="43">
        <f t="shared" si="585"/>
        <v>0</v>
      </c>
      <c r="BSR19" s="63">
        <v>109</v>
      </c>
      <c r="BSS19" s="64"/>
      <c r="BST19" s="64"/>
      <c r="BSU19" s="64">
        <v>111</v>
      </c>
      <c r="BSV19" s="64"/>
      <c r="BSW19" s="64"/>
      <c r="BSX19" s="67">
        <f t="shared" si="586"/>
        <v>220</v>
      </c>
      <c r="BSY19" s="43">
        <f t="shared" si="587"/>
        <v>36.666666666666664</v>
      </c>
      <c r="BSZ19" s="63"/>
      <c r="BTA19" s="64"/>
      <c r="BTB19" s="64"/>
      <c r="BTC19" s="64">
        <v>106</v>
      </c>
      <c r="BTD19" s="64">
        <v>110</v>
      </c>
      <c r="BTE19" s="64"/>
      <c r="BTF19" s="67">
        <f t="shared" si="588"/>
        <v>216</v>
      </c>
      <c r="BTG19" s="43">
        <f t="shared" si="589"/>
        <v>36</v>
      </c>
      <c r="BTH19" s="63"/>
      <c r="BTI19" s="64">
        <v>109</v>
      </c>
      <c r="BTJ19" s="64"/>
      <c r="BTK19" s="64"/>
      <c r="BTL19" s="64"/>
      <c r="BTM19" s="64"/>
      <c r="BTN19" s="67">
        <f t="shared" si="590"/>
        <v>109</v>
      </c>
      <c r="BTO19" s="68">
        <f t="shared" si="591"/>
        <v>18.166666666666668</v>
      </c>
      <c r="BTP19" s="48"/>
      <c r="BTQ19" s="49"/>
      <c r="BTR19" s="49"/>
      <c r="BTS19" s="49"/>
      <c r="BTT19" s="49"/>
      <c r="BTU19" s="49"/>
      <c r="BTV19" s="67">
        <f t="shared" si="592"/>
        <v>0</v>
      </c>
      <c r="BTW19" s="43">
        <f t="shared" si="593"/>
        <v>0</v>
      </c>
      <c r="BTX19" s="63">
        <v>108</v>
      </c>
      <c r="BTY19" s="64"/>
      <c r="BTZ19" s="64"/>
      <c r="BUA19" s="64"/>
      <c r="BUB19" s="64"/>
      <c r="BUC19" s="64"/>
      <c r="BUD19" s="67">
        <f t="shared" si="594"/>
        <v>108</v>
      </c>
      <c r="BUE19" s="68">
        <f t="shared" si="595"/>
        <v>18</v>
      </c>
      <c r="BUF19" s="48"/>
      <c r="BUG19" s="49"/>
      <c r="BUH19" s="49"/>
      <c r="BUI19" s="49">
        <v>95</v>
      </c>
      <c r="BUJ19" s="49"/>
      <c r="BUK19" s="49"/>
      <c r="BUL19" s="67">
        <f t="shared" si="596"/>
        <v>95</v>
      </c>
      <c r="BUM19" s="68">
        <f t="shared" si="597"/>
        <v>15.833333333333334</v>
      </c>
      <c r="BUN19" s="63">
        <v>95</v>
      </c>
      <c r="BUO19" s="64"/>
      <c r="BUP19" s="64"/>
      <c r="BUQ19" s="64"/>
      <c r="BUR19" s="64"/>
      <c r="BUS19" s="64"/>
      <c r="BUT19" s="67">
        <f t="shared" si="598"/>
        <v>95</v>
      </c>
      <c r="BUU19" s="68">
        <f t="shared" si="599"/>
        <v>15.833333333333334</v>
      </c>
      <c r="BUV19" s="48"/>
      <c r="BUW19" s="49"/>
      <c r="BUX19" s="49"/>
      <c r="BUY19" s="49"/>
      <c r="BUZ19" s="49"/>
      <c r="BVA19" s="49"/>
      <c r="BVB19" s="67">
        <f t="shared" si="600"/>
        <v>0</v>
      </c>
      <c r="BVC19" s="68">
        <f t="shared" si="601"/>
        <v>0</v>
      </c>
      <c r="BVD19" s="48">
        <v>108</v>
      </c>
      <c r="BVE19" s="49"/>
      <c r="BVF19" s="49"/>
      <c r="BVG19" s="49"/>
      <c r="BVH19" s="49"/>
      <c r="BVI19" s="49"/>
      <c r="BVJ19" s="67">
        <f t="shared" si="602"/>
        <v>108</v>
      </c>
      <c r="BVK19" s="68">
        <f t="shared" si="603"/>
        <v>18</v>
      </c>
      <c r="BVL19" s="48">
        <v>100</v>
      </c>
      <c r="BVM19" s="49"/>
      <c r="BVN19" s="49"/>
      <c r="BVO19" s="49"/>
      <c r="BVP19" s="49"/>
      <c r="BVQ19" s="49"/>
      <c r="BVR19" s="67">
        <f t="shared" si="604"/>
        <v>100</v>
      </c>
      <c r="BVS19" s="68">
        <f t="shared" si="605"/>
        <v>16.666666666666668</v>
      </c>
      <c r="BVT19" s="48">
        <v>109</v>
      </c>
      <c r="BVU19" s="49"/>
      <c r="BVV19" s="49">
        <v>96</v>
      </c>
      <c r="BVW19" s="49"/>
      <c r="BVX19" s="49"/>
      <c r="BVY19" s="49"/>
      <c r="BVZ19" s="67">
        <f t="shared" si="606"/>
        <v>205</v>
      </c>
      <c r="BWA19" s="68">
        <f t="shared" si="607"/>
        <v>34.166666666666664</v>
      </c>
      <c r="BWB19" s="48"/>
      <c r="BWC19" s="49">
        <v>110</v>
      </c>
      <c r="BWD19" s="49"/>
      <c r="BWE19" s="49"/>
      <c r="BWF19" s="49"/>
      <c r="BWG19" s="49"/>
      <c r="BWH19" s="67">
        <f t="shared" si="608"/>
        <v>110</v>
      </c>
      <c r="BWI19" s="68">
        <f t="shared" si="609"/>
        <v>18.333333333333332</v>
      </c>
      <c r="BWJ19" s="48"/>
      <c r="BWK19" s="49">
        <v>112</v>
      </c>
      <c r="BWL19" s="49"/>
      <c r="BWM19" s="49"/>
      <c r="BWN19" s="49"/>
      <c r="BWO19" s="49"/>
      <c r="BWP19" s="67">
        <f t="shared" si="610"/>
        <v>112</v>
      </c>
      <c r="BWQ19" s="68">
        <f t="shared" si="611"/>
        <v>18.666666666666668</v>
      </c>
      <c r="BWR19" s="48"/>
      <c r="BWS19" s="49">
        <v>110</v>
      </c>
      <c r="BWT19" s="49"/>
      <c r="BWU19" s="49"/>
      <c r="BWV19" s="49">
        <v>110</v>
      </c>
      <c r="BWW19" s="49"/>
      <c r="BWX19" s="67">
        <f t="shared" si="612"/>
        <v>220</v>
      </c>
      <c r="BWY19" s="68">
        <f t="shared" si="613"/>
        <v>36.666666666666664</v>
      </c>
      <c r="BWZ19" s="48"/>
      <c r="BXA19" s="49"/>
      <c r="BXB19" s="49"/>
      <c r="BXC19" s="49"/>
      <c r="BXD19" s="49"/>
      <c r="BXE19" s="49"/>
      <c r="BXF19" s="67">
        <f t="shared" si="614"/>
        <v>0</v>
      </c>
      <c r="BXG19" s="68">
        <f t="shared" si="615"/>
        <v>0</v>
      </c>
      <c r="BXH19" s="48"/>
      <c r="BXI19" s="49"/>
      <c r="BXJ19" s="49"/>
      <c r="BXK19" s="49">
        <v>110</v>
      </c>
      <c r="BXL19" s="49"/>
      <c r="BXM19" s="49"/>
      <c r="BXN19" s="67">
        <f t="shared" si="616"/>
        <v>110</v>
      </c>
      <c r="BXO19" s="68">
        <f t="shared" si="617"/>
        <v>18.333333333333332</v>
      </c>
      <c r="BXP19" s="63">
        <v>110</v>
      </c>
      <c r="BXQ19" s="64"/>
      <c r="BXR19" s="64"/>
      <c r="BXS19" s="64"/>
      <c r="BXT19" s="64"/>
      <c r="BXU19" s="1">
        <v>111</v>
      </c>
      <c r="BXV19" s="67">
        <f t="shared" si="73"/>
        <v>110</v>
      </c>
      <c r="BXW19" s="68">
        <f t="shared" si="618"/>
        <v>18.333333333333332</v>
      </c>
      <c r="BXX19" s="48"/>
      <c r="BXY19" s="49"/>
      <c r="BXZ19" s="49"/>
      <c r="BYA19" s="49">
        <v>80</v>
      </c>
      <c r="BYB19" s="49"/>
      <c r="BYC19" s="49"/>
      <c r="BYD19" s="67">
        <f t="shared" si="619"/>
        <v>80</v>
      </c>
      <c r="BYE19" s="68">
        <f t="shared" si="620"/>
        <v>13.333333333333334</v>
      </c>
      <c r="BYF19" s="63"/>
      <c r="BYG19" s="64">
        <v>100</v>
      </c>
      <c r="BYH19" s="64"/>
      <c r="BYI19" s="64"/>
      <c r="BYJ19" s="64">
        <v>80</v>
      </c>
      <c r="BYK19" s="64"/>
      <c r="BYL19" s="67">
        <f t="shared" si="621"/>
        <v>180</v>
      </c>
      <c r="BYM19" s="68">
        <f t="shared" si="622"/>
        <v>30</v>
      </c>
      <c r="BYN19" s="48"/>
      <c r="BYO19" s="49"/>
      <c r="BYP19" s="49">
        <v>133</v>
      </c>
      <c r="BYQ19" s="49"/>
      <c r="BYR19" s="49"/>
      <c r="BYS19" s="49"/>
      <c r="BYT19" s="67">
        <f t="shared" si="623"/>
        <v>133</v>
      </c>
      <c r="BYU19" s="68">
        <f t="shared" si="624"/>
        <v>22.166666666666668</v>
      </c>
      <c r="BYV19" s="48">
        <v>110</v>
      </c>
      <c r="BYW19" s="49"/>
      <c r="BYX19" s="49"/>
      <c r="BYY19" s="49"/>
      <c r="BYZ19" s="49"/>
      <c r="BZA19" s="49"/>
      <c r="BZB19" s="67">
        <f t="shared" si="625"/>
        <v>110</v>
      </c>
      <c r="BZC19" s="68">
        <f t="shared" si="626"/>
        <v>18.333333333333332</v>
      </c>
      <c r="BZD19" s="48"/>
      <c r="BZE19" s="49">
        <v>222</v>
      </c>
      <c r="BZF19" s="49"/>
      <c r="BZG19" s="49"/>
      <c r="BZH19" s="49"/>
      <c r="BZI19" s="49"/>
      <c r="BZJ19" s="67">
        <f t="shared" si="627"/>
        <v>222</v>
      </c>
      <c r="BZK19" s="68">
        <f t="shared" si="628"/>
        <v>37</v>
      </c>
      <c r="BZL19" s="48"/>
      <c r="BZM19" s="49"/>
      <c r="BZN19" s="49"/>
      <c r="BZO19" s="49">
        <v>201</v>
      </c>
      <c r="BZP19" s="49"/>
      <c r="BZQ19" s="49"/>
      <c r="BZR19" s="67">
        <f t="shared" si="629"/>
        <v>201</v>
      </c>
      <c r="BZS19" s="68">
        <f t="shared" si="630"/>
        <v>33.5</v>
      </c>
      <c r="BZT19" s="48"/>
      <c r="BZU19" s="49"/>
      <c r="BZV19" s="49"/>
      <c r="BZW19" s="49"/>
      <c r="BZX19" s="49"/>
      <c r="BZY19" s="49"/>
      <c r="BZZ19" s="67">
        <f t="shared" si="631"/>
        <v>0</v>
      </c>
      <c r="CAA19" s="68">
        <f t="shared" si="632"/>
        <v>0</v>
      </c>
      <c r="CAB19" s="48"/>
      <c r="CAC19" s="49"/>
      <c r="CAD19" s="49"/>
      <c r="CAE19" s="49"/>
      <c r="CAF19" s="49"/>
      <c r="CAG19" s="49"/>
      <c r="CAH19" s="67">
        <f t="shared" si="633"/>
        <v>0</v>
      </c>
      <c r="CAI19" s="68">
        <f t="shared" si="634"/>
        <v>0</v>
      </c>
      <c r="CAJ19" s="63"/>
      <c r="CAK19" s="64"/>
      <c r="CAL19" s="64"/>
      <c r="CAM19" s="64"/>
      <c r="CAN19" s="64"/>
      <c r="CAO19" s="64"/>
      <c r="CAP19" s="67">
        <f t="shared" si="635"/>
        <v>0</v>
      </c>
      <c r="CAQ19" s="68">
        <f t="shared" si="636"/>
        <v>0</v>
      </c>
      <c r="CAR19" s="63"/>
      <c r="CAS19" s="64"/>
      <c r="CAT19" s="64"/>
      <c r="CAU19" s="64"/>
      <c r="CAV19" s="64"/>
      <c r="CAW19" s="64"/>
      <c r="CAX19" s="67">
        <f t="shared" si="637"/>
        <v>0</v>
      </c>
      <c r="CAY19" s="68">
        <f t="shared" si="638"/>
        <v>0</v>
      </c>
      <c r="CAZ19" s="48"/>
      <c r="CBA19" s="49">
        <v>120</v>
      </c>
      <c r="CBB19" s="49"/>
      <c r="CBC19" s="49"/>
      <c r="CBD19" s="49"/>
      <c r="CBE19" s="49">
        <v>122</v>
      </c>
      <c r="CBF19" s="67">
        <f t="shared" si="639"/>
        <v>242</v>
      </c>
      <c r="CBG19" s="68">
        <f t="shared" si="640"/>
        <v>40.333333333333336</v>
      </c>
      <c r="CBH19" s="48"/>
      <c r="CBI19" s="49"/>
      <c r="CBJ19" s="49"/>
      <c r="CBK19" s="49"/>
      <c r="CBL19" s="49"/>
      <c r="CBM19" s="49"/>
      <c r="CBN19" s="67">
        <f t="shared" si="641"/>
        <v>0</v>
      </c>
      <c r="CBO19" s="68">
        <f t="shared" si="642"/>
        <v>0</v>
      </c>
      <c r="CBP19" s="48">
        <v>220</v>
      </c>
      <c r="CBQ19" s="49"/>
      <c r="CBR19" s="49"/>
      <c r="CBS19" s="49"/>
      <c r="CBT19" s="49">
        <v>110</v>
      </c>
      <c r="CBU19" s="49"/>
      <c r="CBV19" s="67">
        <f t="shared" si="643"/>
        <v>330</v>
      </c>
      <c r="CBW19" s="68">
        <f t="shared" si="644"/>
        <v>55</v>
      </c>
      <c r="CBX19" s="48"/>
      <c r="CBY19" s="49"/>
      <c r="CBZ19" s="49"/>
      <c r="CCA19" s="49"/>
      <c r="CCB19" s="49"/>
      <c r="CCC19" s="49"/>
      <c r="CCD19" s="67">
        <f t="shared" si="645"/>
        <v>0</v>
      </c>
      <c r="CCE19" s="68">
        <f t="shared" si="646"/>
        <v>0</v>
      </c>
      <c r="CCF19" s="48"/>
      <c r="CCG19" s="49">
        <v>110</v>
      </c>
      <c r="CCH19" s="49"/>
      <c r="CCI19" s="49"/>
      <c r="CCJ19" s="49"/>
      <c r="CCK19" s="49"/>
      <c r="CCL19" s="67">
        <f t="shared" si="647"/>
        <v>110</v>
      </c>
      <c r="CCM19" s="68">
        <f t="shared" si="648"/>
        <v>18.333333333333332</v>
      </c>
      <c r="CCN19" s="48"/>
      <c r="CCO19" s="49">
        <v>108</v>
      </c>
      <c r="CCP19" s="49"/>
      <c r="CCQ19" s="49"/>
      <c r="CCR19" s="49"/>
      <c r="CCS19" s="49"/>
      <c r="CCT19" s="67">
        <f t="shared" si="649"/>
        <v>108</v>
      </c>
      <c r="CCU19" s="68">
        <f t="shared" si="650"/>
        <v>18</v>
      </c>
      <c r="CCV19" s="48"/>
      <c r="CCW19" s="49"/>
      <c r="CCX19" s="49"/>
      <c r="CCY19" s="49"/>
      <c r="CCZ19" s="49"/>
      <c r="CDA19" s="49"/>
      <c r="CDB19" s="67">
        <f t="shared" si="651"/>
        <v>0</v>
      </c>
      <c r="CDC19" s="68">
        <f t="shared" si="652"/>
        <v>0</v>
      </c>
      <c r="CDD19" s="48"/>
      <c r="CDE19" s="49"/>
      <c r="CDF19" s="49"/>
      <c r="CDG19" s="49"/>
      <c r="CDH19" s="49">
        <v>221</v>
      </c>
      <c r="CDI19" s="49"/>
      <c r="CDJ19" s="67">
        <f t="shared" si="653"/>
        <v>221</v>
      </c>
      <c r="CDK19" s="68">
        <f t="shared" si="654"/>
        <v>36.833333333333336</v>
      </c>
      <c r="CDL19" s="48"/>
      <c r="CDM19" s="49"/>
      <c r="CDN19" s="49"/>
      <c r="CDO19" s="49"/>
      <c r="CDP19" s="49"/>
      <c r="CDQ19" s="49">
        <v>111</v>
      </c>
      <c r="CDR19" s="67">
        <f t="shared" si="655"/>
        <v>111</v>
      </c>
      <c r="CDS19" s="68">
        <f t="shared" si="656"/>
        <v>18.5</v>
      </c>
      <c r="CDT19" s="48"/>
      <c r="CDU19" s="49"/>
      <c r="CDV19" s="49"/>
      <c r="CDW19" s="49"/>
      <c r="CDX19" s="49"/>
      <c r="CDY19" s="49"/>
      <c r="CDZ19" s="67">
        <f t="shared" si="657"/>
        <v>0</v>
      </c>
      <c r="CEA19" s="68">
        <f t="shared" si="658"/>
        <v>0</v>
      </c>
      <c r="CEB19" s="48">
        <v>119</v>
      </c>
      <c r="CEC19" s="49"/>
      <c r="CED19" s="49"/>
      <c r="CEE19" s="49"/>
      <c r="CEF19" s="49"/>
      <c r="CEG19" s="49">
        <v>110</v>
      </c>
      <c r="CEH19" s="67">
        <f t="shared" si="659"/>
        <v>229</v>
      </c>
      <c r="CEI19" s="68">
        <f t="shared" si="660"/>
        <v>38.166666666666664</v>
      </c>
      <c r="CEJ19" s="48"/>
      <c r="CEK19" s="49"/>
      <c r="CEL19" s="49"/>
      <c r="CEM19" s="49"/>
      <c r="CEN19" s="49"/>
      <c r="CEO19" s="49"/>
      <c r="CEP19" s="67">
        <f t="shared" si="661"/>
        <v>0</v>
      </c>
      <c r="CEQ19" s="68">
        <f t="shared" si="662"/>
        <v>0</v>
      </c>
      <c r="CER19" s="48"/>
      <c r="CES19" s="49"/>
      <c r="CET19" s="49">
        <v>110</v>
      </c>
      <c r="CEU19" s="49"/>
      <c r="CEV19" s="49"/>
      <c r="CEW19" s="49">
        <v>110</v>
      </c>
      <c r="CEX19" s="67">
        <f t="shared" si="663"/>
        <v>220</v>
      </c>
      <c r="CEY19" s="68">
        <f t="shared" si="664"/>
        <v>36.666666666666664</v>
      </c>
      <c r="CEZ19" s="48"/>
      <c r="CFA19" s="49"/>
      <c r="CFB19" s="49"/>
      <c r="CFC19" s="49"/>
      <c r="CFD19" s="49"/>
      <c r="CFE19" s="49">
        <v>94</v>
      </c>
      <c r="CFF19" s="67">
        <f t="shared" si="665"/>
        <v>94</v>
      </c>
      <c r="CFG19" s="68">
        <f t="shared" si="666"/>
        <v>15.666666666666666</v>
      </c>
      <c r="CFH19" s="48"/>
      <c r="CFI19" s="49"/>
      <c r="CFJ19" s="49">
        <v>200</v>
      </c>
      <c r="CFK19" s="49"/>
      <c r="CFL19" s="49"/>
      <c r="CFM19" s="49"/>
      <c r="CFN19" s="67">
        <f t="shared" si="667"/>
        <v>200</v>
      </c>
      <c r="CFO19" s="68">
        <f t="shared" si="668"/>
        <v>33.333333333333336</v>
      </c>
      <c r="CFP19" s="48"/>
      <c r="CFQ19" s="49"/>
      <c r="CFR19" s="49"/>
      <c r="CFS19" s="49"/>
      <c r="CFT19" s="49">
        <v>181</v>
      </c>
      <c r="CFU19" s="49"/>
      <c r="CFV19" s="67">
        <f t="shared" si="669"/>
        <v>181</v>
      </c>
      <c r="CFW19" s="68">
        <f t="shared" si="670"/>
        <v>30.166666666666668</v>
      </c>
      <c r="CFX19" s="48"/>
      <c r="CFY19" s="49">
        <v>200</v>
      </c>
      <c r="CFZ19" s="49"/>
      <c r="CGA19" s="49"/>
      <c r="CGB19" s="49"/>
      <c r="CGC19" s="49"/>
      <c r="CGD19" s="67">
        <f t="shared" si="671"/>
        <v>200</v>
      </c>
      <c r="CGE19" s="68">
        <f t="shared" si="672"/>
        <v>33.333333333333336</v>
      </c>
      <c r="CGF19" s="48">
        <v>110</v>
      </c>
      <c r="CGG19" s="49"/>
      <c r="CGH19" s="49"/>
      <c r="CGI19" s="49"/>
      <c r="CGJ19" s="49"/>
      <c r="CGK19" s="49"/>
      <c r="CGL19" s="67">
        <f t="shared" si="673"/>
        <v>110</v>
      </c>
      <c r="CGM19" s="68">
        <f t="shared" si="674"/>
        <v>18.333333333333332</v>
      </c>
      <c r="CGN19" s="63">
        <v>222</v>
      </c>
      <c r="CGO19" s="64"/>
      <c r="CGP19" s="64"/>
      <c r="CGQ19" s="64"/>
      <c r="CGR19" s="64"/>
      <c r="CGS19" s="64"/>
      <c r="CGT19" s="67">
        <f t="shared" si="675"/>
        <v>222</v>
      </c>
      <c r="CGU19" s="68">
        <f t="shared" si="676"/>
        <v>37</v>
      </c>
      <c r="CGV19" s="48"/>
      <c r="CGW19" s="49">
        <v>220</v>
      </c>
      <c r="CGX19" s="49"/>
      <c r="CGY19" s="49"/>
      <c r="CGZ19" s="49"/>
      <c r="CHA19" s="49"/>
      <c r="CHB19" s="67">
        <f t="shared" si="677"/>
        <v>220</v>
      </c>
      <c r="CHC19" s="68">
        <f t="shared" si="678"/>
        <v>36.666666666666664</v>
      </c>
      <c r="CHD19" s="48">
        <v>220</v>
      </c>
      <c r="CHE19" s="49"/>
      <c r="CHF19" s="49"/>
      <c r="CHG19" s="49"/>
      <c r="CHH19" s="49">
        <v>221</v>
      </c>
      <c r="CHI19" s="49"/>
      <c r="CHJ19" s="67">
        <f t="shared" si="679"/>
        <v>441</v>
      </c>
      <c r="CHK19" s="68">
        <f t="shared" si="680"/>
        <v>73.5</v>
      </c>
      <c r="CHL19" s="63"/>
      <c r="CHM19" s="64"/>
      <c r="CHN19" s="64">
        <v>330</v>
      </c>
      <c r="CHO19" s="64"/>
      <c r="CHP19" s="64"/>
      <c r="CHQ19" s="64"/>
      <c r="CHR19" s="67">
        <f t="shared" si="681"/>
        <v>330</v>
      </c>
      <c r="CHS19" s="68">
        <f t="shared" si="682"/>
        <v>55</v>
      </c>
      <c r="CHT19" s="48"/>
      <c r="CHU19" s="49"/>
      <c r="CHV19" s="49">
        <v>324</v>
      </c>
      <c r="CHW19" s="49"/>
      <c r="CHX19" s="49"/>
      <c r="CHY19" s="49"/>
      <c r="CHZ19" s="67">
        <f t="shared" si="683"/>
        <v>324</v>
      </c>
      <c r="CIA19" s="68">
        <f t="shared" si="684"/>
        <v>54</v>
      </c>
      <c r="CIB19" s="63">
        <v>110</v>
      </c>
      <c r="CIC19" s="64"/>
      <c r="CID19" s="64">
        <v>330</v>
      </c>
      <c r="CIE19" s="64"/>
      <c r="CIF19" s="64"/>
      <c r="CIG19" s="64"/>
      <c r="CIH19" s="67">
        <f t="shared" si="685"/>
        <v>440</v>
      </c>
      <c r="CII19" s="68">
        <f t="shared" si="686"/>
        <v>73.333333333333329</v>
      </c>
      <c r="CIJ19" s="63"/>
      <c r="CIK19" s="64"/>
      <c r="CIL19" s="64">
        <v>320</v>
      </c>
      <c r="CIM19" s="64"/>
      <c r="CIN19" s="64"/>
      <c r="CIO19" s="64"/>
      <c r="CIP19" s="67">
        <f t="shared" si="687"/>
        <v>320</v>
      </c>
      <c r="CIQ19" s="68">
        <f t="shared" si="688"/>
        <v>53.333333333333336</v>
      </c>
      <c r="CIR19" s="48"/>
      <c r="CIS19" s="49"/>
      <c r="CIT19" s="49">
        <v>220</v>
      </c>
      <c r="CIU19" s="49"/>
      <c r="CIV19" s="49">
        <v>325</v>
      </c>
      <c r="CIW19" s="49"/>
      <c r="CIX19" s="67">
        <f t="shared" si="689"/>
        <v>545</v>
      </c>
      <c r="CIY19" s="68">
        <f t="shared" si="690"/>
        <v>90.833333333333329</v>
      </c>
      <c r="CIZ19" s="48"/>
      <c r="CJA19" s="49"/>
      <c r="CJB19" s="49"/>
      <c r="CJC19" s="49"/>
      <c r="CJD19" s="49"/>
      <c r="CJE19" s="49"/>
      <c r="CJF19" s="67">
        <f t="shared" si="691"/>
        <v>0</v>
      </c>
      <c r="CJG19" s="68">
        <f t="shared" si="1200"/>
        <v>0</v>
      </c>
      <c r="CJH19" s="48"/>
      <c r="CJI19" s="49"/>
      <c r="CJJ19" s="49">
        <v>105</v>
      </c>
      <c r="CJK19" s="49"/>
      <c r="CJL19" s="49"/>
      <c r="CJM19" s="49"/>
      <c r="CJN19" s="67">
        <f t="shared" si="692"/>
        <v>105</v>
      </c>
      <c r="CJO19" s="68">
        <f t="shared" si="693"/>
        <v>17.5</v>
      </c>
      <c r="CJP19" s="48"/>
      <c r="CJQ19" s="49">
        <v>212</v>
      </c>
      <c r="CJR19" s="49"/>
      <c r="CJS19" s="49"/>
      <c r="CJT19" s="49"/>
      <c r="CJU19" s="49"/>
      <c r="CJV19" s="67">
        <f t="shared" si="694"/>
        <v>212</v>
      </c>
      <c r="CJW19" s="68">
        <f t="shared" si="695"/>
        <v>35.333333333333336</v>
      </c>
      <c r="CJX19" s="48"/>
      <c r="CJY19" s="49"/>
      <c r="CJZ19" s="49">
        <v>111</v>
      </c>
      <c r="CKA19" s="49"/>
      <c r="CKB19" s="49"/>
      <c r="CKC19" s="49"/>
      <c r="CKD19" s="67">
        <f t="shared" si="696"/>
        <v>111</v>
      </c>
      <c r="CKE19" s="68">
        <f t="shared" si="697"/>
        <v>18.5</v>
      </c>
      <c r="CKF19" s="63">
        <v>219</v>
      </c>
      <c r="CKG19" s="64"/>
      <c r="CKH19" s="64"/>
      <c r="CKI19" s="64">
        <v>219</v>
      </c>
      <c r="CKJ19" s="64"/>
      <c r="CKK19" s="64"/>
      <c r="CKL19" s="67">
        <f t="shared" si="698"/>
        <v>438</v>
      </c>
      <c r="CKM19" s="68">
        <f t="shared" si="699"/>
        <v>73</v>
      </c>
      <c r="CKN19" s="48">
        <v>110</v>
      </c>
      <c r="CKO19" s="49"/>
      <c r="CKP19" s="49"/>
      <c r="CKQ19" s="49"/>
      <c r="CKR19" s="49"/>
      <c r="CKS19" s="47"/>
      <c r="CKT19" s="67">
        <f t="shared" si="700"/>
        <v>110</v>
      </c>
      <c r="CKU19" s="68">
        <f t="shared" si="701"/>
        <v>18.333333333333332</v>
      </c>
      <c r="CKV19" s="48">
        <v>1</v>
      </c>
      <c r="CKW19" s="49"/>
      <c r="CKX19" s="49"/>
      <c r="CKY19" s="49">
        <v>110</v>
      </c>
      <c r="CKZ19" s="49"/>
      <c r="CLA19" s="49">
        <v>216</v>
      </c>
      <c r="CLB19" s="67">
        <f t="shared" si="702"/>
        <v>327</v>
      </c>
      <c r="CLC19" s="68">
        <f t="shared" si="703"/>
        <v>54.5</v>
      </c>
      <c r="CLD19" s="48"/>
      <c r="CLE19" s="49"/>
      <c r="CLF19" s="49"/>
      <c r="CLG19" s="49"/>
      <c r="CLH19" s="49"/>
      <c r="CLI19" s="49"/>
      <c r="CLJ19" s="67">
        <f t="shared" si="704"/>
        <v>0</v>
      </c>
      <c r="CLK19" s="68">
        <f t="shared" si="705"/>
        <v>0</v>
      </c>
      <c r="CLL19" s="48"/>
      <c r="CLM19" s="49"/>
      <c r="CLN19" s="49">
        <v>100</v>
      </c>
      <c r="CLO19" s="49"/>
      <c r="CLP19" s="49"/>
      <c r="CLQ19" s="49"/>
      <c r="CLR19" s="67">
        <f t="shared" si="706"/>
        <v>100</v>
      </c>
      <c r="CLS19" s="68">
        <f t="shared" si="707"/>
        <v>16.666666666666668</v>
      </c>
      <c r="CLT19" s="63"/>
      <c r="CLU19" s="64">
        <v>212</v>
      </c>
      <c r="CLV19" s="64"/>
      <c r="CLW19" s="64"/>
      <c r="CLX19" s="64"/>
      <c r="CLY19" s="64"/>
      <c r="CLZ19" s="67">
        <f t="shared" si="708"/>
        <v>212</v>
      </c>
      <c r="CMA19" s="68">
        <f t="shared" si="709"/>
        <v>35.333333333333336</v>
      </c>
      <c r="CMB19" s="48"/>
      <c r="CMC19" s="49"/>
      <c r="CMD19" s="49"/>
      <c r="CME19" s="49"/>
      <c r="CMF19" s="49"/>
      <c r="CMG19" s="49"/>
      <c r="CMH19" s="67">
        <f t="shared" si="710"/>
        <v>0</v>
      </c>
      <c r="CMI19" s="68">
        <f t="shared" si="711"/>
        <v>0</v>
      </c>
      <c r="CMJ19" s="48">
        <v>108</v>
      </c>
      <c r="CMK19" s="49"/>
      <c r="CML19" s="49"/>
      <c r="CMM19" s="49">
        <v>110</v>
      </c>
      <c r="CMN19" s="49"/>
      <c r="CMO19" s="49"/>
      <c r="CMP19" s="67">
        <f t="shared" si="712"/>
        <v>218</v>
      </c>
      <c r="CMQ19" s="68">
        <f t="shared" si="713"/>
        <v>36.333333333333336</v>
      </c>
      <c r="CMR19" s="48"/>
      <c r="CMS19" s="49">
        <v>79</v>
      </c>
      <c r="CMT19" s="49"/>
      <c r="CMU19" s="49"/>
      <c r="CMV19" s="49">
        <v>110</v>
      </c>
      <c r="CMW19" s="49"/>
      <c r="CMX19" s="67">
        <f t="shared" si="714"/>
        <v>189</v>
      </c>
      <c r="CMY19" s="68">
        <f t="shared" si="715"/>
        <v>31.5</v>
      </c>
      <c r="CMZ19" s="63"/>
      <c r="CNA19" s="64"/>
      <c r="CNB19" s="64"/>
      <c r="CNC19" s="64">
        <v>110</v>
      </c>
      <c r="CND19" s="64"/>
      <c r="CNE19" s="64">
        <v>108</v>
      </c>
      <c r="CNF19" s="67">
        <f t="shared" si="716"/>
        <v>218</v>
      </c>
      <c r="CNG19" s="68">
        <f t="shared" si="717"/>
        <v>36.333333333333336</v>
      </c>
      <c r="CNH19" s="48"/>
      <c r="CNI19" s="49"/>
      <c r="CNJ19" s="49">
        <v>110</v>
      </c>
      <c r="CNK19" s="49"/>
      <c r="CNL19" s="49"/>
      <c r="CNM19" s="49">
        <v>110</v>
      </c>
      <c r="CNN19" s="67">
        <f t="shared" si="718"/>
        <v>220</v>
      </c>
      <c r="CNO19" s="68">
        <f t="shared" si="719"/>
        <v>36.666666666666664</v>
      </c>
      <c r="CNP19" s="63">
        <v>220</v>
      </c>
      <c r="CNQ19" s="64"/>
      <c r="CNR19" s="64"/>
      <c r="CNS19" s="64"/>
      <c r="CNT19" s="64"/>
      <c r="CNU19" s="64"/>
      <c r="CNV19" s="67">
        <f t="shared" si="720"/>
        <v>220</v>
      </c>
      <c r="CNW19" s="68">
        <f t="shared" si="721"/>
        <v>36.666666666666664</v>
      </c>
      <c r="CNX19" s="48"/>
      <c r="CNY19" s="49"/>
      <c r="CNZ19" s="49"/>
      <c r="COA19" s="49"/>
      <c r="COB19" s="49">
        <v>109</v>
      </c>
      <c r="COC19" s="49"/>
      <c r="COD19" s="67">
        <f t="shared" si="722"/>
        <v>109</v>
      </c>
      <c r="COE19" s="68">
        <f t="shared" si="723"/>
        <v>18.166666666666668</v>
      </c>
      <c r="COF19" s="48"/>
      <c r="COG19" s="49"/>
      <c r="COH19" s="49"/>
      <c r="COI19" s="49">
        <v>221</v>
      </c>
      <c r="COJ19" s="49"/>
      <c r="COK19" s="49"/>
      <c r="COL19" s="67">
        <f t="shared" si="724"/>
        <v>221</v>
      </c>
      <c r="COM19" s="68">
        <f t="shared" si="725"/>
        <v>36.833333333333336</v>
      </c>
      <c r="CON19" s="48"/>
      <c r="COO19" s="49">
        <v>219</v>
      </c>
      <c r="COP19" s="49"/>
      <c r="COQ19" s="49"/>
      <c r="COR19" s="49"/>
      <c r="COS19" s="49"/>
      <c r="COT19" s="67">
        <f t="shared" si="726"/>
        <v>219</v>
      </c>
      <c r="COU19" s="68">
        <f t="shared" si="727"/>
        <v>36.5</v>
      </c>
      <c r="COV19" s="48"/>
      <c r="COW19" s="49"/>
      <c r="COX19" s="49">
        <v>112</v>
      </c>
      <c r="COY19" s="49"/>
      <c r="COZ19" s="49"/>
      <c r="CPA19" s="49">
        <v>0</v>
      </c>
      <c r="CPB19" s="67">
        <f t="shared" si="728"/>
        <v>112</v>
      </c>
      <c r="CPC19" s="68">
        <f t="shared" si="729"/>
        <v>18.666666666666668</v>
      </c>
      <c r="CPD19" s="48">
        <v>0</v>
      </c>
      <c r="CPE19" s="49">
        <v>110</v>
      </c>
      <c r="CPF19" s="49">
        <v>0</v>
      </c>
      <c r="CPG19" s="49">
        <v>0</v>
      </c>
      <c r="CPH19" s="49">
        <v>0</v>
      </c>
      <c r="CPI19" s="49">
        <v>0</v>
      </c>
      <c r="CPJ19" s="67">
        <f t="shared" si="730"/>
        <v>110</v>
      </c>
      <c r="CPK19" s="68">
        <f t="shared" si="731"/>
        <v>18.333333333333332</v>
      </c>
      <c r="CPL19" s="48"/>
      <c r="CPM19" s="49">
        <v>0</v>
      </c>
      <c r="CPN19" s="49">
        <v>0</v>
      </c>
      <c r="CPO19" s="49">
        <v>0</v>
      </c>
      <c r="CPP19" s="49">
        <v>0</v>
      </c>
      <c r="CPQ19" s="49">
        <v>0</v>
      </c>
      <c r="CPR19" s="67">
        <f t="shared" si="732"/>
        <v>0</v>
      </c>
      <c r="CPS19" s="68">
        <f t="shared" si="733"/>
        <v>0</v>
      </c>
      <c r="CPT19" s="63">
        <v>0</v>
      </c>
      <c r="CPU19" s="64">
        <v>0</v>
      </c>
      <c r="CPV19" s="64">
        <v>0</v>
      </c>
      <c r="CPW19" s="64">
        <v>0</v>
      </c>
      <c r="CPX19" s="64">
        <v>0</v>
      </c>
      <c r="CPY19" s="64">
        <v>0</v>
      </c>
      <c r="CPZ19" s="67">
        <f t="shared" si="734"/>
        <v>0</v>
      </c>
      <c r="CQA19" s="68">
        <f t="shared" si="735"/>
        <v>0</v>
      </c>
      <c r="CQB19" s="48">
        <v>100</v>
      </c>
      <c r="CQC19" s="49">
        <v>0</v>
      </c>
      <c r="CQD19" s="49">
        <v>110</v>
      </c>
      <c r="CQE19" s="49">
        <v>0</v>
      </c>
      <c r="CQF19" s="49">
        <v>0</v>
      </c>
      <c r="CQG19" s="49"/>
      <c r="CQH19" s="67">
        <f t="shared" si="736"/>
        <v>210</v>
      </c>
      <c r="CQI19" s="68">
        <f t="shared" si="737"/>
        <v>35</v>
      </c>
      <c r="CQJ19" s="82">
        <v>0</v>
      </c>
      <c r="CQK19" s="83">
        <v>0</v>
      </c>
      <c r="CQL19" s="83">
        <v>0</v>
      </c>
      <c r="CQM19" s="83">
        <v>0</v>
      </c>
      <c r="CQN19" s="83">
        <v>112</v>
      </c>
      <c r="CQO19" s="83"/>
      <c r="CQP19" s="67">
        <f t="shared" si="738"/>
        <v>112</v>
      </c>
      <c r="CQQ19" s="68">
        <f t="shared" si="739"/>
        <v>18.666666666666668</v>
      </c>
      <c r="CQR19" s="48"/>
      <c r="CQS19" s="49">
        <v>0</v>
      </c>
      <c r="CQT19" s="49">
        <v>0</v>
      </c>
      <c r="CQU19" s="49">
        <v>0</v>
      </c>
      <c r="CQV19" s="49">
        <v>0</v>
      </c>
      <c r="CQW19" s="49">
        <v>0</v>
      </c>
      <c r="CQX19" s="67">
        <f t="shared" si="740"/>
        <v>0</v>
      </c>
      <c r="CQY19" s="68">
        <f t="shared" si="741"/>
        <v>0</v>
      </c>
      <c r="CQZ19" s="48">
        <v>0</v>
      </c>
      <c r="CRA19" s="49"/>
      <c r="CRB19" s="49">
        <v>109</v>
      </c>
      <c r="CRC19" s="49"/>
      <c r="CRD19" s="49">
        <v>0</v>
      </c>
      <c r="CRE19" s="49">
        <v>0</v>
      </c>
      <c r="CRF19" s="67">
        <f t="shared" si="742"/>
        <v>109</v>
      </c>
      <c r="CRG19" s="68">
        <f t="shared" si="743"/>
        <v>18.166666666666668</v>
      </c>
      <c r="CRH19" s="48"/>
      <c r="CRI19" s="49">
        <v>0</v>
      </c>
      <c r="CRJ19" s="49">
        <v>0</v>
      </c>
      <c r="CRK19" s="49">
        <v>110</v>
      </c>
      <c r="CRL19" s="49">
        <v>0</v>
      </c>
      <c r="CRM19" s="49">
        <v>0</v>
      </c>
      <c r="CRN19" s="67">
        <f t="shared" si="744"/>
        <v>110</v>
      </c>
      <c r="CRO19" s="68">
        <f t="shared" si="745"/>
        <v>18.333333333333332</v>
      </c>
      <c r="CRP19" s="48"/>
      <c r="CRQ19" s="49">
        <v>0</v>
      </c>
      <c r="CRR19" s="49">
        <v>0</v>
      </c>
      <c r="CRS19" s="49">
        <v>0</v>
      </c>
      <c r="CRT19" s="49">
        <v>0</v>
      </c>
      <c r="CRU19" s="49">
        <v>0</v>
      </c>
      <c r="CRV19" s="47">
        <f t="shared" si="746"/>
        <v>0</v>
      </c>
      <c r="CRW19" s="68">
        <f t="shared" si="747"/>
        <v>0</v>
      </c>
      <c r="CRX19" s="63">
        <v>0</v>
      </c>
      <c r="CRY19" s="64">
        <v>0</v>
      </c>
      <c r="CRZ19" s="64">
        <v>104</v>
      </c>
      <c r="CSA19" s="64">
        <v>0</v>
      </c>
      <c r="CSB19" s="64">
        <v>0</v>
      </c>
      <c r="CSC19" s="64">
        <v>0</v>
      </c>
      <c r="CSD19" s="67">
        <f t="shared" si="748"/>
        <v>104</v>
      </c>
      <c r="CSE19" s="68">
        <f t="shared" si="749"/>
        <v>17.333333333333332</v>
      </c>
      <c r="CSF19" s="48">
        <v>110</v>
      </c>
      <c r="CSG19" s="49"/>
      <c r="CSH19" s="49">
        <v>0</v>
      </c>
      <c r="CSI19" s="49">
        <v>0</v>
      </c>
      <c r="CSJ19" s="49">
        <v>0</v>
      </c>
      <c r="CSK19" s="49">
        <v>0</v>
      </c>
      <c r="CSL19" s="64">
        <f t="shared" si="750"/>
        <v>110</v>
      </c>
      <c r="CSM19" s="68">
        <f t="shared" si="751"/>
        <v>18.333333333333332</v>
      </c>
      <c r="CSN19" s="48">
        <v>0</v>
      </c>
      <c r="CSO19" s="49">
        <v>0</v>
      </c>
      <c r="CSP19" s="49">
        <v>0</v>
      </c>
      <c r="CSQ19" s="49">
        <v>0</v>
      </c>
      <c r="CSR19" s="49">
        <v>0</v>
      </c>
      <c r="CSS19" s="49">
        <v>0</v>
      </c>
      <c r="CST19" s="64">
        <f t="shared" si="752"/>
        <v>0</v>
      </c>
      <c r="CSU19" s="68">
        <f t="shared" si="753"/>
        <v>0</v>
      </c>
      <c r="CSV19" s="48">
        <v>4</v>
      </c>
      <c r="CSW19" s="49">
        <v>111</v>
      </c>
      <c r="CSX19" s="49"/>
      <c r="CSY19" s="49">
        <v>112</v>
      </c>
      <c r="CSZ19" s="49"/>
      <c r="CTA19" s="49">
        <v>0</v>
      </c>
      <c r="CTB19" s="64">
        <f t="shared" si="754"/>
        <v>227</v>
      </c>
      <c r="CTC19" s="68">
        <f t="shared" si="755"/>
        <v>37.833333333333336</v>
      </c>
      <c r="CTD19" s="48">
        <v>0</v>
      </c>
      <c r="CTE19" s="49">
        <v>115</v>
      </c>
      <c r="CTF19" s="49">
        <v>0</v>
      </c>
      <c r="CTG19" s="49">
        <v>0</v>
      </c>
      <c r="CTH19" s="49">
        <v>0</v>
      </c>
      <c r="CTI19" s="49"/>
      <c r="CTJ19" s="64">
        <f t="shared" si="756"/>
        <v>115</v>
      </c>
      <c r="CTK19" s="68">
        <f t="shared" si="757"/>
        <v>19.166666666666668</v>
      </c>
      <c r="CTL19" s="48">
        <v>0</v>
      </c>
      <c r="CTM19" s="49">
        <v>0</v>
      </c>
      <c r="CTN19" s="49">
        <v>0</v>
      </c>
      <c r="CTO19" s="49">
        <v>0</v>
      </c>
      <c r="CTP19" s="49">
        <v>110</v>
      </c>
      <c r="CTQ19" s="49"/>
      <c r="CTR19" s="64">
        <f t="shared" si="758"/>
        <v>110</v>
      </c>
      <c r="CTS19" s="68">
        <f t="shared" si="759"/>
        <v>18.333333333333332</v>
      </c>
      <c r="CTT19" s="48">
        <v>0</v>
      </c>
      <c r="CTU19" s="49"/>
      <c r="CTV19" s="49">
        <v>0</v>
      </c>
      <c r="CTW19" s="49"/>
      <c r="CTX19" s="49"/>
      <c r="CTY19" s="49"/>
      <c r="CTZ19" s="64">
        <v>110</v>
      </c>
      <c r="CUA19" s="68">
        <f t="shared" si="761"/>
        <v>18.333333333333332</v>
      </c>
      <c r="CUB19" s="48"/>
      <c r="CUC19" s="49"/>
      <c r="CUD19" s="49"/>
      <c r="CUE19" s="49"/>
      <c r="CUF19" s="49">
        <v>223</v>
      </c>
      <c r="CUG19" s="49">
        <v>0</v>
      </c>
      <c r="CUH19" s="64">
        <f t="shared" si="762"/>
        <v>223</v>
      </c>
      <c r="CUI19" s="68">
        <f t="shared" si="763"/>
        <v>37.166666666666664</v>
      </c>
      <c r="CUJ19" s="48"/>
      <c r="CUK19" s="49">
        <v>0</v>
      </c>
      <c r="CUL19" s="49">
        <v>0</v>
      </c>
      <c r="CUM19" s="49">
        <v>0</v>
      </c>
      <c r="CUN19" s="49">
        <v>0</v>
      </c>
      <c r="CUO19" s="49">
        <v>80</v>
      </c>
      <c r="CUP19" s="64">
        <f t="shared" si="764"/>
        <v>80</v>
      </c>
      <c r="CUQ19" s="68">
        <f t="shared" si="765"/>
        <v>13.333333333333334</v>
      </c>
      <c r="CUR19" s="48">
        <v>0</v>
      </c>
      <c r="CUS19" s="49"/>
      <c r="CUT19" s="49"/>
      <c r="CUU19" s="49">
        <v>0</v>
      </c>
      <c r="CUV19" s="49">
        <v>0</v>
      </c>
      <c r="CUW19" s="49">
        <v>0</v>
      </c>
      <c r="CUX19" s="64">
        <f t="shared" si="766"/>
        <v>0</v>
      </c>
      <c r="CUY19" s="68">
        <f t="shared" si="767"/>
        <v>0</v>
      </c>
      <c r="CUZ19" s="48">
        <v>102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68"/>
        <v>102</v>
      </c>
      <c r="CVG19" s="68">
        <f t="shared" si="769"/>
        <v>17</v>
      </c>
      <c r="CVH19" s="48">
        <v>110</v>
      </c>
      <c r="CVI19" s="49">
        <v>0</v>
      </c>
      <c r="CVJ19" s="49">
        <v>0</v>
      </c>
      <c r="CVK19" s="49">
        <v>0</v>
      </c>
      <c r="CVL19" s="49">
        <v>109</v>
      </c>
      <c r="CVM19" s="49">
        <v>0</v>
      </c>
      <c r="CVN19" s="64">
        <f t="shared" si="770"/>
        <v>219</v>
      </c>
      <c r="CVO19" s="68">
        <f t="shared" si="771"/>
        <v>36.5</v>
      </c>
      <c r="CVP19" s="48"/>
      <c r="CVQ19" s="49">
        <v>0</v>
      </c>
      <c r="CVR19" s="49">
        <v>0</v>
      </c>
      <c r="CVS19" s="49">
        <v>0</v>
      </c>
      <c r="CVT19" s="49">
        <v>0</v>
      </c>
      <c r="CVU19" s="49">
        <v>0</v>
      </c>
      <c r="CVV19" s="64">
        <f t="shared" si="772"/>
        <v>0</v>
      </c>
      <c r="CVW19" s="68">
        <f t="shared" si="773"/>
        <v>0</v>
      </c>
      <c r="CVX19" s="48">
        <v>110</v>
      </c>
      <c r="CVY19" s="49">
        <v>0</v>
      </c>
      <c r="CVZ19" s="49">
        <v>0</v>
      </c>
      <c r="CWA19" s="49"/>
      <c r="CWB19" s="49">
        <v>111</v>
      </c>
      <c r="CWC19" s="49">
        <v>0</v>
      </c>
      <c r="CWD19" s="64">
        <f t="shared" si="774"/>
        <v>221</v>
      </c>
      <c r="CWE19" s="68">
        <f t="shared" si="775"/>
        <v>36.833333333333336</v>
      </c>
      <c r="CWF19" s="48">
        <v>0</v>
      </c>
      <c r="CWG19" s="49">
        <v>0</v>
      </c>
      <c r="CWH19" s="49">
        <v>89</v>
      </c>
      <c r="CWI19" s="49">
        <v>0</v>
      </c>
      <c r="CWJ19" s="49">
        <v>0</v>
      </c>
      <c r="CWK19" s="49">
        <v>111</v>
      </c>
      <c r="CWL19" s="64">
        <f t="shared" si="776"/>
        <v>200</v>
      </c>
      <c r="CWM19" s="68">
        <f t="shared" si="777"/>
        <v>33.333333333333336</v>
      </c>
      <c r="CWN19" s="48">
        <v>0</v>
      </c>
      <c r="CWO19" s="49">
        <v>110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78"/>
        <v>110</v>
      </c>
      <c r="CWU19" s="68">
        <f t="shared" si="779"/>
        <v>18.333333333333332</v>
      </c>
      <c r="CWV19" s="48">
        <v>110</v>
      </c>
      <c r="CWW19" s="49">
        <v>0</v>
      </c>
      <c r="CWX19" s="49">
        <v>110</v>
      </c>
      <c r="CWY19" s="49">
        <v>0</v>
      </c>
      <c r="CWZ19" s="49">
        <v>0</v>
      </c>
      <c r="CXA19" s="49">
        <v>0</v>
      </c>
      <c r="CXB19" s="127">
        <f t="shared" si="780"/>
        <v>220</v>
      </c>
      <c r="CXC19" s="43">
        <f t="shared" si="781"/>
        <v>36.666666666666664</v>
      </c>
      <c r="CXD19" s="48">
        <v>109</v>
      </c>
      <c r="CXE19" s="49">
        <v>0</v>
      </c>
      <c r="CXF19" s="49">
        <v>0</v>
      </c>
      <c r="CXG19" s="49">
        <v>0</v>
      </c>
      <c r="CXH19" s="49">
        <v>0</v>
      </c>
      <c r="CXI19" s="49">
        <v>110</v>
      </c>
      <c r="CXJ19" s="127">
        <f t="shared" si="782"/>
        <v>219</v>
      </c>
      <c r="CXK19" s="43">
        <f t="shared" si="783"/>
        <v>36.5</v>
      </c>
      <c r="CXL19" s="48">
        <v>0</v>
      </c>
      <c r="CXM19" s="49">
        <v>0</v>
      </c>
      <c r="CXN19" s="49">
        <v>0</v>
      </c>
      <c r="CXO19" s="49">
        <v>199</v>
      </c>
      <c r="CXP19" s="49">
        <v>0</v>
      </c>
      <c r="CXQ19" s="49">
        <v>0</v>
      </c>
      <c r="CXR19" s="127">
        <f t="shared" si="784"/>
        <v>199</v>
      </c>
      <c r="CXS19" s="43">
        <f t="shared" si="785"/>
        <v>33.166666666666664</v>
      </c>
      <c r="CXT19" s="48">
        <v>0</v>
      </c>
      <c r="CXU19" s="49">
        <v>0</v>
      </c>
      <c r="CXV19" s="49">
        <v>112</v>
      </c>
      <c r="CXW19" s="49">
        <v>0</v>
      </c>
      <c r="CXX19" s="49">
        <v>0</v>
      </c>
      <c r="CXY19" s="49">
        <v>0</v>
      </c>
      <c r="CXZ19" s="127">
        <f t="shared" si="786"/>
        <v>112</v>
      </c>
      <c r="CYA19" s="43">
        <f t="shared" si="787"/>
        <v>18.666666666666668</v>
      </c>
      <c r="CYB19" s="48">
        <v>0</v>
      </c>
      <c r="CYC19" s="49">
        <v>110</v>
      </c>
      <c r="CYD19" s="49">
        <v>0</v>
      </c>
      <c r="CYE19" s="49">
        <v>0</v>
      </c>
      <c r="CYF19" s="49">
        <v>0</v>
      </c>
      <c r="CYG19" s="49">
        <v>0</v>
      </c>
      <c r="CYH19" s="127">
        <f t="shared" si="788"/>
        <v>110</v>
      </c>
      <c r="CYI19" s="43">
        <f t="shared" si="789"/>
        <v>18.333333333333332</v>
      </c>
      <c r="CYJ19" s="48"/>
      <c r="CYK19" s="49">
        <v>0</v>
      </c>
      <c r="CYL19" s="49">
        <v>0</v>
      </c>
      <c r="CYM19" s="49">
        <v>220</v>
      </c>
      <c r="CYN19" s="49">
        <v>0</v>
      </c>
      <c r="CYO19" s="49">
        <v>0</v>
      </c>
      <c r="CYP19" s="127">
        <f t="shared" si="790"/>
        <v>220</v>
      </c>
      <c r="CYQ19" s="43">
        <f t="shared" si="791"/>
        <v>36.666666666666664</v>
      </c>
      <c r="CYR19" s="48">
        <v>0</v>
      </c>
      <c r="CYS19" s="49">
        <v>0</v>
      </c>
      <c r="CYT19" s="49"/>
      <c r="CYU19" s="49">
        <v>463</v>
      </c>
      <c r="CYV19" s="49">
        <v>0</v>
      </c>
      <c r="CYW19" s="49">
        <v>0</v>
      </c>
      <c r="CYX19" s="127">
        <f t="shared" si="792"/>
        <v>463</v>
      </c>
      <c r="CYY19" s="43">
        <f t="shared" si="793"/>
        <v>77.166666666666671</v>
      </c>
      <c r="CYZ19" s="48">
        <v>0</v>
      </c>
      <c r="CZA19" s="49">
        <v>0</v>
      </c>
      <c r="CZB19" s="49">
        <v>0</v>
      </c>
      <c r="CZC19" s="49">
        <v>0</v>
      </c>
      <c r="CZD19" s="49"/>
      <c r="CZE19" s="49">
        <v>0</v>
      </c>
      <c r="CZF19" s="127">
        <f t="shared" si="794"/>
        <v>0</v>
      </c>
      <c r="CZG19" s="43">
        <f t="shared" si="795"/>
        <v>0</v>
      </c>
      <c r="CZH19" s="48">
        <v>0</v>
      </c>
      <c r="CZI19" s="49">
        <v>0</v>
      </c>
      <c r="CZJ19" s="49">
        <v>0</v>
      </c>
      <c r="CZK19" s="49">
        <v>0</v>
      </c>
      <c r="CZL19" s="49">
        <v>202</v>
      </c>
      <c r="CZM19" s="49">
        <v>0</v>
      </c>
      <c r="CZN19" s="127">
        <f t="shared" si="796"/>
        <v>202</v>
      </c>
      <c r="CZO19" s="43">
        <f t="shared" si="797"/>
        <v>33.666666666666664</v>
      </c>
      <c r="CZP19" s="48"/>
      <c r="CZQ19" s="49"/>
      <c r="CZR19" s="49"/>
      <c r="CZS19" s="49">
        <v>0</v>
      </c>
      <c r="CZT19" s="49">
        <v>220</v>
      </c>
      <c r="CZU19" s="49">
        <v>0</v>
      </c>
      <c r="CZV19" s="127">
        <f t="shared" si="798"/>
        <v>220</v>
      </c>
      <c r="CZW19" s="43">
        <f t="shared" si="799"/>
        <v>36.666666666666664</v>
      </c>
      <c r="CZX19" s="48">
        <v>0</v>
      </c>
      <c r="CZY19" s="49">
        <v>0</v>
      </c>
      <c r="CZZ19" s="49">
        <v>0</v>
      </c>
      <c r="DAA19" s="49">
        <v>220</v>
      </c>
      <c r="DAB19" s="49">
        <v>0</v>
      </c>
      <c r="DAC19" s="49">
        <v>110</v>
      </c>
      <c r="DAD19" s="64">
        <f t="shared" si="800"/>
        <v>330</v>
      </c>
      <c r="DAE19" s="68">
        <f t="shared" si="801"/>
        <v>55</v>
      </c>
      <c r="DAF19" s="48">
        <v>0</v>
      </c>
      <c r="DAG19" s="49">
        <v>0</v>
      </c>
      <c r="DAH19" s="49">
        <v>113</v>
      </c>
      <c r="DAI19" s="49">
        <v>0</v>
      </c>
      <c r="DAJ19" s="49">
        <v>0</v>
      </c>
      <c r="DAK19" s="49">
        <v>0</v>
      </c>
      <c r="DAL19" s="64">
        <f t="shared" si="802"/>
        <v>113</v>
      </c>
      <c r="DAM19" s="68">
        <f t="shared" si="803"/>
        <v>18.833333333333332</v>
      </c>
      <c r="DAN19" s="48">
        <v>0</v>
      </c>
      <c r="DAO19" s="49">
        <v>110</v>
      </c>
      <c r="DAP19" s="49">
        <v>221</v>
      </c>
      <c r="DAQ19" s="49">
        <v>0</v>
      </c>
      <c r="DAR19" s="49">
        <v>0</v>
      </c>
      <c r="DAS19" s="49"/>
      <c r="DAT19" s="64">
        <f t="shared" si="804"/>
        <v>331</v>
      </c>
      <c r="DAU19" s="68">
        <f t="shared" si="805"/>
        <v>55.166666666666664</v>
      </c>
      <c r="DAV19" s="48">
        <v>110</v>
      </c>
      <c r="DAW19" s="49">
        <v>0</v>
      </c>
      <c r="DAX19" s="49">
        <v>220</v>
      </c>
      <c r="DAY19" s="49">
        <v>0</v>
      </c>
      <c r="DAZ19" s="49">
        <v>0</v>
      </c>
      <c r="DBA19" s="49">
        <v>0</v>
      </c>
      <c r="DBB19" s="64">
        <f t="shared" si="806"/>
        <v>330</v>
      </c>
      <c r="DBC19" s="68">
        <f t="shared" si="807"/>
        <v>55</v>
      </c>
      <c r="DBD19" s="48">
        <v>110</v>
      </c>
      <c r="DBE19" s="49">
        <v>0</v>
      </c>
      <c r="DBF19" s="49">
        <v>220</v>
      </c>
      <c r="DBG19" s="49">
        <v>0</v>
      </c>
      <c r="DBH19" s="49"/>
      <c r="DBI19" s="49">
        <v>109</v>
      </c>
      <c r="DBJ19" s="64">
        <f t="shared" si="808"/>
        <v>439</v>
      </c>
      <c r="DBK19" s="68">
        <f t="shared" si="809"/>
        <v>73.166666666666671</v>
      </c>
      <c r="DBL19" s="48"/>
      <c r="DBM19" s="49"/>
      <c r="DBN19" s="49">
        <v>0</v>
      </c>
      <c r="DBO19" s="49">
        <v>219</v>
      </c>
      <c r="DBP19" s="49"/>
      <c r="DBQ19" s="49"/>
      <c r="DBR19" s="64">
        <f t="shared" si="810"/>
        <v>219</v>
      </c>
      <c r="DBS19" s="68">
        <f t="shared" si="811"/>
        <v>36.5</v>
      </c>
      <c r="DBT19" s="48">
        <v>110</v>
      </c>
      <c r="DBU19" s="49"/>
      <c r="DBV19" s="49"/>
      <c r="DBW19" s="49">
        <v>221</v>
      </c>
      <c r="DBX19" s="49"/>
      <c r="DBY19" s="49">
        <v>0</v>
      </c>
      <c r="DBZ19" s="64">
        <f t="shared" si="812"/>
        <v>331</v>
      </c>
      <c r="DCA19" s="68">
        <f t="shared" si="813"/>
        <v>66.2</v>
      </c>
      <c r="DCB19" s="48">
        <v>0</v>
      </c>
      <c r="DCC19" s="49"/>
      <c r="DCD19" s="49">
        <v>0</v>
      </c>
      <c r="DCE19" s="49">
        <v>221</v>
      </c>
      <c r="DCF19" s="49">
        <v>0</v>
      </c>
      <c r="DCG19" s="49">
        <v>0</v>
      </c>
      <c r="DCH19" s="64">
        <f t="shared" si="814"/>
        <v>221</v>
      </c>
      <c r="DCI19" s="68">
        <f t="shared" si="815"/>
        <v>36.833333333333336</v>
      </c>
      <c r="DCJ19" s="48">
        <v>0</v>
      </c>
      <c r="DCK19" s="49">
        <v>220</v>
      </c>
      <c r="DCL19" s="49">
        <v>0</v>
      </c>
      <c r="DCM19" s="49">
        <v>0</v>
      </c>
      <c r="DCN19" s="49">
        <v>0</v>
      </c>
      <c r="DCO19" s="49">
        <v>0</v>
      </c>
      <c r="DCP19" s="64">
        <f t="shared" si="816"/>
        <v>220</v>
      </c>
      <c r="DCQ19" s="68">
        <f t="shared" si="817"/>
        <v>36.666666666666664</v>
      </c>
      <c r="DCR19" s="48">
        <v>0</v>
      </c>
      <c r="DCS19" s="49">
        <v>35</v>
      </c>
      <c r="DCT19" s="49">
        <v>0</v>
      </c>
      <c r="DCU19" s="49">
        <v>215</v>
      </c>
      <c r="DCV19" s="49">
        <v>0</v>
      </c>
      <c r="DCW19" s="49"/>
      <c r="DCX19" s="64">
        <f t="shared" si="818"/>
        <v>250</v>
      </c>
      <c r="DCY19" s="68">
        <f t="shared" si="819"/>
        <v>41.666666666666664</v>
      </c>
      <c r="DCZ19" s="48">
        <v>0</v>
      </c>
      <c r="DDA19" s="49">
        <v>110</v>
      </c>
      <c r="DDB19" s="49">
        <v>0</v>
      </c>
      <c r="DDC19" s="49">
        <v>0</v>
      </c>
      <c r="DDD19" s="49">
        <v>220</v>
      </c>
      <c r="DDE19" s="49">
        <v>0</v>
      </c>
      <c r="DDF19" s="64">
        <f t="shared" si="820"/>
        <v>330</v>
      </c>
      <c r="DDG19" s="68">
        <f t="shared" si="821"/>
        <v>55</v>
      </c>
      <c r="DDH19" s="48">
        <v>0</v>
      </c>
      <c r="DDI19" s="49">
        <v>0</v>
      </c>
      <c r="DDJ19" s="49">
        <v>0</v>
      </c>
      <c r="DDK19" s="49">
        <v>220</v>
      </c>
      <c r="DDL19" s="49">
        <v>0</v>
      </c>
      <c r="DDM19" s="49">
        <v>0</v>
      </c>
      <c r="DDN19" s="127">
        <f t="shared" si="822"/>
        <v>220</v>
      </c>
      <c r="DDO19" s="43">
        <f t="shared" si="823"/>
        <v>36.666666666666664</v>
      </c>
      <c r="DDP19" s="48">
        <v>0</v>
      </c>
      <c r="DDQ19" s="49">
        <v>220</v>
      </c>
      <c r="DDR19" s="49">
        <v>0</v>
      </c>
      <c r="DDS19" s="49"/>
      <c r="DDT19" s="49">
        <v>0</v>
      </c>
      <c r="DDU19" s="49"/>
      <c r="DDV19" s="127">
        <f t="shared" si="824"/>
        <v>220</v>
      </c>
      <c r="DDW19" s="43">
        <f t="shared" si="825"/>
        <v>36.666666666666664</v>
      </c>
      <c r="DDX19" s="48">
        <v>0</v>
      </c>
      <c r="DDY19" s="49">
        <v>0</v>
      </c>
      <c r="DDZ19" s="49">
        <v>181</v>
      </c>
      <c r="DEA19" s="49"/>
      <c r="DEB19" s="49">
        <v>125</v>
      </c>
      <c r="DEC19" s="49">
        <v>0</v>
      </c>
      <c r="DED19" s="127">
        <f t="shared" si="826"/>
        <v>306</v>
      </c>
      <c r="DEE19" s="43">
        <f t="shared" si="827"/>
        <v>51</v>
      </c>
      <c r="DEF19" s="48">
        <v>0</v>
      </c>
      <c r="DEG19" s="49">
        <v>0</v>
      </c>
      <c r="DEH19" s="49"/>
      <c r="DEI19" s="49">
        <v>0</v>
      </c>
      <c r="DEJ19" s="49">
        <v>0</v>
      </c>
      <c r="DEK19" s="49">
        <v>0</v>
      </c>
      <c r="DEL19" s="127">
        <f t="shared" si="828"/>
        <v>0</v>
      </c>
      <c r="DEM19" s="43">
        <f t="shared" si="829"/>
        <v>0</v>
      </c>
      <c r="DEN19" s="48"/>
      <c r="DEO19" s="49"/>
      <c r="DEP19" s="49">
        <v>0</v>
      </c>
      <c r="DEQ19" s="49">
        <v>109</v>
      </c>
      <c r="DER19" s="49"/>
      <c r="DES19" s="49">
        <v>0</v>
      </c>
      <c r="DET19" s="127">
        <f t="shared" si="830"/>
        <v>109</v>
      </c>
      <c r="DEU19" s="43">
        <f t="shared" si="831"/>
        <v>18.166666666666668</v>
      </c>
      <c r="DEV19" s="48">
        <v>111</v>
      </c>
      <c r="DEW19" s="49"/>
      <c r="DEX19" s="49">
        <v>0</v>
      </c>
      <c r="DEY19" s="49">
        <v>0</v>
      </c>
      <c r="DEZ19" s="49">
        <v>0</v>
      </c>
      <c r="DFA19" s="49">
        <v>0</v>
      </c>
      <c r="DFB19" s="127">
        <f t="shared" si="832"/>
        <v>111</v>
      </c>
      <c r="DFC19" s="43">
        <f t="shared" si="833"/>
        <v>18.5</v>
      </c>
      <c r="DFD19" s="48"/>
      <c r="DFE19" s="49">
        <v>201</v>
      </c>
      <c r="DFF19" s="49"/>
      <c r="DFG19" s="49">
        <v>0</v>
      </c>
      <c r="DFH19" s="49">
        <v>0</v>
      </c>
      <c r="DFI19" s="49"/>
      <c r="DFJ19" s="127">
        <f t="shared" si="834"/>
        <v>201</v>
      </c>
      <c r="DFK19" s="43">
        <f t="shared" si="835"/>
        <v>33.5</v>
      </c>
      <c r="DFL19" s="63"/>
      <c r="DFM19" s="64">
        <v>201</v>
      </c>
      <c r="DFN19" s="64">
        <v>0</v>
      </c>
      <c r="DFO19" s="64">
        <v>0</v>
      </c>
      <c r="DFP19" s="64">
        <v>110</v>
      </c>
      <c r="DFQ19" s="64">
        <v>0</v>
      </c>
      <c r="DFR19" s="64">
        <f t="shared" si="836"/>
        <v>311</v>
      </c>
      <c r="DFS19" s="68">
        <f t="shared" si="837"/>
        <v>51.833333333333336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38"/>
        <v>0</v>
      </c>
      <c r="DGA19" s="43">
        <f t="shared" si="839"/>
        <v>0</v>
      </c>
      <c r="DGB19" s="48">
        <v>110</v>
      </c>
      <c r="DGC19" s="49">
        <v>0</v>
      </c>
      <c r="DGD19" s="49">
        <v>0</v>
      </c>
      <c r="DGE19" s="49"/>
      <c r="DGF19" s="49">
        <v>0</v>
      </c>
      <c r="DGG19" s="49">
        <v>0</v>
      </c>
      <c r="DGH19" s="127">
        <f t="shared" si="840"/>
        <v>110</v>
      </c>
      <c r="DGI19" s="43">
        <f t="shared" si="841"/>
        <v>18.333333333333332</v>
      </c>
      <c r="DGJ19" s="48">
        <v>110</v>
      </c>
      <c r="DGK19" s="49">
        <v>0</v>
      </c>
      <c r="DGL19" s="49">
        <v>0</v>
      </c>
      <c r="DGM19" s="49"/>
      <c r="DGN19" s="49"/>
      <c r="DGO19" s="49"/>
      <c r="DGP19" s="64">
        <f t="shared" si="842"/>
        <v>110</v>
      </c>
      <c r="DGQ19" s="68">
        <f t="shared" si="843"/>
        <v>18.333333333333332</v>
      </c>
      <c r="DGR19" s="48">
        <v>110</v>
      </c>
      <c r="DGS19" s="49">
        <v>0</v>
      </c>
      <c r="DGT19" s="49">
        <v>138</v>
      </c>
      <c r="DGU19" s="49">
        <v>0</v>
      </c>
      <c r="DGV19" s="49">
        <v>110</v>
      </c>
      <c r="DGW19" s="49"/>
      <c r="DGX19" s="64">
        <f t="shared" si="844"/>
        <v>358</v>
      </c>
      <c r="DGY19" s="68">
        <f t="shared" si="845"/>
        <v>59.666666666666664</v>
      </c>
      <c r="DGZ19" s="48">
        <v>0</v>
      </c>
      <c r="DHA19" s="49">
        <v>220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6"/>
        <v>220</v>
      </c>
      <c r="DHG19" s="68">
        <f t="shared" si="847"/>
        <v>36.666666666666664</v>
      </c>
      <c r="DHH19" s="63"/>
      <c r="DHI19" s="64">
        <v>0</v>
      </c>
      <c r="DHJ19" s="64">
        <v>110</v>
      </c>
      <c r="DHK19" s="64">
        <v>0</v>
      </c>
      <c r="DHL19" s="64">
        <v>0</v>
      </c>
      <c r="DHM19" s="64"/>
      <c r="DHN19" s="64">
        <f t="shared" si="848"/>
        <v>110</v>
      </c>
      <c r="DHO19" s="68">
        <f t="shared" si="849"/>
        <v>18.333333333333332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111</v>
      </c>
      <c r="DHV19" s="64">
        <f t="shared" si="850"/>
        <v>111</v>
      </c>
      <c r="DHW19" s="68">
        <f t="shared" si="851"/>
        <v>18.5</v>
      </c>
      <c r="DHX19" s="48">
        <v>0</v>
      </c>
      <c r="DHY19" s="49"/>
      <c r="DHZ19" s="49">
        <v>219</v>
      </c>
      <c r="DIA19" s="49">
        <v>0</v>
      </c>
      <c r="DIB19" s="49">
        <v>0</v>
      </c>
      <c r="DIC19" s="49">
        <v>114</v>
      </c>
      <c r="DID19" s="64">
        <f t="shared" si="852"/>
        <v>333</v>
      </c>
      <c r="DIE19" s="68">
        <f t="shared" si="853"/>
        <v>55.5</v>
      </c>
      <c r="DIF19" s="48"/>
      <c r="DIG19" s="49">
        <v>0</v>
      </c>
      <c r="DIH19" s="49"/>
      <c r="DII19" s="49">
        <v>109</v>
      </c>
      <c r="DIJ19" s="49">
        <v>0</v>
      </c>
      <c r="DIK19" s="49"/>
      <c r="DIL19" s="64">
        <f t="shared" si="854"/>
        <v>109</v>
      </c>
      <c r="DIM19" s="68">
        <f t="shared" si="855"/>
        <v>18.166666666666668</v>
      </c>
      <c r="DIN19" s="48">
        <v>0</v>
      </c>
      <c r="DIO19" s="49"/>
      <c r="DIP19" s="49">
        <v>102</v>
      </c>
      <c r="DIQ19" s="49">
        <v>0</v>
      </c>
      <c r="DIR19" s="49">
        <v>0</v>
      </c>
      <c r="DIS19" s="49">
        <v>0</v>
      </c>
      <c r="DIT19" s="64">
        <f t="shared" si="856"/>
        <v>102</v>
      </c>
      <c r="DIU19" s="68">
        <f t="shared" si="857"/>
        <v>17</v>
      </c>
      <c r="DIV19" s="48">
        <f>SUMIF(SUMPK!$B:$B,$B:$B,SUMPK!$O:$O)</f>
        <v>0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58"/>
        <v>110</v>
      </c>
      <c r="DJC19" s="68">
        <f t="shared" si="859"/>
        <v>18.333333333333332</v>
      </c>
      <c r="DJD19" s="48">
        <v>0</v>
      </c>
      <c r="DJE19" s="49">
        <v>0</v>
      </c>
      <c r="DJF19" s="49">
        <v>110</v>
      </c>
      <c r="DJG19" s="49"/>
      <c r="DJH19" s="49">
        <v>0</v>
      </c>
      <c r="DJI19" s="49"/>
      <c r="DJJ19" s="64">
        <f t="shared" si="860"/>
        <v>110</v>
      </c>
      <c r="DJK19" s="68">
        <f t="shared" si="861"/>
        <v>18.333333333333332</v>
      </c>
      <c r="DJL19" s="48">
        <v>241</v>
      </c>
      <c r="DJM19" s="49">
        <v>0</v>
      </c>
      <c r="DJN19" s="49"/>
      <c r="DJO19" s="49">
        <v>0</v>
      </c>
      <c r="DJP19" s="49">
        <v>0</v>
      </c>
      <c r="DJQ19" s="49">
        <v>0</v>
      </c>
      <c r="DJR19" s="64">
        <f t="shared" si="862"/>
        <v>241</v>
      </c>
      <c r="DJS19" s="68">
        <f t="shared" si="863"/>
        <v>40.166666666666664</v>
      </c>
      <c r="DJT19" s="48"/>
      <c r="DJU19" s="49">
        <v>0</v>
      </c>
      <c r="DJV19" s="49">
        <v>0</v>
      </c>
      <c r="DJW19" s="49">
        <v>186</v>
      </c>
      <c r="DJX19" s="49">
        <v>0</v>
      </c>
      <c r="DJY19" s="49">
        <v>0</v>
      </c>
      <c r="DJZ19" s="64">
        <f t="shared" si="864"/>
        <v>186</v>
      </c>
      <c r="DKA19" s="68">
        <f t="shared" si="865"/>
        <v>31</v>
      </c>
      <c r="DKB19" s="48"/>
      <c r="DKC19" s="49">
        <v>211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6"/>
        <v>211</v>
      </c>
      <c r="DKI19" s="68">
        <f t="shared" si="867"/>
        <v>35.166666666666664</v>
      </c>
      <c r="DKJ19" s="48"/>
      <c r="DKK19" s="49"/>
      <c r="DKL19" s="49">
        <v>0</v>
      </c>
      <c r="DKM19" s="49">
        <v>110</v>
      </c>
      <c r="DKN19" s="49">
        <v>0</v>
      </c>
      <c r="DKO19" s="49">
        <v>0</v>
      </c>
      <c r="DKP19" s="64">
        <f t="shared" si="868"/>
        <v>110</v>
      </c>
      <c r="DKQ19" s="68">
        <f t="shared" si="869"/>
        <v>18.333333333333332</v>
      </c>
      <c r="DKR19" s="48"/>
      <c r="DKS19" s="49">
        <v>220</v>
      </c>
      <c r="DKT19" s="49">
        <v>0</v>
      </c>
      <c r="DKU19" s="49">
        <v>0</v>
      </c>
      <c r="DKV19" s="49">
        <v>0</v>
      </c>
      <c r="DKW19" s="49"/>
      <c r="DKX19" s="64">
        <f t="shared" si="870"/>
        <v>220</v>
      </c>
      <c r="DKY19" s="68">
        <f t="shared" si="871"/>
        <v>36.666666666666664</v>
      </c>
      <c r="DKZ19" s="48">
        <v>0</v>
      </c>
      <c r="DLA19" s="49">
        <v>161</v>
      </c>
      <c r="DLB19" s="49">
        <v>0</v>
      </c>
      <c r="DLC19" s="49">
        <v>0</v>
      </c>
      <c r="DLD19" s="49">
        <v>0</v>
      </c>
      <c r="DLE19" s="49">
        <v>330</v>
      </c>
      <c r="DLF19" s="64">
        <f t="shared" si="872"/>
        <v>491</v>
      </c>
      <c r="DLG19" s="68">
        <f t="shared" si="873"/>
        <v>81.833333333333329</v>
      </c>
      <c r="DLH19" s="48"/>
      <c r="DLI19" s="49"/>
      <c r="DLJ19" s="49">
        <v>0</v>
      </c>
      <c r="DLK19" s="49">
        <f>SUMIF(SUMPK!$B:$B,$B:$B,SUMPK!$O:$O)</f>
        <v>0</v>
      </c>
      <c r="DLL19" s="49"/>
      <c r="DLM19" s="49"/>
      <c r="DLN19" s="64">
        <f t="shared" si="874"/>
        <v>0</v>
      </c>
      <c r="DLO19" s="68">
        <f t="shared" si="875"/>
        <v>0</v>
      </c>
      <c r="DLP19" s="48">
        <v>109</v>
      </c>
      <c r="DLR19" s="49">
        <v>110</v>
      </c>
      <c r="DLS19" s="49">
        <v>0</v>
      </c>
      <c r="DLT19" s="49"/>
      <c r="DLU19" s="49">
        <v>0</v>
      </c>
      <c r="DLV19" s="64">
        <f t="shared" si="876"/>
        <v>219</v>
      </c>
      <c r="DLW19" s="68">
        <f t="shared" si="877"/>
        <v>36.5</v>
      </c>
      <c r="DLX19" s="48">
        <v>220</v>
      </c>
      <c r="DLY19" s="49"/>
      <c r="DLZ19" s="49">
        <v>0</v>
      </c>
      <c r="DMA19" s="49">
        <v>0</v>
      </c>
      <c r="DMB19" s="49"/>
      <c r="DMC19" s="49"/>
      <c r="DMD19" s="64">
        <f t="shared" si="878"/>
        <v>220</v>
      </c>
      <c r="DME19" s="68">
        <f t="shared" si="879"/>
        <v>36.666666666666664</v>
      </c>
      <c r="DMF19" s="48"/>
      <c r="DMG19" s="49"/>
      <c r="DMH19" s="49"/>
      <c r="DMI19" s="49">
        <v>160</v>
      </c>
      <c r="DMJ19" s="49">
        <v>0</v>
      </c>
      <c r="DMK19" s="49">
        <v>0</v>
      </c>
      <c r="DML19" s="64">
        <f t="shared" si="880"/>
        <v>160</v>
      </c>
      <c r="DMM19" s="68">
        <f t="shared" si="881"/>
        <v>26.666666666666668</v>
      </c>
      <c r="DMN19" s="48">
        <v>0</v>
      </c>
      <c r="DMO19" s="49">
        <v>110</v>
      </c>
      <c r="DMP19" s="49">
        <v>0</v>
      </c>
      <c r="DMQ19" s="49">
        <v>110</v>
      </c>
      <c r="DMR19" s="49">
        <v>0</v>
      </c>
      <c r="DMS19" s="49">
        <v>0</v>
      </c>
      <c r="DMT19" s="64">
        <f t="shared" si="882"/>
        <v>220</v>
      </c>
      <c r="DMU19" s="68">
        <f t="shared" si="883"/>
        <v>36.666666666666664</v>
      </c>
      <c r="DMV19" s="48">
        <v>0</v>
      </c>
      <c r="DMW19" s="49">
        <v>231</v>
      </c>
      <c r="DMX19" s="49">
        <v>89</v>
      </c>
      <c r="DMY19" s="49">
        <v>0</v>
      </c>
      <c r="DMZ19" s="49">
        <v>0</v>
      </c>
      <c r="DNA19" s="49">
        <v>0</v>
      </c>
      <c r="DNB19" s="64">
        <f t="shared" si="884"/>
        <v>320</v>
      </c>
      <c r="DNC19" s="68">
        <f t="shared" si="885"/>
        <v>53.333333333333336</v>
      </c>
      <c r="DND19" s="48"/>
      <c r="DNE19" s="49"/>
      <c r="DNF19" s="49"/>
      <c r="DNG19" s="49"/>
      <c r="DNH19" s="49">
        <v>206</v>
      </c>
      <c r="DNI19" s="49"/>
      <c r="DNJ19" s="64">
        <f t="shared" si="886"/>
        <v>206</v>
      </c>
      <c r="DNK19" s="68">
        <f t="shared" si="887"/>
        <v>34.333333333333336</v>
      </c>
      <c r="DNL19" s="48"/>
      <c r="DNM19" s="49"/>
      <c r="DNN19" s="49">
        <v>0</v>
      </c>
      <c r="DNO19" s="49">
        <v>110</v>
      </c>
      <c r="DNP19" s="49">
        <v>0</v>
      </c>
      <c r="DNQ19" s="49">
        <v>0</v>
      </c>
      <c r="DNR19" s="64">
        <f t="shared" si="888"/>
        <v>110</v>
      </c>
      <c r="DNS19" s="68">
        <f t="shared" si="889"/>
        <v>18.333333333333332</v>
      </c>
      <c r="DNT19" s="48"/>
      <c r="DNU19" s="49">
        <v>0</v>
      </c>
      <c r="DNV19" s="49">
        <v>222</v>
      </c>
      <c r="DNW19" s="49"/>
      <c r="DNX19" s="49">
        <v>0</v>
      </c>
      <c r="DNY19" s="49">
        <v>0</v>
      </c>
      <c r="DNZ19" s="64">
        <f t="shared" si="890"/>
        <v>222</v>
      </c>
      <c r="DOA19" s="68">
        <f t="shared" si="891"/>
        <v>37</v>
      </c>
      <c r="DOB19" s="48">
        <v>224</v>
      </c>
      <c r="DOC19" s="49"/>
      <c r="DOD19" s="49"/>
      <c r="DOE19" s="49">
        <v>0</v>
      </c>
      <c r="DOF19" s="49">
        <v>0</v>
      </c>
      <c r="DOG19" s="49">
        <v>0</v>
      </c>
      <c r="DOH19" s="64">
        <f t="shared" si="892"/>
        <v>224</v>
      </c>
      <c r="DOI19" s="68">
        <f t="shared" si="893"/>
        <v>37.333333333333336</v>
      </c>
      <c r="DOJ19" s="48">
        <v>0</v>
      </c>
      <c r="DOK19" s="49">
        <v>231</v>
      </c>
      <c r="DOL19" s="49"/>
      <c r="DOM19" s="49">
        <v>0</v>
      </c>
      <c r="DON19" s="49"/>
      <c r="DOO19" s="49">
        <v>110</v>
      </c>
      <c r="DOP19" s="64">
        <f t="shared" si="894"/>
        <v>341</v>
      </c>
      <c r="DOQ19" s="68">
        <f t="shared" si="895"/>
        <v>56.833333333333336</v>
      </c>
      <c r="DOR19" s="48"/>
      <c r="DOS19" s="49">
        <v>0</v>
      </c>
      <c r="DOT19" s="49">
        <v>110</v>
      </c>
      <c r="DOU19" s="49">
        <v>0</v>
      </c>
      <c r="DOV19" s="49"/>
      <c r="DOW19" s="49">
        <v>113</v>
      </c>
      <c r="DOX19" s="64">
        <f t="shared" si="896"/>
        <v>223</v>
      </c>
      <c r="DOY19" s="68">
        <f t="shared" si="897"/>
        <v>37.166666666666664</v>
      </c>
      <c r="DOZ19" s="48"/>
      <c r="DPA19" s="49">
        <v>220</v>
      </c>
      <c r="DPB19" s="49"/>
      <c r="DPC19" s="49">
        <v>0</v>
      </c>
      <c r="DPD19" s="49">
        <v>0</v>
      </c>
      <c r="DPE19" s="49">
        <v>0</v>
      </c>
      <c r="DPF19" s="64">
        <f t="shared" si="898"/>
        <v>220</v>
      </c>
      <c r="DPG19" s="68">
        <f t="shared" si="899"/>
        <v>36.666666666666664</v>
      </c>
      <c r="DPH19" s="48">
        <v>0</v>
      </c>
      <c r="DPI19" s="49">
        <v>0</v>
      </c>
      <c r="DPJ19" s="49">
        <v>110</v>
      </c>
      <c r="DPK19" s="49">
        <v>0</v>
      </c>
      <c r="DPL19" s="49">
        <v>110</v>
      </c>
      <c r="DPM19" s="49">
        <v>0</v>
      </c>
      <c r="DPN19" s="64">
        <f t="shared" si="900"/>
        <v>220</v>
      </c>
      <c r="DPO19" s="68">
        <f t="shared" si="901"/>
        <v>36.666666666666664</v>
      </c>
      <c r="DPP19" s="48">
        <v>220</v>
      </c>
      <c r="DPQ19" s="49">
        <v>0</v>
      </c>
      <c r="DPR19" s="49">
        <v>110</v>
      </c>
      <c r="DPS19" s="49">
        <v>0</v>
      </c>
      <c r="DPT19" s="49">
        <v>0</v>
      </c>
      <c r="DPU19" s="49">
        <v>404</v>
      </c>
      <c r="DPV19" s="491">
        <f t="shared" si="902"/>
        <v>734</v>
      </c>
      <c r="DPW19" s="492">
        <f t="shared" si="903"/>
        <v>122.33333333333333</v>
      </c>
      <c r="DPX19" s="48"/>
      <c r="DPY19" s="49">
        <v>208</v>
      </c>
      <c r="DPZ19" s="49">
        <v>0</v>
      </c>
      <c r="DQA19" s="49">
        <v>0</v>
      </c>
      <c r="DQB19" s="49">
        <v>0</v>
      </c>
      <c r="DQC19" s="49"/>
      <c r="DQD19" s="491">
        <f t="shared" si="904"/>
        <v>208</v>
      </c>
      <c r="DQE19" s="492">
        <f t="shared" si="905"/>
        <v>34.666666666666664</v>
      </c>
      <c r="DQF19" s="48">
        <v>0</v>
      </c>
      <c r="DQG19" s="49">
        <v>0</v>
      </c>
      <c r="DQH19" s="49">
        <v>0</v>
      </c>
      <c r="DQI19" s="49"/>
      <c r="DQJ19" s="49">
        <v>0</v>
      </c>
      <c r="DQK19" s="49">
        <v>0</v>
      </c>
      <c r="DQL19" s="489">
        <f t="shared" si="906"/>
        <v>0</v>
      </c>
      <c r="DQM19" s="492">
        <f t="shared" si="907"/>
        <v>0</v>
      </c>
      <c r="DQN19" s="48">
        <v>219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08"/>
        <v>219</v>
      </c>
      <c r="DQU19" s="68">
        <f t="shared" si="909"/>
        <v>36.5</v>
      </c>
      <c r="DQV19" s="48">
        <v>0</v>
      </c>
      <c r="DQW19" s="49">
        <v>0</v>
      </c>
      <c r="DQX19" s="49">
        <v>0</v>
      </c>
      <c r="DQY19" s="49">
        <v>0</v>
      </c>
      <c r="DQZ19" s="49">
        <v>211</v>
      </c>
      <c r="DRA19" s="49">
        <v>0</v>
      </c>
      <c r="DRB19" s="491">
        <f t="shared" si="910"/>
        <v>211</v>
      </c>
      <c r="DRC19" s="492">
        <f t="shared" si="911"/>
        <v>35.166666666666664</v>
      </c>
      <c r="DRD19" s="48">
        <v>221</v>
      </c>
      <c r="DRE19" s="49">
        <v>0</v>
      </c>
      <c r="DRF19" s="49">
        <v>0</v>
      </c>
      <c r="DRG19" s="49">
        <v>0</v>
      </c>
      <c r="DRH19" s="49">
        <v>0</v>
      </c>
      <c r="DRI19" s="49"/>
      <c r="DRJ19" s="491">
        <f t="shared" si="912"/>
        <v>221</v>
      </c>
      <c r="DRK19" s="492">
        <f t="shared" si="913"/>
        <v>36.833333333333336</v>
      </c>
      <c r="DRL19" s="48"/>
      <c r="DRM19" s="49"/>
      <c r="DRN19" s="49">
        <v>220</v>
      </c>
      <c r="DRO19" s="49"/>
      <c r="DRP19" s="49"/>
      <c r="DRQ19" s="49"/>
      <c r="DRR19" s="64">
        <f t="shared" si="914"/>
        <v>220</v>
      </c>
      <c r="DRS19" s="68">
        <f t="shared" si="915"/>
        <v>36.666666666666664</v>
      </c>
      <c r="DRT19" s="48">
        <v>109</v>
      </c>
      <c r="DRU19" s="49">
        <v>0</v>
      </c>
      <c r="DRV19" s="49">
        <v>0</v>
      </c>
      <c r="DRW19" s="49">
        <v>0</v>
      </c>
      <c r="DRX19" s="49">
        <v>110</v>
      </c>
      <c r="DRY19" s="49"/>
      <c r="DRZ19" s="491">
        <f t="shared" si="916"/>
        <v>219</v>
      </c>
      <c r="DSA19" s="68">
        <f t="shared" si="917"/>
        <v>36.5</v>
      </c>
      <c r="DSB19" s="82"/>
      <c r="DSC19" s="83">
        <v>0</v>
      </c>
      <c r="DSD19" s="83">
        <v>0</v>
      </c>
      <c r="DSE19" s="83">
        <v>219</v>
      </c>
      <c r="DSF19" s="83"/>
      <c r="DSG19" s="83">
        <v>0</v>
      </c>
      <c r="DSH19" s="64">
        <f t="shared" si="918"/>
        <v>219</v>
      </c>
      <c r="DSI19" s="68">
        <f t="shared" si="919"/>
        <v>36.5</v>
      </c>
      <c r="DSJ19" s="48"/>
      <c r="DSK19" s="49">
        <v>0</v>
      </c>
      <c r="DSL19" s="49">
        <v>0</v>
      </c>
      <c r="DSM19" s="49">
        <v>110</v>
      </c>
      <c r="DSN19" s="49">
        <v>0</v>
      </c>
      <c r="DSO19" s="49"/>
      <c r="DSP19" s="64">
        <f t="shared" si="920"/>
        <v>110</v>
      </c>
      <c r="DSQ19" s="68">
        <f t="shared" si="921"/>
        <v>18.333333333333332</v>
      </c>
      <c r="DSR19" s="48">
        <v>0</v>
      </c>
      <c r="DSS19" s="49">
        <v>0</v>
      </c>
      <c r="DST19" s="49">
        <v>0</v>
      </c>
      <c r="DSU19" s="49">
        <v>0</v>
      </c>
      <c r="DSV19" s="49">
        <v>0</v>
      </c>
      <c r="DSW19" s="49">
        <v>0</v>
      </c>
      <c r="DSX19" s="64">
        <f t="shared" si="922"/>
        <v>0</v>
      </c>
      <c r="DSY19" s="68">
        <f t="shared" si="923"/>
        <v>0</v>
      </c>
      <c r="DSZ19" s="48">
        <v>0</v>
      </c>
      <c r="DTA19" s="49"/>
      <c r="DTB19" s="49">
        <v>110</v>
      </c>
      <c r="DTC19" s="49"/>
      <c r="DTD19" s="49">
        <v>0</v>
      </c>
      <c r="DTE19" s="49">
        <v>110</v>
      </c>
      <c r="DTF19" s="64">
        <f t="shared" si="924"/>
        <v>220</v>
      </c>
      <c r="DTG19" s="68">
        <f t="shared" si="925"/>
        <v>36.666666666666664</v>
      </c>
      <c r="DTH19" s="48"/>
      <c r="DTI19" s="49">
        <v>1</v>
      </c>
      <c r="DTJ19" s="49">
        <v>0</v>
      </c>
      <c r="DTK19" s="49">
        <v>220</v>
      </c>
      <c r="DTL19" s="49">
        <v>0</v>
      </c>
      <c r="DTM19" s="49">
        <v>0</v>
      </c>
      <c r="DTN19" s="64">
        <f t="shared" si="926"/>
        <v>221</v>
      </c>
      <c r="DTO19" s="68">
        <f t="shared" si="927"/>
        <v>36.833333333333336</v>
      </c>
      <c r="DTP19" s="48">
        <v>110</v>
      </c>
      <c r="DTQ19" s="49">
        <v>0</v>
      </c>
      <c r="DTR19" s="49"/>
      <c r="DTS19" s="49">
        <v>0</v>
      </c>
      <c r="DTT19" s="49">
        <v>226</v>
      </c>
      <c r="DTU19" s="49">
        <v>0</v>
      </c>
      <c r="DTV19" s="64">
        <f t="shared" si="928"/>
        <v>336</v>
      </c>
      <c r="DTW19" s="68">
        <f t="shared" si="929"/>
        <v>56</v>
      </c>
      <c r="DTX19" s="48">
        <v>0</v>
      </c>
      <c r="DTY19" s="49">
        <v>118</v>
      </c>
      <c r="DTZ19" s="49"/>
      <c r="DUA19" s="49"/>
      <c r="DUB19" s="49">
        <v>0</v>
      </c>
      <c r="DUC19" s="49">
        <v>110</v>
      </c>
      <c r="DUD19" s="64">
        <f t="shared" si="930"/>
        <v>228</v>
      </c>
      <c r="DUE19" s="68">
        <f t="shared" si="931"/>
        <v>38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2"/>
        <v>0</v>
      </c>
      <c r="DUM19" s="68">
        <f t="shared" si="933"/>
        <v>0</v>
      </c>
      <c r="DUN19" s="48">
        <v>162</v>
      </c>
      <c r="DUO19" s="49">
        <v>0</v>
      </c>
      <c r="DUP19" s="49">
        <v>0</v>
      </c>
      <c r="DUQ19" s="49">
        <v>0</v>
      </c>
      <c r="DUR19" s="49"/>
      <c r="DUS19" s="49">
        <v>149</v>
      </c>
      <c r="DUT19" s="64">
        <f t="shared" si="934"/>
        <v>311</v>
      </c>
      <c r="DUU19" s="184">
        <f t="shared" si="935"/>
        <v>51.833333333333336</v>
      </c>
      <c r="DUV19" s="48"/>
      <c r="DUW19" s="49">
        <v>0</v>
      </c>
      <c r="DUX19" s="49">
        <v>188</v>
      </c>
      <c r="DUY19" s="49">
        <v>0</v>
      </c>
      <c r="DUZ19" s="49">
        <v>0</v>
      </c>
      <c r="DVA19" s="49"/>
      <c r="DVB19" s="64">
        <f t="shared" si="936"/>
        <v>188</v>
      </c>
      <c r="DVC19" s="68">
        <f t="shared" si="937"/>
        <v>31.333333333333332</v>
      </c>
      <c r="DVD19" s="48"/>
      <c r="DVE19" s="49">
        <v>0</v>
      </c>
      <c r="DVF19" s="49">
        <v>0</v>
      </c>
      <c r="DVG19" s="49">
        <v>232</v>
      </c>
      <c r="DVH19" s="49"/>
      <c r="DVI19" s="49"/>
      <c r="DVJ19" s="64">
        <f t="shared" si="938"/>
        <v>232</v>
      </c>
      <c r="DVK19" s="68">
        <f t="shared" si="939"/>
        <v>38.666666666666664</v>
      </c>
      <c r="DVL19" s="48">
        <v>0</v>
      </c>
      <c r="DVM19" s="49">
        <v>0</v>
      </c>
      <c r="DVN19" s="49">
        <v>220</v>
      </c>
      <c r="DVO19" s="49">
        <v>0</v>
      </c>
      <c r="DVP19" s="49">
        <v>0</v>
      </c>
      <c r="DVQ19" s="49"/>
      <c r="DVR19" s="64">
        <f t="shared" si="940"/>
        <v>220</v>
      </c>
      <c r="DVS19" s="68">
        <f t="shared" si="941"/>
        <v>36.666666666666664</v>
      </c>
      <c r="DVT19" s="48"/>
      <c r="DVU19" s="49">
        <v>0</v>
      </c>
      <c r="DVV19" s="49">
        <v>222</v>
      </c>
      <c r="DVW19" s="49">
        <v>0</v>
      </c>
      <c r="DVX19" s="49"/>
      <c r="DVY19" s="49">
        <v>0</v>
      </c>
      <c r="DVZ19" s="64">
        <f t="shared" si="942"/>
        <v>222</v>
      </c>
      <c r="DWA19" s="68">
        <f t="shared" si="943"/>
        <v>37</v>
      </c>
      <c r="DWB19" s="48"/>
      <c r="DWC19" s="49">
        <v>110</v>
      </c>
      <c r="DWD19" s="49">
        <v>0</v>
      </c>
      <c r="DWE19" s="49"/>
      <c r="DWF19" s="49">
        <v>0</v>
      </c>
      <c r="DWG19" s="49">
        <v>0</v>
      </c>
      <c r="DWH19" s="64">
        <f t="shared" si="944"/>
        <v>110</v>
      </c>
      <c r="DWI19" s="68">
        <f t="shared" si="945"/>
        <v>18.333333333333332</v>
      </c>
      <c r="DWJ19" s="48"/>
      <c r="DWK19" s="49"/>
      <c r="DWL19" s="49"/>
      <c r="DWM19" s="49">
        <v>0</v>
      </c>
      <c r="DWN19" s="49">
        <v>220</v>
      </c>
      <c r="DWO19" s="49">
        <v>0</v>
      </c>
      <c r="DWP19" s="64">
        <f t="shared" si="946"/>
        <v>220</v>
      </c>
      <c r="DWQ19" s="68">
        <f t="shared" si="947"/>
        <v>36.666666666666664</v>
      </c>
      <c r="DWR19" s="48"/>
      <c r="DWS19" s="49"/>
      <c r="DWT19" s="49">
        <v>0</v>
      </c>
      <c r="DWU19" s="49"/>
      <c r="DWV19" s="49">
        <v>110</v>
      </c>
      <c r="DWW19" s="49">
        <v>0</v>
      </c>
      <c r="DWX19" s="64">
        <f t="shared" si="948"/>
        <v>110</v>
      </c>
      <c r="DWY19" s="68">
        <f t="shared" si="1201"/>
        <v>18.333333333333332</v>
      </c>
      <c r="DWZ19" s="48">
        <v>0</v>
      </c>
      <c r="DXA19" s="49"/>
      <c r="DXB19" s="49"/>
      <c r="DXC19" s="49">
        <v>0</v>
      </c>
      <c r="DXD19" s="49">
        <v>222</v>
      </c>
      <c r="DXE19" s="49"/>
      <c r="DXF19" s="64">
        <f t="shared" si="949"/>
        <v>222</v>
      </c>
      <c r="DXG19" s="68">
        <f t="shared" si="950"/>
        <v>37</v>
      </c>
      <c r="DXH19" s="48">
        <v>0</v>
      </c>
      <c r="DXI19" s="49">
        <v>0</v>
      </c>
      <c r="DXJ19" s="49">
        <v>110</v>
      </c>
      <c r="DXK19" s="49">
        <v>0</v>
      </c>
      <c r="DXL19" s="49"/>
      <c r="DXM19" s="49">
        <v>0</v>
      </c>
      <c r="DXN19" s="64">
        <f t="shared" si="951"/>
        <v>110</v>
      </c>
      <c r="DXO19" s="68">
        <f t="shared" si="952"/>
        <v>18.333333333333332</v>
      </c>
      <c r="DXP19" s="48">
        <v>0</v>
      </c>
      <c r="DXQ19" s="49">
        <v>0</v>
      </c>
      <c r="DXR19" s="49">
        <v>220</v>
      </c>
      <c r="DXS19" s="49">
        <v>0</v>
      </c>
      <c r="DXT19" s="49"/>
      <c r="DXU19" s="49"/>
      <c r="DXV19" s="64">
        <f t="shared" si="953"/>
        <v>220</v>
      </c>
      <c r="DXW19" s="68">
        <f t="shared" si="954"/>
        <v>36.666666666666664</v>
      </c>
      <c r="DXX19" s="48">
        <v>0</v>
      </c>
      <c r="DXY19" s="49">
        <v>220</v>
      </c>
      <c r="DXZ19" s="49"/>
      <c r="DYA19" s="49">
        <v>110</v>
      </c>
      <c r="DYB19" s="49">
        <v>0</v>
      </c>
      <c r="DYC19" s="49">
        <v>0</v>
      </c>
      <c r="DYD19" s="64">
        <f t="shared" si="955"/>
        <v>330</v>
      </c>
      <c r="DYE19" s="68">
        <f t="shared" si="956"/>
        <v>55</v>
      </c>
      <c r="DYF19" s="48"/>
      <c r="DYG19" s="49">
        <v>0</v>
      </c>
      <c r="DYH19" s="49">
        <v>219</v>
      </c>
      <c r="DYI19" s="49"/>
      <c r="DYJ19" s="49">
        <v>0</v>
      </c>
      <c r="DYK19" s="49"/>
      <c r="DYL19" s="64">
        <f t="shared" si="957"/>
        <v>219</v>
      </c>
      <c r="DYM19" s="68">
        <f t="shared" si="958"/>
        <v>36.5</v>
      </c>
      <c r="DYN19" s="48">
        <v>0</v>
      </c>
      <c r="DYO19" s="49"/>
      <c r="DYP19" s="49">
        <v>220</v>
      </c>
      <c r="DYQ19" s="49">
        <v>0</v>
      </c>
      <c r="DYR19" s="49"/>
      <c r="DYS19" s="49">
        <v>0</v>
      </c>
      <c r="DYT19" s="64">
        <f t="shared" si="959"/>
        <v>220</v>
      </c>
      <c r="DYU19" s="68">
        <f t="shared" si="960"/>
        <v>36.666666666666664</v>
      </c>
      <c r="DYV19" s="48">
        <v>0</v>
      </c>
      <c r="DYW19" s="49">
        <v>0</v>
      </c>
      <c r="DYX19" s="49">
        <v>99</v>
      </c>
      <c r="DYY19" s="49">
        <v>0</v>
      </c>
      <c r="DYZ19" s="49">
        <v>0</v>
      </c>
      <c r="DZA19" s="49">
        <v>0</v>
      </c>
      <c r="DZB19" s="64">
        <f t="shared" si="961"/>
        <v>99</v>
      </c>
      <c r="DZC19" s="68">
        <f t="shared" si="962"/>
        <v>16.5</v>
      </c>
      <c r="DZD19" s="48">
        <v>100</v>
      </c>
      <c r="DZE19" s="49">
        <v>0</v>
      </c>
      <c r="DZF19" s="49">
        <v>4</v>
      </c>
      <c r="DZG19" s="49"/>
      <c r="DZH19" s="49">
        <f>SUMIF(SUMPK!$B:$B,$B:$B,SUMPK!$O:$O)</f>
        <v>0</v>
      </c>
      <c r="DZI19" s="49"/>
      <c r="DZJ19" s="64">
        <f t="shared" si="963"/>
        <v>104</v>
      </c>
      <c r="DZK19" s="68">
        <f t="shared" si="964"/>
        <v>17.333333333333332</v>
      </c>
      <c r="DZL19" s="48">
        <v>0</v>
      </c>
      <c r="DZM19" s="49"/>
      <c r="DZN19" s="49"/>
      <c r="DZO19" s="49">
        <v>0</v>
      </c>
      <c r="DZP19" s="49"/>
      <c r="DZQ19" s="49"/>
      <c r="DZR19" s="64">
        <f t="shared" si="965"/>
        <v>0</v>
      </c>
      <c r="DZS19" s="68">
        <f t="shared" si="966"/>
        <v>0</v>
      </c>
      <c r="DZT19" s="48">
        <v>0</v>
      </c>
      <c r="DZU19" s="49">
        <v>100</v>
      </c>
      <c r="DZV19" s="49">
        <v>0</v>
      </c>
      <c r="DZW19" s="49">
        <v>0</v>
      </c>
      <c r="DZX19" s="49">
        <v>100</v>
      </c>
      <c r="DZY19" s="49"/>
      <c r="DZZ19" s="64">
        <f t="shared" si="967"/>
        <v>200</v>
      </c>
      <c r="EAA19" s="68">
        <f t="shared" si="968"/>
        <v>33.333333333333336</v>
      </c>
      <c r="EAB19" s="48"/>
      <c r="EAC19" s="49">
        <v>200</v>
      </c>
      <c r="EAD19" s="49"/>
      <c r="EAE19" s="49"/>
      <c r="EAF19" s="49">
        <v>0</v>
      </c>
      <c r="EAG19" s="49">
        <v>0</v>
      </c>
      <c r="EAH19" s="64">
        <f t="shared" si="969"/>
        <v>200</v>
      </c>
      <c r="EAI19" s="68">
        <f t="shared" si="970"/>
        <v>33.333333333333336</v>
      </c>
      <c r="EAJ19" s="48"/>
      <c r="EAK19" s="49">
        <v>1</v>
      </c>
      <c r="EAL19" s="49">
        <v>0</v>
      </c>
      <c r="EAM19" s="49"/>
      <c r="EAN19" s="49"/>
      <c r="EAO19" s="49">
        <v>0</v>
      </c>
      <c r="EAP19" s="64">
        <f t="shared" si="971"/>
        <v>1</v>
      </c>
      <c r="EAQ19" s="68">
        <f t="shared" si="1202"/>
        <v>0.16666666666666666</v>
      </c>
      <c r="EAR19" s="48">
        <v>222</v>
      </c>
      <c r="EAS19" s="49">
        <v>0</v>
      </c>
      <c r="EAT19" s="49">
        <v>110</v>
      </c>
      <c r="EAU19" s="49"/>
      <c r="EAV19" s="49">
        <v>112</v>
      </c>
      <c r="EAW19" s="49"/>
      <c r="EAX19" s="64">
        <f t="shared" si="972"/>
        <v>444</v>
      </c>
      <c r="EAY19" s="68">
        <f t="shared" si="973"/>
        <v>74</v>
      </c>
      <c r="EAZ19" s="48"/>
      <c r="EBA19" s="49">
        <v>0</v>
      </c>
      <c r="EBB19" s="49"/>
      <c r="EBC19" s="49"/>
      <c r="EBD19" s="49">
        <v>80</v>
      </c>
      <c r="EBE19" s="49">
        <v>103</v>
      </c>
      <c r="EBF19" s="64">
        <f t="shared" si="974"/>
        <v>183</v>
      </c>
      <c r="EBG19" s="68">
        <f t="shared" si="975"/>
        <v>30.5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6"/>
        <v>220</v>
      </c>
      <c r="EBO19" s="68">
        <f t="shared" si="1131"/>
        <v>36.666666666666664</v>
      </c>
      <c r="EBP19" s="48"/>
      <c r="EBQ19" s="49">
        <v>0</v>
      </c>
      <c r="EBR19" s="49"/>
      <c r="EBS19" s="49">
        <v>110</v>
      </c>
      <c r="EBT19" s="49">
        <v>0</v>
      </c>
      <c r="EBU19" s="49">
        <v>0</v>
      </c>
      <c r="EBV19" s="64">
        <f t="shared" si="977"/>
        <v>110</v>
      </c>
      <c r="EBW19" s="68">
        <f t="shared" si="978"/>
        <v>18.333333333333332</v>
      </c>
      <c r="EBX19" s="48"/>
      <c r="EBY19" s="49">
        <v>220</v>
      </c>
      <c r="EBZ19" s="49">
        <v>0</v>
      </c>
      <c r="ECA19" s="49">
        <v>110</v>
      </c>
      <c r="ECB19" s="49">
        <v>0</v>
      </c>
      <c r="ECC19" s="49">
        <v>0</v>
      </c>
      <c r="ECD19" s="64">
        <f t="shared" si="979"/>
        <v>330</v>
      </c>
      <c r="ECE19" s="68">
        <f t="shared" si="980"/>
        <v>55</v>
      </c>
      <c r="ECF19" s="48">
        <v>0</v>
      </c>
      <c r="ECG19" s="49">
        <v>111</v>
      </c>
      <c r="ECH19" s="49">
        <v>0</v>
      </c>
      <c r="ECI19" s="49"/>
      <c r="ECJ19" s="49"/>
      <c r="ECK19" s="49">
        <v>120</v>
      </c>
      <c r="ECL19" s="64">
        <f t="shared" si="981"/>
        <v>231</v>
      </c>
      <c r="ECM19" s="68">
        <f t="shared" si="982"/>
        <v>38.5</v>
      </c>
      <c r="ECN19" s="48">
        <v>0</v>
      </c>
      <c r="ECO19" s="49">
        <v>110</v>
      </c>
      <c r="ECP19" s="49"/>
      <c r="ECQ19" s="49"/>
      <c r="ECR19" s="49"/>
      <c r="ECS19" s="49">
        <v>110</v>
      </c>
      <c r="ECT19" s="64">
        <f t="shared" si="983"/>
        <v>220</v>
      </c>
      <c r="ECU19" s="68">
        <f t="shared" si="984"/>
        <v>36.666666666666664</v>
      </c>
      <c r="ECV19" s="48">
        <v>0</v>
      </c>
      <c r="ECW19" s="49"/>
      <c r="ECX19" s="49">
        <v>0</v>
      </c>
      <c r="ECY19" s="49">
        <v>191</v>
      </c>
      <c r="ECZ19" s="49"/>
      <c r="EDA19" s="49">
        <v>110</v>
      </c>
      <c r="EDB19" s="64">
        <f t="shared" si="985"/>
        <v>301</v>
      </c>
      <c r="EDC19" s="68">
        <f t="shared" si="986"/>
        <v>50.166666666666664</v>
      </c>
      <c r="EDD19" s="48">
        <v>0</v>
      </c>
      <c r="EDE19" s="49"/>
      <c r="EDF19" s="49">
        <v>219</v>
      </c>
      <c r="EDG19" s="49">
        <v>0</v>
      </c>
      <c r="EDH19" s="49">
        <v>220</v>
      </c>
      <c r="EDI19" s="49"/>
      <c r="EDJ19" s="64">
        <f t="shared" si="987"/>
        <v>439</v>
      </c>
      <c r="EDK19" s="68">
        <f t="shared" si="988"/>
        <v>73.166666666666671</v>
      </c>
      <c r="EDL19" s="48">
        <v>0</v>
      </c>
      <c r="EDM19" s="49"/>
      <c r="EDN19" s="49"/>
      <c r="EDO19" s="49">
        <f>SUMIF(SUMPK!$B:$B,$B:$B,SUMPK!$O:$O)</f>
        <v>0</v>
      </c>
      <c r="EDP19" s="49"/>
      <c r="EDQ19" s="49">
        <v>220</v>
      </c>
      <c r="EDR19" s="64">
        <f t="shared" si="989"/>
        <v>220</v>
      </c>
      <c r="EDS19" s="184">
        <f t="shared" si="990"/>
        <v>36.666666666666664</v>
      </c>
      <c r="EDT19" s="195">
        <v>0</v>
      </c>
      <c r="EDU19" s="49">
        <v>110</v>
      </c>
      <c r="EDV19" s="49">
        <v>0</v>
      </c>
      <c r="EDW19" s="49">
        <v>106</v>
      </c>
      <c r="EDX19" s="49"/>
      <c r="EDY19" s="49"/>
      <c r="EDZ19" s="64">
        <f t="shared" si="991"/>
        <v>216</v>
      </c>
      <c r="EEA19" s="184">
        <f t="shared" si="992"/>
        <v>36</v>
      </c>
      <c r="EEB19" s="48">
        <v>220</v>
      </c>
      <c r="EEC19" s="49"/>
      <c r="EED19" s="49">
        <v>0</v>
      </c>
      <c r="EEE19" s="49">
        <v>0</v>
      </c>
      <c r="EEF19" s="49">
        <v>220</v>
      </c>
      <c r="EEG19" s="49"/>
      <c r="EEH19" s="64">
        <f t="shared" si="993"/>
        <v>440</v>
      </c>
      <c r="EEI19" s="68">
        <f t="shared" si="994"/>
        <v>73.333333333333329</v>
      </c>
      <c r="EEJ19" s="48">
        <v>0</v>
      </c>
      <c r="EEK19" s="49"/>
      <c r="EEL19" s="49">
        <v>0</v>
      </c>
      <c r="EEM19" s="49"/>
      <c r="EEN19" s="49"/>
      <c r="EEO19" s="49">
        <v>110</v>
      </c>
      <c r="EEP19" s="64">
        <f t="shared" si="995"/>
        <v>110</v>
      </c>
      <c r="EEQ19" s="68">
        <f t="shared" si="996"/>
        <v>18.333333333333332</v>
      </c>
      <c r="EER19" s="48">
        <v>110</v>
      </c>
      <c r="EES19" s="49">
        <v>0</v>
      </c>
      <c r="EET19" s="49"/>
      <c r="EEU19" s="49"/>
      <c r="EEV19" s="49">
        <v>220</v>
      </c>
      <c r="EEW19" s="49"/>
      <c r="EEX19" s="64">
        <f t="shared" si="997"/>
        <v>330</v>
      </c>
      <c r="EEY19" s="68">
        <f t="shared" si="998"/>
        <v>55</v>
      </c>
      <c r="EEZ19" s="48">
        <v>0</v>
      </c>
      <c r="EFA19" s="49">
        <v>600</v>
      </c>
      <c r="EFB19" s="49">
        <v>0</v>
      </c>
      <c r="EFC19" s="49">
        <v>0</v>
      </c>
      <c r="EFD19" s="49"/>
      <c r="EFE19" s="49">
        <v>0</v>
      </c>
      <c r="EFF19" s="64">
        <f t="shared" si="999"/>
        <v>600</v>
      </c>
      <c r="EFG19" s="68">
        <f t="shared" si="1000"/>
        <v>100</v>
      </c>
      <c r="EFH19" s="48"/>
      <c r="EFI19" s="49">
        <v>0</v>
      </c>
      <c r="EFJ19" s="49"/>
      <c r="EFK19" s="49">
        <v>0</v>
      </c>
      <c r="EFL19" s="49">
        <v>0</v>
      </c>
      <c r="EFM19" s="49">
        <v>0</v>
      </c>
      <c r="EFN19" s="64">
        <f t="shared" si="1001"/>
        <v>0</v>
      </c>
      <c r="EFO19" s="68">
        <f t="shared" si="1002"/>
        <v>0</v>
      </c>
      <c r="EFP19" s="48">
        <v>0</v>
      </c>
      <c r="EFQ19" s="49"/>
      <c r="EFR19" s="49"/>
      <c r="EFS19" s="49">
        <v>0</v>
      </c>
      <c r="EFT19" s="49">
        <v>220</v>
      </c>
      <c r="EFU19" s="49"/>
      <c r="EFV19" s="64">
        <f t="shared" si="1003"/>
        <v>220</v>
      </c>
      <c r="EFW19" s="68">
        <f t="shared" si="1004"/>
        <v>36.666666666666664</v>
      </c>
      <c r="EFX19" s="48"/>
      <c r="EFY19" s="49">
        <v>0</v>
      </c>
      <c r="EFZ19" s="49"/>
      <c r="EGA19" s="49">
        <v>0</v>
      </c>
      <c r="EGB19" s="49">
        <v>0</v>
      </c>
      <c r="EGC19" s="49">
        <v>0</v>
      </c>
      <c r="EGD19" s="64">
        <f t="shared" si="1005"/>
        <v>0</v>
      </c>
      <c r="EGE19" s="68">
        <f t="shared" si="1006"/>
        <v>0</v>
      </c>
      <c r="EGF19" s="48">
        <v>0</v>
      </c>
      <c r="EGG19" s="49">
        <v>0</v>
      </c>
      <c r="EGH19" s="49"/>
      <c r="EGI19" s="49">
        <v>0</v>
      </c>
      <c r="EGJ19" s="49">
        <v>220</v>
      </c>
      <c r="EGK19" s="49">
        <v>0</v>
      </c>
      <c r="EGL19" s="64">
        <f t="shared" si="1007"/>
        <v>220</v>
      </c>
      <c r="EGM19" s="68">
        <f t="shared" si="1008"/>
        <v>36.666666666666664</v>
      </c>
      <c r="EGN19" s="48">
        <v>0</v>
      </c>
      <c r="EGO19" s="49">
        <v>0</v>
      </c>
      <c r="EGP19" s="49"/>
      <c r="EGQ19" s="49">
        <v>0</v>
      </c>
      <c r="EGR19" s="49">
        <v>110</v>
      </c>
      <c r="EGS19" s="49">
        <v>0</v>
      </c>
      <c r="EGT19" s="64">
        <f t="shared" si="1009"/>
        <v>110</v>
      </c>
      <c r="EGU19" s="68">
        <f t="shared" si="1203"/>
        <v>18.333333333333332</v>
      </c>
      <c r="EGV19" s="48">
        <v>0</v>
      </c>
      <c r="EGW19" s="49">
        <v>225</v>
      </c>
      <c r="EGX19" s="49"/>
      <c r="EGY19" s="49">
        <v>0</v>
      </c>
      <c r="EGZ19" s="49">
        <v>0</v>
      </c>
      <c r="EHA19" s="49"/>
      <c r="EHB19" s="64">
        <f t="shared" si="1010"/>
        <v>225</v>
      </c>
      <c r="EHC19" s="68">
        <f t="shared" si="1011"/>
        <v>37.5</v>
      </c>
      <c r="EHD19" s="48">
        <v>115</v>
      </c>
      <c r="EHE19" s="49">
        <v>0</v>
      </c>
      <c r="EHF19" s="49"/>
      <c r="EHG19" s="49">
        <v>225</v>
      </c>
      <c r="EHH19" s="49">
        <v>0</v>
      </c>
      <c r="EHI19" s="49">
        <v>0</v>
      </c>
      <c r="EHJ19" s="64">
        <f t="shared" si="1012"/>
        <v>340</v>
      </c>
      <c r="EHK19" s="68">
        <f t="shared" si="1013"/>
        <v>56.666666666666664</v>
      </c>
      <c r="EHL19" s="48"/>
      <c r="EHM19" s="49">
        <v>0</v>
      </c>
      <c r="EHN19" s="49"/>
      <c r="EHO19" s="49"/>
      <c r="EHP19" s="49"/>
      <c r="EHQ19" s="49">
        <v>0</v>
      </c>
      <c r="EHR19" s="64">
        <f t="shared" si="1014"/>
        <v>0</v>
      </c>
      <c r="EHS19" s="68">
        <f t="shared" si="1015"/>
        <v>0</v>
      </c>
      <c r="EHT19" s="48"/>
      <c r="EHU19" s="49"/>
      <c r="EHV19" s="49"/>
      <c r="EHW19" s="49">
        <v>228</v>
      </c>
      <c r="EHX19" s="49"/>
      <c r="EHY19" s="49">
        <v>0</v>
      </c>
      <c r="EHZ19" s="64">
        <f t="shared" si="1016"/>
        <v>228</v>
      </c>
      <c r="EIA19" s="68">
        <f t="shared" si="1017"/>
        <v>38</v>
      </c>
      <c r="EIB19" s="48"/>
      <c r="EIC19" s="49"/>
      <c r="EID19" s="49">
        <v>105</v>
      </c>
      <c r="EIE19" s="49"/>
      <c r="EIF19" s="49">
        <v>0</v>
      </c>
      <c r="EIG19" s="49">
        <v>113</v>
      </c>
      <c r="EIH19" s="64">
        <f t="shared" si="1018"/>
        <v>218</v>
      </c>
      <c r="EII19" s="68">
        <f t="shared" si="1019"/>
        <v>36.333333333333336</v>
      </c>
      <c r="EIJ19" s="48">
        <v>0</v>
      </c>
      <c r="EIK19" s="49">
        <v>108</v>
      </c>
      <c r="EIL19" s="49"/>
      <c r="EIM19" s="49">
        <v>230</v>
      </c>
      <c r="EIN19" s="49">
        <v>114</v>
      </c>
      <c r="EIO19" s="49">
        <v>0</v>
      </c>
      <c r="EIP19" s="64">
        <f t="shared" si="1020"/>
        <v>452</v>
      </c>
      <c r="EIQ19" s="68">
        <f t="shared" si="1021"/>
        <v>75.333333333333329</v>
      </c>
      <c r="EIR19" s="48">
        <v>0</v>
      </c>
      <c r="EIS19" s="49">
        <v>0</v>
      </c>
      <c r="EIT19" s="49">
        <v>0</v>
      </c>
      <c r="EIU19" s="49"/>
      <c r="EIV19" s="49"/>
      <c r="EIW19" s="49"/>
      <c r="EIX19" s="64">
        <f t="shared" si="1022"/>
        <v>0</v>
      </c>
      <c r="EIY19" s="68">
        <f t="shared" si="1023"/>
        <v>0</v>
      </c>
      <c r="EIZ19" s="48">
        <v>113</v>
      </c>
      <c r="EJA19" s="49">
        <v>112</v>
      </c>
      <c r="EJB19" s="49"/>
      <c r="EJC19" s="49">
        <v>0</v>
      </c>
      <c r="EJD19" s="49">
        <v>0</v>
      </c>
      <c r="EJE19" s="49"/>
      <c r="EJF19" s="64">
        <f t="shared" si="1024"/>
        <v>225</v>
      </c>
      <c r="EJG19" s="68">
        <f t="shared" si="1025"/>
        <v>37.5</v>
      </c>
      <c r="EJH19" s="48">
        <v>0</v>
      </c>
      <c r="EJI19" s="49">
        <v>223</v>
      </c>
      <c r="EJJ19" s="49"/>
      <c r="EJK19" s="49">
        <v>0</v>
      </c>
      <c r="EJL19" s="49"/>
      <c r="EJM19" s="49"/>
      <c r="EJN19" s="64">
        <f t="shared" si="1026"/>
        <v>223</v>
      </c>
      <c r="EJO19" s="68">
        <f t="shared" si="1027"/>
        <v>37.166666666666664</v>
      </c>
      <c r="EJP19" s="48"/>
      <c r="EJQ19" s="49">
        <v>0</v>
      </c>
      <c r="EJR19" s="49">
        <v>313</v>
      </c>
      <c r="EJS19" s="49"/>
      <c r="EJT19" s="49"/>
      <c r="EJU19" s="49">
        <v>0</v>
      </c>
      <c r="EJV19" s="64">
        <f t="shared" si="1028"/>
        <v>313</v>
      </c>
      <c r="EJW19" s="68">
        <f t="shared" si="1029"/>
        <v>52.166666666666664</v>
      </c>
      <c r="EJX19" s="48"/>
      <c r="EJY19" s="49">
        <v>0</v>
      </c>
      <c r="EJZ19" s="49">
        <v>0</v>
      </c>
      <c r="EKA19" s="49">
        <v>0</v>
      </c>
      <c r="EKB19" s="49"/>
      <c r="EKC19" s="49"/>
      <c r="EKD19" s="64">
        <f t="shared" si="1030"/>
        <v>0</v>
      </c>
      <c r="EKE19" s="68">
        <f t="shared" si="1031"/>
        <v>0</v>
      </c>
      <c r="EKF19" s="48">
        <v>0</v>
      </c>
      <c r="EKG19" s="49">
        <v>222</v>
      </c>
      <c r="EKH19" s="49"/>
      <c r="EKI19" s="49"/>
      <c r="EKJ19" s="49">
        <v>0</v>
      </c>
      <c r="EKK19" s="49"/>
      <c r="EKL19" s="64">
        <f t="shared" si="1032"/>
        <v>222</v>
      </c>
      <c r="EKM19" s="68">
        <f t="shared" si="1033"/>
        <v>37</v>
      </c>
      <c r="EKN19" s="48"/>
      <c r="EKO19" s="49">
        <v>224</v>
      </c>
      <c r="EKP19" s="49">
        <v>0</v>
      </c>
      <c r="EKQ19" s="49">
        <v>0</v>
      </c>
      <c r="EKR19" s="49"/>
      <c r="EKS19" s="49">
        <v>208</v>
      </c>
      <c r="EKT19" s="64">
        <f t="shared" si="1034"/>
        <v>432</v>
      </c>
      <c r="EKU19" s="184">
        <f t="shared" si="1035"/>
        <v>72</v>
      </c>
      <c r="EKV19" s="665"/>
      <c r="EKW19" s="195">
        <v>0</v>
      </c>
      <c r="EKX19" s="49"/>
      <c r="EKY19" s="49">
        <v>0</v>
      </c>
      <c r="EKZ19" s="49">
        <v>0</v>
      </c>
      <c r="ELA19" s="49"/>
      <c r="ELB19" s="49">
        <v>222</v>
      </c>
      <c r="ELC19" s="64">
        <f t="shared" si="1036"/>
        <v>222</v>
      </c>
      <c r="ELD19" s="211">
        <f t="shared" si="1037"/>
        <v>37</v>
      </c>
      <c r="ELE19" s="195">
        <v>0</v>
      </c>
      <c r="ELF19" s="49"/>
      <c r="ELG19" s="49"/>
      <c r="ELH19" s="49">
        <v>222</v>
      </c>
      <c r="ELI19" s="49"/>
      <c r="ELJ19" s="49">
        <v>0</v>
      </c>
      <c r="ELK19" s="64">
        <f t="shared" si="1038"/>
        <v>222</v>
      </c>
      <c r="ELL19" s="211">
        <f t="shared" si="1039"/>
        <v>37</v>
      </c>
      <c r="ELM19" s="195">
        <v>218</v>
      </c>
      <c r="ELN19" s="49">
        <v>0</v>
      </c>
      <c r="ELO19" s="49"/>
      <c r="ELP19" s="49"/>
      <c r="ELQ19" s="49">
        <v>110</v>
      </c>
      <c r="ELR19" s="49">
        <v>0</v>
      </c>
      <c r="ELS19" s="64">
        <f t="shared" si="1040"/>
        <v>328</v>
      </c>
      <c r="ELT19" s="211">
        <f t="shared" si="1041"/>
        <v>54.666666666666664</v>
      </c>
      <c r="ELU19" s="195">
        <v>112</v>
      </c>
      <c r="ELV19" s="49">
        <v>0</v>
      </c>
      <c r="ELW19" s="49">
        <v>230</v>
      </c>
      <c r="ELX19" s="49">
        <v>0</v>
      </c>
      <c r="ELY19" s="49"/>
      <c r="ELZ19" s="49">
        <v>0</v>
      </c>
      <c r="EMA19" s="64">
        <f t="shared" si="1042"/>
        <v>342</v>
      </c>
      <c r="EMB19" s="211">
        <f t="shared" si="1043"/>
        <v>57</v>
      </c>
      <c r="EMC19" s="195"/>
      <c r="EMD19" s="49">
        <v>119</v>
      </c>
      <c r="EME19" s="49">
        <v>0</v>
      </c>
      <c r="EMF19" s="49">
        <v>0</v>
      </c>
      <c r="EMG19" s="49">
        <v>0</v>
      </c>
      <c r="EMH19" s="49"/>
      <c r="EMI19" s="64">
        <f t="shared" si="1044"/>
        <v>119</v>
      </c>
      <c r="EMJ19" s="211">
        <f t="shared" si="1045"/>
        <v>19.833333333333332</v>
      </c>
      <c r="EMK19" s="195">
        <v>0</v>
      </c>
      <c r="EML19" s="49"/>
      <c r="EMM19" s="49">
        <v>185</v>
      </c>
      <c r="EMN19" s="49">
        <v>0</v>
      </c>
      <c r="EMO19" s="49">
        <v>0</v>
      </c>
      <c r="EMP19" s="49">
        <v>0</v>
      </c>
      <c r="EMQ19" s="64">
        <f t="shared" si="1046"/>
        <v>185</v>
      </c>
      <c r="EMR19" s="211">
        <f t="shared" si="1047"/>
        <v>30.833333333333332</v>
      </c>
      <c r="EMS19" s="195"/>
      <c r="EMT19" s="49">
        <v>0</v>
      </c>
      <c r="EMU19" s="49">
        <v>0</v>
      </c>
      <c r="EMV19" s="49">
        <v>226</v>
      </c>
      <c r="EMW19" s="49"/>
      <c r="EMX19" s="49">
        <v>102</v>
      </c>
      <c r="EMY19" s="64">
        <f t="shared" si="1048"/>
        <v>328</v>
      </c>
      <c r="EMZ19" s="211">
        <f t="shared" si="1049"/>
        <v>54.666666666666664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0"/>
        <v>0</v>
      </c>
      <c r="ENH19" s="211">
        <f t="shared" si="1051"/>
        <v>0</v>
      </c>
      <c r="ENI19" s="195">
        <v>112</v>
      </c>
      <c r="ENJ19" s="49"/>
      <c r="ENK19" s="49"/>
      <c r="ENL19" s="49">
        <v>0</v>
      </c>
      <c r="ENM19" s="49">
        <v>0</v>
      </c>
      <c r="ENN19" s="49">
        <v>228</v>
      </c>
      <c r="ENO19" s="64">
        <f t="shared" si="1052"/>
        <v>340</v>
      </c>
      <c r="ENP19" s="211">
        <f t="shared" si="1053"/>
        <v>56.666666666666664</v>
      </c>
      <c r="ENQ19" s="195">
        <v>0</v>
      </c>
      <c r="ENR19" s="49"/>
      <c r="ENS19" s="49">
        <v>115</v>
      </c>
      <c r="ENT19" s="49">
        <v>0</v>
      </c>
      <c r="ENU19" s="49">
        <v>94</v>
      </c>
      <c r="ENV19" s="49">
        <v>0</v>
      </c>
      <c r="ENW19" s="64">
        <f t="shared" si="1054"/>
        <v>209</v>
      </c>
      <c r="ENX19" s="211">
        <f t="shared" si="1055"/>
        <v>34.833333333333336</v>
      </c>
      <c r="ENY19" s="195"/>
      <c r="ENZ19" s="49"/>
      <c r="EOA19" s="49">
        <v>0</v>
      </c>
      <c r="EOB19" s="49">
        <v>225</v>
      </c>
      <c r="EOC19" s="49">
        <v>0</v>
      </c>
      <c r="EOD19" s="49">
        <v>0</v>
      </c>
      <c r="EOE19" s="64">
        <f t="shared" si="1056"/>
        <v>225</v>
      </c>
      <c r="EOF19" s="211">
        <f t="shared" si="1057"/>
        <v>37.5</v>
      </c>
      <c r="EOG19" s="195"/>
      <c r="EOH19" s="360">
        <f>SUMIF(SUMPK!$B:$B,$B:$B,SUMPK!$O:$O)</f>
        <v>0</v>
      </c>
      <c r="EOI19" s="49">
        <v>0</v>
      </c>
      <c r="EOJ19" s="49">
        <v>0</v>
      </c>
      <c r="EOK19" s="49">
        <v>0</v>
      </c>
      <c r="EOL19" s="49"/>
      <c r="EOM19" s="64">
        <f t="shared" si="1058"/>
        <v>0</v>
      </c>
      <c r="EON19" s="211">
        <f t="shared" si="1059"/>
        <v>0</v>
      </c>
      <c r="EOO19" s="195"/>
      <c r="EOP19" s="49">
        <v>0</v>
      </c>
      <c r="EOQ19" s="49">
        <v>0</v>
      </c>
      <c r="EOR19" s="49">
        <v>114</v>
      </c>
      <c r="EOS19" s="49"/>
      <c r="EOT19" s="49">
        <v>0</v>
      </c>
      <c r="EOU19" s="64">
        <f t="shared" si="1060"/>
        <v>114</v>
      </c>
      <c r="EOV19" s="211">
        <f t="shared" si="1061"/>
        <v>19</v>
      </c>
      <c r="EOW19" s="195">
        <v>0</v>
      </c>
      <c r="EOX19" s="49">
        <v>110</v>
      </c>
      <c r="EOY19" s="49">
        <v>0</v>
      </c>
      <c r="EOZ19" s="49">
        <v>0</v>
      </c>
      <c r="EPA19" s="49">
        <v>0</v>
      </c>
      <c r="EPB19" s="49">
        <v>0</v>
      </c>
      <c r="EPC19" s="64">
        <f t="shared" si="1062"/>
        <v>110</v>
      </c>
      <c r="EPD19" s="211">
        <f t="shared" si="1063"/>
        <v>18.333333333333332</v>
      </c>
      <c r="EPE19" s="195">
        <v>215</v>
      </c>
      <c r="EPF19" s="49">
        <f>SUMIF(SUMPK!$B:$B,$B:$B,SUMPK!$O:$O)</f>
        <v>0</v>
      </c>
      <c r="EPG19" s="49">
        <v>0</v>
      </c>
      <c r="EPH19" s="49">
        <v>0</v>
      </c>
      <c r="EPI19" s="49">
        <v>0</v>
      </c>
      <c r="EPJ19" s="49">
        <v>221</v>
      </c>
      <c r="EPK19" s="64">
        <f t="shared" si="1064"/>
        <v>436</v>
      </c>
      <c r="EPL19" s="211">
        <f t="shared" si="1065"/>
        <v>72.666666666666671</v>
      </c>
      <c r="EPM19" s="195"/>
      <c r="EPN19" s="49">
        <v>0</v>
      </c>
      <c r="EPO19" s="49"/>
      <c r="EPP19" s="49">
        <v>0</v>
      </c>
      <c r="EPQ19" s="49">
        <v>202</v>
      </c>
      <c r="EPR19" s="49">
        <v>0</v>
      </c>
      <c r="EPS19" s="64">
        <f t="shared" si="1066"/>
        <v>202</v>
      </c>
      <c r="EPT19" s="211">
        <f t="shared" si="1067"/>
        <v>33.666666666666664</v>
      </c>
      <c r="EPU19" s="195">
        <v>0</v>
      </c>
      <c r="EPV19" s="49">
        <v>94</v>
      </c>
      <c r="EPW19" s="49"/>
      <c r="EPX19" s="49">
        <v>98</v>
      </c>
      <c r="EPY19" s="49">
        <v>0</v>
      </c>
      <c r="EPZ19" s="49">
        <v>0</v>
      </c>
      <c r="EQA19" s="64">
        <f t="shared" si="1068"/>
        <v>192</v>
      </c>
      <c r="EQB19" s="211">
        <f t="shared" si="1069"/>
        <v>32</v>
      </c>
      <c r="EQC19" s="195">
        <v>0</v>
      </c>
      <c r="EQD19" s="49">
        <v>221</v>
      </c>
      <c r="EQE19" s="49">
        <v>0</v>
      </c>
      <c r="EQF19" s="49">
        <v>0</v>
      </c>
      <c r="EQG19" s="49">
        <v>0</v>
      </c>
      <c r="EQH19" s="49">
        <v>221</v>
      </c>
      <c r="EQI19" s="64">
        <f t="shared" si="1070"/>
        <v>442</v>
      </c>
      <c r="EQJ19" s="211">
        <f t="shared" si="1071"/>
        <v>73.666666666666671</v>
      </c>
      <c r="EQK19" s="195"/>
      <c r="EQL19" s="49">
        <v>0</v>
      </c>
      <c r="EQM19" s="49">
        <v>0</v>
      </c>
      <c r="EQN19" s="49"/>
      <c r="EQO19" s="49">
        <v>222</v>
      </c>
      <c r="EQP19" s="49">
        <v>0</v>
      </c>
      <c r="EQQ19" s="64">
        <f t="shared" si="1072"/>
        <v>222</v>
      </c>
      <c r="EQR19" s="211">
        <f t="shared" si="1073"/>
        <v>37</v>
      </c>
      <c r="EQS19" s="195">
        <v>0</v>
      </c>
      <c r="EQT19" s="49">
        <v>100</v>
      </c>
      <c r="EQU19" s="49">
        <v>111</v>
      </c>
      <c r="EQV19" s="49"/>
      <c r="EQW19" s="49">
        <v>0</v>
      </c>
      <c r="EQX19" s="49">
        <v>0</v>
      </c>
      <c r="EQY19" s="64">
        <f t="shared" si="1074"/>
        <v>211</v>
      </c>
      <c r="EQZ19" s="211">
        <f t="shared" si="1075"/>
        <v>35.166666666666664</v>
      </c>
      <c r="ERA19" s="195">
        <v>0</v>
      </c>
      <c r="ERB19" s="49">
        <v>219</v>
      </c>
      <c r="ERC19" s="49">
        <v>0</v>
      </c>
      <c r="ERD19" s="49">
        <v>0</v>
      </c>
      <c r="ERE19" s="49">
        <v>0</v>
      </c>
      <c r="ERF19" s="49"/>
      <c r="ERG19" s="64">
        <f t="shared" si="1076"/>
        <v>219</v>
      </c>
      <c r="ERH19" s="211">
        <f t="shared" si="1077"/>
        <v>36.5</v>
      </c>
      <c r="ERI19" s="195">
        <v>109</v>
      </c>
      <c r="ERJ19" s="49"/>
      <c r="ERK19" s="49"/>
      <c r="ERL19" s="49">
        <v>0</v>
      </c>
      <c r="ERM19" s="49">
        <v>220</v>
      </c>
      <c r="ERN19" s="49"/>
      <c r="ERO19" s="64">
        <f t="shared" si="1078"/>
        <v>329</v>
      </c>
      <c r="ERP19" s="211">
        <f t="shared" si="1079"/>
        <v>54.833333333333336</v>
      </c>
      <c r="ERQ19" s="195"/>
      <c r="ERR19" s="49">
        <v>798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0"/>
        <v>798</v>
      </c>
      <c r="ERX19" s="211">
        <f t="shared" si="1081"/>
        <v>133</v>
      </c>
      <c r="ERY19" s="195">
        <v>0</v>
      </c>
      <c r="ERZ19" s="49">
        <v>0</v>
      </c>
      <c r="ESA19" s="49">
        <v>0</v>
      </c>
      <c r="ESB19" s="49"/>
      <c r="ESC19" s="49"/>
      <c r="ESD19" s="49">
        <v>0</v>
      </c>
      <c r="ESE19" s="64">
        <f t="shared" si="1082"/>
        <v>0</v>
      </c>
      <c r="ESF19" s="211">
        <f t="shared" si="1083"/>
        <v>0</v>
      </c>
      <c r="ESG19" s="195"/>
      <c r="ESH19" s="49"/>
      <c r="ESI19" s="49">
        <v>0</v>
      </c>
      <c r="ESJ19" s="49"/>
      <c r="ESK19" s="49"/>
      <c r="ESL19" s="49">
        <v>0</v>
      </c>
      <c r="ESM19" s="64">
        <f t="shared" si="1084"/>
        <v>0</v>
      </c>
      <c r="ESN19" s="211">
        <f t="shared" si="1085"/>
        <v>0</v>
      </c>
      <c r="ESO19" s="458">
        <v>0</v>
      </c>
      <c r="ESP19" s="83"/>
      <c r="ESQ19" s="83">
        <v>221</v>
      </c>
      <c r="ESR19" s="83">
        <v>0</v>
      </c>
      <c r="ESS19" s="83"/>
      <c r="EST19" s="83">
        <v>0</v>
      </c>
      <c r="ESU19" s="64">
        <f t="shared" si="1086"/>
        <v>221</v>
      </c>
      <c r="ESV19" s="211">
        <f t="shared" si="1087"/>
        <v>36.833333333333336</v>
      </c>
      <c r="ESW19" s="195"/>
      <c r="ESX19" s="49"/>
      <c r="ESY19" s="49"/>
      <c r="ESZ19" s="49">
        <v>0</v>
      </c>
      <c r="ETA19" s="49">
        <v>220</v>
      </c>
      <c r="ETB19" s="49">
        <v>0</v>
      </c>
      <c r="ETC19" s="808">
        <f t="shared" si="1088"/>
        <v>220</v>
      </c>
      <c r="ETD19" s="211">
        <f t="shared" si="1089"/>
        <v>36.666666666666664</v>
      </c>
      <c r="ETE19" s="195">
        <v>0</v>
      </c>
      <c r="ETF19" s="49">
        <v>0</v>
      </c>
      <c r="ETG19" s="49"/>
      <c r="ETH19" s="49">
        <v>0</v>
      </c>
      <c r="ETI19" s="49"/>
      <c r="ETJ19" s="49">
        <v>0</v>
      </c>
      <c r="ETK19" s="808">
        <f t="shared" si="1090"/>
        <v>0</v>
      </c>
      <c r="ETL19" s="211">
        <f t="shared" si="1091"/>
        <v>0</v>
      </c>
      <c r="ETM19" s="814">
        <v>226</v>
      </c>
      <c r="ETN19" s="815">
        <v>0</v>
      </c>
      <c r="ETO19" s="815">
        <v>0</v>
      </c>
      <c r="ETP19" s="815">
        <v>0</v>
      </c>
      <c r="ETQ19" s="815">
        <v>0</v>
      </c>
      <c r="ETR19" s="815"/>
      <c r="ETS19" s="808">
        <f t="shared" si="1092"/>
        <v>226</v>
      </c>
      <c r="ETT19" s="211">
        <f t="shared" si="1093"/>
        <v>37.666666666666664</v>
      </c>
      <c r="ETU19" s="458">
        <v>219</v>
      </c>
      <c r="ETV19" s="83">
        <v>0</v>
      </c>
      <c r="ETW19" s="83"/>
      <c r="ETX19" s="83">
        <v>0</v>
      </c>
      <c r="ETY19" s="83">
        <v>0</v>
      </c>
      <c r="ETZ19" s="83">
        <v>218</v>
      </c>
      <c r="EUA19" s="808">
        <f t="shared" si="1094"/>
        <v>437</v>
      </c>
      <c r="EUB19" s="211">
        <f t="shared" si="1095"/>
        <v>72.833333333333329</v>
      </c>
      <c r="EUC19" s="458">
        <v>228</v>
      </c>
      <c r="EUD19" s="83"/>
      <c r="EUE19" s="83"/>
      <c r="EUF19" s="83"/>
      <c r="EUG19" s="83">
        <v>0</v>
      </c>
      <c r="EUH19" s="83">
        <v>0</v>
      </c>
      <c r="EUI19" s="808">
        <f t="shared" si="1096"/>
        <v>228</v>
      </c>
      <c r="EUJ19" s="211">
        <f t="shared" si="1097"/>
        <v>38</v>
      </c>
      <c r="EUK19" s="195"/>
      <c r="EUL19" s="49"/>
      <c r="EUM19" s="49">
        <v>0</v>
      </c>
      <c r="EUN19" s="49">
        <f>SUMIF(SUMPK!$B:$B,$B:$B,SUMPK!$O:$O)</f>
        <v>0</v>
      </c>
      <c r="EUO19" s="49"/>
      <c r="EUP19" s="49">
        <v>114</v>
      </c>
      <c r="EUQ19" s="808">
        <f t="shared" si="1098"/>
        <v>114</v>
      </c>
      <c r="EUR19" s="211">
        <f t="shared" si="1099"/>
        <v>19</v>
      </c>
      <c r="EUS19" s="195">
        <v>0</v>
      </c>
      <c r="EUT19" s="49">
        <v>0</v>
      </c>
      <c r="EUU19" s="49">
        <v>230</v>
      </c>
      <c r="EUV19" s="49">
        <v>224</v>
      </c>
      <c r="EUW19" s="49"/>
      <c r="EUX19" s="49"/>
      <c r="EUY19" s="808">
        <f t="shared" si="1100"/>
        <v>454</v>
      </c>
      <c r="EUZ19" s="211">
        <f t="shared" si="1101"/>
        <v>75.666666666666671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2"/>
        <v>0</v>
      </c>
      <c r="EVH19" s="211">
        <f t="shared" si="1103"/>
        <v>0</v>
      </c>
      <c r="EVI19" s="195">
        <v>0</v>
      </c>
      <c r="EVJ19" s="49">
        <v>0</v>
      </c>
      <c r="EVK19" s="49">
        <v>223</v>
      </c>
      <c r="EVL19" s="49"/>
      <c r="EVM19" s="49"/>
      <c r="EVN19" s="49"/>
      <c r="EVO19" s="808">
        <f t="shared" si="1104"/>
        <v>223</v>
      </c>
      <c r="EVP19" s="211">
        <f t="shared" si="1105"/>
        <v>37.166666666666664</v>
      </c>
      <c r="EVQ19" s="195">
        <v>0</v>
      </c>
      <c r="EVR19" s="49">
        <v>0</v>
      </c>
      <c r="EVS19" s="49"/>
      <c r="EVT19" s="49"/>
      <c r="EVU19" s="49">
        <v>162</v>
      </c>
      <c r="EVV19" s="49">
        <v>0</v>
      </c>
      <c r="EVW19" s="808">
        <f t="shared" si="1106"/>
        <v>162</v>
      </c>
      <c r="EVX19" s="211">
        <f t="shared" si="1107"/>
        <v>27</v>
      </c>
      <c r="EVY19" s="195">
        <v>0</v>
      </c>
      <c r="EVZ19" s="49">
        <v>0</v>
      </c>
      <c r="EWA19" s="49"/>
      <c r="EWB19" s="49">
        <v>110</v>
      </c>
      <c r="EWC19" s="49"/>
      <c r="EWD19" s="49"/>
      <c r="EWE19" s="808">
        <f t="shared" si="1108"/>
        <v>110</v>
      </c>
      <c r="EWF19" s="211">
        <f t="shared" si="1109"/>
        <v>18.333333333333332</v>
      </c>
      <c r="EWG19" s="195"/>
      <c r="EWH19" s="49">
        <v>200</v>
      </c>
      <c r="EWI19" s="49"/>
      <c r="EWJ19" s="49"/>
      <c r="EWK19" s="49">
        <v>134</v>
      </c>
      <c r="EWL19" s="49">
        <v>0</v>
      </c>
      <c r="EWM19" s="808">
        <f t="shared" si="1110"/>
        <v>334</v>
      </c>
      <c r="EWN19" s="211">
        <f t="shared" si="175"/>
        <v>55.666666666666664</v>
      </c>
      <c r="EWO19" s="195"/>
      <c r="EWP19" s="49"/>
      <c r="EWQ19" s="49">
        <v>0</v>
      </c>
      <c r="EWR19" s="49">
        <v>210</v>
      </c>
      <c r="EWS19" s="49"/>
      <c r="EWT19" s="49">
        <v>0</v>
      </c>
      <c r="EWU19" s="808">
        <f t="shared" si="1111"/>
        <v>210</v>
      </c>
      <c r="EWV19" s="211">
        <f t="shared" si="1112"/>
        <v>35</v>
      </c>
      <c r="EWW19" s="195"/>
      <c r="EWX19" s="49"/>
      <c r="EWY19" s="49">
        <v>0</v>
      </c>
      <c r="EWZ19" s="49">
        <v>0</v>
      </c>
      <c r="EXA19" s="49">
        <v>110</v>
      </c>
      <c r="EXB19" s="49"/>
      <c r="EXC19" s="808">
        <f t="shared" si="1113"/>
        <v>110</v>
      </c>
      <c r="EXD19" s="211">
        <f t="shared" si="1114"/>
        <v>18.333333333333332</v>
      </c>
      <c r="EXE19" s="195"/>
      <c r="EXF19" s="49">
        <v>0</v>
      </c>
      <c r="EXG19" s="49"/>
      <c r="EXH19" s="49">
        <v>0</v>
      </c>
      <c r="EXI19" s="49">
        <v>109</v>
      </c>
      <c r="EXJ19" s="49">
        <v>0</v>
      </c>
      <c r="EXK19" s="808">
        <f t="shared" si="1115"/>
        <v>109</v>
      </c>
      <c r="EXL19" s="211">
        <f t="shared" si="1116"/>
        <v>18.166666666666668</v>
      </c>
      <c r="EXM19" s="458">
        <v>109</v>
      </c>
      <c r="EXN19" s="83"/>
      <c r="EXO19" s="83"/>
      <c r="EXP19" s="83">
        <v>0</v>
      </c>
      <c r="EXQ19" s="83"/>
      <c r="EXR19" s="83">
        <v>0</v>
      </c>
      <c r="EXS19" s="808">
        <f t="shared" si="1117"/>
        <v>109</v>
      </c>
      <c r="EXT19" s="211">
        <f t="shared" si="1118"/>
        <v>18.166666666666668</v>
      </c>
      <c r="EXU19" s="195"/>
      <c r="EXV19" s="49"/>
      <c r="EXW19" s="49"/>
      <c r="EXX19" s="49">
        <v>220</v>
      </c>
      <c r="EXY19" s="49"/>
      <c r="EXZ19" s="49">
        <v>0</v>
      </c>
      <c r="EYA19" s="808">
        <f t="shared" si="1119"/>
        <v>220</v>
      </c>
      <c r="EYB19" s="211">
        <f t="shared" si="1120"/>
        <v>36.666666666666664</v>
      </c>
      <c r="EYC19" s="195">
        <v>0</v>
      </c>
      <c r="EYD19" s="49"/>
      <c r="EYE19" s="49">
        <v>0</v>
      </c>
      <c r="EYF19" s="49"/>
      <c r="EYG19" s="49">
        <v>220</v>
      </c>
      <c r="EYH19" s="49">
        <v>0</v>
      </c>
      <c r="EYI19" s="808">
        <f t="shared" si="1121"/>
        <v>220</v>
      </c>
      <c r="EYJ19" s="211">
        <f t="shared" si="1122"/>
        <v>36.666666666666664</v>
      </c>
      <c r="EYK19" s="195">
        <v>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3"/>
        <v>0</v>
      </c>
      <c r="EYR19" s="211">
        <f t="shared" si="1124"/>
        <v>0</v>
      </c>
      <c r="EYS19" s="195">
        <v>0</v>
      </c>
      <c r="EYT19" s="49">
        <v>219</v>
      </c>
      <c r="EYU19" s="49"/>
      <c r="EYV19" s="49"/>
      <c r="EYW19" s="49"/>
      <c r="EYX19" s="49"/>
      <c r="EYY19" s="872">
        <f t="shared" si="1125"/>
        <v>219</v>
      </c>
      <c r="EYZ19" s="873">
        <f t="shared" si="1126"/>
        <v>36.5</v>
      </c>
      <c r="EZA19" s="195">
        <v>0</v>
      </c>
      <c r="EZB19" s="49">
        <v>0</v>
      </c>
      <c r="EZC19" s="49">
        <v>0</v>
      </c>
      <c r="EZD19" s="49">
        <v>219</v>
      </c>
      <c r="EZE19" s="49"/>
      <c r="EZF19" s="49">
        <v>109</v>
      </c>
      <c r="EZG19" s="872">
        <f t="shared" si="1127"/>
        <v>328</v>
      </c>
      <c r="EZH19" s="873">
        <f t="shared" si="1128"/>
        <v>54.666666666666664</v>
      </c>
      <c r="EZI19" s="195"/>
      <c r="EZJ19" s="49"/>
      <c r="EZK19" s="49">
        <v>0</v>
      </c>
      <c r="EZL19" s="49"/>
      <c r="EZM19" s="49"/>
      <c r="EZN19" s="49"/>
      <c r="EZO19" s="872">
        <f t="shared" si="1129"/>
        <v>0</v>
      </c>
      <c r="EZP19" s="873">
        <f t="shared" si="1130"/>
        <v>0</v>
      </c>
    </row>
    <row r="20" spans="1:4072" s="8" customFormat="1" ht="15" customHeight="1" x14ac:dyDescent="0.2">
      <c r="A20" s="301">
        <v>14</v>
      </c>
      <c r="B20" s="21" t="s">
        <v>133</v>
      </c>
      <c r="C20" s="275" t="s">
        <v>294</v>
      </c>
      <c r="D20" s="21">
        <v>25</v>
      </c>
      <c r="E20" s="24"/>
      <c r="F20" s="24">
        <v>731</v>
      </c>
      <c r="G20" s="24"/>
      <c r="H20" s="24"/>
      <c r="I20" s="360"/>
      <c r="J20" s="360">
        <f>SUMIF(SUMPK!$B:$B,$B:$B,SUMPK!$O:$O)</f>
        <v>0</v>
      </c>
      <c r="K20" s="15">
        <f t="shared" si="1204"/>
        <v>0</v>
      </c>
      <c r="L20" s="24">
        <f t="shared" si="187"/>
        <v>731</v>
      </c>
      <c r="M20" s="24">
        <f t="shared" si="188"/>
        <v>731</v>
      </c>
      <c r="N20" s="15">
        <v>18.333333333333332</v>
      </c>
      <c r="O20" s="276">
        <f t="shared" si="1206"/>
        <v>39.872727272727275</v>
      </c>
      <c r="P20" s="712">
        <v>113.33333333333333</v>
      </c>
      <c r="Q20" s="276">
        <f t="shared" si="190"/>
        <v>38.700000000000003</v>
      </c>
      <c r="R20" s="277">
        <f t="shared" si="191"/>
        <v>36.92307692307692</v>
      </c>
      <c r="S20" s="222">
        <v>960</v>
      </c>
      <c r="T20" s="276">
        <f t="shared" si="1207"/>
        <v>19.797916666666669</v>
      </c>
      <c r="U20" s="303"/>
      <c r="V20" s="302">
        <f t="shared" si="1205"/>
        <v>19.797916666666669</v>
      </c>
      <c r="W20" s="304">
        <f t="shared" ref="W20" si="1208">F20/(E20+F20)</f>
        <v>1</v>
      </c>
      <c r="X20" s="305"/>
      <c r="Y20" s="280"/>
      <c r="Z20" s="280"/>
      <c r="AA20" s="280"/>
      <c r="AB20" s="280"/>
      <c r="AC20" s="662">
        <v>18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91"/>
      <c r="JK20" s="88"/>
      <c r="JL20" s="88"/>
      <c r="JM20" s="88"/>
      <c r="JN20" s="88"/>
      <c r="JO20" s="88"/>
      <c r="JP20" s="89"/>
      <c r="JQ20" s="90"/>
      <c r="JR20" s="91"/>
      <c r="JS20" s="88"/>
      <c r="JT20" s="88"/>
      <c r="JU20" s="88"/>
      <c r="JV20" s="88"/>
      <c r="JW20" s="88"/>
      <c r="JX20" s="89"/>
      <c r="JY20" s="90"/>
      <c r="JZ20" s="91"/>
      <c r="KA20" s="88"/>
      <c r="KB20" s="88"/>
      <c r="KC20" s="88"/>
      <c r="KD20" s="88"/>
      <c r="KE20" s="88"/>
      <c r="KF20" s="42">
        <f t="shared" si="194"/>
        <v>0</v>
      </c>
      <c r="KG20" s="43">
        <f t="shared" si="195"/>
        <v>0</v>
      </c>
      <c r="KH20" s="48"/>
      <c r="KI20" s="49"/>
      <c r="KJ20" s="49"/>
      <c r="KK20" s="49"/>
      <c r="KL20" s="49"/>
      <c r="KM20" s="49"/>
      <c r="KN20" s="67">
        <f t="shared" si="196"/>
        <v>0</v>
      </c>
      <c r="KO20" s="68">
        <f t="shared" si="197"/>
        <v>0</v>
      </c>
      <c r="KP20" s="48">
        <v>1919</v>
      </c>
      <c r="KQ20" s="49"/>
      <c r="KR20" s="49"/>
      <c r="KS20" s="49">
        <v>2350</v>
      </c>
      <c r="KT20" s="49"/>
      <c r="KU20" s="49"/>
      <c r="KV20" s="67">
        <f t="shared" si="198"/>
        <v>4269</v>
      </c>
      <c r="KW20" s="68">
        <f t="shared" si="199"/>
        <v>711.5</v>
      </c>
      <c r="KX20" s="48"/>
      <c r="KY20" s="49"/>
      <c r="KZ20" s="49"/>
      <c r="LA20" s="49"/>
      <c r="LB20" s="49"/>
      <c r="LC20" s="49"/>
      <c r="LD20" s="67">
        <f t="shared" si="200"/>
        <v>0</v>
      </c>
      <c r="LE20" s="68">
        <f t="shared" si="201"/>
        <v>0</v>
      </c>
      <c r="LF20" s="48"/>
      <c r="LG20" s="49"/>
      <c r="LH20" s="49"/>
      <c r="LI20" s="49"/>
      <c r="LJ20" s="49"/>
      <c r="LK20" s="49">
        <v>1972</v>
      </c>
      <c r="LL20" s="67">
        <f t="shared" si="202"/>
        <v>1972</v>
      </c>
      <c r="LM20" s="68">
        <f t="shared" si="203"/>
        <v>328.66666666666669</v>
      </c>
      <c r="LN20" s="48"/>
      <c r="LO20" s="49"/>
      <c r="LP20" s="49"/>
      <c r="LQ20" s="49"/>
      <c r="LR20" s="49"/>
      <c r="LS20" s="49"/>
      <c r="LT20" s="67">
        <f t="shared" si="204"/>
        <v>0</v>
      </c>
      <c r="LU20" s="68">
        <f t="shared" si="205"/>
        <v>0</v>
      </c>
      <c r="LV20" s="48"/>
      <c r="LW20" s="49"/>
      <c r="LX20" s="49">
        <v>2941</v>
      </c>
      <c r="LY20" s="49"/>
      <c r="LZ20" s="49"/>
      <c r="MA20" s="49"/>
      <c r="MB20" s="67">
        <f t="shared" si="206"/>
        <v>2941</v>
      </c>
      <c r="MC20" s="68">
        <f t="shared" si="207"/>
        <v>490.16666666666669</v>
      </c>
      <c r="MD20" s="48"/>
      <c r="ME20" s="49"/>
      <c r="MF20" s="49"/>
      <c r="MG20" s="49">
        <v>1341</v>
      </c>
      <c r="MH20" s="49"/>
      <c r="MI20" s="49"/>
      <c r="MJ20" s="67">
        <f t="shared" si="208"/>
        <v>1341</v>
      </c>
      <c r="MK20" s="68">
        <f t="shared" si="209"/>
        <v>223.5</v>
      </c>
      <c r="ML20" s="48"/>
      <c r="MM20" s="49"/>
      <c r="MN20" s="49"/>
      <c r="MO20" s="49"/>
      <c r="MP20" s="49"/>
      <c r="MQ20" s="49"/>
      <c r="MR20" s="67">
        <f t="shared" si="210"/>
        <v>0</v>
      </c>
      <c r="MS20" s="68">
        <f t="shared" si="211"/>
        <v>0</v>
      </c>
      <c r="MT20" s="48">
        <v>1195</v>
      </c>
      <c r="MU20" s="49"/>
      <c r="MV20" s="49"/>
      <c r="MW20" s="49"/>
      <c r="MX20" s="49"/>
      <c r="MY20" s="49">
        <v>2351</v>
      </c>
      <c r="MZ20" s="67">
        <f t="shared" si="212"/>
        <v>3546</v>
      </c>
      <c r="NA20" s="68">
        <f t="shared" si="213"/>
        <v>591</v>
      </c>
      <c r="NB20" s="48"/>
      <c r="NC20" s="49"/>
      <c r="ND20" s="49"/>
      <c r="NE20" s="49"/>
      <c r="NF20" s="49"/>
      <c r="NG20" s="49"/>
      <c r="NH20" s="67">
        <f t="shared" si="214"/>
        <v>0</v>
      </c>
      <c r="NI20" s="68">
        <f t="shared" si="215"/>
        <v>0</v>
      </c>
      <c r="NJ20" s="48"/>
      <c r="NK20" s="49">
        <v>1534</v>
      </c>
      <c r="NL20" s="49"/>
      <c r="NM20" s="49"/>
      <c r="NN20" s="49"/>
      <c r="NO20" s="49"/>
      <c r="NP20" s="67">
        <f t="shared" si="216"/>
        <v>1534</v>
      </c>
      <c r="NQ20" s="68">
        <f t="shared" si="217"/>
        <v>255.66666666666666</v>
      </c>
      <c r="NR20" s="48"/>
      <c r="NS20" s="49"/>
      <c r="NT20" s="49"/>
      <c r="NU20" s="49">
        <v>1280</v>
      </c>
      <c r="NV20" s="49"/>
      <c r="NW20" s="49"/>
      <c r="NX20" s="67">
        <f t="shared" si="218"/>
        <v>1280</v>
      </c>
      <c r="NY20" s="68">
        <f t="shared" si="219"/>
        <v>213.33333333333334</v>
      </c>
      <c r="NZ20" s="48"/>
      <c r="OA20" s="49">
        <v>2045</v>
      </c>
      <c r="OB20" s="49"/>
      <c r="OC20" s="49"/>
      <c r="OD20" s="49"/>
      <c r="OE20" s="49">
        <v>2055</v>
      </c>
      <c r="OF20" s="67">
        <f t="shared" si="220"/>
        <v>4100</v>
      </c>
      <c r="OG20" s="68">
        <f t="shared" si="221"/>
        <v>683.33333333333337</v>
      </c>
      <c r="OH20" s="48">
        <v>368</v>
      </c>
      <c r="OI20" s="49"/>
      <c r="OJ20" s="49"/>
      <c r="OK20" s="49"/>
      <c r="OL20" s="49"/>
      <c r="OM20" s="49"/>
      <c r="ON20" s="67">
        <f t="shared" si="222"/>
        <v>368</v>
      </c>
      <c r="OO20" s="68">
        <f t="shared" si="223"/>
        <v>61.333333333333336</v>
      </c>
      <c r="OP20" s="48"/>
      <c r="OQ20" s="49"/>
      <c r="OR20" s="49"/>
      <c r="OS20" s="49"/>
      <c r="OT20" s="49"/>
      <c r="OU20" s="49">
        <v>3306</v>
      </c>
      <c r="OV20" s="67">
        <f t="shared" si="224"/>
        <v>3306</v>
      </c>
      <c r="OW20" s="68">
        <f t="shared" si="225"/>
        <v>551</v>
      </c>
      <c r="OX20" s="48"/>
      <c r="OY20" s="49"/>
      <c r="OZ20" s="49"/>
      <c r="PA20" s="49"/>
      <c r="PB20" s="49"/>
      <c r="PC20" s="49"/>
      <c r="PD20" s="67">
        <f t="shared" si="226"/>
        <v>0</v>
      </c>
      <c r="PE20" s="68">
        <f t="shared" si="227"/>
        <v>0</v>
      </c>
      <c r="PF20" s="48"/>
      <c r="PG20" s="49"/>
      <c r="PH20" s="49"/>
      <c r="PI20" s="49"/>
      <c r="PJ20" s="49"/>
      <c r="PK20" s="49">
        <v>2476</v>
      </c>
      <c r="PL20" s="67">
        <f t="shared" si="228"/>
        <v>2476</v>
      </c>
      <c r="PM20" s="68">
        <f t="shared" si="229"/>
        <v>412.66666666666669</v>
      </c>
      <c r="PN20" s="48"/>
      <c r="PO20" s="49">
        <v>1411</v>
      </c>
      <c r="PP20" s="49">
        <v>594</v>
      </c>
      <c r="PQ20" s="49"/>
      <c r="PR20" s="49">
        <v>2198</v>
      </c>
      <c r="PS20" s="49"/>
      <c r="PT20" s="104">
        <f t="shared" si="230"/>
        <v>4203</v>
      </c>
      <c r="PU20" s="105">
        <f t="shared" si="231"/>
        <v>700.5</v>
      </c>
      <c r="PV20" s="106"/>
      <c r="PW20" s="107"/>
      <c r="PX20" s="107"/>
      <c r="PY20" s="107"/>
      <c r="PZ20" s="107"/>
      <c r="QA20" s="107"/>
      <c r="QB20" s="104">
        <f t="shared" si="232"/>
        <v>0</v>
      </c>
      <c r="QC20" s="105">
        <f t="shared" si="233"/>
        <v>0</v>
      </c>
      <c r="QD20" s="106"/>
      <c r="QE20" s="107"/>
      <c r="QF20" s="107">
        <v>2781</v>
      </c>
      <c r="QG20" s="107">
        <v>307</v>
      </c>
      <c r="QH20" s="107"/>
      <c r="QI20" s="107"/>
      <c r="QJ20" s="104">
        <f t="shared" si="234"/>
        <v>3088</v>
      </c>
      <c r="QK20" s="105">
        <f t="shared" si="235"/>
        <v>514.66666666666663</v>
      </c>
      <c r="QL20" s="106"/>
      <c r="QM20" s="107"/>
      <c r="QN20" s="107"/>
      <c r="QO20" s="107"/>
      <c r="QP20" s="107"/>
      <c r="QQ20" s="107">
        <v>1999</v>
      </c>
      <c r="QR20" s="104">
        <f t="shared" si="236"/>
        <v>1999</v>
      </c>
      <c r="QS20" s="105">
        <f t="shared" si="237"/>
        <v>333.16666666666669</v>
      </c>
      <c r="QT20" s="106"/>
      <c r="QU20" s="107"/>
      <c r="QV20" s="107"/>
      <c r="QW20" s="107"/>
      <c r="QX20" s="107"/>
      <c r="QY20" s="107"/>
      <c r="QZ20" s="104">
        <f t="shared" si="238"/>
        <v>0</v>
      </c>
      <c r="RA20" s="105">
        <f t="shared" si="239"/>
        <v>0</v>
      </c>
      <c r="RB20" s="106"/>
      <c r="RC20" s="107">
        <v>2946</v>
      </c>
      <c r="RD20" s="107"/>
      <c r="RE20" s="107"/>
      <c r="RF20" s="107"/>
      <c r="RG20" s="107"/>
      <c r="RH20" s="104">
        <f t="shared" si="240"/>
        <v>2946</v>
      </c>
      <c r="RI20" s="105">
        <f t="shared" si="241"/>
        <v>491</v>
      </c>
      <c r="RJ20" s="106"/>
      <c r="RK20" s="107"/>
      <c r="RL20" s="107"/>
      <c r="RM20" s="107"/>
      <c r="RN20" s="107"/>
      <c r="RO20" s="107">
        <v>3783</v>
      </c>
      <c r="RP20" s="104">
        <f t="shared" si="242"/>
        <v>3783</v>
      </c>
      <c r="RQ20" s="105">
        <f t="shared" si="243"/>
        <v>630.5</v>
      </c>
      <c r="RR20" s="106"/>
      <c r="RS20" s="107"/>
      <c r="RT20" s="107"/>
      <c r="RU20" s="107"/>
      <c r="RV20" s="107"/>
      <c r="RW20" s="107"/>
      <c r="RX20" s="104">
        <f t="shared" si="244"/>
        <v>0</v>
      </c>
      <c r="RY20" s="105">
        <f t="shared" si="245"/>
        <v>0</v>
      </c>
      <c r="RZ20" s="106"/>
      <c r="SA20" s="107"/>
      <c r="SB20" s="107"/>
      <c r="SC20" s="107"/>
      <c r="SD20" s="107"/>
      <c r="SE20" s="107"/>
      <c r="SF20" s="104">
        <f t="shared" si="246"/>
        <v>0</v>
      </c>
      <c r="SG20" s="105">
        <f t="shared" si="247"/>
        <v>0</v>
      </c>
      <c r="SH20" s="106">
        <v>2975</v>
      </c>
      <c r="SI20" s="107"/>
      <c r="SJ20" s="107"/>
      <c r="SK20" s="107"/>
      <c r="SL20" s="107"/>
      <c r="SM20" s="107"/>
      <c r="SN20" s="104">
        <f t="shared" si="248"/>
        <v>2975</v>
      </c>
      <c r="SO20" s="105">
        <f t="shared" si="249"/>
        <v>495.83333333333331</v>
      </c>
      <c r="SP20" s="106"/>
      <c r="SQ20" s="107">
        <v>2760</v>
      </c>
      <c r="SR20" s="107"/>
      <c r="SS20" s="107"/>
      <c r="ST20" s="107"/>
      <c r="SU20" s="107"/>
      <c r="SV20" s="104">
        <f t="shared" si="250"/>
        <v>2760</v>
      </c>
      <c r="SW20" s="105">
        <f t="shared" si="251"/>
        <v>460</v>
      </c>
      <c r="SX20" s="106">
        <v>4025</v>
      </c>
      <c r="SY20" s="107"/>
      <c r="SZ20" s="107"/>
      <c r="TA20" s="107"/>
      <c r="TB20" s="107"/>
      <c r="TC20" s="107"/>
      <c r="TD20" s="104">
        <f t="shared" si="252"/>
        <v>4025</v>
      </c>
      <c r="TE20" s="105">
        <f t="shared" si="253"/>
        <v>670.83333333333337</v>
      </c>
      <c r="TF20" s="106"/>
      <c r="TG20" s="107"/>
      <c r="TH20" s="107"/>
      <c r="TI20" s="107"/>
      <c r="TJ20" s="107"/>
      <c r="TK20" s="107"/>
      <c r="TL20" s="104">
        <f t="shared" si="254"/>
        <v>0</v>
      </c>
      <c r="TM20" s="105">
        <f t="shared" si="255"/>
        <v>0</v>
      </c>
      <c r="TN20" s="106">
        <v>1683</v>
      </c>
      <c r="TO20" s="107">
        <v>679</v>
      </c>
      <c r="TP20" s="107"/>
      <c r="TQ20" s="107"/>
      <c r="TR20" s="107"/>
      <c r="TS20" s="107"/>
      <c r="TT20" s="104">
        <f t="shared" si="256"/>
        <v>2362</v>
      </c>
      <c r="TU20" s="105">
        <f t="shared" si="257"/>
        <v>393.66666666666669</v>
      </c>
      <c r="TV20" s="106"/>
      <c r="TW20" s="107"/>
      <c r="TX20" s="107"/>
      <c r="TY20" s="107"/>
      <c r="TZ20" s="107"/>
      <c r="UA20" s="107"/>
      <c r="UB20" s="104">
        <f t="shared" si="258"/>
        <v>0</v>
      </c>
      <c r="UC20" s="105">
        <f t="shared" si="259"/>
        <v>0</v>
      </c>
      <c r="UD20" s="106">
        <v>2574</v>
      </c>
      <c r="UE20" s="107"/>
      <c r="UF20" s="107"/>
      <c r="UG20" s="107"/>
      <c r="UH20" s="107"/>
      <c r="UI20" s="107"/>
      <c r="UJ20" s="104">
        <f t="shared" si="260"/>
        <v>2574</v>
      </c>
      <c r="UK20" s="105">
        <f t="shared" si="261"/>
        <v>429</v>
      </c>
      <c r="UL20" s="106">
        <v>2826</v>
      </c>
      <c r="UM20" s="107"/>
      <c r="UN20" s="107"/>
      <c r="UO20" s="107"/>
      <c r="UP20" s="107"/>
      <c r="UQ20" s="107"/>
      <c r="UR20" s="107">
        <v>1692</v>
      </c>
      <c r="US20" s="104">
        <f t="shared" si="262"/>
        <v>4518</v>
      </c>
      <c r="UT20" s="105">
        <f t="shared" si="263"/>
        <v>753</v>
      </c>
      <c r="UU20" s="106">
        <v>1538</v>
      </c>
      <c r="UV20" s="107"/>
      <c r="UW20" s="107"/>
      <c r="UX20" s="107"/>
      <c r="UY20" s="107"/>
      <c r="UZ20" s="107"/>
      <c r="VA20" s="104">
        <f t="shared" si="264"/>
        <v>1538</v>
      </c>
      <c r="VB20" s="105">
        <f t="shared" si="265"/>
        <v>256.33333333333331</v>
      </c>
      <c r="VC20" s="106"/>
      <c r="VD20" s="107"/>
      <c r="VE20" s="107"/>
      <c r="VF20" s="107"/>
      <c r="VG20" s="107"/>
      <c r="VH20" s="107"/>
      <c r="VI20" s="104">
        <f t="shared" si="266"/>
        <v>0</v>
      </c>
      <c r="VJ20" s="105">
        <f t="shared" si="267"/>
        <v>0</v>
      </c>
      <c r="VK20" s="106">
        <v>2696</v>
      </c>
      <c r="VL20" s="107">
        <v>463</v>
      </c>
      <c r="VM20" s="107"/>
      <c r="VN20" s="107"/>
      <c r="VO20" s="107"/>
      <c r="VP20" s="107"/>
      <c r="VQ20" s="104">
        <f t="shared" si="268"/>
        <v>3159</v>
      </c>
      <c r="VR20" s="105">
        <f t="shared" si="269"/>
        <v>526.5</v>
      </c>
      <c r="VS20" s="106"/>
      <c r="VT20" s="107"/>
      <c r="VU20" s="107"/>
      <c r="VV20" s="107"/>
      <c r="VW20" s="107">
        <v>589</v>
      </c>
      <c r="VX20" s="107">
        <v>2105</v>
      </c>
      <c r="VY20" s="104">
        <f t="shared" si="270"/>
        <v>2694</v>
      </c>
      <c r="VZ20" s="105">
        <f t="shared" si="271"/>
        <v>449</v>
      </c>
      <c r="WA20" s="63"/>
      <c r="WB20" s="64"/>
      <c r="WC20" s="64"/>
      <c r="WD20" s="64"/>
      <c r="WE20" s="64"/>
      <c r="WF20" s="64"/>
      <c r="WG20" s="67">
        <f t="shared" si="272"/>
        <v>0</v>
      </c>
      <c r="WH20" s="68">
        <f t="shared" si="273"/>
        <v>0</v>
      </c>
      <c r="WI20" s="48"/>
      <c r="WJ20" s="49"/>
      <c r="WK20" s="49">
        <v>3157</v>
      </c>
      <c r="WL20" s="49"/>
      <c r="WM20" s="49"/>
      <c r="WN20" s="49"/>
      <c r="WO20" s="67">
        <f t="shared" si="274"/>
        <v>3157</v>
      </c>
      <c r="WP20" s="68">
        <f t="shared" si="275"/>
        <v>526.16666666666663</v>
      </c>
      <c r="WQ20" s="48"/>
      <c r="WR20" s="49"/>
      <c r="WS20" s="49"/>
      <c r="WT20" s="49">
        <v>3236</v>
      </c>
      <c r="WU20" s="49"/>
      <c r="WV20" s="49"/>
      <c r="WW20" s="49"/>
      <c r="WX20" s="67">
        <f t="shared" si="276"/>
        <v>3236</v>
      </c>
      <c r="WY20" s="68">
        <f t="shared" si="277"/>
        <v>539.33333333333337</v>
      </c>
      <c r="WZ20" s="48"/>
      <c r="XA20" s="49"/>
      <c r="XB20" s="49"/>
      <c r="XC20" s="49"/>
      <c r="XD20" s="49"/>
      <c r="XE20" s="49">
        <v>2316</v>
      </c>
      <c r="XF20" s="49"/>
      <c r="XG20" s="67">
        <f t="shared" si="278"/>
        <v>2316</v>
      </c>
      <c r="XH20" s="68">
        <f t="shared" si="279"/>
        <v>386</v>
      </c>
      <c r="XI20" s="106"/>
      <c r="XJ20" s="107"/>
      <c r="XK20" s="107"/>
      <c r="XL20" s="107"/>
      <c r="XM20" s="107"/>
      <c r="XN20" s="107"/>
      <c r="XO20" s="107"/>
      <c r="XP20" s="104">
        <f t="shared" si="280"/>
        <v>0</v>
      </c>
      <c r="XQ20" s="105">
        <f t="shared" si="281"/>
        <v>0</v>
      </c>
      <c r="XR20" s="48"/>
      <c r="XS20" s="49"/>
      <c r="XT20" s="49"/>
      <c r="XU20" s="49"/>
      <c r="XV20" s="49"/>
      <c r="XW20" s="49"/>
      <c r="XX20" s="49"/>
      <c r="XY20" s="67">
        <f t="shared" si="282"/>
        <v>0</v>
      </c>
      <c r="XZ20" s="68">
        <f t="shared" si="283"/>
        <v>0</v>
      </c>
      <c r="YA20" s="48"/>
      <c r="YB20" s="49">
        <v>3268</v>
      </c>
      <c r="YC20" s="49"/>
      <c r="YD20" s="49"/>
      <c r="YE20" s="49"/>
      <c r="YF20" s="49"/>
      <c r="YG20" s="49"/>
      <c r="YH20" s="67">
        <f t="shared" si="284"/>
        <v>3268</v>
      </c>
      <c r="YI20" s="68">
        <f t="shared" si="285"/>
        <v>544.66666666666663</v>
      </c>
      <c r="YJ20" s="48"/>
      <c r="YK20" s="49"/>
      <c r="YL20" s="49"/>
      <c r="YM20" s="49"/>
      <c r="YN20" s="49">
        <v>1736</v>
      </c>
      <c r="YO20" s="49"/>
      <c r="YP20" s="49"/>
      <c r="YQ20" s="67">
        <f t="shared" si="286"/>
        <v>1736</v>
      </c>
      <c r="YR20" s="68">
        <f t="shared" si="287"/>
        <v>289.33333333333331</v>
      </c>
      <c r="YS20" s="48">
        <v>1098</v>
      </c>
      <c r="YT20" s="49"/>
      <c r="YU20" s="49"/>
      <c r="YV20" s="49"/>
      <c r="YW20" s="49"/>
      <c r="YX20" s="49"/>
      <c r="YY20" s="67">
        <f t="shared" si="288"/>
        <v>1098</v>
      </c>
      <c r="YZ20" s="68">
        <f t="shared" si="289"/>
        <v>183</v>
      </c>
      <c r="ZA20" s="48"/>
      <c r="ZB20" s="49"/>
      <c r="ZC20" s="49"/>
      <c r="ZD20" s="49"/>
      <c r="ZE20" s="49"/>
      <c r="ZF20" s="49"/>
      <c r="ZG20" s="67">
        <f t="shared" si="290"/>
        <v>0</v>
      </c>
      <c r="ZH20" s="68">
        <f t="shared" si="291"/>
        <v>0</v>
      </c>
      <c r="ZI20" s="48">
        <v>2402</v>
      </c>
      <c r="ZJ20" s="49"/>
      <c r="ZK20" s="49"/>
      <c r="ZL20" s="49"/>
      <c r="ZM20" s="49"/>
      <c r="ZN20" s="24">
        <v>1386</v>
      </c>
      <c r="ZO20" s="67">
        <f t="shared" si="292"/>
        <v>3788</v>
      </c>
      <c r="ZP20" s="68">
        <f t="shared" si="293"/>
        <v>631.33333333333337</v>
      </c>
      <c r="ZQ20" s="48"/>
      <c r="ZR20" s="49"/>
      <c r="ZS20" s="49"/>
      <c r="ZT20" s="49"/>
      <c r="ZU20" s="49"/>
      <c r="ZV20" s="49"/>
      <c r="ZW20" s="49"/>
      <c r="ZX20" s="67">
        <f t="shared" si="294"/>
        <v>0</v>
      </c>
      <c r="ZY20" s="68">
        <f t="shared" si="295"/>
        <v>0</v>
      </c>
      <c r="ZZ20" s="48"/>
      <c r="AAA20" s="49"/>
      <c r="AAB20" s="49"/>
      <c r="AAC20" s="49">
        <v>1501</v>
      </c>
      <c r="AAD20" s="49"/>
      <c r="AAE20" s="49"/>
      <c r="AAF20" s="49"/>
      <c r="AAG20" s="67">
        <f t="shared" si="296"/>
        <v>1501</v>
      </c>
      <c r="AAH20" s="68">
        <f t="shared" si="297"/>
        <v>250.16666666666666</v>
      </c>
      <c r="AAI20" s="48"/>
      <c r="AAJ20" s="49"/>
      <c r="AAK20" s="49">
        <v>2561</v>
      </c>
      <c r="AAL20" s="49"/>
      <c r="AAM20" s="49"/>
      <c r="AAN20" s="49"/>
      <c r="AAO20" s="67">
        <f t="shared" si="298"/>
        <v>2561</v>
      </c>
      <c r="AAP20" s="68">
        <f t="shared" si="299"/>
        <v>426.83333333333331</v>
      </c>
      <c r="AAQ20" s="48"/>
      <c r="AAR20" s="49">
        <v>3261</v>
      </c>
      <c r="AAS20" s="49"/>
      <c r="AAT20" s="49"/>
      <c r="AAU20" s="49"/>
      <c r="AAV20" s="49"/>
      <c r="AAW20" s="67">
        <f t="shared" si="300"/>
        <v>3261</v>
      </c>
      <c r="AAX20" s="68">
        <f t="shared" si="301"/>
        <v>543.5</v>
      </c>
      <c r="AAY20" s="48"/>
      <c r="AAZ20" s="49"/>
      <c r="ABA20" s="49"/>
      <c r="ABB20" s="49"/>
      <c r="ABC20" s="49"/>
      <c r="ABD20" s="49"/>
      <c r="ABE20" s="67">
        <f t="shared" si="302"/>
        <v>0</v>
      </c>
      <c r="ABF20" s="68">
        <f t="shared" si="303"/>
        <v>0</v>
      </c>
      <c r="ABG20" s="48"/>
      <c r="ABH20" s="49">
        <v>1887</v>
      </c>
      <c r="ABI20" s="49">
        <v>1466</v>
      </c>
      <c r="ABJ20" s="49"/>
      <c r="ABK20" s="49"/>
      <c r="ABL20" s="49"/>
      <c r="ABM20" s="67">
        <f t="shared" si="304"/>
        <v>3353</v>
      </c>
      <c r="ABN20" s="68">
        <f t="shared" si="305"/>
        <v>558.83333333333337</v>
      </c>
      <c r="ABO20" s="48"/>
      <c r="ABP20" s="49"/>
      <c r="ABQ20" s="49"/>
      <c r="ABR20" s="49">
        <v>2662</v>
      </c>
      <c r="ABS20" s="49"/>
      <c r="ABT20" s="49"/>
      <c r="ABU20" s="67">
        <f t="shared" si="306"/>
        <v>2662</v>
      </c>
      <c r="ABV20" s="68">
        <f t="shared" si="307"/>
        <v>443.66666666666669</v>
      </c>
      <c r="ABW20" s="48"/>
      <c r="ABX20" s="49"/>
      <c r="ABY20" s="49"/>
      <c r="ABZ20" s="49">
        <v>561</v>
      </c>
      <c r="ACA20" s="49"/>
      <c r="ACB20" s="49"/>
      <c r="ACC20" s="67">
        <f t="shared" si="308"/>
        <v>561</v>
      </c>
      <c r="ACD20" s="68">
        <f t="shared" si="309"/>
        <v>93.5</v>
      </c>
      <c r="ACE20" s="48"/>
      <c r="ACF20" s="49"/>
      <c r="ACG20" s="49">
        <v>471</v>
      </c>
      <c r="ACH20" s="49"/>
      <c r="ACI20" s="49"/>
      <c r="ACJ20" s="49"/>
      <c r="ACK20" s="67">
        <f t="shared" si="310"/>
        <v>471</v>
      </c>
      <c r="ACL20" s="68">
        <f t="shared" si="311"/>
        <v>78.5</v>
      </c>
      <c r="ACM20" s="48">
        <v>2997</v>
      </c>
      <c r="ACN20" s="49"/>
      <c r="ACO20" s="49"/>
      <c r="ACP20" s="49"/>
      <c r="ACQ20" s="49"/>
      <c r="ACR20" s="49"/>
      <c r="ACS20" s="67">
        <f t="shared" si="312"/>
        <v>2997</v>
      </c>
      <c r="ACT20" s="68">
        <f t="shared" si="313"/>
        <v>499.5</v>
      </c>
      <c r="ACU20" s="48"/>
      <c r="ACV20" s="49">
        <v>888</v>
      </c>
      <c r="ACW20" s="49"/>
      <c r="ACX20" s="49"/>
      <c r="ACY20" s="49"/>
      <c r="ACZ20" s="49"/>
      <c r="ADA20" s="67">
        <f t="shared" si="314"/>
        <v>888</v>
      </c>
      <c r="ADB20" s="68">
        <f t="shared" si="315"/>
        <v>148</v>
      </c>
      <c r="ADC20" s="48"/>
      <c r="ADD20" s="49"/>
      <c r="ADE20" s="49">
        <v>2596</v>
      </c>
      <c r="ADF20" s="49"/>
      <c r="ADG20" s="49"/>
      <c r="ADH20" s="49"/>
      <c r="ADI20" s="67">
        <f t="shared" si="316"/>
        <v>2596</v>
      </c>
      <c r="ADJ20" s="68">
        <f t="shared" si="317"/>
        <v>432.66666666666669</v>
      </c>
      <c r="ADK20" s="48"/>
      <c r="ADL20" s="49"/>
      <c r="ADM20" s="49"/>
      <c r="ADN20" s="49"/>
      <c r="ADO20" s="49">
        <v>2440</v>
      </c>
      <c r="ADP20" s="49"/>
      <c r="ADQ20" s="67">
        <f t="shared" si="318"/>
        <v>2440</v>
      </c>
      <c r="ADR20" s="68">
        <f t="shared" si="319"/>
        <v>406.66666666666669</v>
      </c>
      <c r="ADS20" s="48"/>
      <c r="ADT20" s="49"/>
      <c r="ADU20" s="49"/>
      <c r="ADV20" s="49">
        <v>222</v>
      </c>
      <c r="ADW20" s="49"/>
      <c r="ADX20" s="49"/>
      <c r="ADY20" s="67">
        <f t="shared" si="320"/>
        <v>222</v>
      </c>
      <c r="ADZ20" s="68">
        <f t="shared" si="321"/>
        <v>37</v>
      </c>
      <c r="AEA20" s="48"/>
      <c r="AEB20" s="49"/>
      <c r="AEC20" s="49"/>
      <c r="AED20" s="49"/>
      <c r="AEE20" s="49">
        <v>1680</v>
      </c>
      <c r="AEF20" s="49"/>
      <c r="AEG20" s="67">
        <f t="shared" si="322"/>
        <v>1680</v>
      </c>
      <c r="AEH20" s="68">
        <f t="shared" si="323"/>
        <v>280</v>
      </c>
      <c r="AEI20" s="48"/>
      <c r="AEJ20" s="49"/>
      <c r="AEK20" s="49">
        <v>2232</v>
      </c>
      <c r="AEL20" s="49">
        <v>1202</v>
      </c>
      <c r="AEM20" s="49"/>
      <c r="AEN20" s="49"/>
      <c r="AEO20" s="67">
        <f t="shared" si="324"/>
        <v>3434</v>
      </c>
      <c r="AEP20" s="68">
        <f t="shared" si="325"/>
        <v>572.33333333333337</v>
      </c>
      <c r="AEQ20" s="48"/>
      <c r="AER20" s="49"/>
      <c r="AES20" s="49"/>
      <c r="AET20" s="49"/>
      <c r="AEU20" s="49"/>
      <c r="AEV20" s="49"/>
      <c r="AEW20" s="67">
        <f t="shared" si="326"/>
        <v>0</v>
      </c>
      <c r="AEX20" s="68">
        <f t="shared" si="327"/>
        <v>0</v>
      </c>
      <c r="AEY20" s="48"/>
      <c r="AEZ20" s="49"/>
      <c r="AFA20" s="49">
        <v>2611</v>
      </c>
      <c r="AFB20" s="49"/>
      <c r="AFC20" s="49"/>
      <c r="AFD20" s="49"/>
      <c r="AFE20" s="67">
        <f t="shared" si="328"/>
        <v>2611</v>
      </c>
      <c r="AFF20" s="68">
        <f t="shared" si="329"/>
        <v>435.16666666666669</v>
      </c>
      <c r="AFG20" s="48"/>
      <c r="AFH20" s="49"/>
      <c r="AFI20" s="49"/>
      <c r="AFJ20" s="49">
        <v>2511</v>
      </c>
      <c r="AFK20" s="49"/>
      <c r="AFL20" s="49"/>
      <c r="AFM20" s="67">
        <f t="shared" si="330"/>
        <v>2511</v>
      </c>
      <c r="AFN20" s="68">
        <f t="shared" si="331"/>
        <v>418.5</v>
      </c>
      <c r="AFO20" s="48"/>
      <c r="AFP20" s="49"/>
      <c r="AFQ20" s="49"/>
      <c r="AFR20" s="49"/>
      <c r="AFS20" s="49"/>
      <c r="AFT20" s="49"/>
      <c r="AFU20" s="67">
        <f t="shared" si="332"/>
        <v>0</v>
      </c>
      <c r="AFV20" s="68">
        <f t="shared" si="333"/>
        <v>0</v>
      </c>
      <c r="AFW20" s="48"/>
      <c r="AFX20" s="49"/>
      <c r="AFY20" s="49">
        <v>1139</v>
      </c>
      <c r="AFZ20" s="49"/>
      <c r="AGA20" s="49"/>
      <c r="AGB20" s="49"/>
      <c r="AGC20" s="67">
        <f t="shared" si="334"/>
        <v>1139</v>
      </c>
      <c r="AGD20" s="68">
        <f t="shared" si="335"/>
        <v>189.83333333333334</v>
      </c>
      <c r="AGE20" s="48"/>
      <c r="AGF20" s="49">
        <v>2578</v>
      </c>
      <c r="AGG20" s="49"/>
      <c r="AGH20" s="49"/>
      <c r="AGI20" s="49"/>
      <c r="AGJ20" s="49"/>
      <c r="AGK20" s="67">
        <f t="shared" si="336"/>
        <v>2578</v>
      </c>
      <c r="AGL20" s="68">
        <f t="shared" si="337"/>
        <v>429.66666666666669</v>
      </c>
      <c r="AGM20" s="48"/>
      <c r="AGN20" s="49"/>
      <c r="AGO20" s="49"/>
      <c r="AGP20" s="49"/>
      <c r="AGQ20" s="49"/>
      <c r="AGR20" s="49"/>
      <c r="AGS20" s="49"/>
      <c r="AGT20" s="67">
        <f t="shared" si="338"/>
        <v>0</v>
      </c>
      <c r="AGU20" s="68">
        <f t="shared" si="339"/>
        <v>0</v>
      </c>
      <c r="AGV20" s="48"/>
      <c r="AGW20" s="49"/>
      <c r="AGX20" s="49"/>
      <c r="AGY20" s="49">
        <v>1437</v>
      </c>
      <c r="AGZ20" s="49"/>
      <c r="AHA20" s="49"/>
      <c r="AHB20" s="67">
        <f t="shared" si="340"/>
        <v>1437</v>
      </c>
      <c r="AHC20" s="68">
        <f t="shared" si="341"/>
        <v>49.551724137931032</v>
      </c>
      <c r="AHD20" s="48"/>
      <c r="AHE20" s="49"/>
      <c r="AHF20" s="49"/>
      <c r="AHG20" s="49"/>
      <c r="AHH20" s="49"/>
      <c r="AHI20" s="49"/>
      <c r="AHJ20" s="67">
        <f t="shared" si="342"/>
        <v>0</v>
      </c>
      <c r="AHK20" s="68">
        <f t="shared" si="343"/>
        <v>0</v>
      </c>
      <c r="AHL20" s="48"/>
      <c r="AHM20" s="49"/>
      <c r="AHN20" s="49"/>
      <c r="AHO20" s="49"/>
      <c r="AHP20" s="49"/>
      <c r="AHQ20" s="49"/>
      <c r="AHR20" s="67">
        <f t="shared" si="344"/>
        <v>0</v>
      </c>
      <c r="AHS20" s="68">
        <f t="shared" si="345"/>
        <v>0</v>
      </c>
      <c r="AHT20" s="48">
        <v>896</v>
      </c>
      <c r="AHU20" s="49"/>
      <c r="AHV20" s="49"/>
      <c r="AHW20" s="49"/>
      <c r="AHX20" s="49"/>
      <c r="AHY20" s="49">
        <v>3319</v>
      </c>
      <c r="AHZ20" s="67">
        <f t="shared" si="346"/>
        <v>4215</v>
      </c>
      <c r="AIA20" s="68">
        <f t="shared" si="347"/>
        <v>145.34482758620689</v>
      </c>
      <c r="AIB20" s="48"/>
      <c r="AIC20" s="49"/>
      <c r="AID20" s="49"/>
      <c r="AIE20" s="49"/>
      <c r="AIF20" s="49"/>
      <c r="AIG20" s="49"/>
      <c r="AIH20" s="67">
        <f t="shared" si="348"/>
        <v>0</v>
      </c>
      <c r="AII20" s="68">
        <f t="shared" si="349"/>
        <v>0</v>
      </c>
      <c r="AIJ20" s="48"/>
      <c r="AIK20" s="49"/>
      <c r="AIL20" s="49"/>
      <c r="AIM20" s="49"/>
      <c r="AIN20" s="49"/>
      <c r="AIO20" s="49"/>
      <c r="AIP20" s="67">
        <f t="shared" si="350"/>
        <v>0</v>
      </c>
      <c r="AIQ20" s="68">
        <f t="shared" si="351"/>
        <v>0</v>
      </c>
      <c r="AIR20" s="48"/>
      <c r="AIS20" s="49">
        <v>3309</v>
      </c>
      <c r="AIT20" s="49"/>
      <c r="AIU20" s="49"/>
      <c r="AIV20" s="49"/>
      <c r="AIW20" s="49"/>
      <c r="AIX20" s="67">
        <f t="shared" si="352"/>
        <v>3309</v>
      </c>
      <c r="AIY20" s="68">
        <f t="shared" si="353"/>
        <v>114.10344827586206</v>
      </c>
      <c r="AIZ20" s="48"/>
      <c r="AJA20" s="49"/>
      <c r="AJB20" s="49"/>
      <c r="AJC20" s="49">
        <v>2860</v>
      </c>
      <c r="AJD20" s="49">
        <v>373</v>
      </c>
      <c r="AJE20" s="49"/>
      <c r="AJF20" s="67">
        <f t="shared" si="354"/>
        <v>3233</v>
      </c>
      <c r="AJG20" s="68">
        <f t="shared" si="355"/>
        <v>111.48275862068965</v>
      </c>
      <c r="AJH20" s="48"/>
      <c r="AJI20" s="49"/>
      <c r="AJJ20" s="49"/>
      <c r="AJK20" s="49"/>
      <c r="AJL20" s="49"/>
      <c r="AJM20" s="49"/>
      <c r="AJN20" s="42">
        <f t="shared" si="356"/>
        <v>0</v>
      </c>
      <c r="AJO20" s="43">
        <f t="shared" si="357"/>
        <v>0</v>
      </c>
      <c r="AJP20" s="48"/>
      <c r="AJQ20" s="49"/>
      <c r="AJR20" s="49"/>
      <c r="AJS20" s="49">
        <v>440</v>
      </c>
      <c r="AJT20" s="49">
        <v>1177</v>
      </c>
      <c r="AJU20" s="49"/>
      <c r="AJV20" s="42">
        <f t="shared" si="358"/>
        <v>1617</v>
      </c>
      <c r="AJW20" s="43">
        <f t="shared" si="359"/>
        <v>55.758620689655174</v>
      </c>
      <c r="AJX20" s="48"/>
      <c r="AJY20" s="49"/>
      <c r="AJZ20" s="49"/>
      <c r="AKA20" s="49"/>
      <c r="AKB20" s="49">
        <v>2679</v>
      </c>
      <c r="AKC20" s="49"/>
      <c r="AKD20" s="67">
        <f t="shared" si="360"/>
        <v>2679</v>
      </c>
      <c r="AKE20" s="68">
        <f t="shared" si="361"/>
        <v>92.379310344827587</v>
      </c>
      <c r="AKF20" s="48"/>
      <c r="AKG20" s="49"/>
      <c r="AKH20" s="49"/>
      <c r="AKI20" s="49"/>
      <c r="AKJ20" s="49">
        <v>2774</v>
      </c>
      <c r="AKK20" s="49"/>
      <c r="AKL20" s="67">
        <f t="shared" si="362"/>
        <v>2774</v>
      </c>
      <c r="AKM20" s="184">
        <f t="shared" si="363"/>
        <v>462.33333333333331</v>
      </c>
      <c r="AKN20" s="195"/>
      <c r="AKO20" s="49">
        <v>1691</v>
      </c>
      <c r="AKP20" s="49"/>
      <c r="AKQ20" s="49"/>
      <c r="AKR20" s="49"/>
      <c r="AKS20" s="49"/>
      <c r="AKT20" s="67">
        <f t="shared" si="364"/>
        <v>1691</v>
      </c>
      <c r="AKU20" s="184">
        <f t="shared" si="365"/>
        <v>281.83333333333331</v>
      </c>
      <c r="AKV20" s="48"/>
      <c r="AKW20" s="49"/>
      <c r="AKX20" s="49"/>
      <c r="AKY20" s="49">
        <v>1937</v>
      </c>
      <c r="AKZ20" s="49"/>
      <c r="ALA20" s="49"/>
      <c r="ALB20" s="67">
        <f t="shared" si="366"/>
        <v>1937</v>
      </c>
      <c r="ALC20" s="68">
        <f t="shared" si="367"/>
        <v>322.83333333333331</v>
      </c>
      <c r="ALD20" s="48"/>
      <c r="ALE20" s="49"/>
      <c r="ALF20" s="49"/>
      <c r="ALG20" s="49"/>
      <c r="ALH20" s="49"/>
      <c r="ALI20" s="49"/>
      <c r="ALJ20" s="67">
        <f t="shared" si="368"/>
        <v>0</v>
      </c>
      <c r="ALK20" s="68">
        <f t="shared" si="369"/>
        <v>0</v>
      </c>
      <c r="ALL20" s="48"/>
      <c r="ALM20" s="49"/>
      <c r="ALN20" s="49"/>
      <c r="ALO20" s="49"/>
      <c r="ALP20" s="49"/>
      <c r="ALQ20" s="49"/>
      <c r="ALR20" s="67">
        <f t="shared" si="370"/>
        <v>0</v>
      </c>
      <c r="ALS20" s="68">
        <f t="shared" si="371"/>
        <v>0</v>
      </c>
      <c r="ALT20" s="48"/>
      <c r="ALU20" s="49"/>
      <c r="ALV20" s="49"/>
      <c r="ALW20" s="49"/>
      <c r="ALX20" s="49"/>
      <c r="ALY20" s="49"/>
      <c r="ALZ20" s="67">
        <f t="shared" si="372"/>
        <v>0</v>
      </c>
      <c r="AMA20" s="68">
        <f t="shared" si="373"/>
        <v>0</v>
      </c>
      <c r="AMB20" s="48"/>
      <c r="AMC20" s="49"/>
      <c r="AMD20" s="49"/>
      <c r="AME20" s="49"/>
      <c r="AMF20" s="49"/>
      <c r="AMG20" s="49"/>
      <c r="AMH20" s="67">
        <f t="shared" si="374"/>
        <v>0</v>
      </c>
      <c r="AMI20" s="68">
        <f t="shared" si="375"/>
        <v>0</v>
      </c>
      <c r="AMJ20" s="48"/>
      <c r="AMK20" s="49"/>
      <c r="AML20" s="49"/>
      <c r="AMM20" s="49"/>
      <c r="AMN20" s="49"/>
      <c r="AMO20" s="49"/>
      <c r="AMP20" s="67">
        <f t="shared" si="376"/>
        <v>0</v>
      </c>
      <c r="AMQ20" s="68">
        <f t="shared" si="377"/>
        <v>0</v>
      </c>
      <c r="AMR20" s="48"/>
      <c r="AMS20" s="49"/>
      <c r="AMT20" s="49"/>
      <c r="AMU20" s="49">
        <v>1007</v>
      </c>
      <c r="AMV20" s="49"/>
      <c r="AMW20" s="49"/>
      <c r="AMX20" s="67">
        <f t="shared" si="378"/>
        <v>1007</v>
      </c>
      <c r="AMY20" s="68">
        <f t="shared" si="379"/>
        <v>167.83333333333334</v>
      </c>
      <c r="AMZ20" s="48"/>
      <c r="ANA20" s="49"/>
      <c r="ANB20" s="49">
        <v>200</v>
      </c>
      <c r="ANC20" s="49"/>
      <c r="AND20" s="49"/>
      <c r="ANE20" s="49">
        <v>440</v>
      </c>
      <c r="ANF20" s="67">
        <f t="shared" si="380"/>
        <v>640</v>
      </c>
      <c r="ANG20" s="68">
        <f t="shared" si="381"/>
        <v>106.66666666666667</v>
      </c>
      <c r="ANH20" s="48">
        <v>779</v>
      </c>
      <c r="ANI20" s="49"/>
      <c r="ANJ20" s="49"/>
      <c r="ANK20" s="49"/>
      <c r="ANL20" s="49"/>
      <c r="ANM20" s="49">
        <v>767</v>
      </c>
      <c r="ANN20" s="67">
        <f t="shared" si="382"/>
        <v>1546</v>
      </c>
      <c r="ANO20" s="68">
        <f t="shared" si="383"/>
        <v>257.66666666666669</v>
      </c>
      <c r="ANP20" s="48"/>
      <c r="ANQ20" s="49"/>
      <c r="ANR20" s="49"/>
      <c r="ANS20" s="49"/>
      <c r="ANT20" s="49">
        <v>771</v>
      </c>
      <c r="ANU20" s="49"/>
      <c r="ANV20" s="67">
        <f t="shared" si="384"/>
        <v>771</v>
      </c>
      <c r="ANW20" s="68">
        <f t="shared" si="385"/>
        <v>128.5</v>
      </c>
      <c r="ANX20" s="82"/>
      <c r="ANY20" s="83"/>
      <c r="ANZ20" s="83"/>
      <c r="AOA20" s="83">
        <v>904</v>
      </c>
      <c r="AOB20" s="83"/>
      <c r="AOC20" s="83"/>
      <c r="AOD20" s="67">
        <f t="shared" si="386"/>
        <v>904</v>
      </c>
      <c r="AOE20" s="68">
        <f t="shared" si="387"/>
        <v>150.66666666666666</v>
      </c>
      <c r="AOF20" s="48"/>
      <c r="AOG20" s="49"/>
      <c r="AOH20" s="49"/>
      <c r="AOI20" s="49"/>
      <c r="AOJ20" s="49">
        <v>1088</v>
      </c>
      <c r="AOK20" s="49"/>
      <c r="AOL20" s="67">
        <f t="shared" si="388"/>
        <v>1088</v>
      </c>
      <c r="AOM20" s="68">
        <f t="shared" si="389"/>
        <v>181.33333333333334</v>
      </c>
      <c r="AON20" s="48"/>
      <c r="AOO20" s="49"/>
      <c r="AOP20" s="49"/>
      <c r="AOQ20" s="49"/>
      <c r="AOR20" s="49"/>
      <c r="AOS20" s="49"/>
      <c r="AOT20" s="67">
        <f t="shared" si="390"/>
        <v>0</v>
      </c>
      <c r="AOU20" s="68">
        <f t="shared" si="391"/>
        <v>0</v>
      </c>
      <c r="AOV20" s="48">
        <v>2615</v>
      </c>
      <c r="AOW20" s="49"/>
      <c r="AOX20" s="49"/>
      <c r="AOY20" s="49"/>
      <c r="AOZ20" s="49"/>
      <c r="APA20" s="49"/>
      <c r="APB20" s="67">
        <f t="shared" si="392"/>
        <v>2615</v>
      </c>
      <c r="APC20" s="68">
        <f t="shared" si="393"/>
        <v>435.83333333333331</v>
      </c>
      <c r="APD20" s="48"/>
      <c r="APE20" s="49"/>
      <c r="APF20" s="49"/>
      <c r="APG20" s="49"/>
      <c r="APH20" s="49"/>
      <c r="API20" s="49"/>
      <c r="APJ20" s="67">
        <f t="shared" si="394"/>
        <v>0</v>
      </c>
      <c r="APK20" s="68">
        <f t="shared" si="395"/>
        <v>0</v>
      </c>
      <c r="APL20" s="48"/>
      <c r="APM20" s="49"/>
      <c r="APN20" s="49"/>
      <c r="APO20" s="49"/>
      <c r="APP20" s="49"/>
      <c r="APQ20" s="49">
        <v>660</v>
      </c>
      <c r="APR20" s="67">
        <f t="shared" si="396"/>
        <v>660</v>
      </c>
      <c r="APS20" s="68">
        <f t="shared" si="397"/>
        <v>110</v>
      </c>
      <c r="APT20" s="48">
        <v>503</v>
      </c>
      <c r="APU20" s="49"/>
      <c r="APV20" s="49"/>
      <c r="APW20" s="49"/>
      <c r="APX20" s="49"/>
      <c r="APY20" s="49"/>
      <c r="APZ20" s="67">
        <f t="shared" si="398"/>
        <v>503</v>
      </c>
      <c r="AQA20" s="68">
        <f t="shared" si="399"/>
        <v>83.833333333333329</v>
      </c>
      <c r="AQB20" s="48"/>
      <c r="AQC20" s="49">
        <v>687</v>
      </c>
      <c r="AQD20" s="49"/>
      <c r="AQE20" s="49"/>
      <c r="AQF20" s="49">
        <v>1294</v>
      </c>
      <c r="AQG20" s="49"/>
      <c r="AQH20" s="67">
        <f t="shared" si="400"/>
        <v>1981</v>
      </c>
      <c r="AQI20" s="68">
        <f t="shared" si="401"/>
        <v>330.16666666666669</v>
      </c>
      <c r="AQJ20" s="48"/>
      <c r="AQK20" s="49"/>
      <c r="AQL20" s="49"/>
      <c r="AQM20" s="49"/>
      <c r="AQN20" s="49"/>
      <c r="AQO20" s="49"/>
      <c r="AQP20" s="67">
        <f t="shared" si="402"/>
        <v>0</v>
      </c>
      <c r="AQQ20" s="68">
        <f t="shared" si="403"/>
        <v>0</v>
      </c>
      <c r="AQR20" s="48"/>
      <c r="AQS20" s="49"/>
      <c r="AQT20" s="49"/>
      <c r="AQU20" s="49">
        <v>1586</v>
      </c>
      <c r="AQV20" s="49"/>
      <c r="AQW20" s="49"/>
      <c r="AQX20" s="67">
        <f t="shared" si="404"/>
        <v>1586</v>
      </c>
      <c r="AQY20" s="68">
        <f t="shared" si="405"/>
        <v>264.33333333333331</v>
      </c>
      <c r="AQZ20" s="48"/>
      <c r="ARA20" s="49"/>
      <c r="ARB20" s="49"/>
      <c r="ARC20" s="49"/>
      <c r="ARD20" s="49"/>
      <c r="ARE20" s="49">
        <v>550</v>
      </c>
      <c r="ARF20" s="67">
        <f t="shared" si="406"/>
        <v>550</v>
      </c>
      <c r="ARG20" s="68">
        <f t="shared" si="407"/>
        <v>91.666666666666671</v>
      </c>
      <c r="ARH20" s="48"/>
      <c r="ARI20" s="49"/>
      <c r="ARJ20" s="49"/>
      <c r="ARK20" s="49"/>
      <c r="ARL20" s="49">
        <v>537</v>
      </c>
      <c r="ARM20" s="49"/>
      <c r="ARN20" s="67">
        <f t="shared" si="408"/>
        <v>537</v>
      </c>
      <c r="ARO20" s="68">
        <f t="shared" si="409"/>
        <v>89.5</v>
      </c>
      <c r="ARP20" s="48"/>
      <c r="ARQ20" s="49"/>
      <c r="ARR20" s="49"/>
      <c r="ARS20" s="49"/>
      <c r="ART20" s="49"/>
      <c r="ARU20" s="49">
        <v>1654</v>
      </c>
      <c r="ARV20" s="67">
        <f t="shared" si="410"/>
        <v>1654</v>
      </c>
      <c r="ARW20" s="68">
        <f t="shared" si="411"/>
        <v>275.66666666666669</v>
      </c>
      <c r="ARX20" s="48"/>
      <c r="ARY20" s="49"/>
      <c r="ARZ20" s="49">
        <v>756</v>
      </c>
      <c r="ASA20" s="49"/>
      <c r="ASB20" s="49"/>
      <c r="ASC20" s="49"/>
      <c r="ASD20" s="67">
        <f t="shared" si="412"/>
        <v>756</v>
      </c>
      <c r="ASE20" s="68">
        <f t="shared" si="413"/>
        <v>126</v>
      </c>
      <c r="ASF20" s="48"/>
      <c r="ASG20" s="49"/>
      <c r="ASH20" s="49"/>
      <c r="ASI20" s="49">
        <v>2063</v>
      </c>
      <c r="ASJ20" s="49"/>
      <c r="ASK20" s="49"/>
      <c r="ASL20" s="67">
        <f t="shared" si="414"/>
        <v>2063</v>
      </c>
      <c r="ASM20" s="68">
        <f t="shared" si="415"/>
        <v>343.83333333333331</v>
      </c>
      <c r="ASN20" s="48"/>
      <c r="ASO20" s="49"/>
      <c r="ASP20" s="49"/>
      <c r="ASQ20" s="49"/>
      <c r="ASR20" s="49"/>
      <c r="ASS20" s="49"/>
      <c r="AST20" s="67">
        <f t="shared" si="416"/>
        <v>0</v>
      </c>
      <c r="ASU20" s="68">
        <f t="shared" si="417"/>
        <v>0</v>
      </c>
      <c r="ASV20" s="48"/>
      <c r="ASW20" s="49"/>
      <c r="ASX20" s="49">
        <v>1760</v>
      </c>
      <c r="ASY20" s="49">
        <v>173</v>
      </c>
      <c r="ASZ20" s="49"/>
      <c r="ATA20" s="49"/>
      <c r="ATB20" s="67">
        <f t="shared" si="418"/>
        <v>1933</v>
      </c>
      <c r="ATC20" s="68">
        <f t="shared" si="419"/>
        <v>322.16666666666669</v>
      </c>
      <c r="ATD20" s="48"/>
      <c r="ATE20" s="49"/>
      <c r="ATF20" s="49"/>
      <c r="ATG20" s="49"/>
      <c r="ATH20" s="49"/>
      <c r="ATI20" s="49"/>
      <c r="ATJ20" s="67">
        <f t="shared" si="420"/>
        <v>0</v>
      </c>
      <c r="ATK20" s="68">
        <f t="shared" si="421"/>
        <v>0</v>
      </c>
      <c r="ATL20" s="48">
        <v>1640</v>
      </c>
      <c r="ATM20" s="49"/>
      <c r="ATN20" s="49"/>
      <c r="ATO20" s="49"/>
      <c r="ATP20" s="49"/>
      <c r="ATQ20" s="49"/>
      <c r="ATR20" s="67">
        <f t="shared" si="422"/>
        <v>1640</v>
      </c>
      <c r="ATS20" s="68">
        <f t="shared" si="423"/>
        <v>273.33333333333331</v>
      </c>
      <c r="ATT20" s="48"/>
      <c r="ATU20" s="49"/>
      <c r="ATV20" s="49"/>
      <c r="ATW20" s="49"/>
      <c r="ATX20" s="49"/>
      <c r="ATY20" s="49"/>
      <c r="ATZ20" s="67">
        <f t="shared" si="424"/>
        <v>0</v>
      </c>
      <c r="AUA20" s="68">
        <f t="shared" si="425"/>
        <v>0</v>
      </c>
      <c r="AUB20" s="48">
        <v>2219</v>
      </c>
      <c r="AUC20" s="49"/>
      <c r="AUD20" s="49"/>
      <c r="AUE20" s="49"/>
      <c r="AUF20" s="49"/>
      <c r="AUG20" s="49"/>
      <c r="AUH20" s="67">
        <f t="shared" si="426"/>
        <v>2219</v>
      </c>
      <c r="AUI20" s="68">
        <f t="shared" si="427"/>
        <v>369.83333333333331</v>
      </c>
      <c r="AUJ20" s="48"/>
      <c r="AUK20" s="49"/>
      <c r="AUL20" s="49"/>
      <c r="AUM20" s="49"/>
      <c r="AUN20" s="49"/>
      <c r="AUO20" s="49"/>
      <c r="AUP20" s="67">
        <f t="shared" si="428"/>
        <v>0</v>
      </c>
      <c r="AUQ20" s="68">
        <f t="shared" si="429"/>
        <v>0</v>
      </c>
      <c r="AUR20" s="48">
        <v>330</v>
      </c>
      <c r="AUS20" s="49">
        <v>713</v>
      </c>
      <c r="AUT20" s="49"/>
      <c r="AUU20" s="49"/>
      <c r="AUV20" s="49"/>
      <c r="AUW20" s="49"/>
      <c r="AUX20" s="67">
        <f t="shared" si="430"/>
        <v>1043</v>
      </c>
      <c r="AUY20" s="68">
        <f t="shared" si="431"/>
        <v>173.83333333333334</v>
      </c>
      <c r="AUZ20" s="48">
        <v>2010</v>
      </c>
      <c r="AVA20" s="49"/>
      <c r="AVB20" s="49"/>
      <c r="AVC20" s="49"/>
      <c r="AVD20" s="49"/>
      <c r="AVE20" s="49"/>
      <c r="AVF20" s="67">
        <f t="shared" si="432"/>
        <v>2010</v>
      </c>
      <c r="AVG20" s="68">
        <f t="shared" si="433"/>
        <v>335</v>
      </c>
      <c r="AVH20" s="48"/>
      <c r="AVI20" s="49"/>
      <c r="AVJ20" s="49"/>
      <c r="AVK20" s="49"/>
      <c r="AVL20" s="49"/>
      <c r="AVM20" s="49"/>
      <c r="AVN20" s="67">
        <f t="shared" si="434"/>
        <v>0</v>
      </c>
      <c r="AVO20" s="68">
        <f t="shared" si="435"/>
        <v>0</v>
      </c>
      <c r="AVP20" s="48">
        <v>1210</v>
      </c>
      <c r="AVQ20" s="49"/>
      <c r="AVR20" s="49">
        <v>8</v>
      </c>
      <c r="AVS20" s="49"/>
      <c r="AVT20" s="49"/>
      <c r="AVU20" s="49"/>
      <c r="AVV20" s="67">
        <f t="shared" si="436"/>
        <v>1218</v>
      </c>
      <c r="AVW20" s="68">
        <f t="shared" si="437"/>
        <v>203</v>
      </c>
      <c r="AVX20" s="48"/>
      <c r="AVY20" s="49">
        <v>1866</v>
      </c>
      <c r="AVZ20" s="49"/>
      <c r="AWA20" s="49"/>
      <c r="AWB20" s="49"/>
      <c r="AWC20" s="49"/>
      <c r="AWD20" s="67">
        <f t="shared" si="438"/>
        <v>1866</v>
      </c>
      <c r="AWE20" s="68">
        <f t="shared" si="439"/>
        <v>311</v>
      </c>
      <c r="AWF20" s="48"/>
      <c r="AWG20" s="49">
        <v>1330</v>
      </c>
      <c r="AWH20" s="49"/>
      <c r="AWI20" s="49"/>
      <c r="AWJ20" s="49"/>
      <c r="AWK20" s="49"/>
      <c r="AWL20" s="67">
        <f t="shared" si="440"/>
        <v>1330</v>
      </c>
      <c r="AWM20" s="68">
        <f t="shared" si="441"/>
        <v>221.66666666666666</v>
      </c>
      <c r="AWN20" s="48"/>
      <c r="AWO20" s="49"/>
      <c r="AWP20" s="49"/>
      <c r="AWQ20" s="49"/>
      <c r="AWR20" s="49"/>
      <c r="AWS20" s="49"/>
      <c r="AWT20" s="42">
        <f t="shared" si="442"/>
        <v>0</v>
      </c>
      <c r="AWU20" s="43">
        <f t="shared" si="443"/>
        <v>0</v>
      </c>
      <c r="AWV20" s="48">
        <v>1954</v>
      </c>
      <c r="AWW20" s="49"/>
      <c r="AWX20" s="49"/>
      <c r="AWY20" s="49"/>
      <c r="AWZ20" s="49"/>
      <c r="AXA20" s="49"/>
      <c r="AXB20" s="42">
        <f t="shared" si="444"/>
        <v>1954</v>
      </c>
      <c r="AXC20" s="43">
        <f t="shared" si="445"/>
        <v>325.66666666666669</v>
      </c>
      <c r="AXD20" s="48"/>
      <c r="AXE20" s="49"/>
      <c r="AXF20" s="49"/>
      <c r="AXG20" s="49">
        <v>998</v>
      </c>
      <c r="AXH20" s="49">
        <v>177</v>
      </c>
      <c r="AXI20" s="49"/>
      <c r="AXJ20" s="42">
        <f t="shared" si="446"/>
        <v>1175</v>
      </c>
      <c r="AXK20" s="43">
        <f t="shared" si="447"/>
        <v>195.83333333333334</v>
      </c>
      <c r="AXL20" s="48"/>
      <c r="AXM20" s="49"/>
      <c r="AXN20" s="49"/>
      <c r="AXO20" s="49"/>
      <c r="AXP20" s="49"/>
      <c r="AXQ20" s="49"/>
      <c r="AXR20" s="42">
        <f t="shared" si="448"/>
        <v>0</v>
      </c>
      <c r="AXS20" s="43">
        <f t="shared" si="449"/>
        <v>0</v>
      </c>
      <c r="AXT20" s="48">
        <v>1966</v>
      </c>
      <c r="AXU20" s="49"/>
      <c r="AXV20" s="49"/>
      <c r="AXW20" s="49"/>
      <c r="AXX20" s="49"/>
      <c r="AXY20" s="49"/>
      <c r="AXZ20" s="42">
        <f t="shared" si="450"/>
        <v>1966</v>
      </c>
      <c r="AYA20" s="43">
        <f t="shared" si="451"/>
        <v>327.66666666666669</v>
      </c>
      <c r="AYB20" s="48"/>
      <c r="AYC20" s="49"/>
      <c r="AYD20" s="49">
        <v>2007</v>
      </c>
      <c r="AYE20" s="49"/>
      <c r="AYF20" s="49"/>
      <c r="AYG20" s="49"/>
      <c r="AYH20" s="42">
        <f t="shared" si="452"/>
        <v>2007</v>
      </c>
      <c r="AYI20" s="43">
        <f t="shared" si="453"/>
        <v>334.5</v>
      </c>
      <c r="AYJ20" s="48"/>
      <c r="AYK20" s="49"/>
      <c r="AYL20" s="49"/>
      <c r="AYM20" s="49"/>
      <c r="AYN20" s="49"/>
      <c r="AYO20" s="49"/>
      <c r="AYP20" s="42">
        <f t="shared" si="454"/>
        <v>0</v>
      </c>
      <c r="AYQ20" s="43">
        <f t="shared" si="455"/>
        <v>0</v>
      </c>
      <c r="AYR20" s="48"/>
      <c r="AYS20" s="49">
        <v>2429</v>
      </c>
      <c r="AYT20" s="49"/>
      <c r="AYU20" s="49"/>
      <c r="AYV20" s="49"/>
      <c r="AYW20" s="49"/>
      <c r="AYX20" s="42">
        <f t="shared" si="456"/>
        <v>2429</v>
      </c>
      <c r="AYY20" s="43">
        <f t="shared" si="457"/>
        <v>404.83333333333331</v>
      </c>
      <c r="AYZ20" s="48"/>
      <c r="AZA20" s="49"/>
      <c r="AZB20" s="49"/>
      <c r="AZC20" s="49"/>
      <c r="AZD20" s="49"/>
      <c r="AZE20" s="49"/>
      <c r="AZF20" s="42">
        <f t="shared" si="458"/>
        <v>0</v>
      </c>
      <c r="AZG20" s="43">
        <f t="shared" si="459"/>
        <v>0</v>
      </c>
      <c r="AZH20" s="48"/>
      <c r="AZI20" s="49"/>
      <c r="AZJ20" s="49"/>
      <c r="AZK20" s="49"/>
      <c r="AZL20" s="49"/>
      <c r="AZM20" s="49"/>
      <c r="AZN20" s="42">
        <f t="shared" si="460"/>
        <v>0</v>
      </c>
      <c r="AZO20" s="43">
        <f t="shared" si="461"/>
        <v>0</v>
      </c>
      <c r="AZP20" s="48"/>
      <c r="AZQ20" s="49"/>
      <c r="AZR20" s="49"/>
      <c r="AZS20" s="49">
        <v>1340</v>
      </c>
      <c r="AZT20" s="49"/>
      <c r="AZU20" s="49"/>
      <c r="AZV20" s="42">
        <f t="shared" si="462"/>
        <v>1340</v>
      </c>
      <c r="AZW20" s="43">
        <f t="shared" si="463"/>
        <v>223.33333333333334</v>
      </c>
      <c r="AZX20" s="82">
        <v>1552</v>
      </c>
      <c r="AZY20" s="83"/>
      <c r="AZZ20" s="83">
        <v>430</v>
      </c>
      <c r="BAA20" s="83"/>
      <c r="BAB20" s="83"/>
      <c r="BAC20" s="83"/>
      <c r="BAD20" s="42">
        <f t="shared" si="464"/>
        <v>1982</v>
      </c>
      <c r="BAE20" s="43">
        <f t="shared" si="465"/>
        <v>330.33333333333331</v>
      </c>
      <c r="BAF20" s="48"/>
      <c r="BAG20" s="49"/>
      <c r="BAH20" s="49"/>
      <c r="BAI20" s="49"/>
      <c r="BAJ20" s="49"/>
      <c r="BAK20" s="49">
        <v>1510</v>
      </c>
      <c r="BAL20" s="42">
        <f t="shared" si="466"/>
        <v>1510</v>
      </c>
      <c r="BAM20" s="43">
        <f t="shared" si="467"/>
        <v>251.66666666666666</v>
      </c>
      <c r="BAN20" s="48">
        <v>75</v>
      </c>
      <c r="BAO20" s="49"/>
      <c r="BAP20" s="49"/>
      <c r="BAQ20" s="49"/>
      <c r="BAR20" s="49"/>
      <c r="BAS20" s="49"/>
      <c r="BAT20" s="42">
        <f t="shared" si="468"/>
        <v>75</v>
      </c>
      <c r="BAU20" s="43">
        <f t="shared" si="469"/>
        <v>12.5</v>
      </c>
      <c r="BAV20" s="48"/>
      <c r="BAW20" s="49"/>
      <c r="BAX20" s="49"/>
      <c r="BAY20" s="49"/>
      <c r="BAZ20" s="49"/>
      <c r="BBA20" s="49"/>
      <c r="BBB20" s="42">
        <f t="shared" si="470"/>
        <v>0</v>
      </c>
      <c r="BBC20" s="43">
        <f t="shared" si="471"/>
        <v>0</v>
      </c>
      <c r="BBD20" s="48"/>
      <c r="BBE20" s="49">
        <v>1320</v>
      </c>
      <c r="BBF20" s="49"/>
      <c r="BBG20" s="49"/>
      <c r="BBH20" s="49"/>
      <c r="BBI20" s="49"/>
      <c r="BBJ20" s="42">
        <f t="shared" si="472"/>
        <v>1320</v>
      </c>
      <c r="BBK20" s="43">
        <f t="shared" si="473"/>
        <v>220</v>
      </c>
      <c r="BBL20" s="48"/>
      <c r="BBM20" s="49"/>
      <c r="BBN20" s="49">
        <v>1542</v>
      </c>
      <c r="BBO20" s="49"/>
      <c r="BBP20" s="49"/>
      <c r="BBQ20" s="49"/>
      <c r="BBR20" s="42">
        <f t="shared" si="474"/>
        <v>1542</v>
      </c>
      <c r="BBS20" s="43">
        <f t="shared" si="475"/>
        <v>257</v>
      </c>
      <c r="BBT20" s="48"/>
      <c r="BBU20" s="49"/>
      <c r="BBV20" s="49"/>
      <c r="BBW20" s="49"/>
      <c r="BBX20" s="49"/>
      <c r="BBY20" s="49">
        <v>840</v>
      </c>
      <c r="BBZ20" s="42">
        <f t="shared" si="476"/>
        <v>840</v>
      </c>
      <c r="BCA20" s="43">
        <f t="shared" si="477"/>
        <v>140</v>
      </c>
      <c r="BCB20" s="48"/>
      <c r="BCC20" s="49"/>
      <c r="BCD20" s="49"/>
      <c r="BCE20" s="49">
        <v>1000</v>
      </c>
      <c r="BCF20" s="49"/>
      <c r="BCG20" s="49"/>
      <c r="BCH20" s="42">
        <f t="shared" si="478"/>
        <v>1000</v>
      </c>
      <c r="BCI20" s="43">
        <f t="shared" si="479"/>
        <v>166.66666666666666</v>
      </c>
      <c r="BCJ20" s="48"/>
      <c r="BCK20" s="49"/>
      <c r="BCL20" s="49"/>
      <c r="BCM20" s="49"/>
      <c r="BCN20" s="49"/>
      <c r="BCO20" s="49">
        <v>1561</v>
      </c>
      <c r="BCP20" s="42">
        <f t="shared" si="480"/>
        <v>1561</v>
      </c>
      <c r="BCQ20" s="43">
        <f t="shared" si="481"/>
        <v>260.16666666666669</v>
      </c>
      <c r="BCR20" s="48"/>
      <c r="BCS20" s="49"/>
      <c r="BCT20" s="49"/>
      <c r="BCU20" s="49"/>
      <c r="BCV20" s="49"/>
      <c r="BCW20" s="49"/>
      <c r="BCX20" s="42">
        <f t="shared" si="482"/>
        <v>0</v>
      </c>
      <c r="BCY20" s="43">
        <f t="shared" si="483"/>
        <v>0</v>
      </c>
      <c r="BCZ20" s="48"/>
      <c r="BDA20" s="49"/>
      <c r="BDB20" s="49">
        <v>1411</v>
      </c>
      <c r="BDC20" s="49"/>
      <c r="BDD20" s="49"/>
      <c r="BDE20" s="49"/>
      <c r="BDF20" s="42">
        <f t="shared" si="484"/>
        <v>1411</v>
      </c>
      <c r="BDG20" s="43">
        <f t="shared" si="485"/>
        <v>235.16666666666666</v>
      </c>
      <c r="BDH20" s="48"/>
      <c r="BDI20" s="49"/>
      <c r="BDJ20" s="49"/>
      <c r="BDK20" s="49"/>
      <c r="BDL20" s="49"/>
      <c r="BDM20" s="49"/>
      <c r="BDN20" s="42">
        <f t="shared" si="486"/>
        <v>0</v>
      </c>
      <c r="BDO20" s="43">
        <f t="shared" si="487"/>
        <v>0</v>
      </c>
      <c r="BDP20" s="48"/>
      <c r="BDQ20" s="49"/>
      <c r="BDR20" s="49">
        <v>1588</v>
      </c>
      <c r="BDS20" s="49"/>
      <c r="BDT20" s="49"/>
      <c r="BDU20" s="49"/>
      <c r="BDV20" s="42">
        <f t="shared" si="488"/>
        <v>1588</v>
      </c>
      <c r="BDW20" s="43">
        <f t="shared" si="489"/>
        <v>264.66666666666669</v>
      </c>
      <c r="BDX20" s="48"/>
      <c r="BDY20" s="49"/>
      <c r="BDZ20" s="49"/>
      <c r="BEA20" s="49"/>
      <c r="BEB20" s="49"/>
      <c r="BEC20" s="49"/>
      <c r="BED20" s="42">
        <f t="shared" si="490"/>
        <v>0</v>
      </c>
      <c r="BEE20" s="43">
        <f t="shared" si="491"/>
        <v>0</v>
      </c>
      <c r="BEF20" s="48"/>
      <c r="BEG20" s="49"/>
      <c r="BEH20" s="49"/>
      <c r="BEI20" s="49"/>
      <c r="BEJ20" s="49"/>
      <c r="BEK20" s="49">
        <v>1709</v>
      </c>
      <c r="BEL20" s="42">
        <f t="shared" si="492"/>
        <v>1709</v>
      </c>
      <c r="BEM20" s="43">
        <f t="shared" si="493"/>
        <v>284.83333333333331</v>
      </c>
      <c r="BEN20" s="48"/>
      <c r="BEO20" s="49"/>
      <c r="BEP20" s="49"/>
      <c r="BEQ20" s="49"/>
      <c r="BER20" s="49"/>
      <c r="BES20" s="49"/>
      <c r="BET20" s="42">
        <f t="shared" si="494"/>
        <v>0</v>
      </c>
      <c r="BEU20" s="43">
        <f t="shared" si="495"/>
        <v>0</v>
      </c>
      <c r="BEV20" s="82"/>
      <c r="BEW20" s="83"/>
      <c r="BEX20" s="83"/>
      <c r="BEY20" s="83"/>
      <c r="BEZ20" s="83"/>
      <c r="BFA20" s="83">
        <v>968</v>
      </c>
      <c r="BFB20" s="42">
        <f t="shared" si="496"/>
        <v>968</v>
      </c>
      <c r="BFC20" s="43">
        <f t="shared" si="497"/>
        <v>161.33333333333334</v>
      </c>
      <c r="BFD20" s="48"/>
      <c r="BFE20" s="49"/>
      <c r="BFF20" s="49"/>
      <c r="BFG20" s="49"/>
      <c r="BFH20" s="49"/>
      <c r="BFI20" s="49">
        <v>831</v>
      </c>
      <c r="BFJ20" s="42">
        <f t="shared" si="498"/>
        <v>831</v>
      </c>
      <c r="BFK20" s="43">
        <f t="shared" si="499"/>
        <v>138.5</v>
      </c>
      <c r="BFL20" s="48"/>
      <c r="BFM20" s="49"/>
      <c r="BFN20" s="49"/>
      <c r="BFO20" s="49"/>
      <c r="BFP20" s="49"/>
      <c r="BFQ20" s="49"/>
      <c r="BFR20" s="42">
        <f t="shared" si="500"/>
        <v>0</v>
      </c>
      <c r="BFS20" s="43">
        <f t="shared" si="501"/>
        <v>0</v>
      </c>
      <c r="BFT20" s="48"/>
      <c r="BFU20" s="49"/>
      <c r="BFV20" s="49"/>
      <c r="BFW20" s="49"/>
      <c r="BFX20" s="49">
        <v>1360</v>
      </c>
      <c r="BFY20" s="49"/>
      <c r="BFZ20" s="42">
        <f t="shared" si="502"/>
        <v>1360</v>
      </c>
      <c r="BGA20" s="43">
        <f t="shared" si="503"/>
        <v>226.66666666666666</v>
      </c>
      <c r="BGB20" s="48"/>
      <c r="BGC20" s="49"/>
      <c r="BGD20" s="49"/>
      <c r="BGE20" s="49"/>
      <c r="BGF20" s="49"/>
      <c r="BGG20" s="49"/>
      <c r="BGH20" s="42">
        <f t="shared" si="504"/>
        <v>0</v>
      </c>
      <c r="BGI20" s="43">
        <f t="shared" si="505"/>
        <v>0</v>
      </c>
      <c r="BGJ20" s="48"/>
      <c r="BGK20" s="49"/>
      <c r="BGL20" s="49"/>
      <c r="BGM20" s="49"/>
      <c r="BGN20" s="49">
        <v>809</v>
      </c>
      <c r="BGO20" s="49"/>
      <c r="BGP20" s="42">
        <f t="shared" si="506"/>
        <v>809</v>
      </c>
      <c r="BGQ20" s="43">
        <f t="shared" si="507"/>
        <v>134.83333333333334</v>
      </c>
      <c r="BGR20" s="48"/>
      <c r="BGS20" s="49"/>
      <c r="BGT20" s="49"/>
      <c r="BGU20" s="49"/>
      <c r="BGV20" s="49"/>
      <c r="BGW20" s="49"/>
      <c r="BGX20" s="42">
        <f t="shared" si="508"/>
        <v>0</v>
      </c>
      <c r="BGY20" s="43">
        <f t="shared" si="509"/>
        <v>0</v>
      </c>
      <c r="BGZ20" s="48"/>
      <c r="BHA20" s="49"/>
      <c r="BHB20" s="49"/>
      <c r="BHC20" s="49">
        <v>1002</v>
      </c>
      <c r="BHD20" s="49"/>
      <c r="BHE20" s="49"/>
      <c r="BHF20" s="42">
        <f t="shared" si="510"/>
        <v>1002</v>
      </c>
      <c r="BHG20" s="43">
        <f t="shared" si="511"/>
        <v>167</v>
      </c>
      <c r="BHH20" s="63"/>
      <c r="BHI20" s="64"/>
      <c r="BHJ20" s="64"/>
      <c r="BHK20" s="64"/>
      <c r="BHL20" s="64"/>
      <c r="BHM20" s="64"/>
      <c r="BHN20" s="42">
        <f t="shared" si="512"/>
        <v>0</v>
      </c>
      <c r="BHO20" s="43">
        <f t="shared" si="513"/>
        <v>0</v>
      </c>
      <c r="BHP20" s="48"/>
      <c r="BHQ20" s="49">
        <v>2009</v>
      </c>
      <c r="BHR20" s="49"/>
      <c r="BHS20" s="49"/>
      <c r="BHT20" s="49"/>
      <c r="BHU20" s="49"/>
      <c r="BHV20" s="42">
        <f t="shared" si="514"/>
        <v>2009</v>
      </c>
      <c r="BHW20" s="43">
        <f t="shared" si="515"/>
        <v>334.83333333333331</v>
      </c>
      <c r="BHX20" s="48"/>
      <c r="BHY20" s="49"/>
      <c r="BHZ20" s="49"/>
      <c r="BIA20" s="49"/>
      <c r="BIB20" s="49"/>
      <c r="BIC20" s="49"/>
      <c r="BID20" s="42">
        <f t="shared" si="516"/>
        <v>0</v>
      </c>
      <c r="BIE20" s="43">
        <f t="shared" si="517"/>
        <v>0</v>
      </c>
      <c r="BIF20" s="48"/>
      <c r="BIG20" s="49"/>
      <c r="BIH20" s="49"/>
      <c r="BII20" s="49"/>
      <c r="BIJ20" s="49"/>
      <c r="BIK20" s="49">
        <v>1758</v>
      </c>
      <c r="BIL20" s="42">
        <f t="shared" si="518"/>
        <v>1758</v>
      </c>
      <c r="BIM20" s="43">
        <f t="shared" si="519"/>
        <v>293</v>
      </c>
      <c r="BIN20" s="48"/>
      <c r="BIO20" s="49"/>
      <c r="BIP20" s="49"/>
      <c r="BIQ20" s="49"/>
      <c r="BIR20" s="49"/>
      <c r="BIS20" s="49"/>
      <c r="BIT20" s="42">
        <f t="shared" si="520"/>
        <v>0</v>
      </c>
      <c r="BIU20" s="43">
        <f t="shared" si="521"/>
        <v>0</v>
      </c>
      <c r="BIV20" s="48"/>
      <c r="BIW20" s="49"/>
      <c r="BIX20" s="49"/>
      <c r="BIY20" s="49"/>
      <c r="BIZ20" s="49">
        <v>627</v>
      </c>
      <c r="BJA20" s="49"/>
      <c r="BJB20" s="42">
        <f t="shared" si="522"/>
        <v>627</v>
      </c>
      <c r="BJC20" s="43">
        <f t="shared" si="523"/>
        <v>104.5</v>
      </c>
      <c r="BJD20" s="48"/>
      <c r="BJE20" s="49"/>
      <c r="BJF20" s="49"/>
      <c r="BJG20" s="49"/>
      <c r="BJH20" s="49"/>
      <c r="BJI20" s="49"/>
      <c r="BJJ20" s="42">
        <f t="shared" si="524"/>
        <v>0</v>
      </c>
      <c r="BJK20" s="43">
        <f t="shared" si="525"/>
        <v>0</v>
      </c>
      <c r="BJL20" s="48">
        <v>1210</v>
      </c>
      <c r="BJM20" s="49">
        <v>201</v>
      </c>
      <c r="BJN20" s="49"/>
      <c r="BJO20" s="49"/>
      <c r="BJP20" s="49"/>
      <c r="BJQ20" s="49"/>
      <c r="BJR20" s="42">
        <f t="shared" si="526"/>
        <v>1411</v>
      </c>
      <c r="BJS20" s="43">
        <f t="shared" si="527"/>
        <v>235.16666666666666</v>
      </c>
      <c r="BJT20" s="63"/>
      <c r="BJU20" s="64">
        <v>1046</v>
      </c>
      <c r="BJV20" s="64"/>
      <c r="BJW20" s="64"/>
      <c r="BJX20" s="64"/>
      <c r="BJY20" s="64"/>
      <c r="BJZ20" s="42">
        <f t="shared" si="528"/>
        <v>1046</v>
      </c>
      <c r="BKA20" s="43">
        <f t="shared" si="529"/>
        <v>209.2</v>
      </c>
      <c r="BKB20" s="48"/>
      <c r="BKC20" s="49"/>
      <c r="BKD20" s="49"/>
      <c r="BKE20" s="49"/>
      <c r="BKF20" s="49"/>
      <c r="BKG20" s="49"/>
      <c r="BKH20" s="67">
        <f t="shared" si="530"/>
        <v>0</v>
      </c>
      <c r="BKI20" s="68">
        <f t="shared" si="531"/>
        <v>0</v>
      </c>
      <c r="BKJ20" s="48"/>
      <c r="BKK20" s="49"/>
      <c r="BKL20" s="49"/>
      <c r="BKM20" s="49">
        <v>252</v>
      </c>
      <c r="BKN20" s="49"/>
      <c r="BKO20" s="49"/>
      <c r="BKP20" s="42">
        <f t="shared" si="532"/>
        <v>252</v>
      </c>
      <c r="BKQ20" s="43">
        <f t="shared" si="533"/>
        <v>42</v>
      </c>
      <c r="BKR20" s="48"/>
      <c r="BKS20" s="49"/>
      <c r="BKT20" s="49"/>
      <c r="BKU20" s="49"/>
      <c r="BKV20" s="49"/>
      <c r="BKW20" s="49"/>
      <c r="BKX20" s="42">
        <f t="shared" si="534"/>
        <v>0</v>
      </c>
      <c r="BKY20" s="43">
        <f t="shared" si="535"/>
        <v>0</v>
      </c>
      <c r="BKZ20" s="48"/>
      <c r="BLA20" s="49"/>
      <c r="BLB20" s="49"/>
      <c r="BLC20" s="49"/>
      <c r="BLD20" s="49">
        <v>1623</v>
      </c>
      <c r="BLE20" s="49"/>
      <c r="BLF20" s="42">
        <f t="shared" si="536"/>
        <v>1623</v>
      </c>
      <c r="BLG20" s="43">
        <f t="shared" si="537"/>
        <v>270.5</v>
      </c>
      <c r="BLH20" s="48"/>
      <c r="BLI20" s="49"/>
      <c r="BLJ20" s="49"/>
      <c r="BLK20" s="49"/>
      <c r="BLL20" s="49"/>
      <c r="BLM20" s="49"/>
      <c r="BLN20" s="42">
        <f t="shared" si="538"/>
        <v>0</v>
      </c>
      <c r="BLO20" s="43">
        <f t="shared" si="539"/>
        <v>0</v>
      </c>
      <c r="BLP20" s="48"/>
      <c r="BLQ20" s="49"/>
      <c r="BLR20" s="49"/>
      <c r="BLS20" s="49"/>
      <c r="BLT20" s="49"/>
      <c r="BLU20" s="49"/>
      <c r="BLV20" s="42">
        <f t="shared" si="540"/>
        <v>0</v>
      </c>
      <c r="BLW20" s="43">
        <f t="shared" si="541"/>
        <v>0</v>
      </c>
      <c r="BLX20" s="63">
        <v>1650</v>
      </c>
      <c r="BLY20" s="64"/>
      <c r="BLZ20" s="64"/>
      <c r="BMA20" s="64"/>
      <c r="BMB20" s="64"/>
      <c r="BMC20" s="64"/>
      <c r="BMD20" s="42">
        <f t="shared" si="542"/>
        <v>1650</v>
      </c>
      <c r="BME20" s="43">
        <f t="shared" si="543"/>
        <v>275</v>
      </c>
      <c r="BMF20" s="48"/>
      <c r="BMG20" s="49"/>
      <c r="BMH20" s="49"/>
      <c r="BMI20" s="49"/>
      <c r="BMJ20" s="49"/>
      <c r="BMK20" s="49"/>
      <c r="BML20" s="42">
        <f t="shared" si="544"/>
        <v>0</v>
      </c>
      <c r="BMM20" s="43">
        <f t="shared" si="545"/>
        <v>0</v>
      </c>
      <c r="BMN20" s="63">
        <v>1203</v>
      </c>
      <c r="BMO20" s="64"/>
      <c r="BMP20" s="64"/>
      <c r="BMQ20" s="64"/>
      <c r="BMR20" s="64"/>
      <c r="BMS20" s="64"/>
      <c r="BMT20" s="42">
        <f t="shared" si="546"/>
        <v>1203</v>
      </c>
      <c r="BMU20" s="43">
        <f t="shared" si="547"/>
        <v>200.5</v>
      </c>
      <c r="BMV20" s="48"/>
      <c r="BMW20" s="49"/>
      <c r="BMX20" s="49"/>
      <c r="BMY20" s="49"/>
      <c r="BMZ20" s="49"/>
      <c r="BNA20" s="49"/>
      <c r="BNB20" s="42">
        <f t="shared" si="548"/>
        <v>0</v>
      </c>
      <c r="BNC20" s="43">
        <f t="shared" si="549"/>
        <v>0</v>
      </c>
      <c r="BND20" s="48"/>
      <c r="BNE20" s="49"/>
      <c r="BNF20" s="49">
        <v>1398</v>
      </c>
      <c r="BNG20" s="49"/>
      <c r="BNH20" s="49"/>
      <c r="BNI20" s="49"/>
      <c r="BNJ20" s="42">
        <f t="shared" si="550"/>
        <v>1398</v>
      </c>
      <c r="BNK20" s="43">
        <f t="shared" si="551"/>
        <v>233</v>
      </c>
      <c r="BNL20" s="48"/>
      <c r="BNM20" s="49"/>
      <c r="BNN20" s="49"/>
      <c r="BNO20" s="49"/>
      <c r="BNP20" s="49"/>
      <c r="BNQ20" s="49"/>
      <c r="BNR20" s="42">
        <f t="shared" si="552"/>
        <v>0</v>
      </c>
      <c r="BNS20" s="43">
        <f t="shared" si="553"/>
        <v>0</v>
      </c>
      <c r="BNT20" s="48">
        <v>963</v>
      </c>
      <c r="BNU20" s="49"/>
      <c r="BNV20" s="49"/>
      <c r="BNW20" s="49"/>
      <c r="BNX20" s="49"/>
      <c r="BNY20" s="49"/>
      <c r="BNZ20" s="42">
        <f t="shared" si="554"/>
        <v>963</v>
      </c>
      <c r="BOA20" s="43">
        <f t="shared" si="555"/>
        <v>160.5</v>
      </c>
      <c r="BOB20" s="48"/>
      <c r="BOC20" s="49"/>
      <c r="BOD20" s="49">
        <v>799</v>
      </c>
      <c r="BOE20" s="49"/>
      <c r="BOF20" s="49"/>
      <c r="BOG20" s="49"/>
      <c r="BOH20" s="42">
        <f t="shared" si="556"/>
        <v>799</v>
      </c>
      <c r="BOI20" s="43">
        <f t="shared" si="557"/>
        <v>133.16666666666666</v>
      </c>
      <c r="BOJ20" s="48"/>
      <c r="BOK20" s="49"/>
      <c r="BOL20" s="49"/>
      <c r="BOM20" s="49"/>
      <c r="BON20" s="49"/>
      <c r="BOO20" s="49"/>
      <c r="BOP20" s="42">
        <f t="shared" si="558"/>
        <v>0</v>
      </c>
      <c r="BOQ20" s="43">
        <f t="shared" si="559"/>
        <v>0</v>
      </c>
      <c r="BOR20" s="48"/>
      <c r="BOS20" s="49">
        <v>821</v>
      </c>
      <c r="BOT20" s="49"/>
      <c r="BOU20" s="49"/>
      <c r="BOV20" s="49"/>
      <c r="BOW20" s="49"/>
      <c r="BOX20" s="42">
        <f t="shared" si="560"/>
        <v>821</v>
      </c>
      <c r="BOY20" s="43">
        <f t="shared" si="561"/>
        <v>136.83333333333334</v>
      </c>
      <c r="BOZ20" s="63"/>
      <c r="BPA20" s="64"/>
      <c r="BPB20" s="64">
        <v>890</v>
      </c>
      <c r="BPC20" s="64"/>
      <c r="BPD20" s="64"/>
      <c r="BPE20" s="64"/>
      <c r="BPF20" s="42">
        <f t="shared" si="562"/>
        <v>890</v>
      </c>
      <c r="BPG20" s="43">
        <f t="shared" si="563"/>
        <v>148.33333333333334</v>
      </c>
      <c r="BPH20" s="48"/>
      <c r="BPI20" s="49"/>
      <c r="BPJ20" s="49"/>
      <c r="BPK20" s="49"/>
      <c r="BPL20" s="49"/>
      <c r="BPM20" s="49"/>
      <c r="BPN20" s="42">
        <f t="shared" si="564"/>
        <v>0</v>
      </c>
      <c r="BPO20" s="43">
        <f t="shared" si="565"/>
        <v>0</v>
      </c>
      <c r="BPP20" s="48"/>
      <c r="BPQ20" s="49"/>
      <c r="BPR20" s="49"/>
      <c r="BPS20" s="49"/>
      <c r="BPT20" s="49"/>
      <c r="BPU20" s="49"/>
      <c r="BPV20" s="42">
        <f t="shared" si="566"/>
        <v>0</v>
      </c>
      <c r="BPW20" s="43">
        <f t="shared" si="567"/>
        <v>0</v>
      </c>
      <c r="BPX20" s="48">
        <v>681</v>
      </c>
      <c r="BPY20" s="49"/>
      <c r="BPZ20" s="49"/>
      <c r="BQA20" s="49"/>
      <c r="BQB20" s="49"/>
      <c r="BQC20" s="49"/>
      <c r="BQD20" s="67">
        <f t="shared" si="568"/>
        <v>681</v>
      </c>
      <c r="BQE20" s="43">
        <f t="shared" si="569"/>
        <v>113.5</v>
      </c>
      <c r="BQF20" s="63">
        <v>1071</v>
      </c>
      <c r="BQG20" s="64"/>
      <c r="BQH20" s="64"/>
      <c r="BQI20" s="64"/>
      <c r="BQJ20" s="64"/>
      <c r="BQK20" s="64">
        <v>2071</v>
      </c>
      <c r="BQL20" s="67">
        <f t="shared" si="570"/>
        <v>3142</v>
      </c>
      <c r="BQM20" s="43">
        <f t="shared" si="571"/>
        <v>523.66666666666663</v>
      </c>
      <c r="BQN20" s="63"/>
      <c r="BQO20" s="64"/>
      <c r="BQP20" s="64"/>
      <c r="BQQ20" s="64">
        <v>1331</v>
      </c>
      <c r="BQR20" s="64"/>
      <c r="BQS20" s="64"/>
      <c r="BQT20" s="67">
        <f t="shared" si="572"/>
        <v>1331</v>
      </c>
      <c r="BQU20" s="43">
        <f t="shared" si="573"/>
        <v>221.83333333333334</v>
      </c>
      <c r="BQV20" s="48"/>
      <c r="BQW20" s="49"/>
      <c r="BQX20" s="49"/>
      <c r="BQY20" s="49"/>
      <c r="BQZ20" s="49"/>
      <c r="BRA20" s="49"/>
      <c r="BRB20" s="67">
        <f t="shared" si="574"/>
        <v>0</v>
      </c>
      <c r="BRC20" s="43">
        <f t="shared" si="575"/>
        <v>0</v>
      </c>
      <c r="BRD20" s="48"/>
      <c r="BRE20" s="49"/>
      <c r="BRF20" s="49">
        <v>1648</v>
      </c>
      <c r="BRG20" s="49"/>
      <c r="BRH20" s="49"/>
      <c r="BRI20" s="49"/>
      <c r="BRJ20" s="67">
        <f t="shared" si="576"/>
        <v>1648</v>
      </c>
      <c r="BRK20" s="43">
        <f t="shared" si="577"/>
        <v>274.66666666666669</v>
      </c>
      <c r="BRL20" s="48"/>
      <c r="BRM20" s="49"/>
      <c r="BRN20" s="49"/>
      <c r="BRO20" s="49"/>
      <c r="BRP20" s="49"/>
      <c r="BRQ20" s="49"/>
      <c r="BRR20" s="67">
        <f t="shared" si="578"/>
        <v>0</v>
      </c>
      <c r="BRS20" s="68">
        <f t="shared" si="579"/>
        <v>0</v>
      </c>
      <c r="BRT20" s="63"/>
      <c r="BRU20" s="64"/>
      <c r="BRV20" s="64">
        <v>736</v>
      </c>
      <c r="BRW20" s="64"/>
      <c r="BRX20" s="64"/>
      <c r="BRY20" s="64"/>
      <c r="BRZ20" s="67">
        <f t="shared" si="580"/>
        <v>736</v>
      </c>
      <c r="BSA20" s="43">
        <f t="shared" si="581"/>
        <v>122.66666666666667</v>
      </c>
      <c r="BSB20" s="63">
        <v>949</v>
      </c>
      <c r="BSC20" s="64"/>
      <c r="BSD20" s="64"/>
      <c r="BSE20" s="64"/>
      <c r="BSF20" s="64"/>
      <c r="BSG20" s="64"/>
      <c r="BSH20" s="67">
        <f t="shared" si="582"/>
        <v>949</v>
      </c>
      <c r="BSI20" s="43">
        <f t="shared" si="583"/>
        <v>158.16666666666666</v>
      </c>
      <c r="BSJ20" s="63"/>
      <c r="BSK20" s="64"/>
      <c r="BSL20" s="64">
        <v>110</v>
      </c>
      <c r="BSM20" s="64"/>
      <c r="BSN20" s="64">
        <v>1714</v>
      </c>
      <c r="BSO20" s="64"/>
      <c r="BSP20" s="67">
        <f t="shared" si="584"/>
        <v>1824</v>
      </c>
      <c r="BSQ20" s="43">
        <f t="shared" si="585"/>
        <v>304</v>
      </c>
      <c r="BSR20" s="63">
        <v>574</v>
      </c>
      <c r="BSS20" s="64"/>
      <c r="BST20" s="64"/>
      <c r="BSU20" s="64"/>
      <c r="BSV20" s="64"/>
      <c r="BSW20" s="64">
        <v>1650</v>
      </c>
      <c r="BSX20" s="67">
        <f t="shared" si="586"/>
        <v>2224</v>
      </c>
      <c r="BSY20" s="43">
        <f t="shared" si="587"/>
        <v>370.66666666666669</v>
      </c>
      <c r="BSZ20" s="63"/>
      <c r="BTA20" s="64"/>
      <c r="BTB20" s="64">
        <v>353</v>
      </c>
      <c r="BTC20" s="64"/>
      <c r="BTD20" s="64"/>
      <c r="BTE20" s="64"/>
      <c r="BTF20" s="67">
        <f t="shared" si="588"/>
        <v>353</v>
      </c>
      <c r="BTG20" s="43">
        <f t="shared" si="589"/>
        <v>58.833333333333336</v>
      </c>
      <c r="BTH20" s="63">
        <v>1221</v>
      </c>
      <c r="BTI20" s="64"/>
      <c r="BTJ20" s="64"/>
      <c r="BTK20" s="64"/>
      <c r="BTL20" s="64"/>
      <c r="BTM20" s="64">
        <v>2</v>
      </c>
      <c r="BTN20" s="67">
        <f t="shared" si="590"/>
        <v>1223</v>
      </c>
      <c r="BTO20" s="68">
        <f t="shared" si="591"/>
        <v>203.83333333333334</v>
      </c>
      <c r="BTP20" s="48"/>
      <c r="BTQ20" s="49"/>
      <c r="BTR20" s="49"/>
      <c r="BTS20" s="49"/>
      <c r="BTT20" s="49"/>
      <c r="BTU20" s="49">
        <v>1409</v>
      </c>
      <c r="BTV20" s="67">
        <f t="shared" si="592"/>
        <v>1409</v>
      </c>
      <c r="BTW20" s="43">
        <f t="shared" si="593"/>
        <v>234.83333333333334</v>
      </c>
      <c r="BTX20" s="63"/>
      <c r="BTY20" s="64"/>
      <c r="BTZ20" s="64"/>
      <c r="BUA20" s="64"/>
      <c r="BUB20" s="64"/>
      <c r="BUC20" s="64"/>
      <c r="BUD20" s="67">
        <f t="shared" si="594"/>
        <v>0</v>
      </c>
      <c r="BUE20" s="68">
        <f t="shared" si="595"/>
        <v>0</v>
      </c>
      <c r="BUF20" s="48"/>
      <c r="BUG20" s="49"/>
      <c r="BUH20" s="49"/>
      <c r="BUI20" s="49">
        <v>845</v>
      </c>
      <c r="BUJ20" s="49"/>
      <c r="BUK20" s="49"/>
      <c r="BUL20" s="67">
        <f t="shared" si="596"/>
        <v>845</v>
      </c>
      <c r="BUM20" s="68">
        <f t="shared" si="597"/>
        <v>140.83333333333334</v>
      </c>
      <c r="BUN20" s="63"/>
      <c r="BUO20" s="64"/>
      <c r="BUP20" s="64">
        <v>1296</v>
      </c>
      <c r="BUQ20" s="64"/>
      <c r="BUR20" s="64"/>
      <c r="BUS20" s="64"/>
      <c r="BUT20" s="67">
        <f t="shared" si="598"/>
        <v>1296</v>
      </c>
      <c r="BUU20" s="68">
        <f t="shared" si="599"/>
        <v>216</v>
      </c>
      <c r="BUV20" s="48"/>
      <c r="BUW20" s="49"/>
      <c r="BUX20" s="49"/>
      <c r="BUY20" s="49"/>
      <c r="BUZ20" s="49"/>
      <c r="BVA20" s="49">
        <v>1223</v>
      </c>
      <c r="BVB20" s="67">
        <f t="shared" si="600"/>
        <v>1223</v>
      </c>
      <c r="BVC20" s="68">
        <f t="shared" si="601"/>
        <v>203.83333333333334</v>
      </c>
      <c r="BVD20" s="48"/>
      <c r="BVE20" s="49"/>
      <c r="BVF20" s="49"/>
      <c r="BVG20" s="49"/>
      <c r="BVH20" s="49"/>
      <c r="BVI20" s="49">
        <v>746</v>
      </c>
      <c r="BVJ20" s="67">
        <f t="shared" si="602"/>
        <v>746</v>
      </c>
      <c r="BVK20" s="68">
        <f t="shared" si="603"/>
        <v>124.33333333333333</v>
      </c>
      <c r="BVL20" s="48"/>
      <c r="BVM20" s="49"/>
      <c r="BVN20" s="49"/>
      <c r="BVO20" s="49"/>
      <c r="BVP20" s="49"/>
      <c r="BVQ20" s="49">
        <v>1441</v>
      </c>
      <c r="BVR20" s="67">
        <f t="shared" si="604"/>
        <v>1441</v>
      </c>
      <c r="BVS20" s="68">
        <f t="shared" si="605"/>
        <v>240.16666666666666</v>
      </c>
      <c r="BVT20" s="48"/>
      <c r="BVU20" s="49"/>
      <c r="BVV20" s="49">
        <v>1280</v>
      </c>
      <c r="BVW20" s="49"/>
      <c r="BVX20" s="49"/>
      <c r="BVY20" s="49"/>
      <c r="BVZ20" s="67">
        <f t="shared" si="606"/>
        <v>1280</v>
      </c>
      <c r="BWA20" s="68">
        <f t="shared" si="607"/>
        <v>213.33333333333334</v>
      </c>
      <c r="BWB20" s="48"/>
      <c r="BWC20" s="49"/>
      <c r="BWD20" s="49"/>
      <c r="BWE20" s="49"/>
      <c r="BWF20" s="49"/>
      <c r="BWG20" s="49"/>
      <c r="BWH20" s="67">
        <f t="shared" si="608"/>
        <v>0</v>
      </c>
      <c r="BWI20" s="68">
        <f t="shared" si="609"/>
        <v>0</v>
      </c>
      <c r="BWJ20" s="48"/>
      <c r="BWK20" s="49"/>
      <c r="BWL20" s="49"/>
      <c r="BWM20" s="49"/>
      <c r="BWN20" s="49"/>
      <c r="BWO20" s="49">
        <v>1573</v>
      </c>
      <c r="BWP20" s="67">
        <f t="shared" si="610"/>
        <v>1573</v>
      </c>
      <c r="BWQ20" s="68">
        <f t="shared" si="611"/>
        <v>262.16666666666669</v>
      </c>
      <c r="BWR20" s="48"/>
      <c r="BWS20" s="49"/>
      <c r="BWT20" s="49"/>
      <c r="BWU20" s="49"/>
      <c r="BWV20" s="49"/>
      <c r="BWW20" s="49"/>
      <c r="BWX20" s="67">
        <f t="shared" si="612"/>
        <v>0</v>
      </c>
      <c r="BWY20" s="68">
        <f t="shared" si="613"/>
        <v>0</v>
      </c>
      <c r="BWZ20" s="48"/>
      <c r="BXA20" s="49">
        <v>1514</v>
      </c>
      <c r="BXB20" s="49">
        <v>82</v>
      </c>
      <c r="BXC20" s="49"/>
      <c r="BXD20" s="49"/>
      <c r="BXE20" s="49"/>
      <c r="BXF20" s="67">
        <f t="shared" si="614"/>
        <v>1596</v>
      </c>
      <c r="BXG20" s="68">
        <f t="shared" si="615"/>
        <v>266</v>
      </c>
      <c r="BXH20" s="48"/>
      <c r="BXI20" s="49"/>
      <c r="BXJ20" s="49"/>
      <c r="BXK20" s="49"/>
      <c r="BXL20" s="49"/>
      <c r="BXM20" s="49"/>
      <c r="BXN20" s="67">
        <f t="shared" si="616"/>
        <v>0</v>
      </c>
      <c r="BXO20" s="68">
        <f t="shared" si="617"/>
        <v>0</v>
      </c>
      <c r="BXP20" s="63"/>
      <c r="BXQ20" s="64"/>
      <c r="BXR20" s="64"/>
      <c r="BXS20" s="64"/>
      <c r="BXT20" s="64"/>
      <c r="BXU20" s="1">
        <v>902</v>
      </c>
      <c r="BXV20" s="67">
        <f t="shared" si="73"/>
        <v>0</v>
      </c>
      <c r="BXW20" s="68">
        <f t="shared" si="618"/>
        <v>0</v>
      </c>
      <c r="BXX20" s="48">
        <v>337</v>
      </c>
      <c r="BXY20" s="49"/>
      <c r="BXZ20" s="49"/>
      <c r="BYA20" s="49"/>
      <c r="BYB20" s="49"/>
      <c r="BYC20" s="49"/>
      <c r="BYD20" s="67">
        <f t="shared" si="619"/>
        <v>337</v>
      </c>
      <c r="BYE20" s="68">
        <f t="shared" si="620"/>
        <v>56.166666666666664</v>
      </c>
      <c r="BYF20" s="63"/>
      <c r="BYG20" s="64">
        <v>651</v>
      </c>
      <c r="BYH20" s="64"/>
      <c r="BYI20" s="64"/>
      <c r="BYJ20" s="64"/>
      <c r="BYK20" s="64"/>
      <c r="BYL20" s="67">
        <f t="shared" si="621"/>
        <v>651</v>
      </c>
      <c r="BYM20" s="68">
        <f t="shared" si="622"/>
        <v>108.5</v>
      </c>
      <c r="BYN20" s="48"/>
      <c r="BYO20" s="49">
        <v>880</v>
      </c>
      <c r="BYP20" s="49"/>
      <c r="BYQ20" s="49"/>
      <c r="BYR20" s="49"/>
      <c r="BYS20" s="49">
        <v>603</v>
      </c>
      <c r="BYT20" s="67">
        <f t="shared" si="623"/>
        <v>1483</v>
      </c>
      <c r="BYU20" s="68">
        <f t="shared" si="624"/>
        <v>247.16666666666666</v>
      </c>
      <c r="BYV20" s="48">
        <v>279</v>
      </c>
      <c r="BYW20" s="49"/>
      <c r="BYX20" s="49"/>
      <c r="BYY20" s="49"/>
      <c r="BYZ20" s="49"/>
      <c r="BZA20" s="49"/>
      <c r="BZB20" s="67">
        <f t="shared" si="625"/>
        <v>279</v>
      </c>
      <c r="BZC20" s="68">
        <f t="shared" si="626"/>
        <v>46.5</v>
      </c>
      <c r="BZD20" s="48"/>
      <c r="BZE20" s="49"/>
      <c r="BZF20" s="49"/>
      <c r="BZG20" s="49">
        <v>1486</v>
      </c>
      <c r="BZH20" s="49"/>
      <c r="BZI20" s="49"/>
      <c r="BZJ20" s="67">
        <f t="shared" si="627"/>
        <v>1486</v>
      </c>
      <c r="BZK20" s="68">
        <f t="shared" si="628"/>
        <v>247.66666666666666</v>
      </c>
      <c r="BZL20" s="48"/>
      <c r="BZM20" s="49"/>
      <c r="BZN20" s="49"/>
      <c r="BZO20" s="49"/>
      <c r="BZP20" s="49"/>
      <c r="BZQ20" s="49"/>
      <c r="BZR20" s="67">
        <f t="shared" si="629"/>
        <v>0</v>
      </c>
      <c r="BZS20" s="68">
        <f t="shared" si="630"/>
        <v>0</v>
      </c>
      <c r="BZT20" s="48">
        <v>1129</v>
      </c>
      <c r="BZU20" s="49"/>
      <c r="BZV20" s="49"/>
      <c r="BZW20" s="49"/>
      <c r="BZX20" s="49"/>
      <c r="BZY20" s="49"/>
      <c r="BZZ20" s="67">
        <f t="shared" si="631"/>
        <v>1129</v>
      </c>
      <c r="CAA20" s="68">
        <f t="shared" si="632"/>
        <v>188.16666666666666</v>
      </c>
      <c r="CAB20" s="48"/>
      <c r="CAC20" s="49"/>
      <c r="CAD20" s="49"/>
      <c r="CAE20" s="49"/>
      <c r="CAF20" s="49"/>
      <c r="CAG20" s="49"/>
      <c r="CAH20" s="67">
        <f t="shared" si="633"/>
        <v>0</v>
      </c>
      <c r="CAI20" s="68">
        <f t="shared" si="634"/>
        <v>0</v>
      </c>
      <c r="CAJ20" s="63"/>
      <c r="CAK20" s="64"/>
      <c r="CAL20" s="64"/>
      <c r="CAM20" s="64"/>
      <c r="CAN20" s="64"/>
      <c r="CAO20" s="64"/>
      <c r="CAP20" s="67">
        <f t="shared" si="635"/>
        <v>0</v>
      </c>
      <c r="CAQ20" s="68">
        <f t="shared" si="636"/>
        <v>0</v>
      </c>
      <c r="CAR20" s="63">
        <v>779</v>
      </c>
      <c r="CAS20" s="64"/>
      <c r="CAT20" s="64"/>
      <c r="CAU20" s="64"/>
      <c r="CAV20" s="64">
        <v>800</v>
      </c>
      <c r="CAW20" s="64"/>
      <c r="CAX20" s="67">
        <f t="shared" si="637"/>
        <v>1579</v>
      </c>
      <c r="CAY20" s="68">
        <f t="shared" si="638"/>
        <v>263.16666666666669</v>
      </c>
      <c r="CAZ20" s="48"/>
      <c r="CBA20" s="49"/>
      <c r="CBB20" s="49"/>
      <c r="CBC20" s="49"/>
      <c r="CBD20" s="49"/>
      <c r="CBE20" s="49">
        <v>30</v>
      </c>
      <c r="CBF20" s="67">
        <f t="shared" si="639"/>
        <v>30</v>
      </c>
      <c r="CBG20" s="68">
        <f t="shared" si="640"/>
        <v>5</v>
      </c>
      <c r="CBH20" s="48">
        <v>962</v>
      </c>
      <c r="CBI20" s="49"/>
      <c r="CBJ20" s="49"/>
      <c r="CBK20" s="49"/>
      <c r="CBL20" s="49"/>
      <c r="CBM20" s="49"/>
      <c r="CBN20" s="67">
        <f t="shared" si="641"/>
        <v>962</v>
      </c>
      <c r="CBO20" s="68">
        <f t="shared" si="642"/>
        <v>160.33333333333334</v>
      </c>
      <c r="CBP20" s="48"/>
      <c r="CBQ20" s="49">
        <v>440</v>
      </c>
      <c r="CBR20" s="49"/>
      <c r="CBS20" s="49"/>
      <c r="CBT20" s="49"/>
      <c r="CBU20" s="49">
        <v>898</v>
      </c>
      <c r="CBV20" s="67">
        <f t="shared" si="643"/>
        <v>1338</v>
      </c>
      <c r="CBW20" s="68">
        <f t="shared" si="644"/>
        <v>223</v>
      </c>
      <c r="CBX20" s="48"/>
      <c r="CBY20" s="49"/>
      <c r="CBZ20" s="49"/>
      <c r="CCA20" s="49"/>
      <c r="CCB20" s="49"/>
      <c r="CCC20" s="49"/>
      <c r="CCD20" s="67">
        <f t="shared" si="645"/>
        <v>0</v>
      </c>
      <c r="CCE20" s="68">
        <f t="shared" si="646"/>
        <v>0</v>
      </c>
      <c r="CCF20" s="48"/>
      <c r="CCG20" s="49">
        <v>870</v>
      </c>
      <c r="CCH20" s="49"/>
      <c r="CCI20" s="49"/>
      <c r="CCJ20" s="49"/>
      <c r="CCK20" s="49"/>
      <c r="CCL20" s="67">
        <f t="shared" si="647"/>
        <v>870</v>
      </c>
      <c r="CCM20" s="68">
        <f t="shared" si="648"/>
        <v>145</v>
      </c>
      <c r="CCN20" s="48"/>
      <c r="CCO20" s="49"/>
      <c r="CCP20" s="49">
        <v>804</v>
      </c>
      <c r="CCQ20" s="49"/>
      <c r="CCR20" s="49"/>
      <c r="CCS20" s="49"/>
      <c r="CCT20" s="67">
        <f t="shared" si="649"/>
        <v>804</v>
      </c>
      <c r="CCU20" s="68">
        <f t="shared" si="650"/>
        <v>134</v>
      </c>
      <c r="CCV20" s="48"/>
      <c r="CCW20" s="49"/>
      <c r="CCX20" s="49"/>
      <c r="CCY20" s="49"/>
      <c r="CCZ20" s="49">
        <v>728</v>
      </c>
      <c r="CDA20" s="49"/>
      <c r="CDB20" s="67">
        <f t="shared" si="651"/>
        <v>728</v>
      </c>
      <c r="CDC20" s="68">
        <f t="shared" si="652"/>
        <v>121.33333333333333</v>
      </c>
      <c r="CDD20" s="48"/>
      <c r="CDE20" s="49"/>
      <c r="CDF20" s="49"/>
      <c r="CDG20" s="49"/>
      <c r="CDH20" s="49"/>
      <c r="CDI20" s="49">
        <v>724</v>
      </c>
      <c r="CDJ20" s="67">
        <f t="shared" si="653"/>
        <v>724</v>
      </c>
      <c r="CDK20" s="68">
        <f t="shared" si="654"/>
        <v>120.66666666666667</v>
      </c>
      <c r="CDL20" s="48"/>
      <c r="CDM20" s="49"/>
      <c r="CDN20" s="49"/>
      <c r="CDO20" s="49"/>
      <c r="CDP20" s="49"/>
      <c r="CDQ20" s="49"/>
      <c r="CDR20" s="67">
        <f t="shared" si="655"/>
        <v>0</v>
      </c>
      <c r="CDS20" s="68">
        <f t="shared" si="656"/>
        <v>0</v>
      </c>
      <c r="CDT20" s="48"/>
      <c r="CDU20" s="49">
        <v>672</v>
      </c>
      <c r="CDV20" s="49"/>
      <c r="CDW20" s="49"/>
      <c r="CDX20" s="49"/>
      <c r="CDY20" s="49"/>
      <c r="CDZ20" s="67">
        <f t="shared" si="657"/>
        <v>672</v>
      </c>
      <c r="CEA20" s="68">
        <f t="shared" si="658"/>
        <v>112</v>
      </c>
      <c r="CEB20" s="48">
        <v>856</v>
      </c>
      <c r="CEC20" s="49"/>
      <c r="CED20" s="49"/>
      <c r="CEE20" s="49"/>
      <c r="CEF20" s="49"/>
      <c r="CEG20" s="49"/>
      <c r="CEH20" s="67">
        <f t="shared" si="659"/>
        <v>856</v>
      </c>
      <c r="CEI20" s="68">
        <f t="shared" si="660"/>
        <v>142.66666666666666</v>
      </c>
      <c r="CEJ20" s="48"/>
      <c r="CEK20" s="49"/>
      <c r="CEL20" s="49"/>
      <c r="CEM20" s="49">
        <v>618</v>
      </c>
      <c r="CEN20" s="49"/>
      <c r="CEO20" s="49"/>
      <c r="CEP20" s="67">
        <f t="shared" si="661"/>
        <v>618</v>
      </c>
      <c r="CEQ20" s="68">
        <f t="shared" si="662"/>
        <v>103</v>
      </c>
      <c r="CER20" s="48"/>
      <c r="CES20" s="49"/>
      <c r="CET20" s="49"/>
      <c r="CEU20" s="49">
        <v>672</v>
      </c>
      <c r="CEV20" s="49"/>
      <c r="CEW20" s="49"/>
      <c r="CEX20" s="67">
        <f t="shared" si="663"/>
        <v>672</v>
      </c>
      <c r="CEY20" s="68">
        <f t="shared" si="664"/>
        <v>112</v>
      </c>
      <c r="CEZ20" s="48"/>
      <c r="CFA20" s="49"/>
      <c r="CFB20" s="49"/>
      <c r="CFC20" s="49"/>
      <c r="CFD20" s="49">
        <v>680</v>
      </c>
      <c r="CFE20" s="49"/>
      <c r="CFF20" s="67">
        <f t="shared" si="665"/>
        <v>680</v>
      </c>
      <c r="CFG20" s="68">
        <f t="shared" si="666"/>
        <v>113.33333333333333</v>
      </c>
      <c r="CFH20" s="48"/>
      <c r="CFI20" s="49"/>
      <c r="CFJ20" s="49"/>
      <c r="CFK20" s="49"/>
      <c r="CFL20" s="49"/>
      <c r="CFM20" s="49">
        <v>907</v>
      </c>
      <c r="CFN20" s="67">
        <f t="shared" si="667"/>
        <v>907</v>
      </c>
      <c r="CFO20" s="68">
        <f t="shared" si="668"/>
        <v>151.16666666666666</v>
      </c>
      <c r="CFP20" s="48"/>
      <c r="CFQ20" s="49"/>
      <c r="CFR20" s="49"/>
      <c r="CFS20" s="49"/>
      <c r="CFT20" s="49"/>
      <c r="CFU20" s="49">
        <v>990</v>
      </c>
      <c r="CFV20" s="67">
        <f t="shared" si="669"/>
        <v>990</v>
      </c>
      <c r="CFW20" s="68">
        <f t="shared" si="670"/>
        <v>165</v>
      </c>
      <c r="CFX20" s="48"/>
      <c r="CFY20" s="49"/>
      <c r="CFZ20" s="49"/>
      <c r="CGA20" s="49"/>
      <c r="CGB20" s="49"/>
      <c r="CGC20" s="49"/>
      <c r="CGD20" s="67">
        <f t="shared" si="671"/>
        <v>0</v>
      </c>
      <c r="CGE20" s="68">
        <f t="shared" si="672"/>
        <v>0</v>
      </c>
      <c r="CGF20" s="48"/>
      <c r="CGG20" s="49"/>
      <c r="CGH20" s="49">
        <v>899</v>
      </c>
      <c r="CGI20" s="49"/>
      <c r="CGJ20" s="49"/>
      <c r="CGK20" s="49"/>
      <c r="CGL20" s="67">
        <f t="shared" si="673"/>
        <v>899</v>
      </c>
      <c r="CGM20" s="68">
        <f t="shared" si="674"/>
        <v>149.83333333333334</v>
      </c>
      <c r="CGN20" s="63">
        <v>1009</v>
      </c>
      <c r="CGO20" s="64"/>
      <c r="CGP20" s="64"/>
      <c r="CGQ20" s="64"/>
      <c r="CGR20" s="64"/>
      <c r="CGS20" s="64"/>
      <c r="CGT20" s="67">
        <f t="shared" si="675"/>
        <v>1009</v>
      </c>
      <c r="CGU20" s="68">
        <f t="shared" si="676"/>
        <v>168.16666666666666</v>
      </c>
      <c r="CGV20" s="48"/>
      <c r="CGW20" s="49"/>
      <c r="CGX20" s="49"/>
      <c r="CGY20" s="49"/>
      <c r="CGZ20" s="49">
        <v>924</v>
      </c>
      <c r="CHA20" s="49"/>
      <c r="CHB20" s="67">
        <f t="shared" si="677"/>
        <v>924</v>
      </c>
      <c r="CHC20" s="68">
        <f t="shared" si="678"/>
        <v>154</v>
      </c>
      <c r="CHD20" s="48"/>
      <c r="CHE20" s="49"/>
      <c r="CHF20" s="49"/>
      <c r="CHG20" s="49"/>
      <c r="CHH20" s="49"/>
      <c r="CHI20" s="49"/>
      <c r="CHJ20" s="67">
        <f t="shared" si="679"/>
        <v>0</v>
      </c>
      <c r="CHK20" s="68">
        <f t="shared" si="680"/>
        <v>0</v>
      </c>
      <c r="CHL20" s="63"/>
      <c r="CHM20" s="64"/>
      <c r="CHN20" s="64">
        <v>901</v>
      </c>
      <c r="CHO20" s="64"/>
      <c r="CHP20" s="64"/>
      <c r="CHQ20" s="64"/>
      <c r="CHR20" s="67">
        <f t="shared" si="681"/>
        <v>901</v>
      </c>
      <c r="CHS20" s="68">
        <f t="shared" si="682"/>
        <v>150.16666666666666</v>
      </c>
      <c r="CHT20" s="48"/>
      <c r="CHU20" s="49"/>
      <c r="CHV20" s="49">
        <v>770</v>
      </c>
      <c r="CHW20" s="49"/>
      <c r="CHX20" s="49"/>
      <c r="CHY20" s="49"/>
      <c r="CHZ20" s="67">
        <f t="shared" si="683"/>
        <v>770</v>
      </c>
      <c r="CIA20" s="68">
        <f t="shared" si="684"/>
        <v>128.33333333333334</v>
      </c>
      <c r="CIB20" s="63"/>
      <c r="CIC20" s="64"/>
      <c r="CID20" s="64"/>
      <c r="CIE20" s="64"/>
      <c r="CIF20" s="64">
        <v>1000</v>
      </c>
      <c r="CIG20" s="64"/>
      <c r="CIH20" s="67">
        <f t="shared" si="685"/>
        <v>1000</v>
      </c>
      <c r="CII20" s="68">
        <f t="shared" si="686"/>
        <v>166.66666666666666</v>
      </c>
      <c r="CIJ20" s="63">
        <v>993</v>
      </c>
      <c r="CIK20" s="64"/>
      <c r="CIL20" s="64"/>
      <c r="CIM20" s="64"/>
      <c r="CIN20" s="64"/>
      <c r="CIO20" s="64"/>
      <c r="CIP20" s="67">
        <f t="shared" si="687"/>
        <v>993</v>
      </c>
      <c r="CIQ20" s="68">
        <f t="shared" si="688"/>
        <v>165.5</v>
      </c>
      <c r="CIR20" s="48"/>
      <c r="CIS20" s="49"/>
      <c r="CIT20" s="49"/>
      <c r="CIU20" s="49"/>
      <c r="CIV20" s="49"/>
      <c r="CIW20" s="49"/>
      <c r="CIX20" s="67">
        <f t="shared" si="689"/>
        <v>0</v>
      </c>
      <c r="CIY20" s="68">
        <f t="shared" si="690"/>
        <v>0</v>
      </c>
      <c r="CIZ20" s="48">
        <v>901</v>
      </c>
      <c r="CJA20" s="49"/>
      <c r="CJB20" s="49"/>
      <c r="CJC20" s="49"/>
      <c r="CJD20" s="49"/>
      <c r="CJE20" s="49">
        <v>220</v>
      </c>
      <c r="CJF20" s="67">
        <f t="shared" si="691"/>
        <v>1121</v>
      </c>
      <c r="CJG20" s="68">
        <f t="shared" si="1200"/>
        <v>186.83333333333334</v>
      </c>
      <c r="CJH20" s="48"/>
      <c r="CJI20" s="49">
        <v>1540</v>
      </c>
      <c r="CJJ20" s="49"/>
      <c r="CJK20" s="49"/>
      <c r="CJL20" s="49"/>
      <c r="CJM20" s="49"/>
      <c r="CJN20" s="67">
        <f t="shared" si="692"/>
        <v>1540</v>
      </c>
      <c r="CJO20" s="68">
        <f t="shared" si="693"/>
        <v>256.66666666666669</v>
      </c>
      <c r="CJP20" s="48"/>
      <c r="CJQ20" s="49">
        <v>218</v>
      </c>
      <c r="CJR20" s="49"/>
      <c r="CJS20" s="49"/>
      <c r="CJT20" s="49"/>
      <c r="CJU20" s="49"/>
      <c r="CJV20" s="67">
        <f t="shared" si="694"/>
        <v>218</v>
      </c>
      <c r="CJW20" s="68">
        <f t="shared" si="695"/>
        <v>36.333333333333336</v>
      </c>
      <c r="CJX20" s="48"/>
      <c r="CJY20" s="49"/>
      <c r="CJZ20" s="49"/>
      <c r="CKA20" s="49"/>
      <c r="CKB20" s="49"/>
      <c r="CKC20" s="49"/>
      <c r="CKD20" s="67">
        <f t="shared" si="696"/>
        <v>0</v>
      </c>
      <c r="CKE20" s="68">
        <f t="shared" si="697"/>
        <v>0</v>
      </c>
      <c r="CKF20" s="63">
        <v>649</v>
      </c>
      <c r="CKG20" s="64"/>
      <c r="CKH20" s="64">
        <v>534</v>
      </c>
      <c r="CKI20" s="64"/>
      <c r="CKJ20" s="64"/>
      <c r="CKK20" s="64"/>
      <c r="CKL20" s="67">
        <f t="shared" si="698"/>
        <v>1183</v>
      </c>
      <c r="CKM20" s="68">
        <f t="shared" si="699"/>
        <v>197.16666666666666</v>
      </c>
      <c r="CKN20" s="48"/>
      <c r="CKO20" s="49"/>
      <c r="CKP20" s="49">
        <v>604</v>
      </c>
      <c r="CKQ20" s="49"/>
      <c r="CKR20" s="49"/>
      <c r="CKS20" s="47"/>
      <c r="CKT20" s="67">
        <f t="shared" si="700"/>
        <v>604</v>
      </c>
      <c r="CKU20" s="68">
        <f t="shared" si="701"/>
        <v>100.66666666666667</v>
      </c>
      <c r="CKV20" s="48"/>
      <c r="CKW20" s="49"/>
      <c r="CKX20" s="49"/>
      <c r="CKY20" s="49"/>
      <c r="CKZ20" s="49">
        <v>663</v>
      </c>
      <c r="CLA20" s="49"/>
      <c r="CLB20" s="67">
        <f t="shared" si="702"/>
        <v>663</v>
      </c>
      <c r="CLC20" s="68">
        <f t="shared" si="703"/>
        <v>110.5</v>
      </c>
      <c r="CLD20" s="48"/>
      <c r="CLE20" s="49"/>
      <c r="CLF20" s="49"/>
      <c r="CLG20" s="49"/>
      <c r="CLH20" s="49"/>
      <c r="CLI20" s="49"/>
      <c r="CLJ20" s="67">
        <f t="shared" si="704"/>
        <v>0</v>
      </c>
      <c r="CLK20" s="68">
        <f t="shared" si="705"/>
        <v>0</v>
      </c>
      <c r="CLL20" s="48"/>
      <c r="CLM20" s="49">
        <v>615</v>
      </c>
      <c r="CLN20" s="49"/>
      <c r="CLO20" s="49"/>
      <c r="CLP20" s="49"/>
      <c r="CLQ20" s="49"/>
      <c r="CLR20" s="67">
        <f t="shared" si="706"/>
        <v>615</v>
      </c>
      <c r="CLS20" s="68">
        <f t="shared" si="707"/>
        <v>102.5</v>
      </c>
      <c r="CLT20" s="63">
        <v>829</v>
      </c>
      <c r="CLU20" s="64"/>
      <c r="CLV20" s="64"/>
      <c r="CLW20" s="64"/>
      <c r="CLX20" s="64"/>
      <c r="CLY20" s="64"/>
      <c r="CLZ20" s="67">
        <f t="shared" si="708"/>
        <v>829</v>
      </c>
      <c r="CMA20" s="68">
        <f t="shared" si="709"/>
        <v>138.16666666666666</v>
      </c>
      <c r="CMB20" s="48"/>
      <c r="CMC20" s="49"/>
      <c r="CMD20" s="49">
        <v>571</v>
      </c>
      <c r="CME20" s="49"/>
      <c r="CMF20" s="49"/>
      <c r="CMG20" s="49"/>
      <c r="CMH20" s="67">
        <f t="shared" si="710"/>
        <v>571</v>
      </c>
      <c r="CMI20" s="68">
        <f t="shared" si="711"/>
        <v>95.166666666666671</v>
      </c>
      <c r="CMJ20" s="48"/>
      <c r="CMK20" s="49"/>
      <c r="CML20" s="49"/>
      <c r="CMM20" s="49">
        <v>823</v>
      </c>
      <c r="CMN20" s="49"/>
      <c r="CMO20" s="49"/>
      <c r="CMP20" s="67">
        <f t="shared" si="712"/>
        <v>823</v>
      </c>
      <c r="CMQ20" s="68">
        <f t="shared" si="713"/>
        <v>137.16666666666666</v>
      </c>
      <c r="CMR20" s="48"/>
      <c r="CMS20" s="49"/>
      <c r="CMT20" s="49"/>
      <c r="CMU20" s="49"/>
      <c r="CMV20" s="49"/>
      <c r="CMW20" s="49"/>
      <c r="CMX20" s="67">
        <f t="shared" si="714"/>
        <v>0</v>
      </c>
      <c r="CMY20" s="68">
        <f t="shared" si="715"/>
        <v>0</v>
      </c>
      <c r="CMZ20" s="63"/>
      <c r="CNA20" s="64"/>
      <c r="CNB20" s="64"/>
      <c r="CNC20" s="64"/>
      <c r="CND20" s="64">
        <v>220</v>
      </c>
      <c r="CNE20" s="64">
        <v>668</v>
      </c>
      <c r="CNF20" s="67">
        <f t="shared" si="716"/>
        <v>888</v>
      </c>
      <c r="CNG20" s="68">
        <f t="shared" si="717"/>
        <v>148</v>
      </c>
      <c r="CNH20" s="48"/>
      <c r="CNI20" s="49"/>
      <c r="CNJ20" s="49">
        <v>2</v>
      </c>
      <c r="CNK20" s="49"/>
      <c r="CNL20" s="49"/>
      <c r="CNM20" s="49"/>
      <c r="CNN20" s="67">
        <f t="shared" si="718"/>
        <v>2</v>
      </c>
      <c r="CNO20" s="68">
        <f t="shared" si="719"/>
        <v>0.33333333333333331</v>
      </c>
      <c r="CNP20" s="63"/>
      <c r="CNQ20" s="64"/>
      <c r="CNR20" s="64">
        <v>899</v>
      </c>
      <c r="CNS20" s="64"/>
      <c r="CNT20" s="64"/>
      <c r="CNU20" s="64"/>
      <c r="CNV20" s="67">
        <f t="shared" si="720"/>
        <v>899</v>
      </c>
      <c r="CNW20" s="68">
        <f t="shared" si="721"/>
        <v>149.83333333333334</v>
      </c>
      <c r="CNX20" s="48"/>
      <c r="CNY20" s="49"/>
      <c r="CNZ20" s="49"/>
      <c r="COA20" s="49"/>
      <c r="COB20" s="49"/>
      <c r="COC20" s="49"/>
      <c r="COD20" s="67">
        <f t="shared" si="722"/>
        <v>0</v>
      </c>
      <c r="COE20" s="68">
        <f t="shared" si="723"/>
        <v>0</v>
      </c>
      <c r="COF20" s="48"/>
      <c r="COG20" s="49"/>
      <c r="COH20" s="49"/>
      <c r="COI20" s="49"/>
      <c r="COJ20" s="49"/>
      <c r="COK20" s="49"/>
      <c r="COL20" s="67">
        <f t="shared" si="724"/>
        <v>0</v>
      </c>
      <c r="COM20" s="68">
        <f t="shared" si="725"/>
        <v>0</v>
      </c>
      <c r="CON20" s="48">
        <v>750</v>
      </c>
      <c r="COO20" s="49"/>
      <c r="COP20" s="49"/>
      <c r="COQ20" s="49"/>
      <c r="COR20" s="49"/>
      <c r="COS20" s="49"/>
      <c r="COT20" s="67">
        <f t="shared" si="726"/>
        <v>750</v>
      </c>
      <c r="COU20" s="68">
        <f t="shared" si="727"/>
        <v>125</v>
      </c>
      <c r="COV20" s="48"/>
      <c r="COW20" s="49"/>
      <c r="COX20" s="49"/>
      <c r="COY20" s="49"/>
      <c r="COZ20" s="49"/>
      <c r="CPA20" s="49">
        <v>0</v>
      </c>
      <c r="CPB20" s="67">
        <f t="shared" si="728"/>
        <v>0</v>
      </c>
      <c r="CPC20" s="68">
        <f t="shared" si="729"/>
        <v>0</v>
      </c>
      <c r="CPD20" s="48">
        <v>0</v>
      </c>
      <c r="CPE20" s="49">
        <v>0</v>
      </c>
      <c r="CPF20" s="49">
        <v>0</v>
      </c>
      <c r="CPG20" s="49">
        <v>0</v>
      </c>
      <c r="CPH20" s="49">
        <v>0</v>
      </c>
      <c r="CPI20" s="49">
        <v>627</v>
      </c>
      <c r="CPJ20" s="67">
        <f t="shared" si="730"/>
        <v>627</v>
      </c>
      <c r="CPK20" s="68">
        <f t="shared" si="731"/>
        <v>104.5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2"/>
        <v>0</v>
      </c>
      <c r="CPS20" s="68">
        <f t="shared" si="733"/>
        <v>0</v>
      </c>
      <c r="CPT20" s="63">
        <v>0</v>
      </c>
      <c r="CPU20" s="64">
        <v>392</v>
      </c>
      <c r="CPV20" s="64">
        <v>0</v>
      </c>
      <c r="CPW20" s="64">
        <v>0</v>
      </c>
      <c r="CPX20" s="64"/>
      <c r="CPY20" s="64">
        <v>0</v>
      </c>
      <c r="CPZ20" s="67">
        <f t="shared" si="734"/>
        <v>392</v>
      </c>
      <c r="CQA20" s="68">
        <f t="shared" si="735"/>
        <v>65.333333333333329</v>
      </c>
      <c r="CQB20" s="48">
        <v>0</v>
      </c>
      <c r="CQC20" s="49">
        <v>0</v>
      </c>
      <c r="CQD20" s="49">
        <v>0</v>
      </c>
      <c r="CQE20" s="49">
        <v>549</v>
      </c>
      <c r="CQF20" s="49">
        <v>0</v>
      </c>
      <c r="CQG20" s="49"/>
      <c r="CQH20" s="67">
        <f t="shared" si="736"/>
        <v>549</v>
      </c>
      <c r="CQI20" s="68">
        <f t="shared" si="737"/>
        <v>91.5</v>
      </c>
      <c r="CQJ20" s="82">
        <v>0</v>
      </c>
      <c r="CQK20" s="83">
        <v>0</v>
      </c>
      <c r="CQL20" s="83">
        <v>0</v>
      </c>
      <c r="CQM20" s="83">
        <v>0</v>
      </c>
      <c r="CQN20" s="83">
        <v>0</v>
      </c>
      <c r="CQO20" s="83"/>
      <c r="CQP20" s="67">
        <f t="shared" si="738"/>
        <v>0</v>
      </c>
      <c r="CQQ20" s="68">
        <f t="shared" si="739"/>
        <v>0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667</v>
      </c>
      <c r="CQX20" s="67">
        <f t="shared" si="740"/>
        <v>667</v>
      </c>
      <c r="CQY20" s="68">
        <f t="shared" si="741"/>
        <v>111.16666666666667</v>
      </c>
      <c r="CQZ20" s="48">
        <v>0</v>
      </c>
      <c r="CRA20" s="49"/>
      <c r="CRB20" s="49">
        <v>0</v>
      </c>
      <c r="CRC20" s="49">
        <v>234</v>
      </c>
      <c r="CRD20" s="49">
        <v>0</v>
      </c>
      <c r="CRE20" s="49">
        <v>0</v>
      </c>
      <c r="CRF20" s="67">
        <f t="shared" si="742"/>
        <v>234</v>
      </c>
      <c r="CRG20" s="68">
        <f t="shared" si="743"/>
        <v>39</v>
      </c>
      <c r="CRH20" s="48"/>
      <c r="CRI20" s="49">
        <v>132</v>
      </c>
      <c r="CRJ20" s="49">
        <v>0</v>
      </c>
      <c r="CRK20" s="49">
        <v>0</v>
      </c>
      <c r="CRL20" s="49">
        <v>0</v>
      </c>
      <c r="CRM20" s="49">
        <v>0</v>
      </c>
      <c r="CRN20" s="67">
        <f t="shared" si="744"/>
        <v>132</v>
      </c>
      <c r="CRO20" s="68">
        <f t="shared" si="745"/>
        <v>22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334</v>
      </c>
      <c r="CRV20" s="47">
        <f t="shared" si="746"/>
        <v>334</v>
      </c>
      <c r="CRW20" s="68">
        <f t="shared" si="747"/>
        <v>55.666666666666664</v>
      </c>
      <c r="CRX20" s="63">
        <v>0</v>
      </c>
      <c r="CRY20" s="64">
        <v>0</v>
      </c>
      <c r="CRZ20" s="64">
        <v>661</v>
      </c>
      <c r="CSA20" s="64">
        <v>0</v>
      </c>
      <c r="CSB20" s="64">
        <v>0</v>
      </c>
      <c r="CSC20" s="64">
        <v>0</v>
      </c>
      <c r="CSD20" s="67">
        <f t="shared" si="748"/>
        <v>661</v>
      </c>
      <c r="CSE20" s="68">
        <f t="shared" si="749"/>
        <v>110.16666666666667</v>
      </c>
      <c r="CSF20" s="48">
        <v>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0"/>
        <v>0</v>
      </c>
      <c r="CSM20" s="68">
        <f t="shared" si="751"/>
        <v>0</v>
      </c>
      <c r="CSN20" s="48">
        <v>0</v>
      </c>
      <c r="CSO20" s="49">
        <v>0</v>
      </c>
      <c r="CSP20" s="49"/>
      <c r="CSQ20" s="49">
        <v>0</v>
      </c>
      <c r="CSR20" s="49">
        <v>0</v>
      </c>
      <c r="CSS20" s="49">
        <v>0</v>
      </c>
      <c r="CST20" s="64">
        <f t="shared" si="752"/>
        <v>0</v>
      </c>
      <c r="CSU20" s="68">
        <f t="shared" si="753"/>
        <v>0</v>
      </c>
      <c r="CSV20" s="48">
        <v>0</v>
      </c>
      <c r="CSW20" s="49">
        <v>483</v>
      </c>
      <c r="CSX20" s="49"/>
      <c r="CSY20" s="49">
        <v>0</v>
      </c>
      <c r="CSZ20" s="49"/>
      <c r="CTA20" s="49">
        <v>0</v>
      </c>
      <c r="CTB20" s="64">
        <f t="shared" si="754"/>
        <v>483</v>
      </c>
      <c r="CTC20" s="68">
        <f t="shared" si="755"/>
        <v>80.5</v>
      </c>
      <c r="CTD20" s="48">
        <v>477</v>
      </c>
      <c r="CTE20" s="49">
        <v>0</v>
      </c>
      <c r="CTF20" s="49">
        <v>0</v>
      </c>
      <c r="CTG20" s="49">
        <v>0</v>
      </c>
      <c r="CTH20" s="49">
        <v>0</v>
      </c>
      <c r="CTI20" s="49"/>
      <c r="CTJ20" s="64">
        <f t="shared" si="756"/>
        <v>477</v>
      </c>
      <c r="CTK20" s="68">
        <f t="shared" si="757"/>
        <v>79.5</v>
      </c>
      <c r="CTL20" s="48">
        <v>0</v>
      </c>
      <c r="CTM20" s="49">
        <v>0</v>
      </c>
      <c r="CTN20" s="49">
        <v>0</v>
      </c>
      <c r="CTO20" s="49">
        <v>320</v>
      </c>
      <c r="CTP20" s="49">
        <v>0</v>
      </c>
      <c r="CTQ20" s="49"/>
      <c r="CTR20" s="64">
        <f t="shared" si="758"/>
        <v>320</v>
      </c>
      <c r="CTS20" s="68">
        <f t="shared" si="759"/>
        <v>53.333333333333336</v>
      </c>
      <c r="CTT20" s="48">
        <v>0</v>
      </c>
      <c r="CTU20" s="49"/>
      <c r="CTV20" s="49">
        <v>0</v>
      </c>
      <c r="CTW20" s="49">
        <v>381</v>
      </c>
      <c r="CTX20" s="49"/>
      <c r="CTY20" s="49"/>
      <c r="CTZ20" s="64">
        <f t="shared" si="760"/>
        <v>381</v>
      </c>
      <c r="CUA20" s="68">
        <f t="shared" si="761"/>
        <v>63.5</v>
      </c>
      <c r="CUB20" s="48"/>
      <c r="CUC20" s="49"/>
      <c r="CUD20" s="49"/>
      <c r="CUE20" s="49"/>
      <c r="CUF20" s="49">
        <v>0</v>
      </c>
      <c r="CUG20" s="49">
        <v>320</v>
      </c>
      <c r="CUH20" s="64">
        <f t="shared" si="762"/>
        <v>320</v>
      </c>
      <c r="CUI20" s="68">
        <f t="shared" si="763"/>
        <v>53.333333333333336</v>
      </c>
      <c r="CUJ20" s="48"/>
      <c r="CUK20" s="49"/>
      <c r="CUL20" s="49">
        <v>0</v>
      </c>
      <c r="CUM20" s="49">
        <v>551</v>
      </c>
      <c r="CUN20" s="49">
        <v>0</v>
      </c>
      <c r="CUO20" s="49">
        <v>0</v>
      </c>
      <c r="CUP20" s="64">
        <f t="shared" si="764"/>
        <v>551</v>
      </c>
      <c r="CUQ20" s="68">
        <f t="shared" si="765"/>
        <v>91.833333333333329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6"/>
        <v>0</v>
      </c>
      <c r="CUY20" s="68">
        <f t="shared" si="767"/>
        <v>0</v>
      </c>
      <c r="CUZ20" s="48">
        <v>0</v>
      </c>
      <c r="CVA20" s="49">
        <v>0</v>
      </c>
      <c r="CVB20" s="49">
        <v>370</v>
      </c>
      <c r="CVC20" s="49">
        <v>0</v>
      </c>
      <c r="CVD20" s="49">
        <v>0</v>
      </c>
      <c r="CVE20" s="49">
        <v>0</v>
      </c>
      <c r="CVF20" s="64">
        <f t="shared" si="768"/>
        <v>370</v>
      </c>
      <c r="CVG20" s="68">
        <f t="shared" si="769"/>
        <v>61.666666666666664</v>
      </c>
      <c r="CVH20" s="48">
        <v>0</v>
      </c>
      <c r="CVI20" s="49">
        <v>0</v>
      </c>
      <c r="CVJ20" s="49">
        <v>0</v>
      </c>
      <c r="CVK20" s="49">
        <v>0</v>
      </c>
      <c r="CVL20" s="49">
        <v>0</v>
      </c>
      <c r="CVM20" s="49">
        <v>533</v>
      </c>
      <c r="CVN20" s="64">
        <f t="shared" si="770"/>
        <v>533</v>
      </c>
      <c r="CVO20" s="68">
        <f t="shared" si="771"/>
        <v>88.833333333333329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431</v>
      </c>
      <c r="CVV20" s="64">
        <f t="shared" si="772"/>
        <v>431</v>
      </c>
      <c r="CVW20" s="68">
        <f t="shared" si="773"/>
        <v>71.833333333333329</v>
      </c>
      <c r="CVX20" s="48">
        <v>0</v>
      </c>
      <c r="CVY20" s="49">
        <v>0</v>
      </c>
      <c r="CVZ20" s="49">
        <v>0</v>
      </c>
      <c r="CWA20" s="49"/>
      <c r="CWB20" s="49">
        <v>0</v>
      </c>
      <c r="CWC20" s="49">
        <v>268</v>
      </c>
      <c r="CWD20" s="64">
        <f t="shared" si="774"/>
        <v>268</v>
      </c>
      <c r="CWE20" s="68">
        <f t="shared" si="775"/>
        <v>44.666666666666664</v>
      </c>
      <c r="CWF20" s="48">
        <v>0</v>
      </c>
      <c r="CWG20" s="49">
        <v>0</v>
      </c>
      <c r="CWH20" s="49">
        <v>0</v>
      </c>
      <c r="CWI20" s="49">
        <v>0</v>
      </c>
      <c r="CWJ20" s="49">
        <v>0</v>
      </c>
      <c r="CWK20" s="49">
        <v>0</v>
      </c>
      <c r="CWL20" s="64">
        <f t="shared" si="776"/>
        <v>0</v>
      </c>
      <c r="CWM20" s="68">
        <f t="shared" si="777"/>
        <v>0</v>
      </c>
      <c r="CWN20" s="48">
        <v>0</v>
      </c>
      <c r="CWO20" s="49">
        <v>0</v>
      </c>
      <c r="CWP20" s="49">
        <v>541</v>
      </c>
      <c r="CWQ20" s="49">
        <v>0</v>
      </c>
      <c r="CWR20" s="49">
        <v>0</v>
      </c>
      <c r="CWS20" s="49">
        <v>0</v>
      </c>
      <c r="CWT20" s="64">
        <f t="shared" si="778"/>
        <v>541</v>
      </c>
      <c r="CWU20" s="68">
        <f t="shared" si="779"/>
        <v>90.166666666666671</v>
      </c>
      <c r="CWV20" s="48">
        <v>0</v>
      </c>
      <c r="CWW20" s="49">
        <v>0</v>
      </c>
      <c r="CWX20" s="49">
        <v>414</v>
      </c>
      <c r="CWY20" s="49">
        <v>0</v>
      </c>
      <c r="CWZ20" s="49">
        <v>0</v>
      </c>
      <c r="CXA20" s="49">
        <v>0</v>
      </c>
      <c r="CXB20" s="127">
        <f t="shared" si="780"/>
        <v>414</v>
      </c>
      <c r="CXC20" s="43">
        <f t="shared" si="781"/>
        <v>69</v>
      </c>
      <c r="CXD20" s="48">
        <v>0</v>
      </c>
      <c r="CXE20" s="49">
        <v>0</v>
      </c>
      <c r="CXF20" s="49">
        <v>0</v>
      </c>
      <c r="CXG20" s="49">
        <v>0</v>
      </c>
      <c r="CXH20" s="49">
        <v>0</v>
      </c>
      <c r="CXI20" s="49">
        <v>0</v>
      </c>
      <c r="CXJ20" s="127">
        <f t="shared" si="782"/>
        <v>0</v>
      </c>
      <c r="CXK20" s="43">
        <f t="shared" si="783"/>
        <v>0</v>
      </c>
      <c r="CXL20" s="48">
        <v>0</v>
      </c>
      <c r="CXM20" s="49">
        <v>0</v>
      </c>
      <c r="CXN20" s="49">
        <v>0</v>
      </c>
      <c r="CXO20" s="49">
        <v>0</v>
      </c>
      <c r="CXP20" s="49">
        <v>199</v>
      </c>
      <c r="CXQ20" s="49">
        <v>0</v>
      </c>
      <c r="CXR20" s="127">
        <f t="shared" si="784"/>
        <v>199</v>
      </c>
      <c r="CXS20" s="43">
        <f t="shared" si="785"/>
        <v>33.166666666666664</v>
      </c>
      <c r="CXT20" s="48">
        <v>0</v>
      </c>
      <c r="CXU20" s="49">
        <v>0</v>
      </c>
      <c r="CXV20" s="49">
        <v>0</v>
      </c>
      <c r="CXW20" s="49">
        <v>0</v>
      </c>
      <c r="CXX20" s="49">
        <v>474</v>
      </c>
      <c r="CXY20" s="49">
        <v>0</v>
      </c>
      <c r="CXZ20" s="127">
        <f t="shared" si="786"/>
        <v>474</v>
      </c>
      <c r="CYA20" s="43">
        <f t="shared" si="787"/>
        <v>79</v>
      </c>
      <c r="CYB20" s="48">
        <v>0</v>
      </c>
      <c r="CYC20" s="49">
        <v>0</v>
      </c>
      <c r="CYD20" s="49">
        <v>561</v>
      </c>
      <c r="CYE20" s="49">
        <v>0</v>
      </c>
      <c r="CYF20" s="49">
        <v>0</v>
      </c>
      <c r="CYG20" s="49">
        <v>0</v>
      </c>
      <c r="CYH20" s="127">
        <f t="shared" si="788"/>
        <v>561</v>
      </c>
      <c r="CYI20" s="43">
        <f t="shared" si="789"/>
        <v>93.5</v>
      </c>
      <c r="CYJ20" s="48"/>
      <c r="CYK20" s="49">
        <v>0</v>
      </c>
      <c r="CYL20" s="49">
        <v>0</v>
      </c>
      <c r="CYM20" s="49">
        <v>150</v>
      </c>
      <c r="CYN20" s="49">
        <v>0</v>
      </c>
      <c r="CYO20" s="49">
        <v>0</v>
      </c>
      <c r="CYP20" s="127">
        <f t="shared" si="790"/>
        <v>150</v>
      </c>
      <c r="CYQ20" s="43">
        <f t="shared" si="791"/>
        <v>25</v>
      </c>
      <c r="CYR20" s="48">
        <v>0</v>
      </c>
      <c r="CYS20" s="49">
        <v>0</v>
      </c>
      <c r="CYT20" s="49"/>
      <c r="CYU20" s="49">
        <v>482</v>
      </c>
      <c r="CYV20" s="49">
        <v>0</v>
      </c>
      <c r="CYW20" s="49">
        <v>0</v>
      </c>
      <c r="CYX20" s="127">
        <f t="shared" si="792"/>
        <v>482</v>
      </c>
      <c r="CYY20" s="43">
        <f t="shared" si="793"/>
        <v>80.333333333333329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4"/>
        <v>0</v>
      </c>
      <c r="CZG20" s="43">
        <f t="shared" si="795"/>
        <v>0</v>
      </c>
      <c r="CZH20" s="48">
        <v>551</v>
      </c>
      <c r="CZI20" s="49">
        <v>0</v>
      </c>
      <c r="CZJ20" s="49">
        <v>0</v>
      </c>
      <c r="CZK20" s="49">
        <v>0</v>
      </c>
      <c r="CZL20" s="49">
        <v>0</v>
      </c>
      <c r="CZM20" s="49">
        <v>219</v>
      </c>
      <c r="CZN20" s="127">
        <f t="shared" si="796"/>
        <v>770</v>
      </c>
      <c r="CZO20" s="43">
        <f t="shared" si="797"/>
        <v>128.33333333333334</v>
      </c>
      <c r="CZP20" s="48"/>
      <c r="CZQ20" s="49"/>
      <c r="CZR20" s="49"/>
      <c r="CZS20" s="49">
        <v>0</v>
      </c>
      <c r="CZT20" s="49">
        <v>0</v>
      </c>
      <c r="CZU20" s="49">
        <v>434</v>
      </c>
      <c r="CZV20" s="127">
        <f t="shared" si="798"/>
        <v>434</v>
      </c>
      <c r="CZW20" s="43">
        <f t="shared" si="799"/>
        <v>72.333333333333329</v>
      </c>
      <c r="CZX20" s="48">
        <v>0</v>
      </c>
      <c r="CZY20" s="49">
        <v>0</v>
      </c>
      <c r="CZZ20" s="49">
        <v>0</v>
      </c>
      <c r="DAA20" s="49">
        <v>0</v>
      </c>
      <c r="DAB20" s="49">
        <v>100</v>
      </c>
      <c r="DAC20" s="49">
        <v>0</v>
      </c>
      <c r="DAD20" s="64">
        <f t="shared" si="800"/>
        <v>100</v>
      </c>
      <c r="DAE20" s="68">
        <f t="shared" si="801"/>
        <v>16.666666666666668</v>
      </c>
      <c r="DAF20" s="48">
        <v>0</v>
      </c>
      <c r="DAG20" s="49">
        <v>0</v>
      </c>
      <c r="DAH20" s="49">
        <v>0</v>
      </c>
      <c r="DAI20" s="49">
        <v>0</v>
      </c>
      <c r="DAJ20" s="49">
        <v>693</v>
      </c>
      <c r="DAK20" s="49">
        <v>0</v>
      </c>
      <c r="DAL20" s="64">
        <f t="shared" si="802"/>
        <v>693</v>
      </c>
      <c r="DAM20" s="68">
        <f t="shared" si="803"/>
        <v>115.5</v>
      </c>
      <c r="DAN20" s="48">
        <v>0</v>
      </c>
      <c r="DAO20" s="49">
        <v>0</v>
      </c>
      <c r="DAP20" s="49">
        <v>0</v>
      </c>
      <c r="DAQ20" s="49">
        <v>0</v>
      </c>
      <c r="DAR20" s="49">
        <v>0</v>
      </c>
      <c r="DAS20" s="49"/>
      <c r="DAT20" s="64">
        <f t="shared" si="804"/>
        <v>0</v>
      </c>
      <c r="DAU20" s="68">
        <f t="shared" si="805"/>
        <v>0</v>
      </c>
      <c r="DAV20" s="48">
        <v>0</v>
      </c>
      <c r="DAW20" s="49">
        <v>0</v>
      </c>
      <c r="DAX20" s="49">
        <v>0</v>
      </c>
      <c r="DAY20" s="49">
        <v>0</v>
      </c>
      <c r="DAZ20" s="49">
        <v>0</v>
      </c>
      <c r="DBA20" s="49">
        <v>0</v>
      </c>
      <c r="DBB20" s="64">
        <f t="shared" si="806"/>
        <v>0</v>
      </c>
      <c r="DBC20" s="68">
        <f t="shared" si="807"/>
        <v>0</v>
      </c>
      <c r="DBD20" s="48">
        <v>0</v>
      </c>
      <c r="DBE20" s="49">
        <v>0</v>
      </c>
      <c r="DBF20" s="49">
        <v>0</v>
      </c>
      <c r="DBG20" s="49">
        <v>555</v>
      </c>
      <c r="DBH20" s="49"/>
      <c r="DBI20" s="49">
        <v>0</v>
      </c>
      <c r="DBJ20" s="64">
        <f t="shared" si="808"/>
        <v>555</v>
      </c>
      <c r="DBK20" s="68">
        <f t="shared" si="809"/>
        <v>92.5</v>
      </c>
      <c r="DBL20" s="48"/>
      <c r="DBM20" s="49"/>
      <c r="DBN20" s="49">
        <v>0</v>
      </c>
      <c r="DBO20" s="49">
        <v>0</v>
      </c>
      <c r="DBP20" s="49"/>
      <c r="DBQ20" s="49"/>
      <c r="DBR20" s="64">
        <f t="shared" si="810"/>
        <v>0</v>
      </c>
      <c r="DBS20" s="68">
        <f t="shared" si="811"/>
        <v>0</v>
      </c>
      <c r="DBT20" s="48">
        <v>0</v>
      </c>
      <c r="DBU20" s="49"/>
      <c r="DBV20" s="49">
        <v>493</v>
      </c>
      <c r="DBW20" s="49"/>
      <c r="DBX20" s="49"/>
      <c r="DBY20" s="49">
        <v>0</v>
      </c>
      <c r="DBZ20" s="64">
        <f t="shared" si="812"/>
        <v>493</v>
      </c>
      <c r="DCA20" s="68">
        <f t="shared" si="813"/>
        <v>98.6</v>
      </c>
      <c r="DCB20" s="48">
        <v>0</v>
      </c>
      <c r="DCC20" s="49"/>
      <c r="DCD20" s="49">
        <v>0</v>
      </c>
      <c r="DCE20" s="49">
        <v>0</v>
      </c>
      <c r="DCF20" s="49">
        <v>0</v>
      </c>
      <c r="DCG20" s="49">
        <v>0</v>
      </c>
      <c r="DCH20" s="64">
        <f t="shared" si="814"/>
        <v>0</v>
      </c>
      <c r="DCI20" s="68">
        <f t="shared" si="815"/>
        <v>0</v>
      </c>
      <c r="DCJ20" s="48">
        <v>0</v>
      </c>
      <c r="DCK20" s="49">
        <v>498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6"/>
        <v>498</v>
      </c>
      <c r="DCQ20" s="68">
        <f t="shared" si="817"/>
        <v>83</v>
      </c>
      <c r="DCR20" s="48">
        <v>0</v>
      </c>
      <c r="DCS20" s="49">
        <v>0</v>
      </c>
      <c r="DCT20" s="49">
        <v>0</v>
      </c>
      <c r="DCU20" s="49">
        <v>0</v>
      </c>
      <c r="DCV20" s="49">
        <v>440</v>
      </c>
      <c r="DCW20" s="49"/>
      <c r="DCX20" s="64">
        <f t="shared" si="818"/>
        <v>440</v>
      </c>
      <c r="DCY20" s="68">
        <f t="shared" si="819"/>
        <v>73.333333333333329</v>
      </c>
      <c r="DCZ20" s="48"/>
      <c r="DDA20" s="49">
        <v>0</v>
      </c>
      <c r="DDB20" s="49">
        <v>4</v>
      </c>
      <c r="DDC20" s="49">
        <v>0</v>
      </c>
      <c r="DDD20" s="49"/>
      <c r="DDE20" s="49">
        <v>0</v>
      </c>
      <c r="DDF20" s="64">
        <f t="shared" si="820"/>
        <v>4</v>
      </c>
      <c r="DDG20" s="68">
        <f t="shared" si="821"/>
        <v>0.66666666666666663</v>
      </c>
      <c r="DDH20" s="48">
        <v>500</v>
      </c>
      <c r="DDI20" s="49">
        <v>0</v>
      </c>
      <c r="DDJ20" s="49">
        <v>0</v>
      </c>
      <c r="DDK20" s="49">
        <v>0</v>
      </c>
      <c r="DDL20" s="49">
        <v>0</v>
      </c>
      <c r="DDM20" s="49"/>
      <c r="DDN20" s="127">
        <f t="shared" si="822"/>
        <v>500</v>
      </c>
      <c r="DDO20" s="43">
        <f t="shared" si="823"/>
        <v>83.333333333333329</v>
      </c>
      <c r="DDP20" s="48">
        <v>0</v>
      </c>
      <c r="DDQ20" s="49">
        <v>0</v>
      </c>
      <c r="DDR20" s="49">
        <v>461</v>
      </c>
      <c r="DDS20" s="49"/>
      <c r="DDT20" s="49">
        <v>0</v>
      </c>
      <c r="DDU20" s="49"/>
      <c r="DDV20" s="127">
        <f t="shared" si="824"/>
        <v>461</v>
      </c>
      <c r="DDW20" s="43">
        <f t="shared" si="825"/>
        <v>76.833333333333329</v>
      </c>
      <c r="DDX20" s="48">
        <v>0</v>
      </c>
      <c r="DDY20" s="49">
        <v>0</v>
      </c>
      <c r="DDZ20" s="49">
        <v>0</v>
      </c>
      <c r="DEA20" s="49"/>
      <c r="DEB20" s="49">
        <v>0</v>
      </c>
      <c r="DEC20" s="49">
        <v>342</v>
      </c>
      <c r="DED20" s="127">
        <f t="shared" si="826"/>
        <v>342</v>
      </c>
      <c r="DEE20" s="43">
        <f t="shared" si="827"/>
        <v>57</v>
      </c>
      <c r="DEF20" s="48">
        <v>0</v>
      </c>
      <c r="DEG20" s="49">
        <v>0</v>
      </c>
      <c r="DEH20" s="49"/>
      <c r="DEI20" s="49">
        <v>0</v>
      </c>
      <c r="DEJ20" s="49">
        <v>328</v>
      </c>
      <c r="DEK20" s="49">
        <v>0</v>
      </c>
      <c r="DEL20" s="127">
        <f t="shared" si="828"/>
        <v>328</v>
      </c>
      <c r="DEM20" s="43">
        <f t="shared" si="829"/>
        <v>54.666666666666664</v>
      </c>
      <c r="DEN20" s="48"/>
      <c r="DEO20" s="49"/>
      <c r="DEP20" s="49"/>
      <c r="DEQ20" s="49">
        <v>0</v>
      </c>
      <c r="DER20" s="49"/>
      <c r="DES20" s="49">
        <v>0</v>
      </c>
      <c r="DET20" s="127">
        <f t="shared" si="830"/>
        <v>0</v>
      </c>
      <c r="DEU20" s="43">
        <f t="shared" si="831"/>
        <v>0</v>
      </c>
      <c r="DEV20" s="48">
        <v>619</v>
      </c>
      <c r="DEW20" s="49"/>
      <c r="DEX20" s="49"/>
      <c r="DEY20" s="49">
        <v>0</v>
      </c>
      <c r="DEZ20" s="49">
        <v>0</v>
      </c>
      <c r="DFA20" s="49">
        <v>61</v>
      </c>
      <c r="DFB20" s="127">
        <f t="shared" si="832"/>
        <v>680</v>
      </c>
      <c r="DFC20" s="43">
        <f t="shared" si="833"/>
        <v>113.33333333333333</v>
      </c>
      <c r="DFD20" s="48"/>
      <c r="DFE20" s="49">
        <v>115</v>
      </c>
      <c r="DFF20" s="49"/>
      <c r="DFG20" s="49">
        <v>0</v>
      </c>
      <c r="DFH20" s="49"/>
      <c r="DFI20" s="49"/>
      <c r="DFJ20" s="127">
        <f t="shared" si="834"/>
        <v>115</v>
      </c>
      <c r="DFK20" s="43">
        <f t="shared" si="835"/>
        <v>19.166666666666668</v>
      </c>
      <c r="DFL20" s="63"/>
      <c r="DFM20" s="64">
        <v>0</v>
      </c>
      <c r="DFN20" s="64">
        <v>0</v>
      </c>
      <c r="DFO20" s="64">
        <v>0</v>
      </c>
      <c r="DFP20" s="64">
        <v>0</v>
      </c>
      <c r="DFQ20" s="64">
        <v>0</v>
      </c>
      <c r="DFR20" s="64">
        <f t="shared" si="836"/>
        <v>0</v>
      </c>
      <c r="DFS20" s="68">
        <f t="shared" si="837"/>
        <v>0</v>
      </c>
      <c r="DFT20" s="48">
        <v>0</v>
      </c>
      <c r="DFU20" s="49">
        <v>0</v>
      </c>
      <c r="DFV20" s="49">
        <v>503</v>
      </c>
      <c r="DFW20" s="49"/>
      <c r="DFX20" s="49"/>
      <c r="DFY20" s="49"/>
      <c r="DFZ20" s="127">
        <f t="shared" si="838"/>
        <v>503</v>
      </c>
      <c r="DGA20" s="43">
        <f t="shared" si="839"/>
        <v>83.833333333333329</v>
      </c>
      <c r="DGB20" s="48">
        <v>0</v>
      </c>
      <c r="DGC20" s="49">
        <v>220</v>
      </c>
      <c r="DGD20" s="49">
        <v>0</v>
      </c>
      <c r="DGE20" s="49"/>
      <c r="DGF20" s="49">
        <v>0</v>
      </c>
      <c r="DGG20" s="49">
        <v>0</v>
      </c>
      <c r="DGH20" s="127">
        <f t="shared" si="840"/>
        <v>220</v>
      </c>
      <c r="DGI20" s="43">
        <f t="shared" si="841"/>
        <v>36.666666666666664</v>
      </c>
      <c r="DGJ20" s="48">
        <v>686</v>
      </c>
      <c r="DGK20" s="49">
        <v>0</v>
      </c>
      <c r="DGL20" s="49">
        <v>0</v>
      </c>
      <c r="DGM20" s="49"/>
      <c r="DGN20" s="49"/>
      <c r="DGO20" s="49"/>
      <c r="DGP20" s="64">
        <f t="shared" si="842"/>
        <v>686</v>
      </c>
      <c r="DGQ20" s="68">
        <f t="shared" si="843"/>
        <v>114.33333333333333</v>
      </c>
      <c r="DGR20" s="48">
        <v>0</v>
      </c>
      <c r="DGS20" s="49">
        <v>0</v>
      </c>
      <c r="DGT20" s="49">
        <v>0</v>
      </c>
      <c r="DGU20" s="49">
        <v>0</v>
      </c>
      <c r="DGV20" s="49">
        <v>0</v>
      </c>
      <c r="DGW20" s="49"/>
      <c r="DGX20" s="64">
        <f t="shared" si="844"/>
        <v>0</v>
      </c>
      <c r="DGY20" s="68">
        <f t="shared" si="845"/>
        <v>0</v>
      </c>
      <c r="DGZ20" s="48">
        <v>0</v>
      </c>
      <c r="DHA20" s="49">
        <v>0</v>
      </c>
      <c r="DHB20" s="49"/>
      <c r="DHC20" s="49"/>
      <c r="DHD20" s="49"/>
      <c r="DHE20" s="49">
        <v>0</v>
      </c>
      <c r="DHF20" s="64">
        <f t="shared" si="846"/>
        <v>0</v>
      </c>
      <c r="DHG20" s="68">
        <f t="shared" si="847"/>
        <v>0</v>
      </c>
      <c r="DHH20" s="63"/>
      <c r="DHI20" s="64">
        <v>330</v>
      </c>
      <c r="DHJ20" s="64">
        <v>0</v>
      </c>
      <c r="DHK20" s="64">
        <v>0</v>
      </c>
      <c r="DHL20" s="64"/>
      <c r="DHM20" s="64"/>
      <c r="DHN20" s="64">
        <f t="shared" si="848"/>
        <v>330</v>
      </c>
      <c r="DHO20" s="68">
        <f t="shared" si="849"/>
        <v>55</v>
      </c>
      <c r="DHP20" s="48"/>
      <c r="DHQ20" s="49">
        <v>460</v>
      </c>
      <c r="DHR20" s="49">
        <v>0</v>
      </c>
      <c r="DHS20" s="49">
        <v>0</v>
      </c>
      <c r="DHT20" s="49">
        <v>0</v>
      </c>
      <c r="DHU20" s="49">
        <v>0</v>
      </c>
      <c r="DHV20" s="64">
        <f t="shared" si="850"/>
        <v>460</v>
      </c>
      <c r="DHW20" s="68">
        <f t="shared" si="851"/>
        <v>76.666666666666671</v>
      </c>
      <c r="DHX20" s="48">
        <v>0</v>
      </c>
      <c r="DHY20" s="49"/>
      <c r="DHZ20" s="49">
        <v>0</v>
      </c>
      <c r="DIA20" s="49">
        <v>0</v>
      </c>
      <c r="DIB20" s="49">
        <v>0</v>
      </c>
      <c r="DIC20" s="49">
        <v>367</v>
      </c>
      <c r="DID20" s="64">
        <f t="shared" si="852"/>
        <v>367</v>
      </c>
      <c r="DIE20" s="68">
        <f t="shared" si="853"/>
        <v>61.166666666666664</v>
      </c>
      <c r="DIF20" s="48"/>
      <c r="DIG20" s="49">
        <v>0</v>
      </c>
      <c r="DIH20" s="49"/>
      <c r="DII20" s="49">
        <v>0</v>
      </c>
      <c r="DIJ20" s="49"/>
      <c r="DIK20" s="49"/>
      <c r="DIL20" s="64">
        <f t="shared" si="854"/>
        <v>0</v>
      </c>
      <c r="DIM20" s="68">
        <f t="shared" si="855"/>
        <v>0</v>
      </c>
      <c r="DIN20" s="48">
        <v>0</v>
      </c>
      <c r="DIO20" s="49"/>
      <c r="DIP20" s="49">
        <v>0</v>
      </c>
      <c r="DIQ20" s="49">
        <v>0</v>
      </c>
      <c r="DIR20" s="49">
        <v>0</v>
      </c>
      <c r="DIS20" s="49">
        <v>562</v>
      </c>
      <c r="DIT20" s="64">
        <f t="shared" si="856"/>
        <v>562</v>
      </c>
      <c r="DIU20" s="68">
        <f t="shared" si="857"/>
        <v>93.666666666666671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0</v>
      </c>
      <c r="DJB20" s="64">
        <f t="shared" si="858"/>
        <v>0</v>
      </c>
      <c r="DJC20" s="68">
        <f t="shared" si="859"/>
        <v>0</v>
      </c>
      <c r="DJD20" s="48">
        <v>0</v>
      </c>
      <c r="DJE20" s="49">
        <v>0</v>
      </c>
      <c r="DJF20" s="49">
        <v>278</v>
      </c>
      <c r="DJG20" s="49"/>
      <c r="DJH20" s="49">
        <v>0</v>
      </c>
      <c r="DJI20" s="49"/>
      <c r="DJJ20" s="64">
        <f t="shared" si="860"/>
        <v>278</v>
      </c>
      <c r="DJK20" s="68">
        <f t="shared" si="861"/>
        <v>46.333333333333336</v>
      </c>
      <c r="DJL20" s="48">
        <v>0</v>
      </c>
      <c r="DJM20" s="49">
        <v>0</v>
      </c>
      <c r="DJN20" s="49"/>
      <c r="DJO20" s="49">
        <v>0</v>
      </c>
      <c r="DJP20" s="49"/>
      <c r="DJQ20" s="49">
        <v>0</v>
      </c>
      <c r="DJR20" s="64">
        <f t="shared" si="862"/>
        <v>0</v>
      </c>
      <c r="DJS20" s="68">
        <f t="shared" si="863"/>
        <v>0</v>
      </c>
      <c r="DJT20" s="48"/>
      <c r="DJU20" s="49"/>
      <c r="DJV20" s="49">
        <v>300</v>
      </c>
      <c r="DJW20" s="49">
        <v>0</v>
      </c>
      <c r="DJX20" s="49"/>
      <c r="DJY20" s="49">
        <v>0</v>
      </c>
      <c r="DJZ20" s="64">
        <f t="shared" si="864"/>
        <v>300</v>
      </c>
      <c r="DKA20" s="68">
        <f t="shared" si="865"/>
        <v>50</v>
      </c>
      <c r="DKB20" s="48"/>
      <c r="DKC20" s="49">
        <v>0</v>
      </c>
      <c r="DKD20" s="49">
        <v>550</v>
      </c>
      <c r="DKE20" s="49">
        <v>0</v>
      </c>
      <c r="DKF20" s="49">
        <v>0</v>
      </c>
      <c r="DKG20" s="49">
        <v>0</v>
      </c>
      <c r="DKH20" s="64">
        <f t="shared" si="866"/>
        <v>550</v>
      </c>
      <c r="DKI20" s="68">
        <f t="shared" si="867"/>
        <v>91.666666666666671</v>
      </c>
      <c r="DKJ20" s="48"/>
      <c r="DKK20" s="49"/>
      <c r="DKL20" s="49">
        <v>0</v>
      </c>
      <c r="DKM20" s="49">
        <v>0</v>
      </c>
      <c r="DKN20" s="49">
        <v>278</v>
      </c>
      <c r="DKO20" s="49">
        <v>42</v>
      </c>
      <c r="DKP20" s="64">
        <f t="shared" si="868"/>
        <v>320</v>
      </c>
      <c r="DKQ20" s="68">
        <f t="shared" si="869"/>
        <v>53.333333333333336</v>
      </c>
      <c r="DKR20" s="48"/>
      <c r="DKS20" s="49">
        <v>0</v>
      </c>
      <c r="DKT20" s="49">
        <v>0</v>
      </c>
      <c r="DKU20" s="49">
        <v>152</v>
      </c>
      <c r="DKV20" s="49">
        <v>0</v>
      </c>
      <c r="DKW20" s="49"/>
      <c r="DKX20" s="64">
        <f t="shared" si="870"/>
        <v>152</v>
      </c>
      <c r="DKY20" s="68">
        <f t="shared" si="871"/>
        <v>25.333333333333332</v>
      </c>
      <c r="DKZ20" s="48">
        <v>0</v>
      </c>
      <c r="DLA20" s="49">
        <v>0</v>
      </c>
      <c r="DLB20" s="49">
        <v>0</v>
      </c>
      <c r="DLC20" s="49">
        <v>361</v>
      </c>
      <c r="DLD20" s="49">
        <v>0</v>
      </c>
      <c r="DLE20" s="49">
        <v>0</v>
      </c>
      <c r="DLF20" s="64">
        <f t="shared" si="872"/>
        <v>361</v>
      </c>
      <c r="DLG20" s="68">
        <f t="shared" si="873"/>
        <v>60.166666666666664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4"/>
        <v>0</v>
      </c>
      <c r="DLO20" s="68">
        <f t="shared" si="875"/>
        <v>0</v>
      </c>
      <c r="DLP20" s="48">
        <v>0</v>
      </c>
      <c r="DLR20" s="49">
        <v>0</v>
      </c>
      <c r="DLS20" s="49">
        <v>330</v>
      </c>
      <c r="DLT20" s="49"/>
      <c r="DLU20" s="49">
        <v>272</v>
      </c>
      <c r="DLV20" s="64">
        <f t="shared" si="876"/>
        <v>602</v>
      </c>
      <c r="DLW20" s="68">
        <f t="shared" si="877"/>
        <v>100.33333333333333</v>
      </c>
      <c r="DLX20" s="48">
        <v>0</v>
      </c>
      <c r="DLY20" s="49"/>
      <c r="DLZ20" s="49">
        <v>0</v>
      </c>
      <c r="DMA20" s="49">
        <v>0</v>
      </c>
      <c r="DMB20" s="49"/>
      <c r="DMC20" s="49"/>
      <c r="DMD20" s="64">
        <f t="shared" si="878"/>
        <v>0</v>
      </c>
      <c r="DME20" s="68">
        <f t="shared" si="879"/>
        <v>0</v>
      </c>
      <c r="DMF20" s="48">
        <v>286</v>
      </c>
      <c r="DMG20" s="49"/>
      <c r="DMH20" s="49"/>
      <c r="DMI20" s="49">
        <v>0</v>
      </c>
      <c r="DMJ20" s="49">
        <v>0</v>
      </c>
      <c r="DMK20" s="49">
        <v>0</v>
      </c>
      <c r="DML20" s="64">
        <f t="shared" si="880"/>
        <v>286</v>
      </c>
      <c r="DMM20" s="68">
        <f t="shared" si="881"/>
        <v>47.666666666666664</v>
      </c>
      <c r="DMN20" s="48"/>
      <c r="DMO20" s="49">
        <v>320</v>
      </c>
      <c r="DMP20" s="49">
        <v>0</v>
      </c>
      <c r="DMQ20" s="49">
        <v>0</v>
      </c>
      <c r="DMR20" s="49">
        <v>0</v>
      </c>
      <c r="DMS20" s="49">
        <v>0</v>
      </c>
      <c r="DMT20" s="64">
        <f t="shared" si="882"/>
        <v>320</v>
      </c>
      <c r="DMU20" s="68">
        <f t="shared" si="883"/>
        <v>53.333333333333336</v>
      </c>
      <c r="DMV20" s="48">
        <v>0</v>
      </c>
      <c r="DMW20" s="49">
        <v>0</v>
      </c>
      <c r="DMX20" s="49">
        <v>0</v>
      </c>
      <c r="DMY20" s="49">
        <v>354</v>
      </c>
      <c r="DMZ20" s="49"/>
      <c r="DNA20" s="49">
        <v>0</v>
      </c>
      <c r="DNB20" s="64">
        <f t="shared" si="884"/>
        <v>354</v>
      </c>
      <c r="DNC20" s="68">
        <f t="shared" si="885"/>
        <v>59</v>
      </c>
      <c r="DND20" s="48"/>
      <c r="DNE20" s="49"/>
      <c r="DNF20" s="49"/>
      <c r="DNG20" s="49"/>
      <c r="DNH20" s="49">
        <v>211</v>
      </c>
      <c r="DNI20" s="49"/>
      <c r="DNJ20" s="64">
        <f t="shared" si="886"/>
        <v>211</v>
      </c>
      <c r="DNK20" s="68">
        <f t="shared" si="887"/>
        <v>35.166666666666664</v>
      </c>
      <c r="DNL20" s="48"/>
      <c r="DNM20" s="49"/>
      <c r="DNN20" s="49"/>
      <c r="DNO20" s="49">
        <v>0</v>
      </c>
      <c r="DNP20" s="49">
        <v>240</v>
      </c>
      <c r="DNQ20" s="49">
        <v>240</v>
      </c>
      <c r="DNR20" s="64">
        <f t="shared" si="888"/>
        <v>480</v>
      </c>
      <c r="DNS20" s="68">
        <f t="shared" si="889"/>
        <v>80</v>
      </c>
      <c r="DNT20" s="48"/>
      <c r="DNU20" s="49"/>
      <c r="DNV20" s="49">
        <v>0</v>
      </c>
      <c r="DNW20" s="49"/>
      <c r="DNX20" s="49">
        <v>0</v>
      </c>
      <c r="DNY20" s="49">
        <v>0</v>
      </c>
      <c r="DNZ20" s="64">
        <f t="shared" si="890"/>
        <v>0</v>
      </c>
      <c r="DOA20" s="68">
        <f t="shared" si="891"/>
        <v>0</v>
      </c>
      <c r="DOB20" s="48">
        <v>335</v>
      </c>
      <c r="DOC20" s="49"/>
      <c r="DOD20" s="49"/>
      <c r="DOE20" s="49"/>
      <c r="DOF20" s="49">
        <v>0</v>
      </c>
      <c r="DOG20" s="49"/>
      <c r="DOH20" s="64">
        <f t="shared" si="892"/>
        <v>335</v>
      </c>
      <c r="DOI20" s="68">
        <f t="shared" si="893"/>
        <v>55.833333333333336</v>
      </c>
      <c r="DOJ20" s="48"/>
      <c r="DOK20" s="49">
        <v>0</v>
      </c>
      <c r="DOL20" s="49"/>
      <c r="DOM20" s="49">
        <v>0</v>
      </c>
      <c r="DON20" s="49"/>
      <c r="DOO20" s="49">
        <v>350</v>
      </c>
      <c r="DOP20" s="64">
        <f t="shared" si="894"/>
        <v>350</v>
      </c>
      <c r="DOQ20" s="68">
        <f t="shared" si="895"/>
        <v>58.333333333333336</v>
      </c>
      <c r="DOR20" s="48"/>
      <c r="DOS20" s="49"/>
      <c r="DOT20" s="49"/>
      <c r="DOU20" s="49">
        <v>0</v>
      </c>
      <c r="DOV20" s="49"/>
      <c r="DOW20" s="49">
        <v>280</v>
      </c>
      <c r="DOX20" s="64">
        <f t="shared" si="896"/>
        <v>280</v>
      </c>
      <c r="DOY20" s="68">
        <f t="shared" si="897"/>
        <v>46.666666666666664</v>
      </c>
      <c r="DOZ20" s="48"/>
      <c r="DPA20" s="49">
        <v>0</v>
      </c>
      <c r="DPB20" s="49"/>
      <c r="DPC20" s="49">
        <v>0</v>
      </c>
      <c r="DPD20" s="49">
        <v>0</v>
      </c>
      <c r="DPE20" s="49"/>
      <c r="DPF20" s="64">
        <f t="shared" si="898"/>
        <v>0</v>
      </c>
      <c r="DPG20" s="68">
        <f t="shared" si="899"/>
        <v>0</v>
      </c>
      <c r="DPH20" s="48">
        <v>220</v>
      </c>
      <c r="DPI20" s="49"/>
      <c r="DPJ20" s="49">
        <v>0</v>
      </c>
      <c r="DPK20" s="49">
        <v>0</v>
      </c>
      <c r="DPL20" s="49">
        <v>0</v>
      </c>
      <c r="DPM20" s="49">
        <v>0</v>
      </c>
      <c r="DPN20" s="64">
        <f t="shared" si="900"/>
        <v>220</v>
      </c>
      <c r="DPO20" s="68">
        <f t="shared" si="901"/>
        <v>36.666666666666664</v>
      </c>
      <c r="DPP20" s="48">
        <v>0</v>
      </c>
      <c r="DPQ20" s="49"/>
      <c r="DPR20" s="49">
        <v>0</v>
      </c>
      <c r="DPS20" s="49">
        <v>0</v>
      </c>
      <c r="DPT20" s="49">
        <v>340</v>
      </c>
      <c r="DPU20" s="49">
        <v>0</v>
      </c>
      <c r="DPV20" s="491">
        <f t="shared" si="902"/>
        <v>340</v>
      </c>
      <c r="DPW20" s="492">
        <f t="shared" si="903"/>
        <v>56.666666666666664</v>
      </c>
      <c r="DPX20" s="48"/>
      <c r="DPY20" s="49">
        <v>0</v>
      </c>
      <c r="DPZ20" s="49">
        <v>348</v>
      </c>
      <c r="DQA20" s="49"/>
      <c r="DQB20" s="49"/>
      <c r="DQC20" s="49"/>
      <c r="DQD20" s="491">
        <f t="shared" si="904"/>
        <v>348</v>
      </c>
      <c r="DQE20" s="492">
        <f t="shared" si="905"/>
        <v>58</v>
      </c>
      <c r="DQF20" s="48">
        <v>0</v>
      </c>
      <c r="DQG20" s="49">
        <v>300</v>
      </c>
      <c r="DQH20" s="49">
        <v>0</v>
      </c>
      <c r="DQI20" s="49"/>
      <c r="DQJ20" s="49">
        <v>0</v>
      </c>
      <c r="DQK20" s="49">
        <v>0</v>
      </c>
      <c r="DQL20" s="489">
        <f t="shared" si="906"/>
        <v>300</v>
      </c>
      <c r="DQM20" s="492">
        <f t="shared" si="907"/>
        <v>50</v>
      </c>
      <c r="DQN20" s="48">
        <v>0</v>
      </c>
      <c r="DQO20" s="49">
        <v>0</v>
      </c>
      <c r="DQP20" s="49">
        <v>0</v>
      </c>
      <c r="DQQ20" s="49">
        <v>0</v>
      </c>
      <c r="DQR20" s="49">
        <v>17</v>
      </c>
      <c r="DQS20" s="49"/>
      <c r="DQT20" s="64">
        <f t="shared" si="908"/>
        <v>17</v>
      </c>
      <c r="DQU20" s="68">
        <f t="shared" si="909"/>
        <v>2.8333333333333335</v>
      </c>
      <c r="DQV20" s="48">
        <v>0</v>
      </c>
      <c r="DQW20" s="49">
        <v>0</v>
      </c>
      <c r="DQX20" s="49">
        <v>0</v>
      </c>
      <c r="DQY20" s="49">
        <v>406</v>
      </c>
      <c r="DQZ20" s="49">
        <v>0</v>
      </c>
      <c r="DRA20" s="49"/>
      <c r="DRB20" s="491">
        <f t="shared" si="910"/>
        <v>406</v>
      </c>
      <c r="DRC20" s="492">
        <f t="shared" si="911"/>
        <v>67.666666666666671</v>
      </c>
      <c r="DRD20" s="48">
        <v>0</v>
      </c>
      <c r="DRE20" s="49"/>
      <c r="DRF20" s="49">
        <v>482</v>
      </c>
      <c r="DRG20" s="49">
        <v>0</v>
      </c>
      <c r="DRH20" s="49">
        <v>0</v>
      </c>
      <c r="DRI20" s="49"/>
      <c r="DRJ20" s="491">
        <f t="shared" si="912"/>
        <v>482</v>
      </c>
      <c r="DRK20" s="492">
        <f t="shared" si="913"/>
        <v>80.333333333333329</v>
      </c>
      <c r="DRL20" s="48"/>
      <c r="DRM20" s="49"/>
      <c r="DRN20" s="49"/>
      <c r="DRO20" s="49"/>
      <c r="DRP20" s="49"/>
      <c r="DRQ20" s="49"/>
      <c r="DRR20" s="64">
        <f t="shared" si="914"/>
        <v>0</v>
      </c>
      <c r="DRS20" s="68">
        <f t="shared" si="915"/>
        <v>0</v>
      </c>
      <c r="DRT20" s="48">
        <v>0</v>
      </c>
      <c r="DRU20" s="49">
        <v>0</v>
      </c>
      <c r="DRV20" s="49">
        <v>220</v>
      </c>
      <c r="DRW20" s="49">
        <v>0</v>
      </c>
      <c r="DRX20" s="49">
        <v>0</v>
      </c>
      <c r="DRY20" s="49"/>
      <c r="DRZ20" s="491">
        <f t="shared" si="916"/>
        <v>220</v>
      </c>
      <c r="DSA20" s="68">
        <f t="shared" si="917"/>
        <v>36.666666666666664</v>
      </c>
      <c r="DSB20" s="82"/>
      <c r="DSC20" s="83">
        <v>0</v>
      </c>
      <c r="DSD20" s="83">
        <v>100</v>
      </c>
      <c r="DSE20" s="83"/>
      <c r="DSF20" s="83"/>
      <c r="DSG20" s="83">
        <v>0</v>
      </c>
      <c r="DSH20" s="64">
        <f t="shared" si="918"/>
        <v>100</v>
      </c>
      <c r="DSI20" s="68">
        <f t="shared" si="919"/>
        <v>16.666666666666668</v>
      </c>
      <c r="DSJ20" s="48"/>
      <c r="DSK20" s="49">
        <v>0</v>
      </c>
      <c r="DSL20" s="49">
        <v>0</v>
      </c>
      <c r="DSM20" s="49">
        <v>235</v>
      </c>
      <c r="DSN20" s="49">
        <v>0</v>
      </c>
      <c r="DSO20" s="49"/>
      <c r="DSP20" s="64">
        <f t="shared" si="920"/>
        <v>235</v>
      </c>
      <c r="DSQ20" s="68">
        <f t="shared" si="921"/>
        <v>39.166666666666664</v>
      </c>
      <c r="DSR20" s="48">
        <v>0</v>
      </c>
      <c r="DSS20" s="49">
        <v>0</v>
      </c>
      <c r="DST20" s="49">
        <v>0</v>
      </c>
      <c r="DSU20" s="49">
        <v>400</v>
      </c>
      <c r="DSV20" s="49">
        <v>0</v>
      </c>
      <c r="DSW20" s="49">
        <v>0</v>
      </c>
      <c r="DSX20" s="64">
        <f t="shared" si="922"/>
        <v>400</v>
      </c>
      <c r="DSY20" s="68">
        <f t="shared" si="923"/>
        <v>66.666666666666671</v>
      </c>
      <c r="DSZ20" s="48">
        <v>0</v>
      </c>
      <c r="DTA20" s="49"/>
      <c r="DTB20" s="49">
        <v>0</v>
      </c>
      <c r="DTC20" s="49"/>
      <c r="DTD20" s="49">
        <v>152</v>
      </c>
      <c r="DTE20" s="49">
        <v>0</v>
      </c>
      <c r="DTF20" s="64">
        <f t="shared" si="924"/>
        <v>152</v>
      </c>
      <c r="DTG20" s="68">
        <f t="shared" si="925"/>
        <v>25.333333333333332</v>
      </c>
      <c r="DTH20" s="48"/>
      <c r="DTI20" s="49">
        <v>480</v>
      </c>
      <c r="DTJ20" s="49">
        <v>0</v>
      </c>
      <c r="DTK20" s="49">
        <v>0</v>
      </c>
      <c r="DTL20" s="49">
        <v>0</v>
      </c>
      <c r="DTM20" s="49">
        <v>0</v>
      </c>
      <c r="DTN20" s="64">
        <f t="shared" si="926"/>
        <v>480</v>
      </c>
      <c r="DTO20" s="68">
        <f t="shared" si="927"/>
        <v>80</v>
      </c>
      <c r="DTP20" s="48">
        <v>368</v>
      </c>
      <c r="DTQ20" s="49">
        <v>0</v>
      </c>
      <c r="DTR20" s="49"/>
      <c r="DTS20" s="49">
        <v>0</v>
      </c>
      <c r="DTT20" s="49">
        <v>0</v>
      </c>
      <c r="DTU20" s="49">
        <v>0</v>
      </c>
      <c r="DTV20" s="64">
        <f t="shared" si="928"/>
        <v>368</v>
      </c>
      <c r="DTW20" s="68">
        <f t="shared" si="929"/>
        <v>61.333333333333336</v>
      </c>
      <c r="DTX20" s="48">
        <v>0</v>
      </c>
      <c r="DTY20" s="49">
        <v>0</v>
      </c>
      <c r="DTZ20" s="49"/>
      <c r="DUA20" s="49"/>
      <c r="DUB20" s="49">
        <v>0</v>
      </c>
      <c r="DUC20" s="49">
        <v>0</v>
      </c>
      <c r="DUD20" s="64">
        <f t="shared" si="930"/>
        <v>0</v>
      </c>
      <c r="DUE20" s="68">
        <f t="shared" si="931"/>
        <v>0</v>
      </c>
      <c r="DUF20" s="48">
        <v>0</v>
      </c>
      <c r="DUG20" s="49"/>
      <c r="DUH20" s="49"/>
      <c r="DUI20" s="49">
        <v>0</v>
      </c>
      <c r="DUJ20" s="49">
        <v>0</v>
      </c>
      <c r="DUK20" s="49">
        <v>0</v>
      </c>
      <c r="DUL20" s="64">
        <f t="shared" si="932"/>
        <v>0</v>
      </c>
      <c r="DUM20" s="68">
        <f t="shared" si="933"/>
        <v>0</v>
      </c>
      <c r="DUN20" s="48"/>
      <c r="DUO20" s="49">
        <v>0</v>
      </c>
      <c r="DUP20" s="49">
        <v>240</v>
      </c>
      <c r="DUQ20" s="49">
        <v>0</v>
      </c>
      <c r="DUR20" s="49"/>
      <c r="DUS20" s="49">
        <v>0</v>
      </c>
      <c r="DUT20" s="64">
        <f t="shared" si="934"/>
        <v>240</v>
      </c>
      <c r="DUU20" s="184">
        <f t="shared" si="935"/>
        <v>40</v>
      </c>
      <c r="DUV20" s="48"/>
      <c r="DUW20" s="49">
        <v>0</v>
      </c>
      <c r="DUX20" s="49">
        <v>0</v>
      </c>
      <c r="DUY20" s="49">
        <v>0</v>
      </c>
      <c r="DUZ20" s="49">
        <v>400</v>
      </c>
      <c r="DVA20" s="49"/>
      <c r="DVB20" s="64">
        <f t="shared" si="936"/>
        <v>400</v>
      </c>
      <c r="DVC20" s="68">
        <f t="shared" si="937"/>
        <v>66.666666666666671</v>
      </c>
      <c r="DVD20" s="48"/>
      <c r="DVE20" s="49">
        <v>332</v>
      </c>
      <c r="DVF20" s="49"/>
      <c r="DVG20" s="49">
        <v>0</v>
      </c>
      <c r="DVH20" s="49"/>
      <c r="DVI20" s="49"/>
      <c r="DVJ20" s="64">
        <f t="shared" si="938"/>
        <v>332</v>
      </c>
      <c r="DVK20" s="68">
        <f t="shared" si="939"/>
        <v>55.333333333333336</v>
      </c>
      <c r="DVL20" s="48"/>
      <c r="DVM20" s="49">
        <v>0</v>
      </c>
      <c r="DVN20" s="49">
        <v>0</v>
      </c>
      <c r="DVO20" s="49">
        <v>0</v>
      </c>
      <c r="DVP20" s="49"/>
      <c r="DVQ20" s="49"/>
      <c r="DVR20" s="64">
        <f t="shared" si="940"/>
        <v>0</v>
      </c>
      <c r="DVS20" s="68">
        <f t="shared" si="941"/>
        <v>0</v>
      </c>
      <c r="DVT20" s="48"/>
      <c r="DVU20" s="49">
        <v>320</v>
      </c>
      <c r="DVV20" s="49">
        <v>0</v>
      </c>
      <c r="DVW20" s="49">
        <v>0</v>
      </c>
      <c r="DVX20" s="49"/>
      <c r="DVY20" s="49">
        <v>0</v>
      </c>
      <c r="DVZ20" s="64">
        <f t="shared" si="942"/>
        <v>320</v>
      </c>
      <c r="DWA20" s="68">
        <f t="shared" si="943"/>
        <v>53.333333333333336</v>
      </c>
      <c r="DWB20" s="48"/>
      <c r="DWC20" s="49">
        <v>0</v>
      </c>
      <c r="DWD20" s="49">
        <v>0</v>
      </c>
      <c r="DWE20" s="49"/>
      <c r="DWF20" s="49">
        <v>348</v>
      </c>
      <c r="DWG20" s="49">
        <v>0</v>
      </c>
      <c r="DWH20" s="64">
        <f t="shared" si="944"/>
        <v>348</v>
      </c>
      <c r="DWI20" s="68">
        <f t="shared" si="945"/>
        <v>58</v>
      </c>
      <c r="DWJ20" s="48"/>
      <c r="DWK20" s="49"/>
      <c r="DWL20" s="49"/>
      <c r="DWM20" s="49">
        <v>440</v>
      </c>
      <c r="DWN20" s="49">
        <v>0</v>
      </c>
      <c r="DWO20" s="49">
        <v>0</v>
      </c>
      <c r="DWP20" s="64">
        <f t="shared" si="946"/>
        <v>440</v>
      </c>
      <c r="DWQ20" s="68">
        <f t="shared" si="947"/>
        <v>73.333333333333329</v>
      </c>
      <c r="DWR20" s="48"/>
      <c r="DWS20" s="49"/>
      <c r="DWT20" s="49">
        <v>0</v>
      </c>
      <c r="DWU20" s="49"/>
      <c r="DWV20" s="49">
        <v>0</v>
      </c>
      <c r="DWW20" s="49">
        <v>0</v>
      </c>
      <c r="DWX20" s="64">
        <f t="shared" si="948"/>
        <v>0</v>
      </c>
      <c r="DWY20" s="68">
        <f t="shared" si="1201"/>
        <v>0</v>
      </c>
      <c r="DWZ20" s="48">
        <v>0</v>
      </c>
      <c r="DXA20" s="49"/>
      <c r="DXB20" s="49"/>
      <c r="DXC20" s="49">
        <v>0</v>
      </c>
      <c r="DXD20" s="49">
        <v>0</v>
      </c>
      <c r="DXE20" s="49"/>
      <c r="DXF20" s="64">
        <f t="shared" si="949"/>
        <v>0</v>
      </c>
      <c r="DXG20" s="68">
        <f t="shared" si="950"/>
        <v>0</v>
      </c>
      <c r="DXH20" s="48">
        <v>0</v>
      </c>
      <c r="DXI20" s="49">
        <v>0</v>
      </c>
      <c r="DXJ20" s="49">
        <v>0</v>
      </c>
      <c r="DXK20" s="49">
        <v>0</v>
      </c>
      <c r="DXL20" s="49"/>
      <c r="DXM20" s="49">
        <v>0</v>
      </c>
      <c r="DXN20" s="64">
        <f t="shared" si="951"/>
        <v>0</v>
      </c>
      <c r="DXO20" s="68">
        <f t="shared" si="952"/>
        <v>0</v>
      </c>
      <c r="DXP20" s="48">
        <v>280</v>
      </c>
      <c r="DXQ20" s="49">
        <v>0</v>
      </c>
      <c r="DXR20" s="49">
        <v>0</v>
      </c>
      <c r="DXS20" s="49">
        <v>219</v>
      </c>
      <c r="DXT20" s="49"/>
      <c r="DXU20" s="49"/>
      <c r="DXV20" s="64">
        <f t="shared" si="953"/>
        <v>499</v>
      </c>
      <c r="DXW20" s="68">
        <f t="shared" si="954"/>
        <v>83.166666666666671</v>
      </c>
      <c r="DXX20" s="48">
        <v>0</v>
      </c>
      <c r="DXY20" s="49">
        <v>0</v>
      </c>
      <c r="DXZ20" s="49"/>
      <c r="DYA20" s="49">
        <v>0</v>
      </c>
      <c r="DYB20" s="49">
        <v>0</v>
      </c>
      <c r="DYC20" s="49">
        <v>0</v>
      </c>
      <c r="DYD20" s="64">
        <f t="shared" si="955"/>
        <v>0</v>
      </c>
      <c r="DYE20" s="68">
        <f t="shared" si="956"/>
        <v>0</v>
      </c>
      <c r="DYF20" s="48"/>
      <c r="DYG20" s="49">
        <v>0</v>
      </c>
      <c r="DYH20" s="49">
        <v>606</v>
      </c>
      <c r="DYI20" s="49"/>
      <c r="DYJ20" s="49">
        <v>0</v>
      </c>
      <c r="DYK20" s="49"/>
      <c r="DYL20" s="64">
        <f t="shared" si="957"/>
        <v>606</v>
      </c>
      <c r="DYM20" s="68">
        <f t="shared" si="958"/>
        <v>101</v>
      </c>
      <c r="DYN20" s="48">
        <v>0</v>
      </c>
      <c r="DYO20" s="49"/>
      <c r="DYP20" s="49">
        <v>0</v>
      </c>
      <c r="DYQ20" s="49">
        <v>0</v>
      </c>
      <c r="DYR20" s="49"/>
      <c r="DYS20" s="49">
        <v>0</v>
      </c>
      <c r="DYT20" s="64">
        <f t="shared" si="959"/>
        <v>0</v>
      </c>
      <c r="DYU20" s="68">
        <f t="shared" si="960"/>
        <v>0</v>
      </c>
      <c r="DYV20" s="48">
        <v>0</v>
      </c>
      <c r="DYW20" s="49">
        <v>0</v>
      </c>
      <c r="DYX20" s="49">
        <v>0</v>
      </c>
      <c r="DYY20" s="49">
        <v>0</v>
      </c>
      <c r="DYZ20" s="49">
        <v>0</v>
      </c>
      <c r="DZA20" s="49">
        <v>0</v>
      </c>
      <c r="DZB20" s="64">
        <f t="shared" si="961"/>
        <v>0</v>
      </c>
      <c r="DZC20" s="68">
        <f t="shared" si="962"/>
        <v>0</v>
      </c>
      <c r="DZD20" s="48">
        <v>0</v>
      </c>
      <c r="DZE20" s="49">
        <v>341</v>
      </c>
      <c r="DZF20" s="49">
        <v>0</v>
      </c>
      <c r="DZG20" s="49"/>
      <c r="DZH20" s="49">
        <f>SUMIF(SUMPK!$B:$B,$B:$B,SUMPK!$O:$O)</f>
        <v>0</v>
      </c>
      <c r="DZI20" s="49"/>
      <c r="DZJ20" s="64">
        <f t="shared" si="963"/>
        <v>341</v>
      </c>
      <c r="DZK20" s="68">
        <f t="shared" si="964"/>
        <v>56.833333333333336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5"/>
        <v>0</v>
      </c>
      <c r="DZS20" s="68">
        <f t="shared" si="966"/>
        <v>0</v>
      </c>
      <c r="DZT20" s="48">
        <v>0</v>
      </c>
      <c r="DZU20" s="49">
        <v>0</v>
      </c>
      <c r="DZV20" s="49">
        <v>330</v>
      </c>
      <c r="DZW20" s="49">
        <v>0</v>
      </c>
      <c r="DZX20" s="49">
        <v>0</v>
      </c>
      <c r="DZY20" s="49"/>
      <c r="DZZ20" s="64">
        <f t="shared" si="967"/>
        <v>330</v>
      </c>
      <c r="EAA20" s="68">
        <f t="shared" si="968"/>
        <v>55</v>
      </c>
      <c r="EAB20" s="48"/>
      <c r="EAC20" s="49">
        <v>0</v>
      </c>
      <c r="EAD20" s="49"/>
      <c r="EAE20" s="49"/>
      <c r="EAF20" s="49">
        <v>0</v>
      </c>
      <c r="EAG20" s="49">
        <v>0</v>
      </c>
      <c r="EAH20" s="64">
        <f t="shared" si="969"/>
        <v>0</v>
      </c>
      <c r="EAI20" s="68">
        <f t="shared" si="970"/>
        <v>0</v>
      </c>
      <c r="EAJ20" s="48"/>
      <c r="EAK20" s="49">
        <v>0</v>
      </c>
      <c r="EAL20" s="49">
        <v>0</v>
      </c>
      <c r="EAM20" s="49"/>
      <c r="EAN20" s="49"/>
      <c r="EAO20" s="49">
        <v>334</v>
      </c>
      <c r="EAP20" s="64">
        <f t="shared" si="971"/>
        <v>334</v>
      </c>
      <c r="EAQ20" s="68">
        <f t="shared" si="1202"/>
        <v>55.666666666666664</v>
      </c>
      <c r="EAR20" s="48">
        <v>0</v>
      </c>
      <c r="EAS20" s="49">
        <v>0</v>
      </c>
      <c r="EAT20" s="49">
        <v>281</v>
      </c>
      <c r="EAU20" s="49"/>
      <c r="EAV20" s="49">
        <v>0</v>
      </c>
      <c r="EAW20" s="49"/>
      <c r="EAX20" s="64">
        <f t="shared" si="972"/>
        <v>281</v>
      </c>
      <c r="EAY20" s="68">
        <f t="shared" si="973"/>
        <v>46.833333333333336</v>
      </c>
      <c r="EAZ20" s="48"/>
      <c r="EBA20" s="49">
        <v>352</v>
      </c>
      <c r="EBB20" s="49"/>
      <c r="EBC20" s="49"/>
      <c r="EBD20" s="49">
        <v>0</v>
      </c>
      <c r="EBE20" s="49">
        <v>0</v>
      </c>
      <c r="EBF20" s="64">
        <f t="shared" si="974"/>
        <v>352</v>
      </c>
      <c r="EBG20" s="68">
        <f t="shared" si="975"/>
        <v>58.666666666666664</v>
      </c>
      <c r="EBH20" s="48"/>
      <c r="EBI20" s="49">
        <v>221</v>
      </c>
      <c r="EBJ20" s="49">
        <v>0</v>
      </c>
      <c r="EBK20" s="49"/>
      <c r="EBL20" s="49">
        <v>0</v>
      </c>
      <c r="EBM20" s="49"/>
      <c r="EBN20" s="64">
        <f t="shared" si="976"/>
        <v>221</v>
      </c>
      <c r="EBO20" s="68">
        <f t="shared" si="1131"/>
        <v>36.833333333333336</v>
      </c>
      <c r="EBP20" s="48"/>
      <c r="EBQ20" s="49">
        <v>0</v>
      </c>
      <c r="EBR20" s="49"/>
      <c r="EBS20" s="49">
        <v>0</v>
      </c>
      <c r="EBT20" s="49">
        <v>0</v>
      </c>
      <c r="EBU20" s="49">
        <v>0</v>
      </c>
      <c r="EBV20" s="64">
        <f t="shared" si="977"/>
        <v>0</v>
      </c>
      <c r="EBW20" s="68">
        <f t="shared" si="978"/>
        <v>0</v>
      </c>
      <c r="EBX20" s="48"/>
      <c r="EBY20" s="49">
        <v>0</v>
      </c>
      <c r="EBZ20" s="49">
        <v>0</v>
      </c>
      <c r="ECA20" s="49">
        <v>0</v>
      </c>
      <c r="ECB20" s="49">
        <v>0</v>
      </c>
      <c r="ECC20" s="49">
        <v>0</v>
      </c>
      <c r="ECD20" s="64">
        <f t="shared" si="979"/>
        <v>0</v>
      </c>
      <c r="ECE20" s="68">
        <f t="shared" si="980"/>
        <v>0</v>
      </c>
      <c r="ECF20" s="48">
        <v>0</v>
      </c>
      <c r="ECG20" s="49">
        <v>0</v>
      </c>
      <c r="ECH20" s="49">
        <v>0</v>
      </c>
      <c r="ECI20" s="49"/>
      <c r="ECJ20" s="49"/>
      <c r="ECK20" s="49">
        <v>0</v>
      </c>
      <c r="ECL20" s="64">
        <f t="shared" si="981"/>
        <v>0</v>
      </c>
      <c r="ECM20" s="68">
        <f t="shared" si="982"/>
        <v>0</v>
      </c>
      <c r="ECN20" s="48">
        <v>0</v>
      </c>
      <c r="ECO20" s="49">
        <v>301</v>
      </c>
      <c r="ECP20" s="49"/>
      <c r="ECQ20" s="49"/>
      <c r="ECR20" s="49"/>
      <c r="ECS20" s="49">
        <v>0</v>
      </c>
      <c r="ECT20" s="64">
        <f t="shared" si="983"/>
        <v>301</v>
      </c>
      <c r="ECU20" s="68">
        <f t="shared" si="984"/>
        <v>50.166666666666664</v>
      </c>
      <c r="ECV20" s="48">
        <v>0</v>
      </c>
      <c r="ECW20" s="49"/>
      <c r="ECX20" s="49"/>
      <c r="ECY20" s="49">
        <v>330</v>
      </c>
      <c r="ECZ20" s="49"/>
      <c r="EDA20" s="49">
        <v>0</v>
      </c>
      <c r="EDB20" s="64">
        <f t="shared" si="985"/>
        <v>330</v>
      </c>
      <c r="EDC20" s="68">
        <f t="shared" si="986"/>
        <v>55</v>
      </c>
      <c r="EDD20" s="48">
        <v>0</v>
      </c>
      <c r="EDE20" s="49"/>
      <c r="EDF20" s="49">
        <v>0</v>
      </c>
      <c r="EDG20" s="49">
        <v>161</v>
      </c>
      <c r="EDH20" s="49"/>
      <c r="EDI20" s="49"/>
      <c r="EDJ20" s="64">
        <f t="shared" si="987"/>
        <v>161</v>
      </c>
      <c r="EDK20" s="68">
        <f t="shared" si="988"/>
        <v>26.833333333333332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0</v>
      </c>
      <c r="EDR20" s="64">
        <f t="shared" si="989"/>
        <v>0</v>
      </c>
      <c r="EDS20" s="184">
        <f t="shared" si="990"/>
        <v>0</v>
      </c>
      <c r="EDT20" s="195">
        <v>0</v>
      </c>
      <c r="EDU20" s="49"/>
      <c r="EDV20" s="49">
        <v>0</v>
      </c>
      <c r="EDW20" s="49">
        <v>0</v>
      </c>
      <c r="EDX20" s="49"/>
      <c r="EDY20" s="49"/>
      <c r="EDZ20" s="64">
        <f t="shared" si="991"/>
        <v>0</v>
      </c>
      <c r="EEA20" s="184">
        <f t="shared" si="992"/>
        <v>0</v>
      </c>
      <c r="EEB20" s="48">
        <v>0</v>
      </c>
      <c r="EEC20" s="49"/>
      <c r="EED20" s="49">
        <v>393</v>
      </c>
      <c r="EEE20" s="49"/>
      <c r="EEF20" s="49">
        <v>0</v>
      </c>
      <c r="EEG20" s="49"/>
      <c r="EEH20" s="64">
        <f t="shared" si="993"/>
        <v>393</v>
      </c>
      <c r="EEI20" s="68">
        <f t="shared" si="994"/>
        <v>65.5</v>
      </c>
      <c r="EEJ20" s="48">
        <v>0</v>
      </c>
      <c r="EEK20" s="49"/>
      <c r="EEL20" s="49">
        <v>0</v>
      </c>
      <c r="EEM20" s="49"/>
      <c r="EEN20" s="49"/>
      <c r="EEO20" s="49">
        <v>0</v>
      </c>
      <c r="EEP20" s="64">
        <f t="shared" si="995"/>
        <v>0</v>
      </c>
      <c r="EEQ20" s="68">
        <f t="shared" si="996"/>
        <v>0</v>
      </c>
      <c r="EER20" s="48">
        <v>0</v>
      </c>
      <c r="EES20" s="49">
        <v>0</v>
      </c>
      <c r="EET20" s="49"/>
      <c r="EEU20" s="49"/>
      <c r="EEV20" s="49">
        <v>0</v>
      </c>
      <c r="EEW20" s="49"/>
      <c r="EEX20" s="64">
        <f t="shared" si="997"/>
        <v>0</v>
      </c>
      <c r="EEY20" s="68">
        <f t="shared" si="998"/>
        <v>0</v>
      </c>
      <c r="EEZ20" s="48">
        <v>0</v>
      </c>
      <c r="EFA20" s="49">
        <v>0</v>
      </c>
      <c r="EFB20" s="49">
        <v>345</v>
      </c>
      <c r="EFC20" s="49"/>
      <c r="EFD20" s="49"/>
      <c r="EFE20" s="49">
        <v>0</v>
      </c>
      <c r="EFF20" s="64">
        <f t="shared" si="999"/>
        <v>345</v>
      </c>
      <c r="EFG20" s="68">
        <f t="shared" si="1000"/>
        <v>57.5</v>
      </c>
      <c r="EFH20" s="48"/>
      <c r="EFI20" s="49">
        <v>0</v>
      </c>
      <c r="EFJ20" s="49"/>
      <c r="EFK20" s="49"/>
      <c r="EFL20" s="49"/>
      <c r="EFM20" s="49">
        <v>0</v>
      </c>
      <c r="EFN20" s="64">
        <f t="shared" si="1001"/>
        <v>0</v>
      </c>
      <c r="EFO20" s="68">
        <f t="shared" si="1002"/>
        <v>0</v>
      </c>
      <c r="EFP20" s="48"/>
      <c r="EFQ20" s="49"/>
      <c r="EFR20" s="49"/>
      <c r="EFS20" s="49">
        <v>330</v>
      </c>
      <c r="EFT20" s="49">
        <v>0</v>
      </c>
      <c r="EFU20" s="49"/>
      <c r="EFV20" s="64">
        <f t="shared" si="1003"/>
        <v>330</v>
      </c>
      <c r="EFW20" s="68">
        <f t="shared" si="1004"/>
        <v>55</v>
      </c>
      <c r="EFX20" s="48"/>
      <c r="EFY20" s="49"/>
      <c r="EFZ20" s="49"/>
      <c r="EGA20" s="49">
        <v>0</v>
      </c>
      <c r="EGB20" s="49">
        <v>110</v>
      </c>
      <c r="EGC20" s="49">
        <v>0</v>
      </c>
      <c r="EGD20" s="64">
        <f t="shared" si="1005"/>
        <v>110</v>
      </c>
      <c r="EGE20" s="68">
        <f t="shared" si="1006"/>
        <v>18.333333333333332</v>
      </c>
      <c r="EGF20" s="48">
        <v>0</v>
      </c>
      <c r="EGG20" s="49">
        <v>0</v>
      </c>
      <c r="EGH20" s="49"/>
      <c r="EGI20" s="49">
        <v>0</v>
      </c>
      <c r="EGJ20" s="49">
        <v>0</v>
      </c>
      <c r="EGK20" s="49">
        <v>0</v>
      </c>
      <c r="EGL20" s="64">
        <f t="shared" si="1007"/>
        <v>0</v>
      </c>
      <c r="EGM20" s="68">
        <f t="shared" si="1008"/>
        <v>0</v>
      </c>
      <c r="EGN20" s="48">
        <v>451</v>
      </c>
      <c r="EGO20" s="49">
        <v>280</v>
      </c>
      <c r="EGP20" s="49"/>
      <c r="EGQ20" s="49">
        <v>0</v>
      </c>
      <c r="EGR20" s="49"/>
      <c r="EGS20" s="49">
        <v>0</v>
      </c>
      <c r="EGT20" s="64">
        <f t="shared" si="1009"/>
        <v>731</v>
      </c>
      <c r="EGU20" s="68">
        <f t="shared" si="1203"/>
        <v>121.83333333333333</v>
      </c>
      <c r="EGV20" s="48">
        <v>0</v>
      </c>
      <c r="EGW20" s="49">
        <v>0</v>
      </c>
      <c r="EGX20" s="49"/>
      <c r="EGY20" s="49">
        <v>0</v>
      </c>
      <c r="EGZ20" s="49">
        <v>328</v>
      </c>
      <c r="EHA20" s="49"/>
      <c r="EHB20" s="64">
        <f t="shared" si="1010"/>
        <v>328</v>
      </c>
      <c r="EHC20" s="68">
        <f t="shared" si="1011"/>
        <v>54.666666666666664</v>
      </c>
      <c r="EHD20" s="48">
        <v>0</v>
      </c>
      <c r="EHE20" s="49">
        <v>0</v>
      </c>
      <c r="EHF20" s="49"/>
      <c r="EHG20" s="49">
        <v>0</v>
      </c>
      <c r="EHH20" s="49">
        <v>0</v>
      </c>
      <c r="EHI20" s="49">
        <v>220</v>
      </c>
      <c r="EHJ20" s="64">
        <f t="shared" si="1012"/>
        <v>220</v>
      </c>
      <c r="EHK20" s="68">
        <f t="shared" si="1013"/>
        <v>36.666666666666664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4"/>
        <v>0</v>
      </c>
      <c r="EHS20" s="68">
        <f t="shared" si="1015"/>
        <v>0</v>
      </c>
      <c r="EHT20" s="48"/>
      <c r="EHU20" s="49"/>
      <c r="EHV20" s="49"/>
      <c r="EHW20" s="49">
        <v>0</v>
      </c>
      <c r="EHX20" s="49"/>
      <c r="EHY20" s="49">
        <v>0</v>
      </c>
      <c r="EHZ20" s="64">
        <f t="shared" si="1016"/>
        <v>0</v>
      </c>
      <c r="EIA20" s="68">
        <f t="shared" si="1017"/>
        <v>0</v>
      </c>
      <c r="EIB20" s="48"/>
      <c r="EIC20" s="49"/>
      <c r="EID20" s="49">
        <v>0</v>
      </c>
      <c r="EIE20" s="49"/>
      <c r="EIF20" s="49">
        <v>100</v>
      </c>
      <c r="EIG20" s="49">
        <v>115</v>
      </c>
      <c r="EIH20" s="64">
        <f t="shared" si="1018"/>
        <v>215</v>
      </c>
      <c r="EII20" s="68">
        <f t="shared" si="1019"/>
        <v>35.833333333333336</v>
      </c>
      <c r="EIJ20" s="48"/>
      <c r="EIK20" s="49">
        <v>0</v>
      </c>
      <c r="EIL20" s="49"/>
      <c r="EIM20" s="49">
        <v>0</v>
      </c>
      <c r="EIN20" s="49">
        <v>0</v>
      </c>
      <c r="EIO20" s="49">
        <v>248</v>
      </c>
      <c r="EIP20" s="64">
        <f t="shared" si="1020"/>
        <v>248</v>
      </c>
      <c r="EIQ20" s="68">
        <f t="shared" si="1021"/>
        <v>41.333333333333336</v>
      </c>
      <c r="EIR20" s="48">
        <v>0</v>
      </c>
      <c r="EIS20" s="49"/>
      <c r="EIT20" s="49">
        <v>0</v>
      </c>
      <c r="EIU20" s="49"/>
      <c r="EIV20" s="49"/>
      <c r="EIW20" s="49"/>
      <c r="EIX20" s="64">
        <f t="shared" si="1022"/>
        <v>0</v>
      </c>
      <c r="EIY20" s="68">
        <f t="shared" si="1023"/>
        <v>0</v>
      </c>
      <c r="EIZ20" s="48">
        <v>0</v>
      </c>
      <c r="EJA20" s="49">
        <v>0</v>
      </c>
      <c r="EJB20" s="49"/>
      <c r="EJC20" s="49">
        <v>296</v>
      </c>
      <c r="EJD20" s="49"/>
      <c r="EJE20" s="49"/>
      <c r="EJF20" s="64">
        <f t="shared" si="1024"/>
        <v>296</v>
      </c>
      <c r="EJG20" s="68">
        <f t="shared" si="1025"/>
        <v>49.333333333333336</v>
      </c>
      <c r="EJH20" s="48">
        <v>395</v>
      </c>
      <c r="EJI20" s="49">
        <v>0</v>
      </c>
      <c r="EJJ20" s="49"/>
      <c r="EJK20" s="49">
        <v>0</v>
      </c>
      <c r="EJL20" s="49"/>
      <c r="EJM20" s="49"/>
      <c r="EJN20" s="64">
        <f t="shared" si="1026"/>
        <v>395</v>
      </c>
      <c r="EJO20" s="68">
        <f t="shared" si="1027"/>
        <v>65.833333333333329</v>
      </c>
      <c r="EJP20" s="48"/>
      <c r="EJQ20" s="49">
        <v>0</v>
      </c>
      <c r="EJR20" s="49">
        <v>0</v>
      </c>
      <c r="EJS20" s="49"/>
      <c r="EJT20" s="49"/>
      <c r="EJU20" s="49">
        <v>0</v>
      </c>
      <c r="EJV20" s="64">
        <f t="shared" si="1028"/>
        <v>0</v>
      </c>
      <c r="EJW20" s="68">
        <f t="shared" si="1029"/>
        <v>0</v>
      </c>
      <c r="EJX20" s="48"/>
      <c r="EJY20" s="49"/>
      <c r="EJZ20" s="49"/>
      <c r="EKA20" s="49">
        <v>229</v>
      </c>
      <c r="EKB20" s="49"/>
      <c r="EKC20" s="49"/>
      <c r="EKD20" s="64">
        <f t="shared" si="1030"/>
        <v>229</v>
      </c>
      <c r="EKE20" s="68">
        <f t="shared" si="1031"/>
        <v>38.166666666666664</v>
      </c>
      <c r="EKF20" s="48">
        <v>0</v>
      </c>
      <c r="EKG20" s="49">
        <v>0</v>
      </c>
      <c r="EKH20" s="49"/>
      <c r="EKI20" s="49"/>
      <c r="EKJ20" s="49">
        <v>0</v>
      </c>
      <c r="EKK20" s="49"/>
      <c r="EKL20" s="64">
        <f t="shared" si="1032"/>
        <v>0</v>
      </c>
      <c r="EKM20" s="68">
        <f t="shared" si="1033"/>
        <v>0</v>
      </c>
      <c r="EKN20" s="48"/>
      <c r="EKO20" s="49">
        <v>0</v>
      </c>
      <c r="EKP20" s="49">
        <v>0</v>
      </c>
      <c r="EKQ20" s="49"/>
      <c r="EKR20" s="49"/>
      <c r="EKS20" s="49">
        <v>0</v>
      </c>
      <c r="EKT20" s="64">
        <f t="shared" si="1034"/>
        <v>0</v>
      </c>
      <c r="EKU20" s="184">
        <f t="shared" si="1035"/>
        <v>0</v>
      </c>
      <c r="EKV20" s="665"/>
      <c r="EKW20" s="195">
        <v>0</v>
      </c>
      <c r="EKX20" s="49"/>
      <c r="EKY20" s="49"/>
      <c r="EKZ20" s="49">
        <v>0</v>
      </c>
      <c r="ELA20" s="49"/>
      <c r="ELB20" s="49">
        <v>0</v>
      </c>
      <c r="ELC20" s="64">
        <f t="shared" si="1036"/>
        <v>0</v>
      </c>
      <c r="ELD20" s="211">
        <f t="shared" si="1037"/>
        <v>0</v>
      </c>
      <c r="ELE20" s="195">
        <v>229</v>
      </c>
      <c r="ELF20" s="49"/>
      <c r="ELG20" s="49"/>
      <c r="ELH20" s="49">
        <v>0</v>
      </c>
      <c r="ELI20" s="49"/>
      <c r="ELJ20" s="49"/>
      <c r="ELK20" s="64">
        <f t="shared" si="1038"/>
        <v>229</v>
      </c>
      <c r="ELL20" s="211">
        <f t="shared" si="1039"/>
        <v>38.166666666666664</v>
      </c>
      <c r="ELM20" s="195">
        <v>0</v>
      </c>
      <c r="ELN20" s="49">
        <v>198</v>
      </c>
      <c r="ELO20" s="49"/>
      <c r="ELP20" s="49"/>
      <c r="ELQ20" s="49">
        <v>0</v>
      </c>
      <c r="ELR20" s="49">
        <v>0</v>
      </c>
      <c r="ELS20" s="64">
        <f t="shared" si="1040"/>
        <v>198</v>
      </c>
      <c r="ELT20" s="211">
        <f t="shared" si="1041"/>
        <v>33</v>
      </c>
      <c r="ELU20" s="195">
        <v>0</v>
      </c>
      <c r="ELV20" s="49"/>
      <c r="ELW20" s="49">
        <v>200</v>
      </c>
      <c r="ELX20" s="49">
        <v>0</v>
      </c>
      <c r="ELY20" s="49"/>
      <c r="ELZ20" s="49"/>
      <c r="EMA20" s="64">
        <f t="shared" si="1042"/>
        <v>200</v>
      </c>
      <c r="EMB20" s="211">
        <f t="shared" si="1043"/>
        <v>33.333333333333336</v>
      </c>
      <c r="EMC20" s="195"/>
      <c r="EMD20" s="49">
        <v>0</v>
      </c>
      <c r="EME20" s="49">
        <v>0</v>
      </c>
      <c r="EMF20" s="49">
        <v>0</v>
      </c>
      <c r="EMG20" s="49">
        <v>0</v>
      </c>
      <c r="EMH20" s="49"/>
      <c r="EMI20" s="64">
        <f t="shared" si="1044"/>
        <v>0</v>
      </c>
      <c r="EMJ20" s="211">
        <f t="shared" si="1045"/>
        <v>0</v>
      </c>
      <c r="EMK20" s="195"/>
      <c r="EML20" s="49">
        <v>220</v>
      </c>
      <c r="EMM20" s="49">
        <v>0</v>
      </c>
      <c r="EMN20" s="49">
        <v>0</v>
      </c>
      <c r="EMO20" s="49">
        <v>0</v>
      </c>
      <c r="EMP20" s="49">
        <v>0</v>
      </c>
      <c r="EMQ20" s="64">
        <f t="shared" si="1046"/>
        <v>220</v>
      </c>
      <c r="EMR20" s="211">
        <f t="shared" si="1047"/>
        <v>36.666666666666664</v>
      </c>
      <c r="EMS20" s="195"/>
      <c r="EMT20" s="49">
        <v>225</v>
      </c>
      <c r="EMU20" s="49">
        <v>0</v>
      </c>
      <c r="EMV20" s="49">
        <v>0</v>
      </c>
      <c r="EMW20" s="49"/>
      <c r="EMX20" s="49">
        <v>0</v>
      </c>
      <c r="EMY20" s="64">
        <f t="shared" si="1048"/>
        <v>225</v>
      </c>
      <c r="EMZ20" s="211">
        <f t="shared" si="1049"/>
        <v>37.5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0"/>
        <v>0</v>
      </c>
      <c r="ENH20" s="211">
        <f t="shared" si="1051"/>
        <v>0</v>
      </c>
      <c r="ENI20" s="195">
        <v>0</v>
      </c>
      <c r="ENJ20" s="49"/>
      <c r="ENK20" s="49"/>
      <c r="ENL20" s="49">
        <v>0</v>
      </c>
      <c r="ENM20" s="49">
        <v>221</v>
      </c>
      <c r="ENN20" s="49">
        <v>0</v>
      </c>
      <c r="ENO20" s="64">
        <f t="shared" si="1052"/>
        <v>221</v>
      </c>
      <c r="ENP20" s="211">
        <f t="shared" si="1053"/>
        <v>36.833333333333336</v>
      </c>
      <c r="ENQ20" s="195">
        <v>0</v>
      </c>
      <c r="ENR20" s="49"/>
      <c r="ENS20" s="49">
        <v>0</v>
      </c>
      <c r="ENT20" s="49">
        <v>0</v>
      </c>
      <c r="ENU20" s="49">
        <v>0</v>
      </c>
      <c r="ENV20" s="49">
        <v>0</v>
      </c>
      <c r="ENW20" s="64">
        <f t="shared" si="1054"/>
        <v>0</v>
      </c>
      <c r="ENX20" s="211">
        <f t="shared" si="1055"/>
        <v>0</v>
      </c>
      <c r="ENY20" s="195"/>
      <c r="ENZ20" s="49"/>
      <c r="EOA20" s="49"/>
      <c r="EOB20" s="49">
        <v>0</v>
      </c>
      <c r="EOC20" s="49">
        <v>0</v>
      </c>
      <c r="EOD20" s="49">
        <v>0</v>
      </c>
      <c r="EOE20" s="64">
        <f t="shared" si="1056"/>
        <v>0</v>
      </c>
      <c r="EOF20" s="211">
        <f t="shared" si="1057"/>
        <v>0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58"/>
        <v>0</v>
      </c>
      <c r="EON20" s="211">
        <f t="shared" si="1059"/>
        <v>0</v>
      </c>
      <c r="EOO20" s="195"/>
      <c r="EOP20" s="49">
        <v>0</v>
      </c>
      <c r="EOQ20" s="49">
        <v>161</v>
      </c>
      <c r="EOR20" s="49">
        <v>0</v>
      </c>
      <c r="EOS20" s="49"/>
      <c r="EOT20" s="49">
        <v>165</v>
      </c>
      <c r="EOU20" s="64">
        <f t="shared" si="1060"/>
        <v>326</v>
      </c>
      <c r="EOV20" s="211">
        <f t="shared" si="1061"/>
        <v>54.333333333333336</v>
      </c>
      <c r="EOW20" s="195">
        <v>0</v>
      </c>
      <c r="EOX20" s="49">
        <v>0</v>
      </c>
      <c r="EOY20" s="49">
        <v>0</v>
      </c>
      <c r="EOZ20" s="49"/>
      <c r="EPA20" s="49">
        <v>0</v>
      </c>
      <c r="EPB20" s="49">
        <v>0</v>
      </c>
      <c r="EPC20" s="64">
        <f t="shared" si="1062"/>
        <v>0</v>
      </c>
      <c r="EPD20" s="211">
        <f t="shared" si="1063"/>
        <v>0</v>
      </c>
      <c r="EPE20" s="195">
        <v>0</v>
      </c>
      <c r="EPF20" s="49">
        <f>SUMIF(SUMPK!$B:$B,$B:$B,SUMPK!$O:$O)</f>
        <v>0</v>
      </c>
      <c r="EPG20" s="49"/>
      <c r="EPH20" s="49">
        <v>0</v>
      </c>
      <c r="EPI20" s="49">
        <v>0</v>
      </c>
      <c r="EPJ20" s="49">
        <v>220</v>
      </c>
      <c r="EPK20" s="64">
        <f t="shared" si="1064"/>
        <v>220</v>
      </c>
      <c r="EPL20" s="211">
        <f t="shared" si="1065"/>
        <v>36.666666666666664</v>
      </c>
      <c r="EPM20" s="195"/>
      <c r="EPN20" s="49"/>
      <c r="EPO20" s="49"/>
      <c r="EPP20" s="49">
        <v>0</v>
      </c>
      <c r="EPQ20" s="49">
        <v>0</v>
      </c>
      <c r="EPR20" s="49">
        <v>0</v>
      </c>
      <c r="EPS20" s="64">
        <f t="shared" si="1066"/>
        <v>0</v>
      </c>
      <c r="EPT20" s="211">
        <f t="shared" si="1067"/>
        <v>0</v>
      </c>
      <c r="EPU20" s="195">
        <v>99</v>
      </c>
      <c r="EPV20" s="49">
        <v>0</v>
      </c>
      <c r="EPW20" s="49"/>
      <c r="EPX20" s="49">
        <v>0</v>
      </c>
      <c r="EPY20" s="49">
        <v>0</v>
      </c>
      <c r="EPZ20" s="49">
        <v>0</v>
      </c>
      <c r="EQA20" s="64">
        <f t="shared" si="1068"/>
        <v>99</v>
      </c>
      <c r="EQB20" s="211">
        <f t="shared" si="1069"/>
        <v>16.5</v>
      </c>
      <c r="EQC20" s="195">
        <v>0</v>
      </c>
      <c r="EQD20" s="49">
        <v>0</v>
      </c>
      <c r="EQE20" s="49">
        <v>99</v>
      </c>
      <c r="EQF20" s="49">
        <v>0</v>
      </c>
      <c r="EQG20" s="49">
        <v>0</v>
      </c>
      <c r="EQH20" s="49">
        <v>0</v>
      </c>
      <c r="EQI20" s="64">
        <f t="shared" si="1070"/>
        <v>99</v>
      </c>
      <c r="EQJ20" s="211">
        <f t="shared" si="1071"/>
        <v>16.5</v>
      </c>
      <c r="EQK20" s="195"/>
      <c r="EQL20" s="49">
        <v>0</v>
      </c>
      <c r="EQM20" s="49">
        <v>0</v>
      </c>
      <c r="EQN20" s="49"/>
      <c r="EQO20" s="49">
        <v>200</v>
      </c>
      <c r="EQP20" s="49">
        <v>0</v>
      </c>
      <c r="EQQ20" s="64">
        <f t="shared" si="1072"/>
        <v>200</v>
      </c>
      <c r="EQR20" s="211">
        <f t="shared" si="1073"/>
        <v>33.333333333333336</v>
      </c>
      <c r="EQS20" s="195">
        <v>0</v>
      </c>
      <c r="EQT20" s="49">
        <v>0</v>
      </c>
      <c r="EQU20" s="49">
        <v>0</v>
      </c>
      <c r="EQV20" s="49"/>
      <c r="EQW20" s="49"/>
      <c r="EQX20" s="49">
        <v>0</v>
      </c>
      <c r="EQY20" s="64">
        <f t="shared" si="1074"/>
        <v>0</v>
      </c>
      <c r="EQZ20" s="211">
        <f t="shared" si="1075"/>
        <v>0</v>
      </c>
      <c r="ERA20" s="195">
        <v>139</v>
      </c>
      <c r="ERB20" s="49">
        <v>0</v>
      </c>
      <c r="ERC20" s="49"/>
      <c r="ERD20" s="49">
        <v>0</v>
      </c>
      <c r="ERE20" s="49">
        <v>160</v>
      </c>
      <c r="ERF20" s="49"/>
      <c r="ERG20" s="64">
        <f t="shared" si="1076"/>
        <v>299</v>
      </c>
      <c r="ERH20" s="211">
        <f t="shared" si="1077"/>
        <v>49.833333333333336</v>
      </c>
      <c r="ERI20" s="195">
        <v>0</v>
      </c>
      <c r="ERJ20" s="49"/>
      <c r="ERK20" s="49"/>
      <c r="ERL20" s="49">
        <v>0</v>
      </c>
      <c r="ERM20" s="49">
        <v>0</v>
      </c>
      <c r="ERN20" s="49"/>
      <c r="ERO20" s="64">
        <f t="shared" si="1078"/>
        <v>0</v>
      </c>
      <c r="ERP20" s="211">
        <f t="shared" si="1079"/>
        <v>0</v>
      </c>
      <c r="ERQ20" s="195"/>
      <c r="ERR20" s="49">
        <v>0</v>
      </c>
      <c r="ERS20" s="49">
        <v>0</v>
      </c>
      <c r="ERT20" s="49">
        <v>0</v>
      </c>
      <c r="ERU20" s="49"/>
      <c r="ERV20" s="49">
        <v>100</v>
      </c>
      <c r="ERW20" s="64">
        <f t="shared" si="1080"/>
        <v>100</v>
      </c>
      <c r="ERX20" s="211">
        <f t="shared" si="1081"/>
        <v>16.666666666666668</v>
      </c>
      <c r="ERY20" s="195">
        <v>180</v>
      </c>
      <c r="ERZ20" s="49">
        <v>0</v>
      </c>
      <c r="ESA20" s="49">
        <v>0</v>
      </c>
      <c r="ESB20" s="49"/>
      <c r="ESC20" s="49"/>
      <c r="ESD20" s="49"/>
      <c r="ESE20" s="64">
        <f t="shared" si="1082"/>
        <v>180</v>
      </c>
      <c r="ESF20" s="211">
        <f t="shared" si="1083"/>
        <v>30</v>
      </c>
      <c r="ESG20" s="195"/>
      <c r="ESH20" s="49"/>
      <c r="ESI20" s="49">
        <v>0</v>
      </c>
      <c r="ESJ20" s="49"/>
      <c r="ESK20" s="49"/>
      <c r="ESL20" s="49"/>
      <c r="ESM20" s="64">
        <f t="shared" si="1084"/>
        <v>0</v>
      </c>
      <c r="ESN20" s="211">
        <f t="shared" si="1085"/>
        <v>0</v>
      </c>
      <c r="ESO20" s="458"/>
      <c r="ESP20" s="83"/>
      <c r="ESQ20" s="83">
        <v>0</v>
      </c>
      <c r="ESR20" s="83"/>
      <c r="ESS20" s="83"/>
      <c r="EST20" s="83">
        <v>0</v>
      </c>
      <c r="ESU20" s="64">
        <f t="shared" si="1086"/>
        <v>0</v>
      </c>
      <c r="ESV20" s="211">
        <f t="shared" si="1087"/>
        <v>0</v>
      </c>
      <c r="ESW20" s="195"/>
      <c r="ESX20" s="49"/>
      <c r="ESY20" s="49">
        <v>114</v>
      </c>
      <c r="ESZ20" s="49"/>
      <c r="ETA20" s="49">
        <v>0</v>
      </c>
      <c r="ETB20" s="49">
        <v>0</v>
      </c>
      <c r="ETC20" s="808">
        <f t="shared" si="1088"/>
        <v>114</v>
      </c>
      <c r="ETD20" s="211">
        <f t="shared" si="1089"/>
        <v>19</v>
      </c>
      <c r="ETE20" s="195">
        <v>223</v>
      </c>
      <c r="ETF20" s="49">
        <v>0</v>
      </c>
      <c r="ETG20" s="49"/>
      <c r="ETH20" s="49"/>
      <c r="ETI20" s="49"/>
      <c r="ETJ20" s="49">
        <v>0</v>
      </c>
      <c r="ETK20" s="808">
        <f t="shared" si="1090"/>
        <v>223</v>
      </c>
      <c r="ETL20" s="211">
        <f t="shared" si="1091"/>
        <v>37.166666666666664</v>
      </c>
      <c r="ETM20" s="814"/>
      <c r="ETN20" s="815">
        <v>0</v>
      </c>
      <c r="ETO20" s="815">
        <v>201</v>
      </c>
      <c r="ETP20" s="815">
        <v>0</v>
      </c>
      <c r="ETQ20" s="815">
        <v>0</v>
      </c>
      <c r="ETR20" s="815"/>
      <c r="ETS20" s="808">
        <f t="shared" si="1092"/>
        <v>201</v>
      </c>
      <c r="ETT20" s="211">
        <f t="shared" si="1093"/>
        <v>33.5</v>
      </c>
      <c r="ETU20" s="458">
        <v>0</v>
      </c>
      <c r="ETV20" s="83"/>
      <c r="ETW20" s="83"/>
      <c r="ETX20" s="83"/>
      <c r="ETY20" s="83">
        <v>0</v>
      </c>
      <c r="ETZ20" s="83">
        <v>0</v>
      </c>
      <c r="EUA20" s="808">
        <f t="shared" si="1094"/>
        <v>0</v>
      </c>
      <c r="EUB20" s="211">
        <f t="shared" si="1095"/>
        <v>0</v>
      </c>
      <c r="EUC20" s="458">
        <v>0</v>
      </c>
      <c r="EUD20" s="83"/>
      <c r="EUE20" s="83"/>
      <c r="EUF20" s="83"/>
      <c r="EUG20" s="83"/>
      <c r="EUH20" s="83">
        <v>100</v>
      </c>
      <c r="EUI20" s="808">
        <f t="shared" si="1096"/>
        <v>100</v>
      </c>
      <c r="EUJ20" s="211">
        <f t="shared" si="1097"/>
        <v>16.666666666666668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0</v>
      </c>
      <c r="EUQ20" s="808">
        <f t="shared" si="1098"/>
        <v>0</v>
      </c>
      <c r="EUR20" s="211">
        <f t="shared" si="1099"/>
        <v>0</v>
      </c>
      <c r="EUS20" s="195">
        <v>0</v>
      </c>
      <c r="EUT20" s="49">
        <v>0</v>
      </c>
      <c r="EUU20" s="49">
        <v>0</v>
      </c>
      <c r="EUV20" s="49">
        <v>0</v>
      </c>
      <c r="EUW20" s="49"/>
      <c r="EUX20" s="49"/>
      <c r="EUY20" s="808">
        <f t="shared" si="1100"/>
        <v>0</v>
      </c>
      <c r="EUZ20" s="211">
        <f t="shared" si="1101"/>
        <v>0</v>
      </c>
      <c r="EVA20" s="195">
        <v>160</v>
      </c>
      <c r="EVB20" s="49"/>
      <c r="EVC20" s="49"/>
      <c r="EVD20" s="49"/>
      <c r="EVE20" s="49"/>
      <c r="EVF20" s="49"/>
      <c r="EVG20" s="808">
        <f t="shared" si="1102"/>
        <v>160</v>
      </c>
      <c r="EVH20" s="211">
        <f t="shared" si="1103"/>
        <v>26.666666666666668</v>
      </c>
      <c r="EVI20" s="195">
        <v>120</v>
      </c>
      <c r="EVJ20" s="49">
        <v>0</v>
      </c>
      <c r="EVK20" s="49">
        <v>0</v>
      </c>
      <c r="EVL20" s="49"/>
      <c r="EVM20" s="49"/>
      <c r="EVN20" s="49"/>
      <c r="EVO20" s="808">
        <f t="shared" si="1104"/>
        <v>120</v>
      </c>
      <c r="EVP20" s="211">
        <f t="shared" si="1105"/>
        <v>20</v>
      </c>
      <c r="EVQ20" s="195"/>
      <c r="EVR20" s="49">
        <v>0</v>
      </c>
      <c r="EVS20" s="49"/>
      <c r="EVT20" s="49"/>
      <c r="EVU20" s="49">
        <v>0</v>
      </c>
      <c r="EVV20" s="49">
        <v>0</v>
      </c>
      <c r="EVW20" s="808">
        <f t="shared" si="1106"/>
        <v>0</v>
      </c>
      <c r="EVX20" s="211">
        <f t="shared" si="1107"/>
        <v>0</v>
      </c>
      <c r="EVY20" s="195">
        <v>0</v>
      </c>
      <c r="EVZ20" s="49">
        <v>320</v>
      </c>
      <c r="EWA20" s="49"/>
      <c r="EWB20" s="49">
        <v>0</v>
      </c>
      <c r="EWC20" s="49"/>
      <c r="EWD20" s="49"/>
      <c r="EWE20" s="808">
        <f t="shared" si="1108"/>
        <v>320</v>
      </c>
      <c r="EWF20" s="211">
        <f t="shared" si="1109"/>
        <v>53.333333333333336</v>
      </c>
      <c r="EWG20" s="195"/>
      <c r="EWH20" s="49">
        <v>0</v>
      </c>
      <c r="EWI20" s="49"/>
      <c r="EWJ20" s="49"/>
      <c r="EWK20" s="49">
        <v>0</v>
      </c>
      <c r="EWL20" s="49"/>
      <c r="EWM20" s="808">
        <f t="shared" si="1110"/>
        <v>0</v>
      </c>
      <c r="EWN20" s="211">
        <f t="shared" si="175"/>
        <v>0</v>
      </c>
      <c r="EWO20" s="195"/>
      <c r="EWP20" s="49"/>
      <c r="EWQ20" s="49">
        <v>240</v>
      </c>
      <c r="EWR20" s="49">
        <v>0</v>
      </c>
      <c r="EWS20" s="49"/>
      <c r="EWT20" s="49">
        <v>0</v>
      </c>
      <c r="EWU20" s="808">
        <f t="shared" si="1111"/>
        <v>240</v>
      </c>
      <c r="EWV20" s="211">
        <f t="shared" si="1112"/>
        <v>40</v>
      </c>
      <c r="EWW20" s="195"/>
      <c r="EWX20" s="49"/>
      <c r="EWY20" s="49">
        <v>0</v>
      </c>
      <c r="EWZ20" s="49">
        <v>0</v>
      </c>
      <c r="EXA20" s="49">
        <v>0</v>
      </c>
      <c r="EXB20" s="49"/>
      <c r="EXC20" s="808">
        <f t="shared" si="1113"/>
        <v>0</v>
      </c>
      <c r="EXD20" s="211">
        <f t="shared" si="1114"/>
        <v>0</v>
      </c>
      <c r="EXE20" s="195"/>
      <c r="EXF20" s="49">
        <v>232</v>
      </c>
      <c r="EXG20" s="49"/>
      <c r="EXH20" s="49">
        <v>0</v>
      </c>
      <c r="EXI20" s="49">
        <v>0</v>
      </c>
      <c r="EXJ20" s="49">
        <v>0</v>
      </c>
      <c r="EXK20" s="808">
        <f t="shared" si="1115"/>
        <v>232</v>
      </c>
      <c r="EXL20" s="211">
        <f t="shared" si="1116"/>
        <v>38.666666666666664</v>
      </c>
      <c r="EXM20" s="458">
        <v>0</v>
      </c>
      <c r="EXN20" s="83"/>
      <c r="EXO20" s="83"/>
      <c r="EXP20" s="83"/>
      <c r="EXQ20" s="83"/>
      <c r="EXR20" s="83">
        <v>0</v>
      </c>
      <c r="EXS20" s="808">
        <f t="shared" si="1117"/>
        <v>0</v>
      </c>
      <c r="EXT20" s="211">
        <f t="shared" si="1118"/>
        <v>0</v>
      </c>
      <c r="EXU20" s="195"/>
      <c r="EXV20" s="49">
        <v>100</v>
      </c>
      <c r="EXW20" s="49"/>
      <c r="EXX20" s="49">
        <v>0</v>
      </c>
      <c r="EXY20" s="49"/>
      <c r="EXZ20" s="49">
        <v>0</v>
      </c>
      <c r="EYA20" s="808">
        <f t="shared" si="1119"/>
        <v>100</v>
      </c>
      <c r="EYB20" s="211">
        <f t="shared" si="1120"/>
        <v>16.666666666666668</v>
      </c>
      <c r="EYC20" s="195"/>
      <c r="EYD20" s="49"/>
      <c r="EYE20" s="49">
        <v>0</v>
      </c>
      <c r="EYF20" s="49"/>
      <c r="EYG20" s="49">
        <v>0</v>
      </c>
      <c r="EYH20" s="49">
        <v>0</v>
      </c>
      <c r="EYI20" s="808">
        <f t="shared" si="1121"/>
        <v>0</v>
      </c>
      <c r="EYJ20" s="211">
        <f t="shared" si="1122"/>
        <v>0</v>
      </c>
      <c r="EYK20" s="195">
        <v>285</v>
      </c>
      <c r="EYL20" s="49"/>
      <c r="EYM20" s="49">
        <v>0</v>
      </c>
      <c r="EYN20" s="49"/>
      <c r="EYO20" s="49"/>
      <c r="EYP20" s="49"/>
      <c r="EYQ20" s="808">
        <f t="shared" si="1123"/>
        <v>285</v>
      </c>
      <c r="EYR20" s="211">
        <f t="shared" si="1124"/>
        <v>47.5</v>
      </c>
      <c r="EYS20" s="195">
        <v>0</v>
      </c>
      <c r="EYT20" s="49">
        <v>0</v>
      </c>
      <c r="EYU20" s="49"/>
      <c r="EYV20" s="49"/>
      <c r="EYW20" s="49"/>
      <c r="EYX20" s="49"/>
      <c r="EYY20" s="872">
        <f t="shared" si="1125"/>
        <v>0</v>
      </c>
      <c r="EYZ20" s="873">
        <f t="shared" si="1126"/>
        <v>0</v>
      </c>
      <c r="EZA20" s="195"/>
      <c r="EZB20" s="49">
        <v>110</v>
      </c>
      <c r="EZC20" s="49">
        <v>0</v>
      </c>
      <c r="EZD20" s="49">
        <v>0</v>
      </c>
      <c r="EZE20" s="49"/>
      <c r="EZF20" s="49">
        <v>0</v>
      </c>
      <c r="EZG20" s="872">
        <f t="shared" si="1127"/>
        <v>110</v>
      </c>
      <c r="EZH20" s="873">
        <f t="shared" si="1128"/>
        <v>18.333333333333332</v>
      </c>
      <c r="EZI20" s="195"/>
      <c r="EZJ20" s="49"/>
      <c r="EZK20" s="49"/>
      <c r="EZL20" s="49"/>
      <c r="EZM20" s="49"/>
      <c r="EZN20" s="49"/>
      <c r="EZO20" s="872">
        <f t="shared" si="1129"/>
        <v>0</v>
      </c>
      <c r="EZP20" s="873">
        <f t="shared" si="1130"/>
        <v>0</v>
      </c>
    </row>
    <row r="21" spans="1:4072" s="8" customFormat="1" ht="15" customHeight="1" thickBot="1" x14ac:dyDescent="0.25">
      <c r="A21" s="301">
        <v>15</v>
      </c>
      <c r="B21" s="21" t="s">
        <v>134</v>
      </c>
      <c r="C21" s="275" t="s">
        <v>295</v>
      </c>
      <c r="D21" s="21">
        <v>25</v>
      </c>
      <c r="E21" s="24"/>
      <c r="F21" s="24">
        <v>1140</v>
      </c>
      <c r="G21" s="24"/>
      <c r="H21" s="24"/>
      <c r="I21" s="24"/>
      <c r="J21" s="360">
        <f>SUMIF(SUMPK!$B:$B,$B:$B,SUMPK!$O:$O)</f>
        <v>0</v>
      </c>
      <c r="K21" s="15">
        <f t="shared" si="1204"/>
        <v>0</v>
      </c>
      <c r="L21" s="24">
        <f t="shared" si="187"/>
        <v>1140</v>
      </c>
      <c r="M21" s="24">
        <f t="shared" si="188"/>
        <v>1140</v>
      </c>
      <c r="N21" s="15">
        <v>0</v>
      </c>
      <c r="O21" s="276">
        <f t="shared" si="1206"/>
        <v>0</v>
      </c>
      <c r="P21" s="712">
        <v>0</v>
      </c>
      <c r="Q21" s="276">
        <f t="shared" si="190"/>
        <v>0</v>
      </c>
      <c r="R21" s="277">
        <f t="shared" si="191"/>
        <v>12.307692307692308</v>
      </c>
      <c r="S21" s="222">
        <v>320</v>
      </c>
      <c r="T21" s="276">
        <f t="shared" ref="T21" si="1209">IF(R21=0,0,M21/R21)</f>
        <v>92.625</v>
      </c>
      <c r="U21" s="303"/>
      <c r="V21" s="302">
        <f t="shared" ref="V21" si="1210">IF(R21=0,0,(M21+U21)/R21)</f>
        <v>92.625</v>
      </c>
      <c r="W21" s="304">
        <f t="shared" ref="W21" si="1211">F21/(E21+F21)</f>
        <v>1</v>
      </c>
      <c r="X21" s="305"/>
      <c r="Y21" s="280"/>
      <c r="Z21" s="280"/>
      <c r="AA21" s="280"/>
      <c r="AB21" s="280"/>
      <c r="AC21" s="662">
        <v>18</v>
      </c>
      <c r="AD21" s="651">
        <v>206</v>
      </c>
      <c r="AE21" s="51"/>
      <c r="AF21" s="51"/>
      <c r="AG21" s="51"/>
      <c r="AH21" s="51">
        <v>200</v>
      </c>
      <c r="AI21" s="51"/>
      <c r="AJ21" s="52">
        <f t="shared" si="1137"/>
        <v>406</v>
      </c>
      <c r="AK21" s="53">
        <f t="shared" si="1138"/>
        <v>67.666666666666671</v>
      </c>
      <c r="AL21" s="50"/>
      <c r="AM21" s="51"/>
      <c r="AN21" s="51"/>
      <c r="AO21" s="51">
        <v>200</v>
      </c>
      <c r="AP21" s="51"/>
      <c r="AQ21" s="51"/>
      <c r="AR21" s="52">
        <f t="shared" si="1139"/>
        <v>200</v>
      </c>
      <c r="AS21" s="53">
        <f t="shared" si="1140"/>
        <v>33.333333333333336</v>
      </c>
      <c r="AT21" s="50"/>
      <c r="AU21" s="51"/>
      <c r="AV21" s="51"/>
      <c r="AW21" s="51"/>
      <c r="AX21" s="51"/>
      <c r="AY21" s="51"/>
      <c r="AZ21" s="52">
        <f t="shared" si="1141"/>
        <v>0</v>
      </c>
      <c r="BA21" s="53">
        <f t="shared" si="1142"/>
        <v>0</v>
      </c>
      <c r="BB21" s="50"/>
      <c r="BC21" s="51">
        <v>296</v>
      </c>
      <c r="BD21" s="51"/>
      <c r="BE21" s="51"/>
      <c r="BF21" s="51"/>
      <c r="BG21" s="51"/>
      <c r="BH21" s="52">
        <f t="shared" si="1143"/>
        <v>296</v>
      </c>
      <c r="BI21" s="53">
        <f t="shared" si="1144"/>
        <v>49.333333333333336</v>
      </c>
      <c r="BJ21" s="50"/>
      <c r="BK21" s="51">
        <v>200</v>
      </c>
      <c r="BL21" s="51"/>
      <c r="BM21" s="51"/>
      <c r="BN21" s="51"/>
      <c r="BO21" s="51">
        <v>200</v>
      </c>
      <c r="BP21" s="52">
        <f t="shared" si="1145"/>
        <v>400</v>
      </c>
      <c r="BQ21" s="53">
        <f t="shared" si="1146"/>
        <v>66.666666666666671</v>
      </c>
      <c r="BR21" s="50"/>
      <c r="BS21" s="51"/>
      <c r="BT21" s="51"/>
      <c r="BU21" s="51"/>
      <c r="BV21" s="51"/>
      <c r="BW21" s="51"/>
      <c r="BX21" s="52">
        <f t="shared" si="1147"/>
        <v>0</v>
      </c>
      <c r="BY21" s="53">
        <f t="shared" si="3"/>
        <v>0</v>
      </c>
      <c r="BZ21" s="50"/>
      <c r="CA21" s="51"/>
      <c r="CB21" s="51"/>
      <c r="CC21" s="51"/>
      <c r="CD21" s="51"/>
      <c r="CE21" s="51">
        <v>201</v>
      </c>
      <c r="CF21" s="52">
        <f t="shared" si="1148"/>
        <v>201</v>
      </c>
      <c r="CG21" s="53">
        <f t="shared" si="1149"/>
        <v>33.5</v>
      </c>
      <c r="CH21" s="50"/>
      <c r="CI21" s="51"/>
      <c r="CJ21" s="51"/>
      <c r="CK21" s="51"/>
      <c r="CL21" s="51"/>
      <c r="CM21" s="51"/>
      <c r="CN21" s="52">
        <f t="shared" si="1150"/>
        <v>0</v>
      </c>
      <c r="CO21" s="53">
        <f t="shared" si="1151"/>
        <v>0</v>
      </c>
      <c r="CP21" s="50"/>
      <c r="CQ21" s="51"/>
      <c r="CR21" s="51"/>
      <c r="CS21" s="51"/>
      <c r="CT21" s="51"/>
      <c r="CU21" s="51"/>
      <c r="CV21" s="52">
        <f t="shared" si="1152"/>
        <v>0</v>
      </c>
      <c r="CW21" s="53">
        <f t="shared" si="1153"/>
        <v>0</v>
      </c>
      <c r="CX21" s="50"/>
      <c r="CY21" s="51"/>
      <c r="CZ21" s="51"/>
      <c r="DA21" s="51">
        <v>199</v>
      </c>
      <c r="DB21" s="51"/>
      <c r="DC21" s="51"/>
      <c r="DD21" s="52">
        <f t="shared" si="1154"/>
        <v>199</v>
      </c>
      <c r="DE21" s="53">
        <f t="shared" si="1155"/>
        <v>33.166666666666664</v>
      </c>
      <c r="DF21" s="50"/>
      <c r="DG21" s="51"/>
      <c r="DH21" s="51"/>
      <c r="DI21" s="51"/>
      <c r="DJ21" s="51">
        <v>200</v>
      </c>
      <c r="DK21" s="51">
        <v>100</v>
      </c>
      <c r="DL21" s="52">
        <f t="shared" si="1156"/>
        <v>300</v>
      </c>
      <c r="DM21" s="53">
        <f t="shared" si="1157"/>
        <v>50</v>
      </c>
      <c r="DN21" s="50"/>
      <c r="DO21" s="51"/>
      <c r="DP21" s="51"/>
      <c r="DQ21" s="51"/>
      <c r="DR21" s="51"/>
      <c r="DS21" s="51"/>
      <c r="DT21" s="52">
        <f t="shared" si="1158"/>
        <v>0</v>
      </c>
      <c r="DU21" s="53">
        <f t="shared" si="1159"/>
        <v>0</v>
      </c>
      <c r="DV21" s="50"/>
      <c r="DW21" s="51"/>
      <c r="DX21" s="51"/>
      <c r="DY21" s="51">
        <v>399</v>
      </c>
      <c r="DZ21" s="51"/>
      <c r="EA21" s="51"/>
      <c r="EB21" s="52">
        <f t="shared" si="1160"/>
        <v>399</v>
      </c>
      <c r="EC21" s="53">
        <f t="shared" si="1161"/>
        <v>66.5</v>
      </c>
      <c r="ED21" s="50"/>
      <c r="EE21" s="51"/>
      <c r="EF21" s="51"/>
      <c r="EG21" s="51"/>
      <c r="EH21" s="51"/>
      <c r="EI21" s="51">
        <v>177</v>
      </c>
      <c r="EJ21" s="52">
        <f t="shared" si="1162"/>
        <v>177</v>
      </c>
      <c r="EK21" s="53">
        <f t="shared" si="1163"/>
        <v>29.5</v>
      </c>
      <c r="EL21" s="50"/>
      <c r="EM21" s="51"/>
      <c r="EN21" s="51"/>
      <c r="EO21" s="51"/>
      <c r="EP21" s="51"/>
      <c r="EQ21" s="51"/>
      <c r="ER21" s="52">
        <f t="shared" si="1164"/>
        <v>0</v>
      </c>
      <c r="ES21" s="53">
        <f t="shared" si="1165"/>
        <v>0</v>
      </c>
      <c r="ET21" s="50">
        <v>200</v>
      </c>
      <c r="EU21" s="51"/>
      <c r="EV21" s="51"/>
      <c r="EW21" s="51"/>
      <c r="EX21" s="51"/>
      <c r="EY21" s="51">
        <v>201</v>
      </c>
      <c r="EZ21" s="52">
        <f t="shared" si="1166"/>
        <v>401</v>
      </c>
      <c r="FA21" s="53">
        <f t="shared" si="1167"/>
        <v>66.833333333333329</v>
      </c>
      <c r="FB21" s="50"/>
      <c r="FC21" s="51"/>
      <c r="FD21" s="51"/>
      <c r="FE21" s="51"/>
      <c r="FF21" s="51"/>
      <c r="FG21" s="51">
        <v>200</v>
      </c>
      <c r="FH21" s="52">
        <f t="shared" si="1168"/>
        <v>200</v>
      </c>
      <c r="FI21" s="53">
        <f t="shared" si="1169"/>
        <v>33.333333333333336</v>
      </c>
      <c r="FJ21" s="50"/>
      <c r="FK21" s="51"/>
      <c r="FL21" s="51"/>
      <c r="FM21" s="51"/>
      <c r="FN21" s="51">
        <v>100</v>
      </c>
      <c r="FO21" s="51"/>
      <c r="FP21" s="52">
        <f t="shared" si="1170"/>
        <v>100</v>
      </c>
      <c r="FQ21" s="53">
        <f t="shared" si="1171"/>
        <v>16.666666666666668</v>
      </c>
      <c r="FR21" s="50"/>
      <c r="FS21" s="51"/>
      <c r="FT21" s="51"/>
      <c r="FU21" s="51">
        <v>202</v>
      </c>
      <c r="FV21" s="51"/>
      <c r="FW21" s="51"/>
      <c r="FX21" s="52">
        <f t="shared" si="1172"/>
        <v>202</v>
      </c>
      <c r="FY21" s="53">
        <f t="shared" si="1173"/>
        <v>33.666666666666664</v>
      </c>
      <c r="FZ21" s="50"/>
      <c r="GA21" s="51"/>
      <c r="GB21" s="51"/>
      <c r="GC21" s="51"/>
      <c r="GD21" s="51"/>
      <c r="GE21" s="51"/>
      <c r="GF21" s="52">
        <f t="shared" si="1174"/>
        <v>0</v>
      </c>
      <c r="GG21" s="53">
        <f t="shared" si="1175"/>
        <v>0</v>
      </c>
      <c r="GH21" s="50"/>
      <c r="GI21" s="51"/>
      <c r="GJ21" s="51"/>
      <c r="GK21" s="51"/>
      <c r="GL21" s="51">
        <v>193</v>
      </c>
      <c r="GM21" s="51"/>
      <c r="GN21" s="52">
        <f t="shared" si="1176"/>
        <v>193</v>
      </c>
      <c r="GO21" s="53">
        <f t="shared" si="1177"/>
        <v>32.166666666666664</v>
      </c>
      <c r="GP21" s="50"/>
      <c r="GQ21" s="51"/>
      <c r="GR21" s="51"/>
      <c r="GS21" s="51">
        <v>201</v>
      </c>
      <c r="GT21" s="51"/>
      <c r="GU21" s="51"/>
      <c r="GV21" s="52">
        <f t="shared" si="1178"/>
        <v>201</v>
      </c>
      <c r="GW21" s="53">
        <f t="shared" si="1179"/>
        <v>33.5</v>
      </c>
      <c r="GX21" s="50"/>
      <c r="GY21" s="51"/>
      <c r="GZ21" s="51"/>
      <c r="HA21" s="51">
        <v>204</v>
      </c>
      <c r="HB21" s="51"/>
      <c r="HC21" s="51"/>
      <c r="HD21" s="52">
        <f t="shared" si="1180"/>
        <v>204</v>
      </c>
      <c r="HE21" s="53">
        <f t="shared" si="1181"/>
        <v>34</v>
      </c>
      <c r="HF21" s="50"/>
      <c r="HG21" s="51"/>
      <c r="HH21" s="51"/>
      <c r="HI21" s="51"/>
      <c r="HJ21" s="51"/>
      <c r="HK21" s="51"/>
      <c r="HL21" s="52">
        <f t="shared" si="1182"/>
        <v>0</v>
      </c>
      <c r="HM21" s="53">
        <f t="shared" si="1183"/>
        <v>0</v>
      </c>
      <c r="HN21" s="84"/>
      <c r="HO21" s="85"/>
      <c r="HP21" s="85"/>
      <c r="HQ21" s="85"/>
      <c r="HR21" s="85"/>
      <c r="HS21" s="85"/>
      <c r="HT21" s="52">
        <f t="shared" si="1184"/>
        <v>0</v>
      </c>
      <c r="HU21" s="53">
        <f t="shared" si="1185"/>
        <v>0</v>
      </c>
      <c r="HV21" s="50"/>
      <c r="HW21" s="51"/>
      <c r="HX21" s="51"/>
      <c r="HY21" s="51"/>
      <c r="HZ21" s="51"/>
      <c r="IA21" s="51"/>
      <c r="IB21" s="52">
        <f t="shared" si="1186"/>
        <v>0</v>
      </c>
      <c r="IC21" s="53">
        <f t="shared" si="1187"/>
        <v>0</v>
      </c>
      <c r="ID21" s="50"/>
      <c r="IE21" s="51">
        <v>201</v>
      </c>
      <c r="IF21" s="51"/>
      <c r="IG21" s="51"/>
      <c r="IH21" s="51"/>
      <c r="II21" s="51"/>
      <c r="IJ21" s="52">
        <f t="shared" si="1188"/>
        <v>201</v>
      </c>
      <c r="IK21" s="53">
        <f t="shared" si="1189"/>
        <v>33.5</v>
      </c>
      <c r="IL21" s="50">
        <v>200</v>
      </c>
      <c r="IM21" s="51"/>
      <c r="IN21" s="51"/>
      <c r="IO21" s="51"/>
      <c r="IP21" s="51"/>
      <c r="IQ21" s="51"/>
      <c r="IR21" s="69">
        <f t="shared" si="1190"/>
        <v>200</v>
      </c>
      <c r="IS21" s="70">
        <f t="shared" si="1191"/>
        <v>33.333333333333336</v>
      </c>
      <c r="IT21" s="50"/>
      <c r="IU21" s="51"/>
      <c r="IV21" s="51"/>
      <c r="IW21" s="51"/>
      <c r="IX21" s="51"/>
      <c r="IY21" s="51"/>
      <c r="IZ21" s="69">
        <f t="shared" si="1192"/>
        <v>0</v>
      </c>
      <c r="JA21" s="70">
        <f t="shared" si="1193"/>
        <v>0</v>
      </c>
      <c r="JB21" s="50"/>
      <c r="JC21" s="51"/>
      <c r="JD21" s="51"/>
      <c r="JE21" s="51"/>
      <c r="JF21" s="51"/>
      <c r="JG21" s="51"/>
      <c r="JH21" s="69">
        <f t="shared" si="1194"/>
        <v>0</v>
      </c>
      <c r="JI21" s="70">
        <f t="shared" si="1195"/>
        <v>0</v>
      </c>
      <c r="JJ21" s="50">
        <v>1783</v>
      </c>
      <c r="JK21" s="51"/>
      <c r="JL21" s="51"/>
      <c r="JM21" s="51"/>
      <c r="JN21" s="51"/>
      <c r="JO21" s="51"/>
      <c r="JP21" s="52">
        <f t="shared" si="1196"/>
        <v>1783</v>
      </c>
      <c r="JQ21" s="53">
        <f t="shared" si="1197"/>
        <v>297.16666666666669</v>
      </c>
      <c r="JR21" s="50">
        <v>1544</v>
      </c>
      <c r="JS21" s="51"/>
      <c r="JT21" s="51"/>
      <c r="JU21" s="51"/>
      <c r="JV21" s="51"/>
      <c r="JW21" s="51"/>
      <c r="JX21" s="52">
        <f t="shared" si="1198"/>
        <v>1544</v>
      </c>
      <c r="JY21" s="53">
        <f t="shared" si="1199"/>
        <v>257.33333333333331</v>
      </c>
      <c r="JZ21" s="50"/>
      <c r="KA21" s="51"/>
      <c r="KB21" s="51"/>
      <c r="KC21" s="51"/>
      <c r="KD21" s="51"/>
      <c r="KE21" s="51"/>
      <c r="KF21" s="42">
        <f t="shared" si="194"/>
        <v>0</v>
      </c>
      <c r="KG21" s="43">
        <f t="shared" si="195"/>
        <v>0</v>
      </c>
      <c r="KH21" s="50"/>
      <c r="KI21" s="51">
        <v>968</v>
      </c>
      <c r="KJ21" s="51"/>
      <c r="KK21" s="51"/>
      <c r="KL21" s="51"/>
      <c r="KM21" s="51"/>
      <c r="KN21" s="69">
        <f t="shared" si="196"/>
        <v>968</v>
      </c>
      <c r="KO21" s="70">
        <f t="shared" si="197"/>
        <v>161.33333333333334</v>
      </c>
      <c r="KP21" s="50"/>
      <c r="KQ21" s="51"/>
      <c r="KR21" s="51"/>
      <c r="KS21" s="51"/>
      <c r="KT21" s="51"/>
      <c r="KU21" s="51"/>
      <c r="KV21" s="69">
        <f t="shared" si="198"/>
        <v>0</v>
      </c>
      <c r="KW21" s="70">
        <f t="shared" si="199"/>
        <v>0</v>
      </c>
      <c r="KX21" s="50"/>
      <c r="KY21" s="51"/>
      <c r="KZ21" s="51"/>
      <c r="LA21" s="51"/>
      <c r="LB21" s="51"/>
      <c r="LC21" s="51"/>
      <c r="LD21" s="69">
        <f t="shared" si="200"/>
        <v>0</v>
      </c>
      <c r="LE21" s="70">
        <f t="shared" si="201"/>
        <v>0</v>
      </c>
      <c r="LF21" s="50"/>
      <c r="LG21" s="51"/>
      <c r="LH21" s="51"/>
      <c r="LI21" s="51"/>
      <c r="LJ21" s="51"/>
      <c r="LK21" s="51">
        <v>959</v>
      </c>
      <c r="LL21" s="69">
        <f t="shared" si="202"/>
        <v>959</v>
      </c>
      <c r="LM21" s="70">
        <f t="shared" si="203"/>
        <v>159.83333333333334</v>
      </c>
      <c r="LN21" s="50"/>
      <c r="LO21" s="51"/>
      <c r="LP21" s="51"/>
      <c r="LQ21" s="51"/>
      <c r="LR21" s="51"/>
      <c r="LS21" s="51"/>
      <c r="LT21" s="69">
        <f t="shared" si="204"/>
        <v>0</v>
      </c>
      <c r="LU21" s="70">
        <f t="shared" si="205"/>
        <v>0</v>
      </c>
      <c r="LV21" s="50"/>
      <c r="LW21" s="51"/>
      <c r="LX21" s="51"/>
      <c r="LY21" s="51"/>
      <c r="LZ21" s="51"/>
      <c r="MA21" s="51"/>
      <c r="MB21" s="69">
        <f t="shared" si="206"/>
        <v>0</v>
      </c>
      <c r="MC21" s="70">
        <f t="shared" si="207"/>
        <v>0</v>
      </c>
      <c r="MD21" s="50">
        <v>979</v>
      </c>
      <c r="ME21" s="51"/>
      <c r="MF21" s="51"/>
      <c r="MG21" s="51"/>
      <c r="MH21" s="51"/>
      <c r="MI21" s="51"/>
      <c r="MJ21" s="69">
        <f t="shared" si="208"/>
        <v>979</v>
      </c>
      <c r="MK21" s="70">
        <f t="shared" si="209"/>
        <v>163.16666666666666</v>
      </c>
      <c r="ML21" s="50"/>
      <c r="MM21" s="51"/>
      <c r="MN21" s="51"/>
      <c r="MO21" s="51">
        <v>1607</v>
      </c>
      <c r="MP21" s="51"/>
      <c r="MQ21" s="51"/>
      <c r="MR21" s="69">
        <f t="shared" si="210"/>
        <v>1607</v>
      </c>
      <c r="MS21" s="70">
        <f t="shared" si="211"/>
        <v>267.83333333333331</v>
      </c>
      <c r="MT21" s="50"/>
      <c r="MU21" s="51"/>
      <c r="MV21" s="51"/>
      <c r="MW21" s="51"/>
      <c r="MX21" s="51"/>
      <c r="MY21" s="51"/>
      <c r="MZ21" s="69">
        <f t="shared" si="212"/>
        <v>0</v>
      </c>
      <c r="NA21" s="70">
        <f t="shared" si="213"/>
        <v>0</v>
      </c>
      <c r="NB21" s="50"/>
      <c r="NC21" s="51"/>
      <c r="ND21" s="51"/>
      <c r="NE21" s="51"/>
      <c r="NF21" s="51"/>
      <c r="NG21" s="51">
        <v>2526</v>
      </c>
      <c r="NH21" s="69">
        <f t="shared" si="214"/>
        <v>2526</v>
      </c>
      <c r="NI21" s="70">
        <f t="shared" si="215"/>
        <v>421</v>
      </c>
      <c r="NJ21" s="50"/>
      <c r="NK21" s="51"/>
      <c r="NL21" s="51"/>
      <c r="NM21" s="51"/>
      <c r="NN21" s="51"/>
      <c r="NO21" s="51"/>
      <c r="NP21" s="69">
        <f t="shared" si="216"/>
        <v>0</v>
      </c>
      <c r="NQ21" s="70">
        <f t="shared" si="217"/>
        <v>0</v>
      </c>
      <c r="NR21" s="50"/>
      <c r="NS21" s="51"/>
      <c r="NT21" s="51"/>
      <c r="NU21" s="51"/>
      <c r="NV21" s="51"/>
      <c r="NW21" s="51"/>
      <c r="NX21" s="69">
        <f t="shared" si="218"/>
        <v>0</v>
      </c>
      <c r="NY21" s="70">
        <f t="shared" si="219"/>
        <v>0</v>
      </c>
      <c r="NZ21" s="50"/>
      <c r="OA21" s="51"/>
      <c r="OB21" s="51"/>
      <c r="OC21" s="51"/>
      <c r="OD21" s="51"/>
      <c r="OE21" s="51"/>
      <c r="OF21" s="69">
        <f t="shared" si="220"/>
        <v>0</v>
      </c>
      <c r="OG21" s="70">
        <f t="shared" si="221"/>
        <v>0</v>
      </c>
      <c r="OH21" s="50">
        <v>1670</v>
      </c>
      <c r="OI21" s="51"/>
      <c r="OJ21" s="51"/>
      <c r="OK21" s="51"/>
      <c r="OL21" s="51"/>
      <c r="OM21" s="51"/>
      <c r="ON21" s="69">
        <f t="shared" si="222"/>
        <v>1670</v>
      </c>
      <c r="OO21" s="70">
        <f t="shared" si="223"/>
        <v>278.33333333333331</v>
      </c>
      <c r="OP21" s="50"/>
      <c r="OQ21" s="51"/>
      <c r="OR21" s="51"/>
      <c r="OS21" s="51"/>
      <c r="OT21" s="51"/>
      <c r="OU21" s="51"/>
      <c r="OV21" s="69">
        <f t="shared" si="224"/>
        <v>0</v>
      </c>
      <c r="OW21" s="70">
        <f t="shared" si="225"/>
        <v>0</v>
      </c>
      <c r="OX21" s="50"/>
      <c r="OY21" s="51"/>
      <c r="OZ21" s="51"/>
      <c r="PA21" s="51"/>
      <c r="PB21" s="51"/>
      <c r="PC21" s="51"/>
      <c r="PD21" s="69">
        <f t="shared" si="226"/>
        <v>0</v>
      </c>
      <c r="PE21" s="70">
        <f t="shared" si="227"/>
        <v>0</v>
      </c>
      <c r="PF21" s="50"/>
      <c r="PG21" s="51"/>
      <c r="PH21" s="51">
        <v>1334</v>
      </c>
      <c r="PI21" s="51"/>
      <c r="PJ21" s="51"/>
      <c r="PK21" s="51"/>
      <c r="PL21" s="69">
        <f t="shared" si="228"/>
        <v>1334</v>
      </c>
      <c r="PM21" s="70">
        <f t="shared" si="229"/>
        <v>222.33333333333334</v>
      </c>
      <c r="PN21" s="50"/>
      <c r="PO21" s="51"/>
      <c r="PP21" s="51"/>
      <c r="PQ21" s="51"/>
      <c r="PR21" s="51"/>
      <c r="PS21" s="51"/>
      <c r="PT21" s="104">
        <f t="shared" si="230"/>
        <v>0</v>
      </c>
      <c r="PU21" s="105">
        <f t="shared" si="231"/>
        <v>0</v>
      </c>
      <c r="PV21" s="108"/>
      <c r="PW21" s="109"/>
      <c r="PX21" s="109"/>
      <c r="PY21" s="109"/>
      <c r="PZ21" s="109"/>
      <c r="QA21" s="109"/>
      <c r="QB21" s="110">
        <f t="shared" si="232"/>
        <v>0</v>
      </c>
      <c r="QC21" s="111">
        <f t="shared" si="233"/>
        <v>0</v>
      </c>
      <c r="QD21" s="108"/>
      <c r="QE21" s="109"/>
      <c r="QF21" s="109"/>
      <c r="QG21" s="109"/>
      <c r="QH21" s="109"/>
      <c r="QI21" s="109"/>
      <c r="QJ21" s="110">
        <f t="shared" si="234"/>
        <v>0</v>
      </c>
      <c r="QK21" s="111">
        <f t="shared" si="235"/>
        <v>0</v>
      </c>
      <c r="QL21" s="108"/>
      <c r="QM21" s="109"/>
      <c r="QN21" s="109"/>
      <c r="QO21" s="109"/>
      <c r="QP21" s="109"/>
      <c r="QQ21" s="109"/>
      <c r="QR21" s="110">
        <f t="shared" si="236"/>
        <v>0</v>
      </c>
      <c r="QS21" s="111">
        <f t="shared" si="237"/>
        <v>0</v>
      </c>
      <c r="QT21" s="108"/>
      <c r="QU21" s="109"/>
      <c r="QV21" s="109"/>
      <c r="QW21" s="109"/>
      <c r="QX21" s="109"/>
      <c r="QY21" s="109">
        <v>1298</v>
      </c>
      <c r="QZ21" s="110">
        <f t="shared" si="238"/>
        <v>1298</v>
      </c>
      <c r="RA21" s="111">
        <f t="shared" si="239"/>
        <v>216.33333333333334</v>
      </c>
      <c r="RB21" s="108"/>
      <c r="RC21" s="109"/>
      <c r="RD21" s="109"/>
      <c r="RE21" s="109"/>
      <c r="RF21" s="109"/>
      <c r="RG21" s="109"/>
      <c r="RH21" s="110">
        <f t="shared" si="240"/>
        <v>0</v>
      </c>
      <c r="RI21" s="111">
        <f t="shared" si="241"/>
        <v>0</v>
      </c>
      <c r="RJ21" s="108"/>
      <c r="RK21" s="109"/>
      <c r="RL21" s="109"/>
      <c r="RM21" s="109"/>
      <c r="RN21" s="109"/>
      <c r="RO21" s="109"/>
      <c r="RP21" s="110">
        <f t="shared" si="242"/>
        <v>0</v>
      </c>
      <c r="RQ21" s="111">
        <f t="shared" si="243"/>
        <v>0</v>
      </c>
      <c r="RR21" s="108"/>
      <c r="RS21" s="109"/>
      <c r="RT21" s="109"/>
      <c r="RU21" s="109">
        <v>1306</v>
      </c>
      <c r="RV21" s="109"/>
      <c r="RW21" s="109"/>
      <c r="RX21" s="110">
        <f t="shared" si="244"/>
        <v>1306</v>
      </c>
      <c r="RY21" s="111">
        <f t="shared" si="245"/>
        <v>217.66666666666666</v>
      </c>
      <c r="RZ21" s="108"/>
      <c r="SA21" s="109"/>
      <c r="SB21" s="109"/>
      <c r="SC21" s="109"/>
      <c r="SD21" s="109">
        <v>1319</v>
      </c>
      <c r="SE21" s="109"/>
      <c r="SF21" s="110">
        <f t="shared" si="246"/>
        <v>1319</v>
      </c>
      <c r="SG21" s="111">
        <f t="shared" si="247"/>
        <v>219.83333333333334</v>
      </c>
      <c r="SH21" s="108"/>
      <c r="SI21" s="109"/>
      <c r="SJ21" s="109"/>
      <c r="SK21" s="109"/>
      <c r="SL21" s="109"/>
      <c r="SM21" s="109"/>
      <c r="SN21" s="110">
        <f t="shared" si="248"/>
        <v>0</v>
      </c>
      <c r="SO21" s="111">
        <f t="shared" si="249"/>
        <v>0</v>
      </c>
      <c r="SP21" s="108"/>
      <c r="SQ21" s="109"/>
      <c r="SR21" s="109"/>
      <c r="SS21" s="109">
        <v>4000</v>
      </c>
      <c r="ST21" s="109"/>
      <c r="SU21" s="109"/>
      <c r="SV21" s="110">
        <f t="shared" si="250"/>
        <v>4000</v>
      </c>
      <c r="SW21" s="111">
        <f t="shared" si="251"/>
        <v>666.66666666666663</v>
      </c>
      <c r="SX21" s="108"/>
      <c r="SY21" s="109"/>
      <c r="SZ21" s="109"/>
      <c r="TA21" s="109"/>
      <c r="TB21" s="109"/>
      <c r="TC21" s="109"/>
      <c r="TD21" s="110">
        <f t="shared" si="252"/>
        <v>0</v>
      </c>
      <c r="TE21" s="111">
        <f t="shared" si="253"/>
        <v>0</v>
      </c>
      <c r="TF21" s="108"/>
      <c r="TG21" s="109"/>
      <c r="TH21" s="109"/>
      <c r="TI21" s="109"/>
      <c r="TJ21" s="109"/>
      <c r="TK21" s="109"/>
      <c r="TL21" s="110">
        <f t="shared" si="254"/>
        <v>0</v>
      </c>
      <c r="TM21" s="111">
        <f t="shared" si="255"/>
        <v>0</v>
      </c>
      <c r="TN21" s="108"/>
      <c r="TO21" s="109"/>
      <c r="TP21" s="109"/>
      <c r="TQ21" s="109"/>
      <c r="TR21" s="109"/>
      <c r="TS21" s="109"/>
      <c r="TT21" s="110">
        <f t="shared" si="256"/>
        <v>0</v>
      </c>
      <c r="TU21" s="111">
        <f t="shared" si="257"/>
        <v>0</v>
      </c>
      <c r="TV21" s="108"/>
      <c r="TW21" s="109"/>
      <c r="TX21" s="109"/>
      <c r="TY21" s="109"/>
      <c r="TZ21" s="109"/>
      <c r="UA21" s="109"/>
      <c r="UB21" s="110">
        <f t="shared" si="258"/>
        <v>0</v>
      </c>
      <c r="UC21" s="111">
        <f t="shared" si="259"/>
        <v>0</v>
      </c>
      <c r="UD21" s="108"/>
      <c r="UE21" s="109"/>
      <c r="UF21" s="109"/>
      <c r="UG21" s="109"/>
      <c r="UH21" s="109"/>
      <c r="UI21" s="109">
        <v>1332</v>
      </c>
      <c r="UJ21" s="110">
        <f t="shared" si="260"/>
        <v>1332</v>
      </c>
      <c r="UK21" s="111">
        <f t="shared" si="261"/>
        <v>222</v>
      </c>
      <c r="UL21" s="108"/>
      <c r="UM21" s="109"/>
      <c r="UN21" s="109"/>
      <c r="UO21" s="109"/>
      <c r="UP21" s="109"/>
      <c r="UQ21" s="109"/>
      <c r="UR21" s="109"/>
      <c r="US21" s="104">
        <f t="shared" si="262"/>
        <v>0</v>
      </c>
      <c r="UT21" s="111">
        <f t="shared" si="263"/>
        <v>0</v>
      </c>
      <c r="UU21" s="108">
        <v>1316</v>
      </c>
      <c r="UV21" s="109"/>
      <c r="UW21" s="109"/>
      <c r="UX21" s="109"/>
      <c r="UY21" s="109"/>
      <c r="UZ21" s="109"/>
      <c r="VA21" s="110">
        <f t="shared" si="264"/>
        <v>1316</v>
      </c>
      <c r="VB21" s="111">
        <f t="shared" si="265"/>
        <v>219.33333333333334</v>
      </c>
      <c r="VC21" s="108"/>
      <c r="VD21" s="109"/>
      <c r="VE21" s="109"/>
      <c r="VF21" s="109"/>
      <c r="VG21" s="109"/>
      <c r="VH21" s="109"/>
      <c r="VI21" s="110">
        <f t="shared" si="266"/>
        <v>0</v>
      </c>
      <c r="VJ21" s="111">
        <f t="shared" si="267"/>
        <v>0</v>
      </c>
      <c r="VK21" s="108"/>
      <c r="VL21" s="109"/>
      <c r="VM21" s="109"/>
      <c r="VN21" s="109"/>
      <c r="VO21" s="109"/>
      <c r="VP21" s="109"/>
      <c r="VQ21" s="110">
        <f t="shared" si="268"/>
        <v>0</v>
      </c>
      <c r="VR21" s="111">
        <f t="shared" si="269"/>
        <v>0</v>
      </c>
      <c r="VS21" s="108">
        <v>1316</v>
      </c>
      <c r="VT21" s="109"/>
      <c r="VU21" s="109"/>
      <c r="VV21" s="109"/>
      <c r="VW21" s="109">
        <v>600</v>
      </c>
      <c r="VX21" s="109">
        <v>702</v>
      </c>
      <c r="VY21" s="110">
        <f t="shared" si="270"/>
        <v>2618</v>
      </c>
      <c r="VZ21" s="111">
        <f t="shared" si="271"/>
        <v>436.33333333333331</v>
      </c>
      <c r="WA21" s="65"/>
      <c r="WB21" s="66"/>
      <c r="WC21" s="66"/>
      <c r="WD21" s="66"/>
      <c r="WE21" s="66"/>
      <c r="WF21" s="66"/>
      <c r="WG21" s="69">
        <f t="shared" si="272"/>
        <v>0</v>
      </c>
      <c r="WH21" s="70">
        <f t="shared" si="273"/>
        <v>0</v>
      </c>
      <c r="WI21" s="50"/>
      <c r="WJ21" s="51"/>
      <c r="WK21" s="51"/>
      <c r="WL21" s="51"/>
      <c r="WM21" s="51">
        <v>1318</v>
      </c>
      <c r="WN21" s="51"/>
      <c r="WO21" s="69">
        <f t="shared" si="274"/>
        <v>1318</v>
      </c>
      <c r="WP21" s="70">
        <f t="shared" si="275"/>
        <v>219.66666666666666</v>
      </c>
      <c r="WQ21" s="50"/>
      <c r="WR21" s="51"/>
      <c r="WS21" s="51"/>
      <c r="WT21" s="51">
        <v>1317</v>
      </c>
      <c r="WU21" s="51"/>
      <c r="WV21" s="51"/>
      <c r="WW21" s="51"/>
      <c r="WX21" s="69">
        <f t="shared" si="276"/>
        <v>1317</v>
      </c>
      <c r="WY21" s="70">
        <f t="shared" si="277"/>
        <v>219.5</v>
      </c>
      <c r="WZ21" s="50"/>
      <c r="XA21" s="51"/>
      <c r="XB21" s="51"/>
      <c r="XC21" s="51"/>
      <c r="XD21" s="51"/>
      <c r="XE21" s="51"/>
      <c r="XF21" s="51"/>
      <c r="XG21" s="69">
        <f t="shared" si="278"/>
        <v>0</v>
      </c>
      <c r="XH21" s="70">
        <f t="shared" si="279"/>
        <v>0</v>
      </c>
      <c r="XI21" s="108"/>
      <c r="XJ21" s="109"/>
      <c r="XK21" s="109"/>
      <c r="XL21" s="109"/>
      <c r="XM21" s="109"/>
      <c r="XN21" s="109">
        <v>993</v>
      </c>
      <c r="XO21" s="109"/>
      <c r="XP21" s="110">
        <f t="shared" si="280"/>
        <v>993</v>
      </c>
      <c r="XQ21" s="111">
        <f t="shared" si="281"/>
        <v>165.5</v>
      </c>
      <c r="XR21" s="50"/>
      <c r="XS21" s="51"/>
      <c r="XT21" s="51"/>
      <c r="XU21" s="51"/>
      <c r="XV21" s="51"/>
      <c r="XW21" s="51"/>
      <c r="XX21" s="51"/>
      <c r="XY21" s="69">
        <f t="shared" si="282"/>
        <v>0</v>
      </c>
      <c r="XZ21" s="70">
        <f t="shared" si="283"/>
        <v>0</v>
      </c>
      <c r="YA21" s="50"/>
      <c r="YB21" s="51"/>
      <c r="YC21" s="51"/>
      <c r="YD21" s="51"/>
      <c r="YE21" s="51"/>
      <c r="YF21" s="51"/>
      <c r="YG21" s="51"/>
      <c r="YH21" s="69">
        <f t="shared" si="284"/>
        <v>0</v>
      </c>
      <c r="YI21" s="70">
        <f t="shared" si="285"/>
        <v>0</v>
      </c>
      <c r="YJ21" s="50"/>
      <c r="YK21" s="51"/>
      <c r="YL21" s="51"/>
      <c r="YM21" s="51"/>
      <c r="YN21" s="51"/>
      <c r="YO21" s="51"/>
      <c r="YP21" s="51"/>
      <c r="YQ21" s="69">
        <f t="shared" si="286"/>
        <v>0</v>
      </c>
      <c r="YR21" s="70">
        <f t="shared" si="287"/>
        <v>0</v>
      </c>
      <c r="YS21" s="50">
        <v>657</v>
      </c>
      <c r="YT21" s="51"/>
      <c r="YU21" s="51"/>
      <c r="YV21" s="51"/>
      <c r="YW21" s="51"/>
      <c r="YX21" s="51"/>
      <c r="YY21" s="69">
        <f t="shared" si="288"/>
        <v>657</v>
      </c>
      <c r="YZ21" s="70">
        <f t="shared" si="289"/>
        <v>109.5</v>
      </c>
      <c r="ZA21" s="50"/>
      <c r="ZB21" s="51"/>
      <c r="ZC21" s="51"/>
      <c r="ZD21" s="51"/>
      <c r="ZE21" s="51"/>
      <c r="ZF21" s="51"/>
      <c r="ZG21" s="69">
        <f t="shared" si="290"/>
        <v>0</v>
      </c>
      <c r="ZH21" s="70">
        <f t="shared" si="291"/>
        <v>0</v>
      </c>
      <c r="ZI21" s="50"/>
      <c r="ZJ21" s="51"/>
      <c r="ZK21" s="51"/>
      <c r="ZL21" s="51"/>
      <c r="ZM21" s="51"/>
      <c r="ZN21" s="51"/>
      <c r="ZO21" s="69">
        <f t="shared" si="292"/>
        <v>0</v>
      </c>
      <c r="ZP21" s="70">
        <f t="shared" si="293"/>
        <v>0</v>
      </c>
      <c r="ZQ21" s="50"/>
      <c r="ZR21" s="51"/>
      <c r="ZS21" s="51"/>
      <c r="ZT21" s="51"/>
      <c r="ZU21" s="51"/>
      <c r="ZV21" s="51"/>
      <c r="ZW21" s="51"/>
      <c r="ZX21" s="67">
        <f t="shared" si="294"/>
        <v>0</v>
      </c>
      <c r="ZY21" s="70">
        <f t="shared" si="295"/>
        <v>0</v>
      </c>
      <c r="ZZ21" s="50"/>
      <c r="AAA21" s="51"/>
      <c r="AAB21" s="51"/>
      <c r="AAC21" s="51"/>
      <c r="AAD21" s="51"/>
      <c r="AAE21" s="51">
        <v>974</v>
      </c>
      <c r="AAF21" s="51"/>
      <c r="AAG21" s="69">
        <f t="shared" si="296"/>
        <v>974</v>
      </c>
      <c r="AAH21" s="70">
        <f t="shared" si="297"/>
        <v>162.33333333333334</v>
      </c>
      <c r="AAI21" s="50"/>
      <c r="AAJ21" s="51"/>
      <c r="AAK21" s="51"/>
      <c r="AAL21" s="51"/>
      <c r="AAM21" s="51"/>
      <c r="AAN21" s="51"/>
      <c r="AAO21" s="69">
        <f t="shared" si="298"/>
        <v>0</v>
      </c>
      <c r="AAP21" s="70">
        <f t="shared" si="299"/>
        <v>0</v>
      </c>
      <c r="AAQ21" s="50"/>
      <c r="AAR21" s="51"/>
      <c r="AAS21" s="51"/>
      <c r="AAT21" s="51"/>
      <c r="AAU21" s="51"/>
      <c r="AAV21" s="51"/>
      <c r="AAW21" s="69">
        <f t="shared" si="300"/>
        <v>0</v>
      </c>
      <c r="AAX21" s="70">
        <f t="shared" si="301"/>
        <v>0</v>
      </c>
      <c r="AAY21" s="50"/>
      <c r="AAZ21" s="51"/>
      <c r="ABA21" s="51"/>
      <c r="ABB21" s="51"/>
      <c r="ABC21" s="51">
        <v>645</v>
      </c>
      <c r="ABD21" s="51"/>
      <c r="ABE21" s="69">
        <f t="shared" si="302"/>
        <v>645</v>
      </c>
      <c r="ABF21" s="70">
        <f t="shared" si="303"/>
        <v>107.5</v>
      </c>
      <c r="ABG21" s="50"/>
      <c r="ABH21" s="51"/>
      <c r="ABI21" s="51"/>
      <c r="ABJ21" s="51"/>
      <c r="ABK21" s="51"/>
      <c r="ABL21" s="51"/>
      <c r="ABM21" s="69">
        <f t="shared" si="304"/>
        <v>0</v>
      </c>
      <c r="ABN21" s="70">
        <f t="shared" si="305"/>
        <v>0</v>
      </c>
      <c r="ABO21" s="50"/>
      <c r="ABP21" s="51"/>
      <c r="ABQ21" s="51">
        <v>646</v>
      </c>
      <c r="ABR21" s="51"/>
      <c r="ABS21" s="51"/>
      <c r="ABT21" s="51"/>
      <c r="ABU21" s="69">
        <f t="shared" si="306"/>
        <v>646</v>
      </c>
      <c r="ABV21" s="70">
        <f t="shared" si="307"/>
        <v>107.66666666666667</v>
      </c>
      <c r="ABW21" s="50"/>
      <c r="ABX21" s="51"/>
      <c r="ABY21" s="51"/>
      <c r="ABZ21" s="51"/>
      <c r="ACA21" s="51"/>
      <c r="ACB21" s="51"/>
      <c r="ACC21" s="69">
        <f t="shared" si="308"/>
        <v>0</v>
      </c>
      <c r="ACD21" s="70">
        <f t="shared" si="309"/>
        <v>0</v>
      </c>
      <c r="ACE21" s="50"/>
      <c r="ACF21" s="51"/>
      <c r="ACG21" s="51"/>
      <c r="ACH21" s="51"/>
      <c r="ACI21" s="51"/>
      <c r="ACJ21" s="51"/>
      <c r="ACK21" s="69">
        <f t="shared" si="310"/>
        <v>0</v>
      </c>
      <c r="ACL21" s="70">
        <f t="shared" si="311"/>
        <v>0</v>
      </c>
      <c r="ACM21" s="50"/>
      <c r="ACN21" s="51"/>
      <c r="ACO21" s="51"/>
      <c r="ACP21" s="51"/>
      <c r="ACQ21" s="51"/>
      <c r="ACR21" s="51"/>
      <c r="ACS21" s="69">
        <f t="shared" si="312"/>
        <v>0</v>
      </c>
      <c r="ACT21" s="70">
        <f t="shared" si="313"/>
        <v>0</v>
      </c>
      <c r="ACU21" s="50"/>
      <c r="ACV21" s="51">
        <v>662</v>
      </c>
      <c r="ACW21" s="51"/>
      <c r="ACX21" s="51"/>
      <c r="ACY21" s="51"/>
      <c r="ACZ21" s="51"/>
      <c r="ADA21" s="69">
        <f t="shared" si="314"/>
        <v>662</v>
      </c>
      <c r="ADB21" s="70">
        <f t="shared" si="315"/>
        <v>110.33333333333333</v>
      </c>
      <c r="ADC21" s="50"/>
      <c r="ADD21" s="51"/>
      <c r="ADE21" s="51"/>
      <c r="ADF21" s="51">
        <v>662</v>
      </c>
      <c r="ADG21" s="51"/>
      <c r="ADH21" s="51"/>
      <c r="ADI21" s="69">
        <f t="shared" si="316"/>
        <v>662</v>
      </c>
      <c r="ADJ21" s="70">
        <f t="shared" si="317"/>
        <v>110.33333333333333</v>
      </c>
      <c r="ADK21" s="50"/>
      <c r="ADL21" s="51"/>
      <c r="ADM21" s="51"/>
      <c r="ADN21" s="51"/>
      <c r="ADO21" s="51"/>
      <c r="ADP21" s="51"/>
      <c r="ADQ21" s="69">
        <f t="shared" si="318"/>
        <v>0</v>
      </c>
      <c r="ADR21" s="70">
        <f t="shared" si="319"/>
        <v>0</v>
      </c>
      <c r="ADS21" s="50"/>
      <c r="ADT21" s="51"/>
      <c r="ADU21" s="51"/>
      <c r="ADV21" s="51"/>
      <c r="ADW21" s="51"/>
      <c r="ADX21" s="51"/>
      <c r="ADY21" s="69">
        <f t="shared" si="320"/>
        <v>0</v>
      </c>
      <c r="ADZ21" s="70">
        <f t="shared" si="321"/>
        <v>0</v>
      </c>
      <c r="AEA21" s="50"/>
      <c r="AEB21" s="51"/>
      <c r="AEC21" s="51">
        <v>657</v>
      </c>
      <c r="AED21" s="51"/>
      <c r="AEE21" s="51"/>
      <c r="AEF21" s="51"/>
      <c r="AEG21" s="69">
        <f t="shared" si="322"/>
        <v>657</v>
      </c>
      <c r="AEH21" s="70">
        <f t="shared" si="323"/>
        <v>109.5</v>
      </c>
      <c r="AEI21" s="50"/>
      <c r="AEJ21" s="51"/>
      <c r="AEK21" s="51"/>
      <c r="AEL21" s="51"/>
      <c r="AEM21" s="51"/>
      <c r="AEN21" s="51"/>
      <c r="AEO21" s="69">
        <f t="shared" si="324"/>
        <v>0</v>
      </c>
      <c r="AEP21" s="70">
        <f t="shared" si="325"/>
        <v>0</v>
      </c>
      <c r="AEQ21" s="50">
        <v>666</v>
      </c>
      <c r="AER21" s="51"/>
      <c r="AES21" s="51"/>
      <c r="AET21" s="51"/>
      <c r="AEU21" s="51"/>
      <c r="AEV21" s="51"/>
      <c r="AEW21" s="69">
        <f t="shared" si="326"/>
        <v>666</v>
      </c>
      <c r="AEX21" s="70">
        <f t="shared" si="327"/>
        <v>111</v>
      </c>
      <c r="AEY21" s="50"/>
      <c r="AEZ21" s="51"/>
      <c r="AFA21" s="51"/>
      <c r="AFB21" s="51"/>
      <c r="AFC21" s="51"/>
      <c r="AFD21" s="51"/>
      <c r="AFE21" s="69">
        <f t="shared" si="328"/>
        <v>0</v>
      </c>
      <c r="AFF21" s="70">
        <f t="shared" si="329"/>
        <v>0</v>
      </c>
      <c r="AFG21" s="50"/>
      <c r="AFH21" s="51"/>
      <c r="AFI21" s="51"/>
      <c r="AFJ21" s="51"/>
      <c r="AFK21" s="51"/>
      <c r="AFL21" s="51"/>
      <c r="AFM21" s="69">
        <f t="shared" si="330"/>
        <v>0</v>
      </c>
      <c r="AFN21" s="70">
        <f t="shared" si="331"/>
        <v>0</v>
      </c>
      <c r="AFO21" s="50"/>
      <c r="AFP21" s="51"/>
      <c r="AFQ21" s="51"/>
      <c r="AFR21" s="51"/>
      <c r="AFS21" s="51">
        <v>665</v>
      </c>
      <c r="AFT21" s="51"/>
      <c r="AFU21" s="69">
        <f t="shared" si="332"/>
        <v>665</v>
      </c>
      <c r="AFV21" s="70">
        <f t="shared" si="333"/>
        <v>110.83333333333333</v>
      </c>
      <c r="AFW21" s="50"/>
      <c r="AFX21" s="51"/>
      <c r="AFY21" s="51"/>
      <c r="AFZ21" s="51"/>
      <c r="AGA21" s="51"/>
      <c r="AGB21" s="51"/>
      <c r="AGC21" s="69">
        <f t="shared" si="334"/>
        <v>0</v>
      </c>
      <c r="AGD21" s="70">
        <f t="shared" si="335"/>
        <v>0</v>
      </c>
      <c r="AGE21" s="50"/>
      <c r="AGF21" s="51"/>
      <c r="AGG21" s="51"/>
      <c r="AGH21" s="51"/>
      <c r="AGI21" s="51"/>
      <c r="AGJ21" s="51">
        <v>638</v>
      </c>
      <c r="AGK21" s="69">
        <f t="shared" si="336"/>
        <v>638</v>
      </c>
      <c r="AGL21" s="70">
        <f t="shared" si="337"/>
        <v>106.33333333333333</v>
      </c>
      <c r="AGM21" s="50"/>
      <c r="AGN21" s="51"/>
      <c r="AGO21" s="51"/>
      <c r="AGP21" s="51"/>
      <c r="AGQ21" s="51"/>
      <c r="AGR21" s="51"/>
      <c r="AGS21" s="51"/>
      <c r="AGT21" s="69">
        <f t="shared" si="338"/>
        <v>0</v>
      </c>
      <c r="AGU21" s="70">
        <f t="shared" si="339"/>
        <v>0</v>
      </c>
      <c r="AGV21" s="50"/>
      <c r="AGW21" s="51"/>
      <c r="AGX21" s="51"/>
      <c r="AGY21" s="51"/>
      <c r="AGZ21" s="51"/>
      <c r="AHA21" s="51"/>
      <c r="AHB21" s="69">
        <f t="shared" si="340"/>
        <v>0</v>
      </c>
      <c r="AHC21" s="70">
        <f t="shared" si="341"/>
        <v>0</v>
      </c>
      <c r="AHD21" s="50"/>
      <c r="AHE21" s="51"/>
      <c r="AHF21" s="51"/>
      <c r="AHG21" s="51">
        <v>660</v>
      </c>
      <c r="AHH21" s="51"/>
      <c r="AHI21" s="51"/>
      <c r="AHJ21" s="69">
        <f t="shared" si="342"/>
        <v>660</v>
      </c>
      <c r="AHK21" s="70">
        <f t="shared" si="343"/>
        <v>22.758620689655171</v>
      </c>
      <c r="AHL21" s="50"/>
      <c r="AHM21" s="51"/>
      <c r="AHN21" s="51"/>
      <c r="AHO21" s="51"/>
      <c r="AHP21" s="51"/>
      <c r="AHQ21" s="51"/>
      <c r="AHR21" s="69">
        <f t="shared" si="344"/>
        <v>0</v>
      </c>
      <c r="AHS21" s="70">
        <f t="shared" si="345"/>
        <v>0</v>
      </c>
      <c r="AHT21" s="50"/>
      <c r="AHU21" s="51"/>
      <c r="AHV21" s="51"/>
      <c r="AHW21" s="51"/>
      <c r="AHX21" s="51"/>
      <c r="AHY21" s="51"/>
      <c r="AHZ21" s="69">
        <f t="shared" si="346"/>
        <v>0</v>
      </c>
      <c r="AIA21" s="70">
        <f t="shared" si="347"/>
        <v>0</v>
      </c>
      <c r="AIB21" s="50"/>
      <c r="AIC21" s="51"/>
      <c r="AID21" s="51"/>
      <c r="AIE21" s="51"/>
      <c r="AIF21" s="51"/>
      <c r="AIG21" s="51"/>
      <c r="AIH21" s="69">
        <f t="shared" si="348"/>
        <v>0</v>
      </c>
      <c r="AII21" s="70">
        <f t="shared" si="349"/>
        <v>0</v>
      </c>
      <c r="AIJ21" s="50"/>
      <c r="AIK21" s="51"/>
      <c r="AIL21" s="51"/>
      <c r="AIM21" s="51"/>
      <c r="AIN21" s="51">
        <v>651</v>
      </c>
      <c r="AIO21" s="51"/>
      <c r="AIP21" s="69">
        <f t="shared" si="350"/>
        <v>651</v>
      </c>
      <c r="AIQ21" s="70">
        <f t="shared" si="351"/>
        <v>22.448275862068964</v>
      </c>
      <c r="AIR21" s="50"/>
      <c r="AIS21" s="51"/>
      <c r="AIT21" s="51"/>
      <c r="AIU21" s="51"/>
      <c r="AIV21" s="51"/>
      <c r="AIW21" s="51"/>
      <c r="AIX21" s="69">
        <f t="shared" si="352"/>
        <v>0</v>
      </c>
      <c r="AIY21" s="70">
        <f t="shared" si="353"/>
        <v>0</v>
      </c>
      <c r="AIZ21" s="50"/>
      <c r="AJA21" s="51"/>
      <c r="AJB21" s="51"/>
      <c r="AJC21" s="51"/>
      <c r="AJD21" s="51"/>
      <c r="AJE21" s="51"/>
      <c r="AJF21" s="69">
        <f t="shared" si="354"/>
        <v>0</v>
      </c>
      <c r="AJG21" s="70">
        <f t="shared" si="355"/>
        <v>0</v>
      </c>
      <c r="AJH21" s="50"/>
      <c r="AJI21" s="51">
        <v>635</v>
      </c>
      <c r="AJJ21" s="51"/>
      <c r="AJK21" s="51"/>
      <c r="AJL21" s="51"/>
      <c r="AJM21" s="51"/>
      <c r="AJN21" s="52">
        <f t="shared" si="356"/>
        <v>635</v>
      </c>
      <c r="AJO21" s="53">
        <f t="shared" si="357"/>
        <v>21.896551724137932</v>
      </c>
      <c r="AJP21" s="50"/>
      <c r="AJQ21" s="51"/>
      <c r="AJR21" s="51"/>
      <c r="AJS21" s="51">
        <v>1000</v>
      </c>
      <c r="AJT21" s="51"/>
      <c r="AJU21" s="51"/>
      <c r="AJV21" s="52">
        <f t="shared" si="358"/>
        <v>1000</v>
      </c>
      <c r="AJW21" s="53">
        <f t="shared" si="359"/>
        <v>34.482758620689658</v>
      </c>
      <c r="AJX21" s="50"/>
      <c r="AJY21" s="51"/>
      <c r="AJZ21" s="51"/>
      <c r="AKA21" s="51"/>
      <c r="AKB21" s="51"/>
      <c r="AKC21" s="51"/>
      <c r="AKD21" s="69">
        <f t="shared" si="360"/>
        <v>0</v>
      </c>
      <c r="AKE21" s="70">
        <f t="shared" si="361"/>
        <v>0</v>
      </c>
      <c r="AKF21" s="50"/>
      <c r="AKG21" s="51"/>
      <c r="AKH21" s="51"/>
      <c r="AKI21" s="51"/>
      <c r="AKJ21" s="51"/>
      <c r="AKK21" s="51">
        <v>645</v>
      </c>
      <c r="AKL21" s="67">
        <f t="shared" si="362"/>
        <v>645</v>
      </c>
      <c r="AKM21" s="184">
        <f t="shared" si="363"/>
        <v>107.5</v>
      </c>
      <c r="AKN21" s="196"/>
      <c r="AKO21" s="197"/>
      <c r="AKP21" s="197"/>
      <c r="AKQ21" s="197"/>
      <c r="AKR21" s="197"/>
      <c r="AKS21" s="197"/>
      <c r="AKT21" s="194">
        <f t="shared" si="364"/>
        <v>0</v>
      </c>
      <c r="AKU21" s="199">
        <f t="shared" si="365"/>
        <v>0</v>
      </c>
      <c r="AKV21" s="50"/>
      <c r="AKW21" s="51"/>
      <c r="AKX21" s="51">
        <v>971</v>
      </c>
      <c r="AKY21" s="51"/>
      <c r="AKZ21" s="51"/>
      <c r="ALA21" s="51"/>
      <c r="ALB21" s="69">
        <f t="shared" si="366"/>
        <v>971</v>
      </c>
      <c r="ALC21" s="70">
        <f t="shared" si="367"/>
        <v>161.83333333333334</v>
      </c>
      <c r="ALD21" s="50"/>
      <c r="ALE21" s="51"/>
      <c r="ALF21" s="51"/>
      <c r="ALG21" s="51"/>
      <c r="ALH21" s="51"/>
      <c r="ALI21" s="51"/>
      <c r="ALJ21" s="69">
        <f t="shared" si="368"/>
        <v>0</v>
      </c>
      <c r="ALK21" s="70">
        <f t="shared" si="369"/>
        <v>0</v>
      </c>
      <c r="ALL21" s="50"/>
      <c r="ALM21" s="51"/>
      <c r="ALN21" s="51"/>
      <c r="ALO21" s="51"/>
      <c r="ALP21" s="51"/>
      <c r="ALQ21" s="51"/>
      <c r="ALR21" s="69">
        <f t="shared" si="370"/>
        <v>0</v>
      </c>
      <c r="ALS21" s="70">
        <f t="shared" si="371"/>
        <v>0</v>
      </c>
      <c r="ALT21" s="50"/>
      <c r="ALU21" s="51">
        <v>951</v>
      </c>
      <c r="ALV21" s="51"/>
      <c r="ALW21" s="51"/>
      <c r="ALX21" s="51"/>
      <c r="ALY21" s="51"/>
      <c r="ALZ21" s="69">
        <f t="shared" si="372"/>
        <v>951</v>
      </c>
      <c r="AMA21" s="70">
        <f t="shared" si="373"/>
        <v>158.5</v>
      </c>
      <c r="AMB21" s="50"/>
      <c r="AMC21" s="51"/>
      <c r="AMD21" s="51"/>
      <c r="AME21" s="51"/>
      <c r="AMF21" s="51"/>
      <c r="AMG21" s="51"/>
      <c r="AMH21" s="69">
        <f t="shared" si="374"/>
        <v>0</v>
      </c>
      <c r="AMI21" s="70">
        <f t="shared" si="375"/>
        <v>0</v>
      </c>
      <c r="AMJ21" s="50"/>
      <c r="AMK21" s="51"/>
      <c r="AML21" s="51"/>
      <c r="AMM21" s="51"/>
      <c r="AMN21" s="51"/>
      <c r="AMO21" s="51"/>
      <c r="AMP21" s="69">
        <f t="shared" si="376"/>
        <v>0</v>
      </c>
      <c r="AMQ21" s="70">
        <f t="shared" si="377"/>
        <v>0</v>
      </c>
      <c r="AMR21" s="50"/>
      <c r="AMS21" s="51"/>
      <c r="AMT21" s="51"/>
      <c r="AMU21" s="51"/>
      <c r="AMV21" s="51"/>
      <c r="AMW21" s="51"/>
      <c r="AMX21" s="69">
        <f t="shared" si="378"/>
        <v>0</v>
      </c>
      <c r="AMY21" s="70">
        <f t="shared" si="379"/>
        <v>0</v>
      </c>
      <c r="AMZ21" s="50"/>
      <c r="ANA21" s="51"/>
      <c r="ANB21" s="51"/>
      <c r="ANC21" s="51"/>
      <c r="AND21" s="51"/>
      <c r="ANE21" s="51"/>
      <c r="ANF21" s="69">
        <f t="shared" si="380"/>
        <v>0</v>
      </c>
      <c r="ANG21" s="70">
        <f t="shared" si="381"/>
        <v>0</v>
      </c>
      <c r="ANH21" s="50"/>
      <c r="ANI21" s="51"/>
      <c r="ANJ21" s="51"/>
      <c r="ANK21" s="51"/>
      <c r="ANL21" s="51"/>
      <c r="ANM21" s="51"/>
      <c r="ANN21" s="67">
        <f t="shared" si="382"/>
        <v>0</v>
      </c>
      <c r="ANO21" s="68">
        <f t="shared" si="383"/>
        <v>0</v>
      </c>
      <c r="ANP21" s="50"/>
      <c r="ANQ21" s="51">
        <v>643</v>
      </c>
      <c r="ANR21" s="51"/>
      <c r="ANS21" s="51"/>
      <c r="ANT21" s="51"/>
      <c r="ANU21" s="51"/>
      <c r="ANV21" s="69">
        <f t="shared" si="384"/>
        <v>643</v>
      </c>
      <c r="ANW21" s="70">
        <f t="shared" si="385"/>
        <v>107.16666666666667</v>
      </c>
      <c r="ANX21" s="84"/>
      <c r="ANY21" s="85"/>
      <c r="ANZ21" s="85"/>
      <c r="AOA21" s="85"/>
      <c r="AOB21" s="85"/>
      <c r="AOC21" s="85"/>
      <c r="AOD21" s="69">
        <f t="shared" si="386"/>
        <v>0</v>
      </c>
      <c r="AOE21" s="70">
        <f t="shared" si="387"/>
        <v>0</v>
      </c>
      <c r="AOF21" s="50"/>
      <c r="AOG21" s="51"/>
      <c r="AOH21" s="51"/>
      <c r="AOI21" s="51"/>
      <c r="AOJ21" s="51"/>
      <c r="AOK21" s="51">
        <v>646</v>
      </c>
      <c r="AOL21" s="69">
        <f t="shared" si="388"/>
        <v>646</v>
      </c>
      <c r="AOM21" s="70">
        <f t="shared" si="389"/>
        <v>107.66666666666667</v>
      </c>
      <c r="AON21" s="50"/>
      <c r="AOO21" s="51"/>
      <c r="AOP21" s="51"/>
      <c r="AOQ21" s="51"/>
      <c r="AOR21" s="51"/>
      <c r="AOS21" s="51"/>
      <c r="AOT21" s="69">
        <f t="shared" si="390"/>
        <v>0</v>
      </c>
      <c r="AOU21" s="70">
        <f t="shared" si="391"/>
        <v>0</v>
      </c>
      <c r="AOV21" s="50"/>
      <c r="AOW21" s="51"/>
      <c r="AOX21" s="51"/>
      <c r="AOY21" s="51"/>
      <c r="AOZ21" s="51"/>
      <c r="APA21" s="51"/>
      <c r="APB21" s="69">
        <f t="shared" si="392"/>
        <v>0</v>
      </c>
      <c r="APC21" s="70">
        <f t="shared" si="393"/>
        <v>0</v>
      </c>
      <c r="APD21" s="50"/>
      <c r="APE21" s="51"/>
      <c r="APF21" s="51">
        <v>664</v>
      </c>
      <c r="APG21" s="51"/>
      <c r="APH21" s="51"/>
      <c r="API21" s="51"/>
      <c r="APJ21" s="69">
        <f t="shared" si="394"/>
        <v>664</v>
      </c>
      <c r="APK21" s="70">
        <f t="shared" si="395"/>
        <v>110.66666666666667</v>
      </c>
      <c r="APL21" s="50"/>
      <c r="APM21" s="51"/>
      <c r="APN21" s="51"/>
      <c r="APO21" s="51"/>
      <c r="APP21" s="51"/>
      <c r="APQ21" s="51"/>
      <c r="APR21" s="69">
        <f t="shared" si="396"/>
        <v>0</v>
      </c>
      <c r="APS21" s="70">
        <f t="shared" si="397"/>
        <v>0</v>
      </c>
      <c r="APT21" s="50">
        <v>658</v>
      </c>
      <c r="APU21" s="51"/>
      <c r="APV21" s="51"/>
      <c r="APW21" s="51"/>
      <c r="APX21" s="51"/>
      <c r="APY21" s="51"/>
      <c r="APZ21" s="69">
        <f t="shared" si="398"/>
        <v>658</v>
      </c>
      <c r="AQA21" s="70">
        <f t="shared" si="399"/>
        <v>109.66666666666667</v>
      </c>
      <c r="AQB21" s="50"/>
      <c r="AQC21" s="51"/>
      <c r="AQD21" s="51"/>
      <c r="AQE21" s="51"/>
      <c r="AQF21" s="51"/>
      <c r="AQG21" s="51"/>
      <c r="AQH21" s="69">
        <f t="shared" si="400"/>
        <v>0</v>
      </c>
      <c r="AQI21" s="70">
        <f t="shared" si="401"/>
        <v>0</v>
      </c>
      <c r="AQJ21" s="50"/>
      <c r="AQK21" s="51">
        <v>648</v>
      </c>
      <c r="AQL21" s="51"/>
      <c r="AQM21" s="51"/>
      <c r="AQN21" s="51"/>
      <c r="AQO21" s="51"/>
      <c r="AQP21" s="69">
        <f t="shared" si="402"/>
        <v>648</v>
      </c>
      <c r="AQQ21" s="70">
        <f t="shared" si="403"/>
        <v>108</v>
      </c>
      <c r="AQR21" s="50"/>
      <c r="AQS21" s="51"/>
      <c r="AQT21" s="51"/>
      <c r="AQU21" s="51"/>
      <c r="AQV21" s="51"/>
      <c r="AQW21" s="51"/>
      <c r="AQX21" s="69">
        <f t="shared" si="404"/>
        <v>0</v>
      </c>
      <c r="AQY21" s="70">
        <f t="shared" si="405"/>
        <v>0</v>
      </c>
      <c r="AQZ21" s="50"/>
      <c r="ARA21" s="51"/>
      <c r="ARB21" s="51"/>
      <c r="ARC21" s="51"/>
      <c r="ARD21" s="51"/>
      <c r="ARE21" s="51">
        <v>633</v>
      </c>
      <c r="ARF21" s="69">
        <f t="shared" si="406"/>
        <v>633</v>
      </c>
      <c r="ARG21" s="70">
        <f t="shared" si="407"/>
        <v>105.5</v>
      </c>
      <c r="ARH21" s="50"/>
      <c r="ARI21" s="51"/>
      <c r="ARJ21" s="51"/>
      <c r="ARK21" s="51"/>
      <c r="ARL21" s="51"/>
      <c r="ARM21" s="51"/>
      <c r="ARN21" s="69">
        <f t="shared" si="408"/>
        <v>0</v>
      </c>
      <c r="ARO21" s="70">
        <f t="shared" si="409"/>
        <v>0</v>
      </c>
      <c r="ARP21" s="50"/>
      <c r="ARQ21" s="51">
        <v>627</v>
      </c>
      <c r="ARR21" s="51">
        <v>2</v>
      </c>
      <c r="ARS21" s="51"/>
      <c r="ART21" s="51"/>
      <c r="ARU21" s="51"/>
      <c r="ARV21" s="69">
        <f t="shared" si="410"/>
        <v>629</v>
      </c>
      <c r="ARW21" s="70">
        <f t="shared" si="411"/>
        <v>104.83333333333333</v>
      </c>
      <c r="ARX21" s="50"/>
      <c r="ARY21" s="51">
        <v>646</v>
      </c>
      <c r="ARZ21" s="51"/>
      <c r="ASA21" s="51"/>
      <c r="ASB21" s="51"/>
      <c r="ASC21" s="51"/>
      <c r="ASD21" s="69">
        <f t="shared" si="412"/>
        <v>646</v>
      </c>
      <c r="ASE21" s="70">
        <f t="shared" si="413"/>
        <v>107.66666666666667</v>
      </c>
      <c r="ASF21" s="50"/>
      <c r="ASG21" s="51"/>
      <c r="ASH21" s="51"/>
      <c r="ASI21" s="51"/>
      <c r="ASJ21" s="51"/>
      <c r="ASK21" s="51"/>
      <c r="ASL21" s="69">
        <f t="shared" si="414"/>
        <v>0</v>
      </c>
      <c r="ASM21" s="70">
        <f t="shared" si="415"/>
        <v>0</v>
      </c>
      <c r="ASN21" s="50"/>
      <c r="ASO21" s="51">
        <v>674</v>
      </c>
      <c r="ASP21" s="51"/>
      <c r="ASQ21" s="51"/>
      <c r="ASR21" s="51"/>
      <c r="ASS21" s="51"/>
      <c r="AST21" s="69">
        <f t="shared" si="416"/>
        <v>674</v>
      </c>
      <c r="ASU21" s="70">
        <f t="shared" si="417"/>
        <v>112.33333333333333</v>
      </c>
      <c r="ASV21" s="50"/>
      <c r="ASW21" s="51"/>
      <c r="ASX21" s="51">
        <v>667</v>
      </c>
      <c r="ASY21" s="51"/>
      <c r="ASZ21" s="51"/>
      <c r="ATA21" s="51"/>
      <c r="ATB21" s="69">
        <f t="shared" si="418"/>
        <v>667</v>
      </c>
      <c r="ATC21" s="70">
        <f t="shared" si="419"/>
        <v>111.16666666666667</v>
      </c>
      <c r="ATD21" s="50"/>
      <c r="ATE21" s="51"/>
      <c r="ATF21" s="51"/>
      <c r="ATG21" s="51"/>
      <c r="ATH21" s="51"/>
      <c r="ATI21" s="51"/>
      <c r="ATJ21" s="69">
        <f t="shared" si="420"/>
        <v>0</v>
      </c>
      <c r="ATK21" s="70">
        <f t="shared" si="421"/>
        <v>0</v>
      </c>
      <c r="ATL21" s="50"/>
      <c r="ATM21" s="51"/>
      <c r="ATN21" s="51"/>
      <c r="ATO21" s="51"/>
      <c r="ATP21" s="51">
        <v>572</v>
      </c>
      <c r="ATQ21" s="51"/>
      <c r="ATR21" s="69">
        <f t="shared" si="422"/>
        <v>572</v>
      </c>
      <c r="ATS21" s="70">
        <f t="shared" si="423"/>
        <v>95.333333333333329</v>
      </c>
      <c r="ATT21" s="50"/>
      <c r="ATU21" s="51"/>
      <c r="ATV21" s="51"/>
      <c r="ATW21" s="51"/>
      <c r="ATX21" s="51"/>
      <c r="ATY21" s="51"/>
      <c r="ATZ21" s="69">
        <f t="shared" si="424"/>
        <v>0</v>
      </c>
      <c r="AUA21" s="70">
        <f t="shared" si="425"/>
        <v>0</v>
      </c>
      <c r="AUB21" s="50">
        <v>650</v>
      </c>
      <c r="AUC21" s="51"/>
      <c r="AUD21" s="51"/>
      <c r="AUE21" s="51"/>
      <c r="AUF21" s="51"/>
      <c r="AUG21" s="51">
        <v>631</v>
      </c>
      <c r="AUH21" s="69">
        <f t="shared" si="426"/>
        <v>1281</v>
      </c>
      <c r="AUI21" s="70">
        <f t="shared" si="427"/>
        <v>213.5</v>
      </c>
      <c r="AUJ21" s="50"/>
      <c r="AUK21" s="51"/>
      <c r="AUL21" s="51"/>
      <c r="AUM21" s="51"/>
      <c r="AUN21" s="51"/>
      <c r="AUO21" s="51"/>
      <c r="AUP21" s="69">
        <f t="shared" si="428"/>
        <v>0</v>
      </c>
      <c r="AUQ21" s="70">
        <f t="shared" si="429"/>
        <v>0</v>
      </c>
      <c r="AUR21" s="50">
        <v>981</v>
      </c>
      <c r="AUS21" s="51"/>
      <c r="AUT21" s="51"/>
      <c r="AUU21" s="51"/>
      <c r="AUV21" s="51"/>
      <c r="AUW21" s="51"/>
      <c r="AUX21" s="69">
        <f t="shared" si="430"/>
        <v>981</v>
      </c>
      <c r="AUY21" s="70">
        <f t="shared" si="431"/>
        <v>163.5</v>
      </c>
      <c r="AUZ21" s="50"/>
      <c r="AVA21" s="51"/>
      <c r="AVB21" s="51"/>
      <c r="AVC21" s="51"/>
      <c r="AVD21" s="51"/>
      <c r="AVE21" s="51"/>
      <c r="AVF21" s="69">
        <f t="shared" si="432"/>
        <v>0</v>
      </c>
      <c r="AVG21" s="70">
        <f t="shared" si="433"/>
        <v>0</v>
      </c>
      <c r="AVH21" s="50"/>
      <c r="AVI21" s="51">
        <v>300</v>
      </c>
      <c r="AVJ21" s="51"/>
      <c r="AVK21" s="51"/>
      <c r="AVL21" s="51"/>
      <c r="AVM21" s="51"/>
      <c r="AVN21" s="69">
        <f t="shared" si="434"/>
        <v>300</v>
      </c>
      <c r="AVO21" s="70">
        <f t="shared" si="435"/>
        <v>50</v>
      </c>
      <c r="AVP21" s="50"/>
      <c r="AVQ21" s="51">
        <v>657</v>
      </c>
      <c r="AVR21" s="51"/>
      <c r="AVS21" s="51"/>
      <c r="AVT21" s="51"/>
      <c r="AVU21" s="51"/>
      <c r="AVV21" s="69">
        <f t="shared" si="436"/>
        <v>657</v>
      </c>
      <c r="AVW21" s="70">
        <f t="shared" si="437"/>
        <v>109.5</v>
      </c>
      <c r="AVX21" s="50"/>
      <c r="AVY21" s="51">
        <v>648</v>
      </c>
      <c r="AVZ21" s="51"/>
      <c r="AWA21" s="51"/>
      <c r="AWB21" s="51"/>
      <c r="AWC21" s="51"/>
      <c r="AWD21" s="69">
        <f t="shared" si="438"/>
        <v>648</v>
      </c>
      <c r="AWE21" s="70">
        <f t="shared" si="439"/>
        <v>108</v>
      </c>
      <c r="AWF21" s="50"/>
      <c r="AWG21" s="51">
        <v>659</v>
      </c>
      <c r="AWH21" s="51"/>
      <c r="AWI21" s="51"/>
      <c r="AWJ21" s="51"/>
      <c r="AWK21" s="51"/>
      <c r="AWL21" s="69">
        <f t="shared" si="440"/>
        <v>659</v>
      </c>
      <c r="AWM21" s="70">
        <f t="shared" si="441"/>
        <v>109.83333333333333</v>
      </c>
      <c r="AWN21" s="50">
        <v>969</v>
      </c>
      <c r="AWO21" s="51"/>
      <c r="AWP21" s="51"/>
      <c r="AWQ21" s="51"/>
      <c r="AWR21" s="51"/>
      <c r="AWS21" s="51"/>
      <c r="AWT21" s="52">
        <f t="shared" si="442"/>
        <v>969</v>
      </c>
      <c r="AWU21" s="53">
        <f t="shared" si="443"/>
        <v>161.5</v>
      </c>
      <c r="AWV21" s="50">
        <v>647</v>
      </c>
      <c r="AWW21" s="51"/>
      <c r="AWX21" s="51"/>
      <c r="AWY21" s="51"/>
      <c r="AWZ21" s="51"/>
      <c r="AXA21" s="51"/>
      <c r="AXB21" s="52">
        <f t="shared" si="444"/>
        <v>647</v>
      </c>
      <c r="AXC21" s="53">
        <f t="shared" si="445"/>
        <v>107.83333333333333</v>
      </c>
      <c r="AXD21" s="50"/>
      <c r="AXE21" s="51">
        <v>988</v>
      </c>
      <c r="AXF21" s="51"/>
      <c r="AXG21" s="51"/>
      <c r="AXH21" s="51">
        <v>996</v>
      </c>
      <c r="AXI21" s="51"/>
      <c r="AXJ21" s="52">
        <f t="shared" si="446"/>
        <v>1984</v>
      </c>
      <c r="AXK21" s="53">
        <f t="shared" si="447"/>
        <v>330.66666666666669</v>
      </c>
      <c r="AXL21" s="50"/>
      <c r="AXM21" s="51"/>
      <c r="AXN21" s="51"/>
      <c r="AXO21" s="51"/>
      <c r="AXP21" s="51"/>
      <c r="AXQ21" s="51"/>
      <c r="AXR21" s="52">
        <f t="shared" si="448"/>
        <v>0</v>
      </c>
      <c r="AXS21" s="53">
        <f t="shared" si="449"/>
        <v>0</v>
      </c>
      <c r="AXT21" s="50"/>
      <c r="AXU21" s="51">
        <v>961</v>
      </c>
      <c r="AXV21" s="51"/>
      <c r="AXW21" s="51"/>
      <c r="AXX21" s="51"/>
      <c r="AXY21" s="51"/>
      <c r="AXZ21" s="52">
        <f t="shared" si="450"/>
        <v>961</v>
      </c>
      <c r="AYA21" s="53">
        <f t="shared" si="451"/>
        <v>160.16666666666666</v>
      </c>
      <c r="AYB21" s="50">
        <v>961</v>
      </c>
      <c r="AYC21" s="51"/>
      <c r="AYD21" s="51"/>
      <c r="AYE21" s="51"/>
      <c r="AYF21" s="51"/>
      <c r="AYG21" s="51"/>
      <c r="AYH21" s="52">
        <f t="shared" si="452"/>
        <v>961</v>
      </c>
      <c r="AYI21" s="53">
        <f t="shared" si="453"/>
        <v>160.16666666666666</v>
      </c>
      <c r="AYJ21" s="50">
        <v>729</v>
      </c>
      <c r="AYK21" s="51"/>
      <c r="AYL21" s="51">
        <v>84</v>
      </c>
      <c r="AYM21" s="51"/>
      <c r="AYN21" s="51"/>
      <c r="AYO21" s="51">
        <v>152</v>
      </c>
      <c r="AYP21" s="52">
        <f t="shared" si="454"/>
        <v>965</v>
      </c>
      <c r="AYQ21" s="53">
        <f t="shared" si="455"/>
        <v>160.83333333333334</v>
      </c>
      <c r="AYR21" s="50"/>
      <c r="AYS21" s="51"/>
      <c r="AYT21" s="51"/>
      <c r="AYU21" s="51"/>
      <c r="AYV21" s="51"/>
      <c r="AYW21" s="51"/>
      <c r="AYX21" s="52">
        <f t="shared" si="456"/>
        <v>0</v>
      </c>
      <c r="AYY21" s="53">
        <f t="shared" si="457"/>
        <v>0</v>
      </c>
      <c r="AYZ21" s="50"/>
      <c r="AZA21" s="51"/>
      <c r="AZB21" s="51"/>
      <c r="AZC21" s="51"/>
      <c r="AZD21" s="51">
        <v>966</v>
      </c>
      <c r="AZE21" s="51"/>
      <c r="AZF21" s="52">
        <f t="shared" si="458"/>
        <v>966</v>
      </c>
      <c r="AZG21" s="53">
        <f t="shared" si="459"/>
        <v>161</v>
      </c>
      <c r="AZH21" s="50"/>
      <c r="AZI21" s="51"/>
      <c r="AZJ21" s="51"/>
      <c r="AZK21" s="51"/>
      <c r="AZL21" s="51"/>
      <c r="AZM21" s="51"/>
      <c r="AZN21" s="52">
        <f t="shared" si="460"/>
        <v>0</v>
      </c>
      <c r="AZO21" s="53">
        <f t="shared" si="461"/>
        <v>0</v>
      </c>
      <c r="AZP21" s="50"/>
      <c r="AZQ21" s="51"/>
      <c r="AZR21" s="51"/>
      <c r="AZS21" s="51"/>
      <c r="AZT21" s="51"/>
      <c r="AZU21" s="51">
        <v>660</v>
      </c>
      <c r="AZV21" s="52">
        <f t="shared" si="462"/>
        <v>660</v>
      </c>
      <c r="AZW21" s="53">
        <f t="shared" si="463"/>
        <v>110</v>
      </c>
      <c r="AZX21" s="84"/>
      <c r="AZY21" s="85"/>
      <c r="AZZ21" s="85"/>
      <c r="BAA21" s="85"/>
      <c r="BAB21" s="85"/>
      <c r="BAC21" s="85">
        <v>652</v>
      </c>
      <c r="BAD21" s="52">
        <f t="shared" si="464"/>
        <v>652</v>
      </c>
      <c r="BAE21" s="53">
        <f t="shared" si="465"/>
        <v>108.66666666666667</v>
      </c>
      <c r="BAF21" s="50"/>
      <c r="BAG21" s="51"/>
      <c r="BAH21" s="51">
        <v>976</v>
      </c>
      <c r="BAI21" s="51"/>
      <c r="BAJ21" s="51"/>
      <c r="BAK21" s="51"/>
      <c r="BAL21" s="52">
        <f t="shared" si="466"/>
        <v>976</v>
      </c>
      <c r="BAM21" s="53">
        <f t="shared" si="467"/>
        <v>162.66666666666666</v>
      </c>
      <c r="BAN21" s="50"/>
      <c r="BAO21" s="51"/>
      <c r="BAP21" s="51"/>
      <c r="BAQ21" s="51"/>
      <c r="BAR21" s="51"/>
      <c r="BAS21" s="51">
        <v>653</v>
      </c>
      <c r="BAT21" s="52">
        <f t="shared" si="468"/>
        <v>653</v>
      </c>
      <c r="BAU21" s="53">
        <f t="shared" si="469"/>
        <v>108.83333333333333</v>
      </c>
      <c r="BAV21" s="50"/>
      <c r="BAW21" s="51"/>
      <c r="BAX21" s="51"/>
      <c r="BAY21" s="51"/>
      <c r="BAZ21" s="51"/>
      <c r="BBA21" s="51"/>
      <c r="BBB21" s="52">
        <f t="shared" si="470"/>
        <v>0</v>
      </c>
      <c r="BBC21" s="53">
        <f t="shared" si="471"/>
        <v>0</v>
      </c>
      <c r="BBD21" s="50">
        <v>994</v>
      </c>
      <c r="BBE21" s="51"/>
      <c r="BBF21" s="51"/>
      <c r="BBG21" s="51"/>
      <c r="BBH21" s="51"/>
      <c r="BBI21" s="51"/>
      <c r="BBJ21" s="52">
        <f t="shared" si="472"/>
        <v>994</v>
      </c>
      <c r="BBK21" s="53">
        <f t="shared" si="473"/>
        <v>165.66666666666666</v>
      </c>
      <c r="BBL21" s="50"/>
      <c r="BBM21" s="51"/>
      <c r="BBN21" s="51"/>
      <c r="BBO21" s="51">
        <v>657</v>
      </c>
      <c r="BBP21" s="51"/>
      <c r="BBQ21" s="51"/>
      <c r="BBR21" s="52">
        <f t="shared" si="474"/>
        <v>657</v>
      </c>
      <c r="BBS21" s="53">
        <f t="shared" si="475"/>
        <v>109.5</v>
      </c>
      <c r="BBT21" s="50"/>
      <c r="BBU21" s="51"/>
      <c r="BBV21" s="51"/>
      <c r="BBW21" s="51"/>
      <c r="BBX21" s="51"/>
      <c r="BBY21" s="51"/>
      <c r="BBZ21" s="52">
        <f t="shared" si="476"/>
        <v>0</v>
      </c>
      <c r="BCA21" s="53">
        <f t="shared" si="477"/>
        <v>0</v>
      </c>
      <c r="BCB21" s="50"/>
      <c r="BCC21" s="51"/>
      <c r="BCD21" s="51"/>
      <c r="BCE21" s="51">
        <v>654</v>
      </c>
      <c r="BCF21" s="51"/>
      <c r="BCG21" s="51">
        <v>649</v>
      </c>
      <c r="BCH21" s="42">
        <f t="shared" ref="BCH21" si="1212">SUM(BCB21:BCG21)</f>
        <v>1303</v>
      </c>
      <c r="BCI21" s="43">
        <f t="shared" ref="BCI21" si="1213">BCH21/$BBC$5</f>
        <v>217.16666666666666</v>
      </c>
      <c r="BCJ21" s="50"/>
      <c r="BCK21" s="51"/>
      <c r="BCL21" s="51"/>
      <c r="BCM21" s="51">
        <v>440</v>
      </c>
      <c r="BCN21" s="51"/>
      <c r="BCO21" s="51">
        <v>211</v>
      </c>
      <c r="BCP21" s="52">
        <f t="shared" si="480"/>
        <v>651</v>
      </c>
      <c r="BCQ21" s="53">
        <f t="shared" si="481"/>
        <v>108.5</v>
      </c>
      <c r="BCR21" s="50"/>
      <c r="BCS21" s="51"/>
      <c r="BCT21" s="51"/>
      <c r="BCU21" s="51"/>
      <c r="BCV21" s="51">
        <v>651</v>
      </c>
      <c r="BCW21" s="51"/>
      <c r="BCX21" s="52">
        <f t="shared" si="482"/>
        <v>651</v>
      </c>
      <c r="BCY21" s="53">
        <f t="shared" si="483"/>
        <v>108.5</v>
      </c>
      <c r="BCZ21" s="50"/>
      <c r="BDA21" s="51"/>
      <c r="BDB21" s="51"/>
      <c r="BDC21" s="51"/>
      <c r="BDD21" s="51"/>
      <c r="BDE21" s="51"/>
      <c r="BDF21" s="52">
        <f t="shared" si="484"/>
        <v>0</v>
      </c>
      <c r="BDG21" s="53">
        <f t="shared" si="485"/>
        <v>0</v>
      </c>
      <c r="BDH21" s="50"/>
      <c r="BDI21" s="51"/>
      <c r="BDJ21" s="51"/>
      <c r="BDK21" s="51"/>
      <c r="BDL21" s="51"/>
      <c r="BDM21" s="51"/>
      <c r="BDN21" s="52">
        <f t="shared" si="486"/>
        <v>0</v>
      </c>
      <c r="BDO21" s="53">
        <f t="shared" si="487"/>
        <v>0</v>
      </c>
      <c r="BDP21" s="50"/>
      <c r="BDQ21" s="51"/>
      <c r="BDR21" s="51"/>
      <c r="BDS21" s="51"/>
      <c r="BDT21" s="51"/>
      <c r="BDU21" s="51"/>
      <c r="BDV21" s="52">
        <f t="shared" si="488"/>
        <v>0</v>
      </c>
      <c r="BDW21" s="53">
        <f t="shared" si="489"/>
        <v>0</v>
      </c>
      <c r="BDX21" s="50"/>
      <c r="BDY21" s="51"/>
      <c r="BDZ21" s="51">
        <v>640</v>
      </c>
      <c r="BEA21" s="51"/>
      <c r="BEB21" s="51"/>
      <c r="BEC21" s="51"/>
      <c r="BED21" s="52">
        <f t="shared" si="490"/>
        <v>640</v>
      </c>
      <c r="BEE21" s="53">
        <f t="shared" si="491"/>
        <v>106.66666666666667</v>
      </c>
      <c r="BEF21" s="50"/>
      <c r="BEG21" s="51"/>
      <c r="BEH21" s="51"/>
      <c r="BEI21" s="51"/>
      <c r="BEJ21" s="51"/>
      <c r="BEK21" s="51"/>
      <c r="BEL21" s="52">
        <f t="shared" si="492"/>
        <v>0</v>
      </c>
      <c r="BEM21" s="53">
        <f t="shared" si="493"/>
        <v>0</v>
      </c>
      <c r="BEN21" s="50"/>
      <c r="BEO21" s="51"/>
      <c r="BEP21" s="51">
        <v>647</v>
      </c>
      <c r="BEQ21" s="51"/>
      <c r="BER21" s="51"/>
      <c r="BES21" s="51"/>
      <c r="BET21" s="52">
        <f t="shared" si="494"/>
        <v>647</v>
      </c>
      <c r="BEU21" s="53">
        <f t="shared" si="495"/>
        <v>107.83333333333333</v>
      </c>
      <c r="BEV21" s="84">
        <v>645</v>
      </c>
      <c r="BEW21" s="85"/>
      <c r="BEX21" s="85"/>
      <c r="BEY21" s="85">
        <v>643</v>
      </c>
      <c r="BEZ21" s="85"/>
      <c r="BFA21" s="85"/>
      <c r="BFB21" s="52">
        <f t="shared" si="496"/>
        <v>1288</v>
      </c>
      <c r="BFC21" s="53">
        <f t="shared" si="497"/>
        <v>214.66666666666666</v>
      </c>
      <c r="BFD21" s="50"/>
      <c r="BFE21" s="51"/>
      <c r="BFF21" s="51"/>
      <c r="BFG21" s="51"/>
      <c r="BFH21" s="51"/>
      <c r="BFI21" s="51"/>
      <c r="BFJ21" s="52">
        <f t="shared" si="498"/>
        <v>0</v>
      </c>
      <c r="BFK21" s="53">
        <f t="shared" si="499"/>
        <v>0</v>
      </c>
      <c r="BFL21" s="50"/>
      <c r="BFM21" s="51"/>
      <c r="BFN21" s="51"/>
      <c r="BFO21" s="51"/>
      <c r="BFP21" s="51">
        <v>651</v>
      </c>
      <c r="BFQ21" s="51"/>
      <c r="BFR21" s="52">
        <f t="shared" si="500"/>
        <v>651</v>
      </c>
      <c r="BFS21" s="53">
        <f t="shared" si="501"/>
        <v>108.5</v>
      </c>
      <c r="BFT21" s="50"/>
      <c r="BFU21" s="51"/>
      <c r="BFV21" s="51"/>
      <c r="BFW21" s="51"/>
      <c r="BFX21" s="51"/>
      <c r="BFY21" s="51"/>
      <c r="BFZ21" s="52">
        <f t="shared" si="502"/>
        <v>0</v>
      </c>
      <c r="BGA21" s="53">
        <f t="shared" si="503"/>
        <v>0</v>
      </c>
      <c r="BGB21" s="50">
        <v>639</v>
      </c>
      <c r="BGC21" s="51"/>
      <c r="BGD21" s="51"/>
      <c r="BGE21" s="51"/>
      <c r="BGF21" s="51"/>
      <c r="BGG21" s="51"/>
      <c r="BGH21" s="52">
        <f t="shared" si="504"/>
        <v>639</v>
      </c>
      <c r="BGI21" s="53">
        <f t="shared" si="505"/>
        <v>106.5</v>
      </c>
      <c r="BGJ21" s="50"/>
      <c r="BGK21" s="51"/>
      <c r="BGL21" s="51"/>
      <c r="BGM21" s="51"/>
      <c r="BGN21" s="51"/>
      <c r="BGO21" s="51">
        <v>634</v>
      </c>
      <c r="BGP21" s="52">
        <f t="shared" si="506"/>
        <v>634</v>
      </c>
      <c r="BGQ21" s="53">
        <f t="shared" si="507"/>
        <v>105.66666666666667</v>
      </c>
      <c r="BGR21" s="50"/>
      <c r="BGS21" s="51"/>
      <c r="BGT21" s="51"/>
      <c r="BGU21" s="51"/>
      <c r="BGV21" s="51"/>
      <c r="BGW21" s="51"/>
      <c r="BGX21" s="52">
        <f t="shared" si="508"/>
        <v>0</v>
      </c>
      <c r="BGY21" s="53">
        <f t="shared" si="509"/>
        <v>0</v>
      </c>
      <c r="BGZ21" s="50"/>
      <c r="BHA21" s="51">
        <v>630</v>
      </c>
      <c r="BHB21" s="51"/>
      <c r="BHC21" s="51"/>
      <c r="BHD21" s="51"/>
      <c r="BHE21" s="51">
        <v>630</v>
      </c>
      <c r="BHF21" s="52">
        <f t="shared" si="510"/>
        <v>1260</v>
      </c>
      <c r="BHG21" s="53">
        <f t="shared" si="511"/>
        <v>210</v>
      </c>
      <c r="BHH21" s="65"/>
      <c r="BHI21" s="66"/>
      <c r="BHJ21" s="66"/>
      <c r="BHK21" s="66"/>
      <c r="BHL21" s="66"/>
      <c r="BHM21" s="66"/>
      <c r="BHN21" s="52">
        <f t="shared" si="512"/>
        <v>0</v>
      </c>
      <c r="BHO21" s="53">
        <f t="shared" si="513"/>
        <v>0</v>
      </c>
      <c r="BHP21" s="50"/>
      <c r="BHQ21" s="51"/>
      <c r="BHR21" s="51"/>
      <c r="BHS21" s="51">
        <v>651</v>
      </c>
      <c r="BHT21" s="51"/>
      <c r="BHU21" s="51"/>
      <c r="BHV21" s="52">
        <f t="shared" si="514"/>
        <v>651</v>
      </c>
      <c r="BHW21" s="53">
        <f t="shared" si="515"/>
        <v>108.5</v>
      </c>
      <c r="BHX21" s="50"/>
      <c r="BHY21" s="51"/>
      <c r="BHZ21" s="51"/>
      <c r="BIA21" s="51">
        <v>440</v>
      </c>
      <c r="BIB21" s="51">
        <v>199</v>
      </c>
      <c r="BIC21" s="51"/>
      <c r="BID21" s="52">
        <f t="shared" si="516"/>
        <v>639</v>
      </c>
      <c r="BIE21" s="53">
        <f t="shared" si="517"/>
        <v>106.5</v>
      </c>
      <c r="BIF21" s="50"/>
      <c r="BIG21" s="51"/>
      <c r="BIH21" s="51">
        <v>655</v>
      </c>
      <c r="BII21" s="51"/>
      <c r="BIJ21" s="51"/>
      <c r="BIK21" s="51"/>
      <c r="BIL21" s="52">
        <f t="shared" si="518"/>
        <v>655</v>
      </c>
      <c r="BIM21" s="53">
        <f t="shared" si="519"/>
        <v>109.16666666666667</v>
      </c>
      <c r="BIN21" s="50">
        <v>658</v>
      </c>
      <c r="BIO21" s="51"/>
      <c r="BIP21" s="51"/>
      <c r="BIQ21" s="51"/>
      <c r="BIR21" s="51"/>
      <c r="BIS21" s="51">
        <v>955</v>
      </c>
      <c r="BIT21" s="52">
        <f t="shared" si="520"/>
        <v>1613</v>
      </c>
      <c r="BIU21" s="53">
        <f t="shared" si="521"/>
        <v>268.83333333333331</v>
      </c>
      <c r="BIV21" s="50"/>
      <c r="BIW21" s="51"/>
      <c r="BIX21" s="51"/>
      <c r="BIY21" s="51"/>
      <c r="BIZ21" s="51"/>
      <c r="BJA21" s="51"/>
      <c r="BJB21" s="52">
        <f t="shared" si="522"/>
        <v>0</v>
      </c>
      <c r="BJC21" s="53">
        <f t="shared" si="523"/>
        <v>0</v>
      </c>
      <c r="BJD21" s="50">
        <v>637</v>
      </c>
      <c r="BJE21" s="51"/>
      <c r="BJF21" s="51"/>
      <c r="BJG21" s="51"/>
      <c r="BJH21" s="51"/>
      <c r="BJI21" s="51"/>
      <c r="BJJ21" s="52">
        <f t="shared" si="524"/>
        <v>637</v>
      </c>
      <c r="BJK21" s="53">
        <f t="shared" si="525"/>
        <v>106.16666666666667</v>
      </c>
      <c r="BJL21" s="50"/>
      <c r="BJM21" s="51"/>
      <c r="BJN21" s="51"/>
      <c r="BJO21" s="51"/>
      <c r="BJP21" s="51"/>
      <c r="BJQ21" s="51"/>
      <c r="BJR21" s="52">
        <f t="shared" si="526"/>
        <v>0</v>
      </c>
      <c r="BJS21" s="53">
        <f t="shared" si="527"/>
        <v>0</v>
      </c>
      <c r="BJT21" s="65">
        <v>973</v>
      </c>
      <c r="BJU21" s="66"/>
      <c r="BJV21" s="66"/>
      <c r="BJW21" s="66"/>
      <c r="BJX21" s="66"/>
      <c r="BJY21" s="66"/>
      <c r="BJZ21" s="52">
        <f t="shared" si="528"/>
        <v>973</v>
      </c>
      <c r="BKA21" s="43">
        <f t="shared" si="529"/>
        <v>194.6</v>
      </c>
      <c r="BKB21" s="50"/>
      <c r="BKC21" s="51"/>
      <c r="BKD21" s="51"/>
      <c r="BKE21" s="51">
        <v>955</v>
      </c>
      <c r="BKF21" s="51"/>
      <c r="BKG21" s="51"/>
      <c r="BKH21" s="69">
        <f t="shared" si="530"/>
        <v>955</v>
      </c>
      <c r="BKI21" s="70">
        <f t="shared" si="531"/>
        <v>159.16666666666666</v>
      </c>
      <c r="BKJ21" s="50"/>
      <c r="BKK21" s="51"/>
      <c r="BKL21" s="51"/>
      <c r="BKM21" s="51">
        <v>330</v>
      </c>
      <c r="BKN21" s="51">
        <v>656</v>
      </c>
      <c r="BKO21" s="51"/>
      <c r="BKP21" s="52">
        <f t="shared" si="532"/>
        <v>986</v>
      </c>
      <c r="BKQ21" s="53">
        <f t="shared" si="533"/>
        <v>164.33333333333334</v>
      </c>
      <c r="BKR21" s="50"/>
      <c r="BKS21" s="51"/>
      <c r="BKT21" s="51"/>
      <c r="BKU21" s="51"/>
      <c r="BKV21" s="51"/>
      <c r="BKW21" s="51"/>
      <c r="BKX21" s="52">
        <f t="shared" si="534"/>
        <v>0</v>
      </c>
      <c r="BKY21" s="53">
        <f t="shared" si="535"/>
        <v>0</v>
      </c>
      <c r="BKZ21" s="50"/>
      <c r="BLA21" s="51"/>
      <c r="BLB21" s="51"/>
      <c r="BLC21" s="51"/>
      <c r="BLD21" s="51"/>
      <c r="BLE21" s="51"/>
      <c r="BLF21" s="52">
        <f t="shared" si="536"/>
        <v>0</v>
      </c>
      <c r="BLG21" s="53">
        <f t="shared" si="537"/>
        <v>0</v>
      </c>
      <c r="BLH21" s="50"/>
      <c r="BLI21" s="51"/>
      <c r="BLJ21" s="51">
        <v>992</v>
      </c>
      <c r="BLK21" s="51"/>
      <c r="BLL21" s="51"/>
      <c r="BLM21" s="51"/>
      <c r="BLN21" s="52">
        <f t="shared" si="538"/>
        <v>992</v>
      </c>
      <c r="BLO21" s="53">
        <f t="shared" si="539"/>
        <v>165.33333333333334</v>
      </c>
      <c r="BLP21" s="50"/>
      <c r="BLQ21" s="51"/>
      <c r="BLR21" s="51"/>
      <c r="BLS21" s="51"/>
      <c r="BLT21" s="51"/>
      <c r="BLU21" s="51"/>
      <c r="BLV21" s="52">
        <f t="shared" si="540"/>
        <v>0</v>
      </c>
      <c r="BLW21" s="53">
        <f t="shared" si="541"/>
        <v>0</v>
      </c>
      <c r="BLX21" s="65"/>
      <c r="BLY21" s="66"/>
      <c r="BLZ21" s="66">
        <v>955</v>
      </c>
      <c r="BMA21" s="66"/>
      <c r="BMB21" s="66"/>
      <c r="BMC21" s="66"/>
      <c r="BMD21" s="52">
        <f t="shared" si="542"/>
        <v>955</v>
      </c>
      <c r="BME21" s="53">
        <f t="shared" si="543"/>
        <v>159.16666666666666</v>
      </c>
      <c r="BMF21" s="50"/>
      <c r="BMG21" s="51"/>
      <c r="BMH21" s="51"/>
      <c r="BMI21" s="51"/>
      <c r="BMJ21" s="51">
        <v>631</v>
      </c>
      <c r="BMK21" s="51"/>
      <c r="BML21" s="52">
        <f t="shared" si="544"/>
        <v>631</v>
      </c>
      <c r="BMM21" s="53">
        <f t="shared" si="545"/>
        <v>105.16666666666667</v>
      </c>
      <c r="BMN21" s="65"/>
      <c r="BMO21" s="66"/>
      <c r="BMP21" s="66"/>
      <c r="BMQ21" s="66"/>
      <c r="BMR21" s="66"/>
      <c r="BMS21" s="66">
        <v>950</v>
      </c>
      <c r="BMT21" s="52">
        <f t="shared" si="546"/>
        <v>950</v>
      </c>
      <c r="BMU21" s="53">
        <f t="shared" si="547"/>
        <v>158.33333333333334</v>
      </c>
      <c r="BMV21" s="50"/>
      <c r="BMW21" s="51"/>
      <c r="BMX21" s="51"/>
      <c r="BMY21" s="51"/>
      <c r="BMZ21" s="51"/>
      <c r="BNA21" s="51"/>
      <c r="BNB21" s="52">
        <f t="shared" si="548"/>
        <v>0</v>
      </c>
      <c r="BNC21" s="53">
        <f t="shared" si="549"/>
        <v>0</v>
      </c>
      <c r="BND21" s="50"/>
      <c r="BNE21" s="51"/>
      <c r="BNF21" s="51"/>
      <c r="BNG21" s="51">
        <v>952</v>
      </c>
      <c r="BNH21" s="51"/>
      <c r="BNI21" s="51"/>
      <c r="BNJ21" s="52">
        <f t="shared" si="550"/>
        <v>952</v>
      </c>
      <c r="BNK21" s="53">
        <f t="shared" si="551"/>
        <v>158.66666666666666</v>
      </c>
      <c r="BNL21" s="50"/>
      <c r="BNM21" s="51"/>
      <c r="BNN21" s="51"/>
      <c r="BNO21" s="51"/>
      <c r="BNP21" s="51"/>
      <c r="BNQ21" s="51"/>
      <c r="BNR21" s="52">
        <f t="shared" si="552"/>
        <v>0</v>
      </c>
      <c r="BNS21" s="53">
        <f t="shared" si="553"/>
        <v>0</v>
      </c>
      <c r="BNT21" s="50"/>
      <c r="BNU21" s="51"/>
      <c r="BNV21" s="51">
        <v>980</v>
      </c>
      <c r="BNW21" s="51"/>
      <c r="BNX21" s="51"/>
      <c r="BNY21" s="51"/>
      <c r="BNZ21" s="52">
        <f t="shared" si="554"/>
        <v>980</v>
      </c>
      <c r="BOA21" s="53">
        <f t="shared" si="555"/>
        <v>163.33333333333334</v>
      </c>
      <c r="BOB21" s="50"/>
      <c r="BOC21" s="51"/>
      <c r="BOD21" s="51"/>
      <c r="BOE21" s="51">
        <v>640</v>
      </c>
      <c r="BOF21" s="51"/>
      <c r="BOG21" s="51"/>
      <c r="BOH21" s="52">
        <f t="shared" si="556"/>
        <v>640</v>
      </c>
      <c r="BOI21" s="53">
        <f t="shared" si="557"/>
        <v>106.66666666666667</v>
      </c>
      <c r="BOJ21" s="50"/>
      <c r="BOK21" s="51"/>
      <c r="BOL21" s="51"/>
      <c r="BOM21" s="51"/>
      <c r="BON21" s="51"/>
      <c r="BOO21" s="51"/>
      <c r="BOP21" s="52">
        <f t="shared" si="558"/>
        <v>0</v>
      </c>
      <c r="BOQ21" s="53">
        <f t="shared" si="559"/>
        <v>0</v>
      </c>
      <c r="BOR21" s="50"/>
      <c r="BOS21" s="51"/>
      <c r="BOT21" s="51">
        <v>993</v>
      </c>
      <c r="BOU21" s="51"/>
      <c r="BOV21" s="51"/>
      <c r="BOW21" s="51"/>
      <c r="BOX21" s="52">
        <f t="shared" si="560"/>
        <v>993</v>
      </c>
      <c r="BOY21" s="53">
        <f t="shared" si="561"/>
        <v>165.5</v>
      </c>
      <c r="BOZ21" s="65"/>
      <c r="BPA21" s="66"/>
      <c r="BPB21" s="66"/>
      <c r="BPC21" s="66">
        <v>752</v>
      </c>
      <c r="BPD21" s="66"/>
      <c r="BPE21" s="66"/>
      <c r="BPF21" s="52">
        <f t="shared" si="562"/>
        <v>752</v>
      </c>
      <c r="BPG21" s="53">
        <f t="shared" si="563"/>
        <v>125.33333333333333</v>
      </c>
      <c r="BPH21" s="50"/>
      <c r="BPI21" s="51"/>
      <c r="BPJ21" s="51"/>
      <c r="BPK21" s="51"/>
      <c r="BPL21" s="51"/>
      <c r="BPM21" s="51"/>
      <c r="BPN21" s="52">
        <f t="shared" si="564"/>
        <v>0</v>
      </c>
      <c r="BPO21" s="53">
        <f t="shared" si="565"/>
        <v>0</v>
      </c>
      <c r="BPP21" s="50"/>
      <c r="BPQ21" s="51"/>
      <c r="BPR21" s="51"/>
      <c r="BPS21" s="51"/>
      <c r="BPT21" s="51"/>
      <c r="BPU21" s="51"/>
      <c r="BPV21" s="52">
        <f t="shared" si="566"/>
        <v>0</v>
      </c>
      <c r="BPW21" s="53">
        <f t="shared" si="567"/>
        <v>0</v>
      </c>
      <c r="BPX21" s="50"/>
      <c r="BPY21" s="51"/>
      <c r="BPZ21" s="51"/>
      <c r="BQA21" s="51"/>
      <c r="BQB21" s="51"/>
      <c r="BQC21" s="51">
        <v>650</v>
      </c>
      <c r="BQD21" s="69">
        <f t="shared" si="568"/>
        <v>650</v>
      </c>
      <c r="BQE21" s="53">
        <f t="shared" si="569"/>
        <v>108.33333333333333</v>
      </c>
      <c r="BQF21" s="65"/>
      <c r="BQG21" s="66">
        <v>649</v>
      </c>
      <c r="BQH21" s="66"/>
      <c r="BQI21" s="66"/>
      <c r="BQJ21" s="66"/>
      <c r="BQK21" s="66">
        <v>659</v>
      </c>
      <c r="BQL21" s="69">
        <f t="shared" si="570"/>
        <v>1308</v>
      </c>
      <c r="BQM21" s="53">
        <f t="shared" si="571"/>
        <v>218</v>
      </c>
      <c r="BQN21" s="65"/>
      <c r="BQO21" s="66"/>
      <c r="BQP21" s="66"/>
      <c r="BQQ21" s="66"/>
      <c r="BQR21" s="66"/>
      <c r="BQS21" s="66"/>
      <c r="BQT21" s="69">
        <f t="shared" si="572"/>
        <v>0</v>
      </c>
      <c r="BQU21" s="53">
        <f t="shared" si="573"/>
        <v>0</v>
      </c>
      <c r="BQV21" s="50"/>
      <c r="BQW21" s="51">
        <v>661</v>
      </c>
      <c r="BQX21" s="51"/>
      <c r="BQY21" s="51"/>
      <c r="BQZ21" s="51"/>
      <c r="BRA21" s="51"/>
      <c r="BRB21" s="67">
        <f t="shared" si="574"/>
        <v>661</v>
      </c>
      <c r="BRC21" s="43">
        <f t="shared" si="575"/>
        <v>110.16666666666667</v>
      </c>
      <c r="BRD21" s="50"/>
      <c r="BRE21" s="51">
        <v>805</v>
      </c>
      <c r="BRF21" s="51"/>
      <c r="BRG21" s="51"/>
      <c r="BRH21" s="51"/>
      <c r="BRI21" s="51"/>
      <c r="BRJ21" s="69">
        <f t="shared" si="576"/>
        <v>805</v>
      </c>
      <c r="BRK21" s="53">
        <f t="shared" si="577"/>
        <v>134.16666666666666</v>
      </c>
      <c r="BRL21" s="50">
        <v>990</v>
      </c>
      <c r="BRM21" s="51"/>
      <c r="BRN21" s="51"/>
      <c r="BRO21" s="51"/>
      <c r="BRP21" s="51"/>
      <c r="BRQ21" s="51"/>
      <c r="BRR21" s="67">
        <f t="shared" si="578"/>
        <v>990</v>
      </c>
      <c r="BRS21" s="68">
        <f t="shared" si="579"/>
        <v>165</v>
      </c>
      <c r="BRT21" s="65"/>
      <c r="BRU21" s="66">
        <v>645</v>
      </c>
      <c r="BRV21" s="66"/>
      <c r="BRW21" s="66"/>
      <c r="BRX21" s="66"/>
      <c r="BRY21" s="66"/>
      <c r="BRZ21" s="69">
        <f t="shared" si="580"/>
        <v>645</v>
      </c>
      <c r="BSA21" s="53">
        <f t="shared" si="581"/>
        <v>107.5</v>
      </c>
      <c r="BSB21" s="65">
        <v>660</v>
      </c>
      <c r="BSC21" s="66"/>
      <c r="BSD21" s="66">
        <v>981</v>
      </c>
      <c r="BSE21" s="66"/>
      <c r="BSF21" s="66"/>
      <c r="BSG21" s="66"/>
      <c r="BSH21" s="69">
        <f t="shared" si="582"/>
        <v>1641</v>
      </c>
      <c r="BSI21" s="53">
        <f t="shared" si="583"/>
        <v>273.5</v>
      </c>
      <c r="BSJ21" s="65"/>
      <c r="BSK21" s="66"/>
      <c r="BSL21" s="66">
        <v>977</v>
      </c>
      <c r="BSM21" s="66"/>
      <c r="BSN21" s="66"/>
      <c r="BSO21" s="66"/>
      <c r="BSP21" s="69">
        <f t="shared" si="584"/>
        <v>977</v>
      </c>
      <c r="BSQ21" s="53">
        <f t="shared" si="585"/>
        <v>162.83333333333334</v>
      </c>
      <c r="BSR21" s="65"/>
      <c r="BSS21" s="66"/>
      <c r="BST21" s="66"/>
      <c r="BSU21" s="66">
        <v>978</v>
      </c>
      <c r="BSV21" s="66"/>
      <c r="BSW21" s="66"/>
      <c r="BSX21" s="69">
        <f t="shared" si="586"/>
        <v>978</v>
      </c>
      <c r="BSY21" s="53">
        <f t="shared" si="587"/>
        <v>163</v>
      </c>
      <c r="BSZ21" s="65"/>
      <c r="BTA21" s="66">
        <v>770</v>
      </c>
      <c r="BTB21" s="66">
        <v>206</v>
      </c>
      <c r="BTC21" s="66"/>
      <c r="BTD21" s="66"/>
      <c r="BTE21" s="66"/>
      <c r="BTF21" s="67">
        <f t="shared" si="588"/>
        <v>976</v>
      </c>
      <c r="BTG21" s="43">
        <f t="shared" si="589"/>
        <v>162.66666666666666</v>
      </c>
      <c r="BTH21" s="65">
        <v>652</v>
      </c>
      <c r="BTI21" s="66"/>
      <c r="BTJ21" s="66"/>
      <c r="BTK21" s="66"/>
      <c r="BTL21" s="66">
        <v>662</v>
      </c>
      <c r="BTM21" s="66"/>
      <c r="BTN21" s="69">
        <f t="shared" si="590"/>
        <v>1314</v>
      </c>
      <c r="BTO21" s="70">
        <f t="shared" si="591"/>
        <v>219</v>
      </c>
      <c r="BTP21" s="50"/>
      <c r="BTQ21" s="51"/>
      <c r="BTR21" s="51"/>
      <c r="BTS21" s="51"/>
      <c r="BTT21" s="51"/>
      <c r="BTU21" s="51"/>
      <c r="BTV21" s="69">
        <f t="shared" si="592"/>
        <v>0</v>
      </c>
      <c r="BTW21" s="53">
        <f t="shared" si="593"/>
        <v>0</v>
      </c>
      <c r="BTX21" s="65">
        <v>651</v>
      </c>
      <c r="BTY21" s="66"/>
      <c r="BTZ21" s="66"/>
      <c r="BUA21" s="66"/>
      <c r="BUB21" s="66"/>
      <c r="BUC21" s="66"/>
      <c r="BUD21" s="69">
        <f t="shared" si="594"/>
        <v>651</v>
      </c>
      <c r="BUE21" s="70">
        <f t="shared" si="595"/>
        <v>108.5</v>
      </c>
      <c r="BUF21" s="50"/>
      <c r="BUG21" s="51"/>
      <c r="BUH21" s="51">
        <v>333</v>
      </c>
      <c r="BUI21" s="51"/>
      <c r="BUJ21" s="51"/>
      <c r="BUK21" s="51"/>
      <c r="BUL21" s="69">
        <f t="shared" si="596"/>
        <v>333</v>
      </c>
      <c r="BUM21" s="70">
        <f t="shared" si="597"/>
        <v>55.5</v>
      </c>
      <c r="BUN21" s="65"/>
      <c r="BUO21" s="66"/>
      <c r="BUP21" s="66">
        <v>2323</v>
      </c>
      <c r="BUQ21" s="66"/>
      <c r="BUR21" s="66"/>
      <c r="BUS21" s="66"/>
      <c r="BUT21" s="69">
        <f t="shared" si="598"/>
        <v>2323</v>
      </c>
      <c r="BUU21" s="70">
        <f t="shared" si="599"/>
        <v>387.16666666666669</v>
      </c>
      <c r="BUV21" s="50"/>
      <c r="BUW21" s="51"/>
      <c r="BUX21" s="51"/>
      <c r="BUY21" s="51"/>
      <c r="BUZ21" s="51"/>
      <c r="BVA21" s="51"/>
      <c r="BVB21" s="69">
        <f t="shared" si="600"/>
        <v>0</v>
      </c>
      <c r="BVC21" s="70">
        <f t="shared" si="601"/>
        <v>0</v>
      </c>
      <c r="BVD21" s="50"/>
      <c r="BVE21" s="51"/>
      <c r="BVF21" s="51"/>
      <c r="BVG21" s="51"/>
      <c r="BVH21" s="51"/>
      <c r="BVI21" s="51"/>
      <c r="BVJ21" s="69">
        <f t="shared" si="602"/>
        <v>0</v>
      </c>
      <c r="BVK21" s="70">
        <f t="shared" si="603"/>
        <v>0</v>
      </c>
      <c r="BVL21" s="50"/>
      <c r="BVM21" s="51"/>
      <c r="BVN21" s="51"/>
      <c r="BVO21" s="51"/>
      <c r="BVP21" s="51"/>
      <c r="BVQ21" s="51"/>
      <c r="BVR21" s="69">
        <f t="shared" si="604"/>
        <v>0</v>
      </c>
      <c r="BVS21" s="70">
        <f t="shared" si="605"/>
        <v>0</v>
      </c>
      <c r="BVT21" s="50"/>
      <c r="BVU21" s="51">
        <v>318</v>
      </c>
      <c r="BVV21" s="51"/>
      <c r="BVW21" s="51"/>
      <c r="BVX21" s="51"/>
      <c r="BVY21" s="51"/>
      <c r="BVZ21" s="69">
        <f t="shared" si="606"/>
        <v>318</v>
      </c>
      <c r="BWA21" s="70">
        <f t="shared" si="607"/>
        <v>53</v>
      </c>
      <c r="BWB21" s="50"/>
      <c r="BWC21" s="51"/>
      <c r="BWD21" s="51"/>
      <c r="BWE21" s="51"/>
      <c r="BWF21" s="51"/>
      <c r="BWG21" s="51"/>
      <c r="BWH21" s="69">
        <f t="shared" si="608"/>
        <v>0</v>
      </c>
      <c r="BWI21" s="70">
        <f t="shared" si="609"/>
        <v>0</v>
      </c>
      <c r="BWJ21" s="50"/>
      <c r="BWK21" s="51"/>
      <c r="BWL21" s="51">
        <v>308</v>
      </c>
      <c r="BWM21" s="51"/>
      <c r="BWN21" s="51"/>
      <c r="BWO21" s="51"/>
      <c r="BWP21" s="69">
        <f t="shared" si="610"/>
        <v>308</v>
      </c>
      <c r="BWQ21" s="70">
        <f t="shared" si="611"/>
        <v>51.333333333333336</v>
      </c>
      <c r="BWR21" s="50"/>
      <c r="BWS21" s="51"/>
      <c r="BWT21" s="51"/>
      <c r="BWU21" s="51"/>
      <c r="BWV21" s="51"/>
      <c r="BWW21" s="51"/>
      <c r="BWX21" s="69">
        <f t="shared" si="612"/>
        <v>0</v>
      </c>
      <c r="BWY21" s="70">
        <f t="shared" si="613"/>
        <v>0</v>
      </c>
      <c r="BWZ21" s="50"/>
      <c r="BXA21" s="51"/>
      <c r="BXB21" s="51"/>
      <c r="BXC21" s="51"/>
      <c r="BXD21" s="51">
        <v>321</v>
      </c>
      <c r="BXE21" s="51"/>
      <c r="BXF21" s="69">
        <f t="shared" si="614"/>
        <v>321</v>
      </c>
      <c r="BXG21" s="70">
        <f t="shared" si="615"/>
        <v>53.5</v>
      </c>
      <c r="BXH21" s="50"/>
      <c r="BXI21" s="51"/>
      <c r="BXJ21" s="51"/>
      <c r="BXK21" s="51"/>
      <c r="BXL21" s="51"/>
      <c r="BXM21" s="51"/>
      <c r="BXN21" s="69">
        <f t="shared" si="616"/>
        <v>0</v>
      </c>
      <c r="BXO21" s="70">
        <f t="shared" si="617"/>
        <v>0</v>
      </c>
      <c r="BXP21" s="65"/>
      <c r="BXQ21" s="66">
        <v>321</v>
      </c>
      <c r="BXR21" s="66"/>
      <c r="BXS21" s="66"/>
      <c r="BXT21" s="66"/>
      <c r="BXV21" s="69">
        <f t="shared" si="73"/>
        <v>321</v>
      </c>
      <c r="BXW21" s="68">
        <f t="shared" si="618"/>
        <v>53.5</v>
      </c>
      <c r="BXX21" s="50"/>
      <c r="BXY21" s="51"/>
      <c r="BXZ21" s="51"/>
      <c r="BYA21" s="51"/>
      <c r="BYB21" s="51"/>
      <c r="BYC21" s="51"/>
      <c r="BYD21" s="69">
        <f t="shared" si="619"/>
        <v>0</v>
      </c>
      <c r="BYE21" s="70">
        <f t="shared" si="620"/>
        <v>0</v>
      </c>
      <c r="BYF21" s="65"/>
      <c r="BYG21" s="66"/>
      <c r="BYH21" s="66"/>
      <c r="BYI21" s="66">
        <v>322</v>
      </c>
      <c r="BYJ21" s="66"/>
      <c r="BYK21" s="66"/>
      <c r="BYL21" s="69">
        <f t="shared" si="621"/>
        <v>322</v>
      </c>
      <c r="BYM21" s="70">
        <f t="shared" si="622"/>
        <v>53.666666666666664</v>
      </c>
      <c r="BYN21" s="50"/>
      <c r="BYO21" s="51"/>
      <c r="BYP21" s="51"/>
      <c r="BYQ21" s="51"/>
      <c r="BYR21" s="51"/>
      <c r="BYS21" s="51"/>
      <c r="BYT21" s="69">
        <f t="shared" si="623"/>
        <v>0</v>
      </c>
      <c r="BYU21" s="70">
        <f t="shared" si="624"/>
        <v>0</v>
      </c>
      <c r="BYV21" s="50"/>
      <c r="BYW21" s="51"/>
      <c r="BYX21" s="51"/>
      <c r="BYY21" s="51"/>
      <c r="BYZ21" s="51">
        <v>378</v>
      </c>
      <c r="BZA21" s="51"/>
      <c r="BZB21" s="69">
        <f t="shared" si="625"/>
        <v>378</v>
      </c>
      <c r="BZC21" s="70">
        <f t="shared" si="626"/>
        <v>63</v>
      </c>
      <c r="BZD21" s="50"/>
      <c r="BZE21" s="51"/>
      <c r="BZF21" s="51"/>
      <c r="BZG21" s="51"/>
      <c r="BZH21" s="51"/>
      <c r="BZI21" s="51"/>
      <c r="BZJ21" s="69">
        <f t="shared" si="627"/>
        <v>0</v>
      </c>
      <c r="BZK21" s="70">
        <f t="shared" si="628"/>
        <v>0</v>
      </c>
      <c r="BZL21" s="50"/>
      <c r="BZM21" s="51"/>
      <c r="BZN21" s="51"/>
      <c r="BZO21" s="51"/>
      <c r="BZP21" s="51"/>
      <c r="BZQ21" s="51"/>
      <c r="BZR21" s="69">
        <f t="shared" si="629"/>
        <v>0</v>
      </c>
      <c r="BZS21" s="70">
        <f t="shared" si="630"/>
        <v>0</v>
      </c>
      <c r="BZT21" s="50"/>
      <c r="BZU21" s="51"/>
      <c r="BZV21" s="51"/>
      <c r="BZW21" s="51"/>
      <c r="BZX21" s="51"/>
      <c r="BZY21" s="51"/>
      <c r="BZZ21" s="69">
        <f t="shared" si="631"/>
        <v>0</v>
      </c>
      <c r="CAA21" s="70">
        <f t="shared" si="632"/>
        <v>0</v>
      </c>
      <c r="CAB21" s="50"/>
      <c r="CAC21" s="51"/>
      <c r="CAD21" s="51"/>
      <c r="CAE21" s="51"/>
      <c r="CAF21" s="51"/>
      <c r="CAG21" s="51"/>
      <c r="CAH21" s="69">
        <f t="shared" si="633"/>
        <v>0</v>
      </c>
      <c r="CAI21" s="70">
        <f t="shared" si="634"/>
        <v>0</v>
      </c>
      <c r="CAJ21" s="65"/>
      <c r="CAK21" s="66"/>
      <c r="CAL21" s="66"/>
      <c r="CAM21" s="66"/>
      <c r="CAN21" s="66">
        <v>281</v>
      </c>
      <c r="CAO21" s="66"/>
      <c r="CAP21" s="69">
        <f t="shared" si="635"/>
        <v>281</v>
      </c>
      <c r="CAQ21" s="70">
        <f t="shared" si="636"/>
        <v>46.833333333333336</v>
      </c>
      <c r="CAR21" s="65"/>
      <c r="CAS21" s="66"/>
      <c r="CAT21" s="66"/>
      <c r="CAU21" s="66"/>
      <c r="CAV21" s="66"/>
      <c r="CAW21" s="66"/>
      <c r="CAX21" s="69">
        <f t="shared" si="637"/>
        <v>0</v>
      </c>
      <c r="CAY21" s="70">
        <f t="shared" si="638"/>
        <v>0</v>
      </c>
      <c r="CAZ21" s="50"/>
      <c r="CBA21" s="51"/>
      <c r="CBB21" s="51"/>
      <c r="CBC21" s="51"/>
      <c r="CBD21" s="51"/>
      <c r="CBE21" s="51"/>
      <c r="CBF21" s="69">
        <f t="shared" si="639"/>
        <v>0</v>
      </c>
      <c r="CBG21" s="70">
        <f t="shared" si="640"/>
        <v>0</v>
      </c>
      <c r="CBH21" s="50"/>
      <c r="CBI21" s="51"/>
      <c r="CBJ21" s="51"/>
      <c r="CBK21" s="51"/>
      <c r="CBL21" s="51"/>
      <c r="CBM21" s="51"/>
      <c r="CBN21" s="69">
        <f t="shared" si="641"/>
        <v>0</v>
      </c>
      <c r="CBO21" s="70">
        <f t="shared" si="642"/>
        <v>0</v>
      </c>
      <c r="CBP21" s="50"/>
      <c r="CBQ21" s="51"/>
      <c r="CBR21" s="51">
        <v>340</v>
      </c>
      <c r="CBS21" s="51"/>
      <c r="CBT21" s="51"/>
      <c r="CBU21" s="51"/>
      <c r="CBV21" s="69">
        <f t="shared" si="643"/>
        <v>340</v>
      </c>
      <c r="CBW21" s="70">
        <f t="shared" si="644"/>
        <v>56.666666666666664</v>
      </c>
      <c r="CBX21" s="50"/>
      <c r="CBY21" s="51"/>
      <c r="CBZ21" s="51"/>
      <c r="CCA21" s="51"/>
      <c r="CCB21" s="51"/>
      <c r="CCC21" s="51"/>
      <c r="CCD21" s="69">
        <f t="shared" si="645"/>
        <v>0</v>
      </c>
      <c r="CCE21" s="70">
        <f t="shared" si="646"/>
        <v>0</v>
      </c>
      <c r="CCF21" s="50"/>
      <c r="CCG21" s="51"/>
      <c r="CCH21" s="51"/>
      <c r="CCI21" s="51"/>
      <c r="CCJ21" s="51"/>
      <c r="CCK21" s="51"/>
      <c r="CCL21" s="69">
        <f t="shared" si="647"/>
        <v>0</v>
      </c>
      <c r="CCM21" s="70">
        <f t="shared" si="648"/>
        <v>0</v>
      </c>
      <c r="CCN21" s="50"/>
      <c r="CCO21" s="51"/>
      <c r="CCP21" s="51"/>
      <c r="CCQ21" s="51"/>
      <c r="CCR21" s="51"/>
      <c r="CCS21" s="51"/>
      <c r="CCT21" s="69">
        <f t="shared" si="649"/>
        <v>0</v>
      </c>
      <c r="CCU21" s="70">
        <f t="shared" si="650"/>
        <v>0</v>
      </c>
      <c r="CCV21" s="50">
        <v>331</v>
      </c>
      <c r="CCW21" s="51"/>
      <c r="CCX21" s="51"/>
      <c r="CCY21" s="51"/>
      <c r="CCZ21" s="51"/>
      <c r="CDA21" s="51"/>
      <c r="CDB21" s="69">
        <f t="shared" si="651"/>
        <v>331</v>
      </c>
      <c r="CDC21" s="70">
        <f t="shared" si="652"/>
        <v>55.166666666666664</v>
      </c>
      <c r="CDD21" s="50"/>
      <c r="CDE21" s="51"/>
      <c r="CDF21" s="51"/>
      <c r="CDG21" s="51"/>
      <c r="CDH21" s="51"/>
      <c r="CDI21" s="51"/>
      <c r="CDJ21" s="69">
        <f t="shared" si="653"/>
        <v>0</v>
      </c>
      <c r="CDK21" s="70">
        <f t="shared" si="654"/>
        <v>0</v>
      </c>
      <c r="CDL21" s="50"/>
      <c r="CDM21" s="51">
        <v>321</v>
      </c>
      <c r="CDN21" s="51"/>
      <c r="CDO21" s="51"/>
      <c r="CDP21" s="51"/>
      <c r="CDQ21" s="51"/>
      <c r="CDR21" s="69">
        <f t="shared" si="655"/>
        <v>321</v>
      </c>
      <c r="CDS21" s="70">
        <f t="shared" si="656"/>
        <v>53.5</v>
      </c>
      <c r="CDT21" s="50"/>
      <c r="CDU21" s="51">
        <v>329</v>
      </c>
      <c r="CDV21" s="51"/>
      <c r="CDW21" s="51"/>
      <c r="CDX21" s="51"/>
      <c r="CDY21" s="51"/>
      <c r="CDZ21" s="69">
        <f t="shared" si="657"/>
        <v>329</v>
      </c>
      <c r="CEA21" s="70">
        <f t="shared" si="658"/>
        <v>54.833333333333336</v>
      </c>
      <c r="CEB21" s="50"/>
      <c r="CEC21" s="51"/>
      <c r="CED21" s="51"/>
      <c r="CEE21" s="51"/>
      <c r="CEF21" s="51">
        <v>320</v>
      </c>
      <c r="CEG21" s="51"/>
      <c r="CEH21" s="67">
        <f t="shared" si="659"/>
        <v>320</v>
      </c>
      <c r="CEI21" s="68">
        <f t="shared" si="660"/>
        <v>53.333333333333336</v>
      </c>
      <c r="CEJ21" s="50"/>
      <c r="CEK21" s="51"/>
      <c r="CEL21" s="51"/>
      <c r="CEM21" s="51"/>
      <c r="CEN21" s="51"/>
      <c r="CEO21" s="51"/>
      <c r="CEP21" s="69">
        <f t="shared" si="661"/>
        <v>0</v>
      </c>
      <c r="CEQ21" s="70">
        <f t="shared" si="662"/>
        <v>0</v>
      </c>
      <c r="CER21" s="50"/>
      <c r="CES21" s="51"/>
      <c r="CET21" s="51"/>
      <c r="CEU21" s="51"/>
      <c r="CEV21" s="51"/>
      <c r="CEW21" s="51"/>
      <c r="CEX21" s="69">
        <f t="shared" si="663"/>
        <v>0</v>
      </c>
      <c r="CEY21" s="70">
        <f t="shared" si="664"/>
        <v>0</v>
      </c>
      <c r="CEZ21" s="50"/>
      <c r="CFA21" s="51"/>
      <c r="CFB21" s="51"/>
      <c r="CFC21" s="51"/>
      <c r="CFD21" s="51"/>
      <c r="CFE21" s="51"/>
      <c r="CFF21" s="69">
        <f t="shared" si="665"/>
        <v>0</v>
      </c>
      <c r="CFG21" s="70">
        <f t="shared" si="666"/>
        <v>0</v>
      </c>
      <c r="CFH21" s="50"/>
      <c r="CFI21" s="51"/>
      <c r="CFJ21" s="51"/>
      <c r="CFK21" s="51"/>
      <c r="CFL21" s="51"/>
      <c r="CFM21" s="51"/>
      <c r="CFN21" s="69">
        <f t="shared" si="667"/>
        <v>0</v>
      </c>
      <c r="CFO21" s="70">
        <f t="shared" si="668"/>
        <v>0</v>
      </c>
      <c r="CFP21" s="50">
        <v>337</v>
      </c>
      <c r="CFQ21" s="51"/>
      <c r="CFR21" s="51"/>
      <c r="CFS21" s="51"/>
      <c r="CFT21" s="51"/>
      <c r="CFU21" s="51"/>
      <c r="CFV21" s="69">
        <f t="shared" si="669"/>
        <v>337</v>
      </c>
      <c r="CFW21" s="70">
        <f t="shared" si="670"/>
        <v>56.166666666666664</v>
      </c>
      <c r="CFX21" s="50"/>
      <c r="CFY21" s="51"/>
      <c r="CFZ21" s="51"/>
      <c r="CGA21" s="51"/>
      <c r="CGB21" s="51"/>
      <c r="CGC21" s="51"/>
      <c r="CGD21" s="69">
        <f t="shared" si="671"/>
        <v>0</v>
      </c>
      <c r="CGE21" s="70">
        <f t="shared" si="672"/>
        <v>0</v>
      </c>
      <c r="CGF21" s="50"/>
      <c r="CGG21" s="51"/>
      <c r="CGH21" s="51"/>
      <c r="CGI21" s="51"/>
      <c r="CGJ21" s="51"/>
      <c r="CGK21" s="51"/>
      <c r="CGL21" s="69">
        <f t="shared" si="673"/>
        <v>0</v>
      </c>
      <c r="CGM21" s="70">
        <f t="shared" si="674"/>
        <v>0</v>
      </c>
      <c r="CGN21" s="65"/>
      <c r="CGO21" s="66"/>
      <c r="CGP21" s="66">
        <v>312</v>
      </c>
      <c r="CGQ21" s="66"/>
      <c r="CGR21" s="66"/>
      <c r="CGS21" s="66"/>
      <c r="CGT21" s="69">
        <f t="shared" si="675"/>
        <v>312</v>
      </c>
      <c r="CGU21" s="70">
        <f t="shared" si="676"/>
        <v>52</v>
      </c>
      <c r="CGV21" s="50"/>
      <c r="CGW21" s="51"/>
      <c r="CGX21" s="51">
        <v>326</v>
      </c>
      <c r="CGY21" s="51"/>
      <c r="CGZ21" s="51"/>
      <c r="CHA21" s="51"/>
      <c r="CHB21" s="69">
        <f t="shared" si="677"/>
        <v>326</v>
      </c>
      <c r="CHC21" s="70">
        <f t="shared" si="678"/>
        <v>54.333333333333336</v>
      </c>
      <c r="CHD21" s="50"/>
      <c r="CHE21" s="51"/>
      <c r="CHF21" s="51"/>
      <c r="CHG21" s="51"/>
      <c r="CHH21" s="51"/>
      <c r="CHI21" s="51"/>
      <c r="CHJ21" s="69">
        <f t="shared" si="679"/>
        <v>0</v>
      </c>
      <c r="CHK21" s="70">
        <f t="shared" si="680"/>
        <v>0</v>
      </c>
      <c r="CHL21" s="65"/>
      <c r="CHM21" s="66"/>
      <c r="CHN21" s="66"/>
      <c r="CHO21" s="66">
        <v>333</v>
      </c>
      <c r="CHP21" s="66"/>
      <c r="CHQ21" s="66"/>
      <c r="CHR21" s="69">
        <f t="shared" si="681"/>
        <v>333</v>
      </c>
      <c r="CHS21" s="70">
        <f t="shared" si="682"/>
        <v>55.5</v>
      </c>
      <c r="CHT21" s="50"/>
      <c r="CHU21" s="51"/>
      <c r="CHV21" s="51"/>
      <c r="CHW21" s="51"/>
      <c r="CHX21" s="51">
        <v>316</v>
      </c>
      <c r="CHY21" s="51"/>
      <c r="CHZ21" s="69">
        <f t="shared" si="683"/>
        <v>316</v>
      </c>
      <c r="CIA21" s="70">
        <f t="shared" si="684"/>
        <v>52.666666666666664</v>
      </c>
      <c r="CIB21" s="65"/>
      <c r="CIC21" s="66"/>
      <c r="CID21" s="66"/>
      <c r="CIE21" s="66">
        <v>661</v>
      </c>
      <c r="CIF21" s="66"/>
      <c r="CIG21" s="66"/>
      <c r="CIH21" s="69">
        <f t="shared" si="685"/>
        <v>661</v>
      </c>
      <c r="CII21" s="70">
        <f t="shared" si="686"/>
        <v>110.16666666666667</v>
      </c>
      <c r="CIJ21" s="65"/>
      <c r="CIK21" s="66"/>
      <c r="CIL21" s="66"/>
      <c r="CIM21" s="66"/>
      <c r="CIN21" s="66"/>
      <c r="CIO21" s="66"/>
      <c r="CIP21" s="69">
        <f t="shared" si="687"/>
        <v>0</v>
      </c>
      <c r="CIQ21" s="70">
        <f t="shared" si="688"/>
        <v>0</v>
      </c>
      <c r="CIR21" s="50">
        <v>347</v>
      </c>
      <c r="CIS21" s="51"/>
      <c r="CIT21" s="51"/>
      <c r="CIU21" s="51"/>
      <c r="CIV21" s="51"/>
      <c r="CIW21" s="51"/>
      <c r="CIX21" s="69">
        <f t="shared" si="689"/>
        <v>347</v>
      </c>
      <c r="CIY21" s="70">
        <f t="shared" si="690"/>
        <v>57.833333333333336</v>
      </c>
      <c r="CIZ21" s="50"/>
      <c r="CJA21" s="51"/>
      <c r="CJB21" s="51"/>
      <c r="CJC21" s="51">
        <v>321</v>
      </c>
      <c r="CJD21" s="51"/>
      <c r="CJE21" s="51"/>
      <c r="CJF21" s="69">
        <f t="shared" si="691"/>
        <v>321</v>
      </c>
      <c r="CJG21" s="70">
        <f t="shared" si="1200"/>
        <v>53.5</v>
      </c>
      <c r="CJH21" s="50"/>
      <c r="CJI21" s="51"/>
      <c r="CJJ21" s="51"/>
      <c r="CJK21" s="51"/>
      <c r="CJL21" s="51"/>
      <c r="CJM21" s="51"/>
      <c r="CJN21" s="69">
        <f t="shared" si="692"/>
        <v>0</v>
      </c>
      <c r="CJO21" s="70">
        <f t="shared" si="693"/>
        <v>0</v>
      </c>
      <c r="CJP21" s="50"/>
      <c r="CJQ21" s="51"/>
      <c r="CJR21" s="51"/>
      <c r="CJS21" s="51">
        <v>329</v>
      </c>
      <c r="CJT21" s="51"/>
      <c r="CJU21" s="51"/>
      <c r="CJV21" s="69">
        <f t="shared" si="694"/>
        <v>329</v>
      </c>
      <c r="CJW21" s="70">
        <f t="shared" si="695"/>
        <v>54.833333333333336</v>
      </c>
      <c r="CJX21" s="50"/>
      <c r="CJY21" s="51">
        <v>332</v>
      </c>
      <c r="CJZ21" s="51"/>
      <c r="CKA21" s="51"/>
      <c r="CKB21" s="51"/>
      <c r="CKC21" s="51"/>
      <c r="CKD21" s="69">
        <f t="shared" si="696"/>
        <v>332</v>
      </c>
      <c r="CKE21" s="70">
        <f t="shared" si="697"/>
        <v>55.333333333333336</v>
      </c>
      <c r="CKF21" s="65"/>
      <c r="CKG21" s="66"/>
      <c r="CKH21" s="66"/>
      <c r="CKI21" s="66"/>
      <c r="CKJ21" s="66"/>
      <c r="CKK21" s="66"/>
      <c r="CKL21" s="69">
        <f t="shared" si="698"/>
        <v>0</v>
      </c>
      <c r="CKM21" s="70">
        <f t="shared" si="699"/>
        <v>0</v>
      </c>
      <c r="CKN21" s="50"/>
      <c r="CKO21" s="51"/>
      <c r="CKP21" s="51">
        <v>333</v>
      </c>
      <c r="CKQ21" s="51"/>
      <c r="CKR21" s="51"/>
      <c r="CKS21" s="200"/>
      <c r="CKT21" s="69">
        <f t="shared" si="700"/>
        <v>333</v>
      </c>
      <c r="CKU21" s="70">
        <f t="shared" si="701"/>
        <v>55.5</v>
      </c>
      <c r="CKV21" s="50"/>
      <c r="CKW21" s="51"/>
      <c r="CKX21" s="51"/>
      <c r="CKY21" s="51"/>
      <c r="CKZ21" s="51"/>
      <c r="CLA21" s="51"/>
      <c r="CLB21" s="69">
        <f t="shared" si="702"/>
        <v>0</v>
      </c>
      <c r="CLC21" s="70">
        <f t="shared" si="703"/>
        <v>0</v>
      </c>
      <c r="CLD21" s="50"/>
      <c r="CLE21" s="51"/>
      <c r="CLF21" s="51"/>
      <c r="CLG21" s="51">
        <v>331</v>
      </c>
      <c r="CLH21" s="51"/>
      <c r="CLI21" s="51"/>
      <c r="CLJ21" s="69">
        <f t="shared" si="704"/>
        <v>331</v>
      </c>
      <c r="CLK21" s="70">
        <f t="shared" si="705"/>
        <v>55.166666666666664</v>
      </c>
      <c r="CLL21" s="50"/>
      <c r="CLM21" s="51"/>
      <c r="CLN21" s="51"/>
      <c r="CLO21" s="51"/>
      <c r="CLP21" s="51"/>
      <c r="CLQ21" s="51"/>
      <c r="CLR21" s="69">
        <f t="shared" si="706"/>
        <v>0</v>
      </c>
      <c r="CLS21" s="70">
        <f t="shared" si="707"/>
        <v>0</v>
      </c>
      <c r="CLT21" s="65">
        <v>335</v>
      </c>
      <c r="CLU21" s="66"/>
      <c r="CLV21" s="66"/>
      <c r="CLW21" s="66"/>
      <c r="CLX21" s="66"/>
      <c r="CLY21" s="66"/>
      <c r="CLZ21" s="69">
        <f t="shared" si="708"/>
        <v>335</v>
      </c>
      <c r="CMA21" s="70">
        <f t="shared" si="709"/>
        <v>55.833333333333336</v>
      </c>
      <c r="CMB21" s="50"/>
      <c r="CMC21" s="51"/>
      <c r="CMD21" s="51"/>
      <c r="CME21" s="51"/>
      <c r="CMF21" s="51"/>
      <c r="CMG21" s="51"/>
      <c r="CMH21" s="69">
        <f t="shared" si="710"/>
        <v>0</v>
      </c>
      <c r="CMI21" s="70">
        <f t="shared" si="711"/>
        <v>0</v>
      </c>
      <c r="CMJ21" s="50"/>
      <c r="CMK21" s="51"/>
      <c r="CML21" s="51"/>
      <c r="CMM21" s="51">
        <v>326</v>
      </c>
      <c r="CMN21" s="51"/>
      <c r="CMO21" s="51"/>
      <c r="CMP21" s="69">
        <f t="shared" si="712"/>
        <v>326</v>
      </c>
      <c r="CMQ21" s="70">
        <f t="shared" si="713"/>
        <v>54.333333333333336</v>
      </c>
      <c r="CMR21" s="50"/>
      <c r="CMS21" s="51"/>
      <c r="CMT21" s="51"/>
      <c r="CMU21" s="51"/>
      <c r="CMV21" s="51"/>
      <c r="CMW21" s="51"/>
      <c r="CMX21" s="69">
        <f t="shared" si="714"/>
        <v>0</v>
      </c>
      <c r="CMY21" s="70">
        <f t="shared" si="715"/>
        <v>0</v>
      </c>
      <c r="CMZ21" s="65"/>
      <c r="CNA21" s="66"/>
      <c r="CNB21" s="66"/>
      <c r="CNC21" s="66">
        <v>326</v>
      </c>
      <c r="CND21" s="66"/>
      <c r="CNE21" s="66"/>
      <c r="CNF21" s="69">
        <f t="shared" si="716"/>
        <v>326</v>
      </c>
      <c r="CNG21" s="70">
        <f t="shared" si="717"/>
        <v>54.333333333333336</v>
      </c>
      <c r="CNH21" s="50"/>
      <c r="CNI21" s="51"/>
      <c r="CNJ21" s="51"/>
      <c r="CNK21" s="51"/>
      <c r="CNL21" s="51"/>
      <c r="CNM21" s="51"/>
      <c r="CNN21" s="69">
        <f t="shared" si="718"/>
        <v>0</v>
      </c>
      <c r="CNO21" s="70">
        <f t="shared" si="719"/>
        <v>0</v>
      </c>
      <c r="CNP21" s="65"/>
      <c r="CNQ21" s="66"/>
      <c r="CNR21" s="66"/>
      <c r="CNS21" s="66">
        <v>322</v>
      </c>
      <c r="CNT21" s="66"/>
      <c r="CNU21" s="66"/>
      <c r="CNV21" s="69">
        <f t="shared" si="720"/>
        <v>322</v>
      </c>
      <c r="CNW21" s="70">
        <f t="shared" si="721"/>
        <v>53.666666666666664</v>
      </c>
      <c r="CNX21" s="50"/>
      <c r="CNY21" s="51"/>
      <c r="CNZ21" s="51"/>
      <c r="COA21" s="51"/>
      <c r="COB21" s="51"/>
      <c r="COC21" s="51"/>
      <c r="COD21" s="69">
        <f t="shared" si="722"/>
        <v>0</v>
      </c>
      <c r="COE21" s="70">
        <f t="shared" si="723"/>
        <v>0</v>
      </c>
      <c r="COF21" s="50">
        <v>310</v>
      </c>
      <c r="COG21" s="51"/>
      <c r="COH21" s="51"/>
      <c r="COI21" s="51"/>
      <c r="COJ21" s="51"/>
      <c r="COK21" s="51"/>
      <c r="COL21" s="67">
        <f t="shared" si="724"/>
        <v>310</v>
      </c>
      <c r="COM21" s="68">
        <f t="shared" si="725"/>
        <v>51.666666666666664</v>
      </c>
      <c r="CON21" s="50"/>
      <c r="COO21" s="51"/>
      <c r="COP21" s="51">
        <v>294</v>
      </c>
      <c r="COQ21" s="51"/>
      <c r="COR21" s="51"/>
      <c r="COS21" s="51"/>
      <c r="COT21" s="69">
        <f t="shared" si="726"/>
        <v>294</v>
      </c>
      <c r="COU21" s="70">
        <f t="shared" si="727"/>
        <v>49</v>
      </c>
      <c r="COV21" s="50"/>
      <c r="COW21" s="51"/>
      <c r="COX21" s="51"/>
      <c r="COY21" s="51"/>
      <c r="COZ21" s="51"/>
      <c r="CPA21" s="51">
        <v>0</v>
      </c>
      <c r="CPB21" s="69">
        <f t="shared" si="728"/>
        <v>0</v>
      </c>
      <c r="CPC21" s="70">
        <f t="shared" si="729"/>
        <v>0</v>
      </c>
      <c r="CPD21" s="50">
        <v>0</v>
      </c>
      <c r="CPE21" s="51">
        <v>0</v>
      </c>
      <c r="CPF21" s="51"/>
      <c r="CPG21" s="51"/>
      <c r="CPH21" s="51"/>
      <c r="CPI21" s="51">
        <v>291</v>
      </c>
      <c r="CPJ21" s="69">
        <f t="shared" si="730"/>
        <v>291</v>
      </c>
      <c r="CPK21" s="70">
        <f t="shared" si="731"/>
        <v>48.5</v>
      </c>
      <c r="CPL21" s="50"/>
      <c r="CPM21" s="51"/>
      <c r="CPN21" s="51">
        <v>0</v>
      </c>
      <c r="CPO21" s="51"/>
      <c r="CPP21" s="51"/>
      <c r="CPQ21" s="51">
        <v>0</v>
      </c>
      <c r="CPR21" s="69">
        <f t="shared" si="732"/>
        <v>0</v>
      </c>
      <c r="CPS21" s="70">
        <f t="shared" si="733"/>
        <v>0</v>
      </c>
      <c r="CPT21" s="65">
        <v>336</v>
      </c>
      <c r="CPU21" s="66">
        <v>0</v>
      </c>
      <c r="CPV21" s="66"/>
      <c r="CPW21" s="66"/>
      <c r="CPX21" s="66"/>
      <c r="CPY21" s="66">
        <v>325</v>
      </c>
      <c r="CPZ21" s="69">
        <f t="shared" si="734"/>
        <v>661</v>
      </c>
      <c r="CQA21" s="70">
        <f t="shared" si="735"/>
        <v>110.16666666666667</v>
      </c>
      <c r="CQB21" s="50">
        <v>0</v>
      </c>
      <c r="CQC21" s="51"/>
      <c r="CQD21" s="51"/>
      <c r="CQE21" s="51"/>
      <c r="CQF21" s="51">
        <v>0</v>
      </c>
      <c r="CQG21" s="51"/>
      <c r="CQH21" s="69">
        <f t="shared" si="736"/>
        <v>0</v>
      </c>
      <c r="CQI21" s="70">
        <f t="shared" si="737"/>
        <v>0</v>
      </c>
      <c r="CQJ21" s="84"/>
      <c r="CQK21" s="85">
        <v>0</v>
      </c>
      <c r="CQL21" s="85"/>
      <c r="CQM21" s="85">
        <v>326</v>
      </c>
      <c r="CQN21" s="85"/>
      <c r="CQO21" s="85"/>
      <c r="CQP21" s="69">
        <f t="shared" si="738"/>
        <v>326</v>
      </c>
      <c r="CQQ21" s="70">
        <f t="shared" si="739"/>
        <v>54.333333333333336</v>
      </c>
      <c r="CQR21" s="50"/>
      <c r="CQS21" s="51">
        <v>669</v>
      </c>
      <c r="CQT21" s="51"/>
      <c r="CQU21" s="51">
        <v>0</v>
      </c>
      <c r="CQV21" s="51"/>
      <c r="CQW21" s="51">
        <v>0</v>
      </c>
      <c r="CQX21" s="69">
        <f t="shared" si="740"/>
        <v>669</v>
      </c>
      <c r="CQY21" s="70">
        <f t="shared" si="741"/>
        <v>111.5</v>
      </c>
      <c r="CQZ21" s="50">
        <v>0</v>
      </c>
      <c r="CRA21" s="51"/>
      <c r="CRB21" s="51">
        <v>0</v>
      </c>
      <c r="CRC21" s="51"/>
      <c r="CRD21" s="51"/>
      <c r="CRE21" s="51"/>
      <c r="CRF21" s="69">
        <f t="shared" ref="CRF21" si="1214">SUM(CQZ21:CRE21)</f>
        <v>0</v>
      </c>
      <c r="CRG21" s="70">
        <f t="shared" si="743"/>
        <v>0</v>
      </c>
      <c r="CRH21" s="50"/>
      <c r="CRI21" s="51"/>
      <c r="CRJ21" s="51">
        <v>0</v>
      </c>
      <c r="CRK21" s="51">
        <v>0</v>
      </c>
      <c r="CRL21" s="51"/>
      <c r="CRM21" s="51">
        <v>0</v>
      </c>
      <c r="CRN21" s="69">
        <f t="shared" si="744"/>
        <v>0</v>
      </c>
      <c r="CRO21" s="70">
        <f t="shared" si="745"/>
        <v>0</v>
      </c>
      <c r="CRP21" s="50"/>
      <c r="CRQ21" s="51"/>
      <c r="CRR21" s="51"/>
      <c r="CRS21" s="51">
        <v>0</v>
      </c>
      <c r="CRT21" s="51"/>
      <c r="CRU21" s="51">
        <v>323</v>
      </c>
      <c r="CRV21" s="200">
        <f t="shared" si="746"/>
        <v>323</v>
      </c>
      <c r="CRW21" s="70">
        <f t="shared" si="747"/>
        <v>53.833333333333336</v>
      </c>
      <c r="CRX21" s="65">
        <v>0</v>
      </c>
      <c r="CRY21" s="66">
        <v>0</v>
      </c>
      <c r="CRZ21" s="66"/>
      <c r="CSA21" s="66">
        <v>0</v>
      </c>
      <c r="CSB21" s="66">
        <v>0</v>
      </c>
      <c r="CSC21" s="66"/>
      <c r="CSD21" s="69">
        <f t="shared" si="748"/>
        <v>0</v>
      </c>
      <c r="CSE21" s="70">
        <f t="shared" si="749"/>
        <v>0</v>
      </c>
      <c r="CSF21" s="50">
        <v>0</v>
      </c>
      <c r="CSG21" s="51"/>
      <c r="CSH21" s="51">
        <v>0</v>
      </c>
      <c r="CSI21" s="51">
        <v>327</v>
      </c>
      <c r="CSJ21" s="51"/>
      <c r="CSK21" s="51"/>
      <c r="CSL21" s="66">
        <f t="shared" si="750"/>
        <v>327</v>
      </c>
      <c r="CSM21" s="70">
        <f t="shared" si="751"/>
        <v>54.5</v>
      </c>
      <c r="CSN21" s="50">
        <v>0</v>
      </c>
      <c r="CSO21" s="51">
        <v>0</v>
      </c>
      <c r="CSP21" s="51"/>
      <c r="CSQ21" s="51"/>
      <c r="CSR21" s="51"/>
      <c r="CSS21" s="51">
        <v>339</v>
      </c>
      <c r="CST21" s="66">
        <f t="shared" si="752"/>
        <v>339</v>
      </c>
      <c r="CSU21" s="70">
        <f t="shared" si="753"/>
        <v>56.5</v>
      </c>
      <c r="CSV21" s="50">
        <v>0</v>
      </c>
      <c r="CSW21" s="51">
        <v>0</v>
      </c>
      <c r="CSX21" s="51"/>
      <c r="CSY21" s="51">
        <v>0</v>
      </c>
      <c r="CSZ21" s="51"/>
      <c r="CTA21" s="51"/>
      <c r="CTB21" s="66">
        <f t="shared" si="754"/>
        <v>0</v>
      </c>
      <c r="CTC21" s="70">
        <f t="shared" si="755"/>
        <v>0</v>
      </c>
      <c r="CTD21" s="50">
        <v>314</v>
      </c>
      <c r="CTE21" s="51">
        <v>0</v>
      </c>
      <c r="CTF21" s="51">
        <v>0</v>
      </c>
      <c r="CTG21" s="51"/>
      <c r="CTH21" s="51">
        <v>0</v>
      </c>
      <c r="CTI21" s="51"/>
      <c r="CTJ21" s="66">
        <f t="shared" si="756"/>
        <v>314</v>
      </c>
      <c r="CTK21" s="70">
        <f t="shared" si="757"/>
        <v>52.333333333333336</v>
      </c>
      <c r="CTL21" s="50">
        <v>0</v>
      </c>
      <c r="CTM21" s="51"/>
      <c r="CTN21" s="51">
        <v>0</v>
      </c>
      <c r="CTO21" s="51">
        <v>0</v>
      </c>
      <c r="CTP21" s="51">
        <v>0</v>
      </c>
      <c r="CTQ21" s="51"/>
      <c r="CTR21" s="66">
        <f t="shared" si="758"/>
        <v>0</v>
      </c>
      <c r="CTS21" s="70">
        <f t="shared" si="759"/>
        <v>0</v>
      </c>
      <c r="CTT21" s="50"/>
      <c r="CTU21" s="51"/>
      <c r="CTV21" s="51">
        <v>329</v>
      </c>
      <c r="CTW21" s="51"/>
      <c r="CTX21" s="51"/>
      <c r="CTY21" s="51"/>
      <c r="CTZ21" s="66">
        <f t="shared" si="760"/>
        <v>329</v>
      </c>
      <c r="CUA21" s="70">
        <f t="shared" si="761"/>
        <v>54.833333333333336</v>
      </c>
      <c r="CUB21" s="50"/>
      <c r="CUC21" s="51"/>
      <c r="CUD21" s="51"/>
      <c r="CUE21" s="51"/>
      <c r="CUF21" s="51"/>
      <c r="CUG21" s="51">
        <v>332</v>
      </c>
      <c r="CUH21" s="66">
        <f t="shared" si="762"/>
        <v>332</v>
      </c>
      <c r="CUI21" s="70">
        <f t="shared" si="763"/>
        <v>55.333333333333336</v>
      </c>
      <c r="CUJ21" s="50"/>
      <c r="CUK21" s="51"/>
      <c r="CUL21" s="51">
        <v>0</v>
      </c>
      <c r="CUM21" s="51">
        <v>0</v>
      </c>
      <c r="CUN21" s="51"/>
      <c r="CUO21" s="51">
        <v>0</v>
      </c>
      <c r="CUP21" s="66">
        <f t="shared" si="764"/>
        <v>0</v>
      </c>
      <c r="CUQ21" s="70">
        <f t="shared" si="765"/>
        <v>0</v>
      </c>
      <c r="CUR21" s="50">
        <v>0</v>
      </c>
      <c r="CUS21" s="51"/>
      <c r="CUT21" s="51"/>
      <c r="CUU21" s="51"/>
      <c r="CUV21" s="51"/>
      <c r="CUW21" s="51"/>
      <c r="CUX21" s="66">
        <f t="shared" si="766"/>
        <v>0</v>
      </c>
      <c r="CUY21" s="70">
        <f t="shared" si="767"/>
        <v>0</v>
      </c>
      <c r="CUZ21" s="50">
        <v>311</v>
      </c>
      <c r="CVA21" s="51"/>
      <c r="CVB21" s="51"/>
      <c r="CVC21" s="51"/>
      <c r="CVD21" s="51">
        <v>0</v>
      </c>
      <c r="CVE21" s="51"/>
      <c r="CVF21" s="66">
        <f t="shared" si="768"/>
        <v>311</v>
      </c>
      <c r="CVG21" s="70">
        <f t="shared" si="769"/>
        <v>51.833333333333336</v>
      </c>
      <c r="CVH21" s="50">
        <v>0</v>
      </c>
      <c r="CVI21" s="51"/>
      <c r="CVJ21" s="51">
        <v>0</v>
      </c>
      <c r="CVK21" s="51"/>
      <c r="CVL21" s="51">
        <v>0</v>
      </c>
      <c r="CVM21" s="51">
        <v>325</v>
      </c>
      <c r="CVN21" s="66">
        <f t="shared" si="770"/>
        <v>325</v>
      </c>
      <c r="CVO21" s="70">
        <f t="shared" si="771"/>
        <v>54.166666666666664</v>
      </c>
      <c r="CVP21" s="50"/>
      <c r="CVQ21" s="51">
        <v>0</v>
      </c>
      <c r="CVR21" s="51">
        <v>0</v>
      </c>
      <c r="CVS21" s="51"/>
      <c r="CVT21" s="51">
        <v>0</v>
      </c>
      <c r="CVU21" s="51">
        <v>0</v>
      </c>
      <c r="CVV21" s="66">
        <f t="shared" si="772"/>
        <v>0</v>
      </c>
      <c r="CVW21" s="70">
        <f t="shared" si="773"/>
        <v>0</v>
      </c>
      <c r="CVX21" s="50">
        <v>0</v>
      </c>
      <c r="CVY21" s="51"/>
      <c r="CVZ21" s="51">
        <v>0</v>
      </c>
      <c r="CWA21" s="51"/>
      <c r="CWB21" s="51"/>
      <c r="CWC21" s="51">
        <v>0</v>
      </c>
      <c r="CWD21" s="66">
        <f t="shared" si="774"/>
        <v>0</v>
      </c>
      <c r="CWE21" s="70">
        <f t="shared" si="775"/>
        <v>0</v>
      </c>
      <c r="CWF21" s="50"/>
      <c r="CWG21" s="51">
        <v>0</v>
      </c>
      <c r="CWH21" s="51">
        <v>0</v>
      </c>
      <c r="CWI21" s="51">
        <v>0</v>
      </c>
      <c r="CWJ21" s="51"/>
      <c r="CWK21" s="51">
        <v>0</v>
      </c>
      <c r="CWL21" s="66">
        <f t="shared" si="776"/>
        <v>0</v>
      </c>
      <c r="CWM21" s="70">
        <f t="shared" si="777"/>
        <v>0</v>
      </c>
      <c r="CWN21" s="50">
        <v>326</v>
      </c>
      <c r="CWO21" s="51">
        <v>0</v>
      </c>
      <c r="CWP21" s="51">
        <v>0</v>
      </c>
      <c r="CWQ21" s="51">
        <v>0</v>
      </c>
      <c r="CWR21" s="51"/>
      <c r="CWS21" s="51"/>
      <c r="CWT21" s="66">
        <f t="shared" si="778"/>
        <v>326</v>
      </c>
      <c r="CWU21" s="70">
        <f t="shared" si="779"/>
        <v>54.333333333333336</v>
      </c>
      <c r="CWV21" s="50"/>
      <c r="CWW21" s="51">
        <v>0</v>
      </c>
      <c r="CWX21" s="51">
        <v>0</v>
      </c>
      <c r="CWY21" s="51">
        <v>0</v>
      </c>
      <c r="CWZ21" s="51">
        <v>0</v>
      </c>
      <c r="CXA21" s="51"/>
      <c r="CXB21" s="128">
        <f t="shared" si="780"/>
        <v>0</v>
      </c>
      <c r="CXC21" s="53">
        <f t="shared" si="781"/>
        <v>0</v>
      </c>
      <c r="CXD21" s="50">
        <v>314</v>
      </c>
      <c r="CXE21" s="51"/>
      <c r="CXF21" s="51">
        <v>0</v>
      </c>
      <c r="CXG21" s="51">
        <v>0</v>
      </c>
      <c r="CXH21" s="51">
        <v>0</v>
      </c>
      <c r="CXI21" s="51"/>
      <c r="CXJ21" s="128">
        <f t="shared" si="782"/>
        <v>314</v>
      </c>
      <c r="CXK21" s="53">
        <f t="shared" si="783"/>
        <v>52.333333333333336</v>
      </c>
      <c r="CXL21" s="50">
        <v>0</v>
      </c>
      <c r="CXM21" s="51">
        <v>0</v>
      </c>
      <c r="CXN21" s="51">
        <v>0</v>
      </c>
      <c r="CXO21" s="51"/>
      <c r="CXP21" s="51"/>
      <c r="CXQ21" s="51"/>
      <c r="CXR21" s="128">
        <f t="shared" si="784"/>
        <v>0</v>
      </c>
      <c r="CXS21" s="53">
        <f t="shared" si="785"/>
        <v>0</v>
      </c>
      <c r="CXT21" s="50"/>
      <c r="CXU21" s="51">
        <v>0</v>
      </c>
      <c r="CXV21" s="51">
        <v>0</v>
      </c>
      <c r="CXW21" s="51">
        <v>323</v>
      </c>
      <c r="CXX21" s="51"/>
      <c r="CXY21" s="51"/>
      <c r="CXZ21" s="128">
        <f t="shared" si="786"/>
        <v>323</v>
      </c>
      <c r="CYA21" s="53">
        <f t="shared" si="787"/>
        <v>53.833333333333336</v>
      </c>
      <c r="CYB21" s="50">
        <v>0</v>
      </c>
      <c r="CYC21" s="51">
        <v>0</v>
      </c>
      <c r="CYD21" s="51"/>
      <c r="CYE21" s="51">
        <v>324</v>
      </c>
      <c r="CYF21" s="51">
        <v>0</v>
      </c>
      <c r="CYG21" s="51"/>
      <c r="CYH21" s="128">
        <f t="shared" si="788"/>
        <v>324</v>
      </c>
      <c r="CYI21" s="53">
        <f t="shared" si="789"/>
        <v>54</v>
      </c>
      <c r="CYJ21" s="50"/>
      <c r="CYK21" s="51"/>
      <c r="CYL21" s="51"/>
      <c r="CYM21" s="51">
        <v>0</v>
      </c>
      <c r="CYN21" s="51"/>
      <c r="CYO21" s="51">
        <v>0</v>
      </c>
      <c r="CYP21" s="128">
        <f t="shared" si="790"/>
        <v>0</v>
      </c>
      <c r="CYQ21" s="53">
        <f t="shared" si="791"/>
        <v>0</v>
      </c>
      <c r="CYR21" s="50">
        <v>0</v>
      </c>
      <c r="CYS21" s="51">
        <v>0</v>
      </c>
      <c r="CYT21" s="51"/>
      <c r="CYU21" s="51">
        <v>0</v>
      </c>
      <c r="CYV21" s="51">
        <v>0</v>
      </c>
      <c r="CYW21" s="51">
        <v>324</v>
      </c>
      <c r="CYX21" s="128">
        <f t="shared" si="792"/>
        <v>324</v>
      </c>
      <c r="CYY21" s="53">
        <f t="shared" si="793"/>
        <v>54</v>
      </c>
      <c r="CYZ21" s="50"/>
      <c r="CZA21" s="51"/>
      <c r="CZB21" s="51"/>
      <c r="CZC21" s="51"/>
      <c r="CZD21" s="51"/>
      <c r="CZE21" s="51">
        <v>0</v>
      </c>
      <c r="CZF21" s="128">
        <f t="shared" si="794"/>
        <v>0</v>
      </c>
      <c r="CZG21" s="53">
        <f t="shared" si="795"/>
        <v>0</v>
      </c>
      <c r="CZH21" s="50">
        <v>306</v>
      </c>
      <c r="CZI21" s="51"/>
      <c r="CZJ21" s="51">
        <v>0</v>
      </c>
      <c r="CZK21" s="51"/>
      <c r="CZL21" s="51"/>
      <c r="CZM21" s="51">
        <v>0</v>
      </c>
      <c r="CZN21" s="128">
        <f t="shared" si="796"/>
        <v>306</v>
      </c>
      <c r="CZO21" s="53">
        <f t="shared" si="797"/>
        <v>51</v>
      </c>
      <c r="CZP21" s="50"/>
      <c r="CZQ21" s="51"/>
      <c r="CZR21" s="51"/>
      <c r="CZS21" s="51">
        <v>0</v>
      </c>
      <c r="CZT21" s="51"/>
      <c r="CZU21" s="51">
        <v>322</v>
      </c>
      <c r="CZV21" s="128">
        <f t="shared" si="798"/>
        <v>322</v>
      </c>
      <c r="CZW21" s="53">
        <f t="shared" si="799"/>
        <v>53.666666666666664</v>
      </c>
      <c r="CZX21" s="50"/>
      <c r="CZY21" s="51"/>
      <c r="CZZ21" s="51"/>
      <c r="DAA21" s="51">
        <v>0</v>
      </c>
      <c r="DAB21" s="51">
        <v>0</v>
      </c>
      <c r="DAC21" s="51">
        <v>0</v>
      </c>
      <c r="DAD21" s="66">
        <f t="shared" si="800"/>
        <v>0</v>
      </c>
      <c r="DAE21" s="70">
        <f t="shared" si="801"/>
        <v>0</v>
      </c>
      <c r="DAF21" s="50">
        <v>0</v>
      </c>
      <c r="DAG21" s="51">
        <v>0</v>
      </c>
      <c r="DAH21" s="51">
        <v>0</v>
      </c>
      <c r="DAI21" s="51">
        <v>0</v>
      </c>
      <c r="DAJ21" s="51">
        <v>0</v>
      </c>
      <c r="DAK21" s="51"/>
      <c r="DAL21" s="66">
        <f t="shared" si="802"/>
        <v>0</v>
      </c>
      <c r="DAM21" s="70">
        <f t="shared" si="803"/>
        <v>0</v>
      </c>
      <c r="DAN21" s="50">
        <v>302</v>
      </c>
      <c r="DAO21" s="51"/>
      <c r="DAP21" s="51">
        <v>0</v>
      </c>
      <c r="DAQ21" s="51">
        <v>0</v>
      </c>
      <c r="DAR21" s="51"/>
      <c r="DAS21" s="51"/>
      <c r="DAT21" s="66">
        <f t="shared" si="804"/>
        <v>302</v>
      </c>
      <c r="DAU21" s="70">
        <f t="shared" si="805"/>
        <v>50.333333333333336</v>
      </c>
      <c r="DAV21" s="50"/>
      <c r="DAW21" s="51"/>
      <c r="DAX21" s="51"/>
      <c r="DAY21" s="51">
        <v>0</v>
      </c>
      <c r="DAZ21" s="51"/>
      <c r="DBA21" s="51">
        <v>300</v>
      </c>
      <c r="DBB21" s="66">
        <f t="shared" si="806"/>
        <v>300</v>
      </c>
      <c r="DBC21" s="70">
        <f t="shared" si="807"/>
        <v>50</v>
      </c>
      <c r="DBD21" s="50"/>
      <c r="DBE21" s="51"/>
      <c r="DBF21" s="51"/>
      <c r="DBG21" s="51"/>
      <c r="DBH21" s="51"/>
      <c r="DBI21" s="51">
        <v>0</v>
      </c>
      <c r="DBJ21" s="66">
        <f t="shared" si="808"/>
        <v>0</v>
      </c>
      <c r="DBK21" s="70">
        <f t="shared" si="809"/>
        <v>0</v>
      </c>
      <c r="DBL21" s="50"/>
      <c r="DBM21" s="51"/>
      <c r="DBN21" s="51"/>
      <c r="DBO21" s="51"/>
      <c r="DBP21" s="51"/>
      <c r="DBQ21" s="51"/>
      <c r="DBR21" s="66">
        <f t="shared" si="810"/>
        <v>0</v>
      </c>
      <c r="DBS21" s="70">
        <f t="shared" si="811"/>
        <v>0</v>
      </c>
      <c r="DBT21" s="50"/>
      <c r="DBU21" s="51"/>
      <c r="DBV21" s="51"/>
      <c r="DBW21" s="51"/>
      <c r="DBX21" s="51"/>
      <c r="DBY21" s="51"/>
      <c r="DBZ21" s="66">
        <f t="shared" si="812"/>
        <v>0</v>
      </c>
      <c r="DCA21" s="70">
        <f t="shared" si="813"/>
        <v>0</v>
      </c>
      <c r="DCB21" s="50"/>
      <c r="DCC21" s="51"/>
      <c r="DCD21" s="51"/>
      <c r="DCE21" s="51"/>
      <c r="DCF21" s="51">
        <v>279</v>
      </c>
      <c r="DCG21" s="51"/>
      <c r="DCH21" s="66">
        <f t="shared" si="814"/>
        <v>279</v>
      </c>
      <c r="DCI21" s="70">
        <f t="shared" si="815"/>
        <v>46.5</v>
      </c>
      <c r="DCJ21" s="50">
        <v>0</v>
      </c>
      <c r="DCK21" s="51"/>
      <c r="DCL21" s="51"/>
      <c r="DCM21" s="51"/>
      <c r="DCN21" s="51"/>
      <c r="DCO21" s="51">
        <v>0</v>
      </c>
      <c r="DCP21" s="66">
        <f t="shared" si="816"/>
        <v>0</v>
      </c>
      <c r="DCQ21" s="70">
        <f t="shared" si="817"/>
        <v>0</v>
      </c>
      <c r="DCR21" s="50">
        <v>0</v>
      </c>
      <c r="DCS21" s="51"/>
      <c r="DCT21" s="51">
        <v>0</v>
      </c>
      <c r="DCU21" s="51"/>
      <c r="DCV21" s="51">
        <v>0</v>
      </c>
      <c r="DCW21" s="51"/>
      <c r="DCX21" s="66">
        <f t="shared" si="818"/>
        <v>0</v>
      </c>
      <c r="DCY21" s="70">
        <f t="shared" si="819"/>
        <v>0</v>
      </c>
      <c r="DCZ21" s="50"/>
      <c r="DDA21" s="51"/>
      <c r="DDB21" s="51"/>
      <c r="DDC21" s="51"/>
      <c r="DDD21" s="51"/>
      <c r="DDE21" s="51">
        <v>317</v>
      </c>
      <c r="DDF21" s="66">
        <f t="shared" si="820"/>
        <v>317</v>
      </c>
      <c r="DDG21" s="70">
        <f t="shared" si="821"/>
        <v>52.833333333333336</v>
      </c>
      <c r="DDH21" s="50">
        <v>0</v>
      </c>
      <c r="DDI21" s="51"/>
      <c r="DDJ21" s="51">
        <v>0</v>
      </c>
      <c r="DDK21" s="51"/>
      <c r="DDL21" s="51"/>
      <c r="DDM21" s="51"/>
      <c r="DDN21" s="128">
        <f t="shared" si="822"/>
        <v>0</v>
      </c>
      <c r="DDO21" s="53">
        <f t="shared" si="823"/>
        <v>0</v>
      </c>
      <c r="DDP21" s="50"/>
      <c r="DDQ21" s="51">
        <v>0</v>
      </c>
      <c r="DDR21" s="51">
        <v>0</v>
      </c>
      <c r="DDS21" s="51"/>
      <c r="DDT21" s="51"/>
      <c r="DDU21" s="51"/>
      <c r="DDV21" s="128">
        <f t="shared" si="824"/>
        <v>0</v>
      </c>
      <c r="DDW21" s="53">
        <f t="shared" si="825"/>
        <v>0</v>
      </c>
      <c r="DDX21" s="50">
        <v>0</v>
      </c>
      <c r="DDY21" s="51">
        <v>0</v>
      </c>
      <c r="DDZ21" s="51"/>
      <c r="DEA21" s="51"/>
      <c r="DEB21" s="51">
        <v>0</v>
      </c>
      <c r="DEC21" s="51">
        <v>0</v>
      </c>
      <c r="DED21" s="128">
        <f t="shared" si="826"/>
        <v>0</v>
      </c>
      <c r="DEE21" s="53">
        <f t="shared" si="827"/>
        <v>0</v>
      </c>
      <c r="DEF21" s="50">
        <v>317</v>
      </c>
      <c r="DEG21" s="51"/>
      <c r="DEH21" s="51"/>
      <c r="DEI21" s="51"/>
      <c r="DEJ21" s="51">
        <v>3</v>
      </c>
      <c r="DEK21" s="51"/>
      <c r="DEL21" s="128">
        <f t="shared" si="828"/>
        <v>320</v>
      </c>
      <c r="DEM21" s="53">
        <f t="shared" si="829"/>
        <v>53.333333333333336</v>
      </c>
      <c r="DEN21" s="50"/>
      <c r="DEO21" s="51"/>
      <c r="DEP21" s="51"/>
      <c r="DEQ21" s="51">
        <v>0</v>
      </c>
      <c r="DER21" s="51"/>
      <c r="DES21" s="51">
        <v>0</v>
      </c>
      <c r="DET21" s="128">
        <f t="shared" si="830"/>
        <v>0</v>
      </c>
      <c r="DEU21" s="53">
        <f t="shared" si="831"/>
        <v>0</v>
      </c>
      <c r="DEV21" s="50">
        <v>0</v>
      </c>
      <c r="DEW21" s="51"/>
      <c r="DEX21" s="51"/>
      <c r="DEY21" s="51"/>
      <c r="DEZ21" s="51"/>
      <c r="DFA21" s="51"/>
      <c r="DFB21" s="128">
        <f t="shared" si="832"/>
        <v>0</v>
      </c>
      <c r="DFC21" s="53">
        <f t="shared" si="833"/>
        <v>0</v>
      </c>
      <c r="DFD21" s="50"/>
      <c r="DFE21" s="51">
        <v>0</v>
      </c>
      <c r="DFF21" s="51"/>
      <c r="DFG21" s="51"/>
      <c r="DFH21" s="51"/>
      <c r="DFI21" s="51"/>
      <c r="DFJ21" s="128">
        <f t="shared" si="834"/>
        <v>0</v>
      </c>
      <c r="DFK21" s="53">
        <f t="shared" si="835"/>
        <v>0</v>
      </c>
      <c r="DFL21" s="65"/>
      <c r="DFM21" s="66">
        <v>0</v>
      </c>
      <c r="DFN21" s="66"/>
      <c r="DFO21" s="66">
        <v>329</v>
      </c>
      <c r="DFP21" s="66">
        <v>0</v>
      </c>
      <c r="DFQ21" s="66">
        <v>0</v>
      </c>
      <c r="DFR21" s="66">
        <f t="shared" si="836"/>
        <v>329</v>
      </c>
      <c r="DFS21" s="70">
        <f t="shared" si="837"/>
        <v>54.833333333333336</v>
      </c>
      <c r="DFT21" s="50"/>
      <c r="DFU21" s="51"/>
      <c r="DFV21" s="51"/>
      <c r="DFW21" s="51"/>
      <c r="DFX21" s="51"/>
      <c r="DFY21" s="51"/>
      <c r="DFZ21" s="128">
        <f t="shared" si="838"/>
        <v>0</v>
      </c>
      <c r="DGA21" s="53">
        <f t="shared" si="839"/>
        <v>0</v>
      </c>
      <c r="DGB21" s="50"/>
      <c r="DGC21" s="51">
        <v>0</v>
      </c>
      <c r="DGD21" s="51">
        <v>0</v>
      </c>
      <c r="DGE21" s="51"/>
      <c r="DGF21" s="51"/>
      <c r="DGG21" s="51"/>
      <c r="DGH21" s="128">
        <f t="shared" si="840"/>
        <v>0</v>
      </c>
      <c r="DGI21" s="53">
        <f t="shared" si="841"/>
        <v>0</v>
      </c>
      <c r="DGJ21" s="50"/>
      <c r="DGK21" s="51"/>
      <c r="DGL21" s="51"/>
      <c r="DGM21" s="51"/>
      <c r="DGN21" s="51"/>
      <c r="DGO21" s="51"/>
      <c r="DGP21" s="66">
        <f t="shared" si="842"/>
        <v>0</v>
      </c>
      <c r="DGQ21" s="70">
        <f t="shared" si="843"/>
        <v>0</v>
      </c>
      <c r="DGR21" s="50">
        <v>0</v>
      </c>
      <c r="DGS21" s="51">
        <v>0</v>
      </c>
      <c r="DGT21" s="51">
        <v>0</v>
      </c>
      <c r="DGU21" s="51">
        <v>0</v>
      </c>
      <c r="DGV21" s="51">
        <v>0</v>
      </c>
      <c r="DGW21" s="51"/>
      <c r="DGX21" s="66">
        <f t="shared" si="844"/>
        <v>0</v>
      </c>
      <c r="DGY21" s="70">
        <f t="shared" si="845"/>
        <v>0</v>
      </c>
      <c r="DGZ21" s="50">
        <v>0</v>
      </c>
      <c r="DHA21" s="51"/>
      <c r="DHB21" s="51"/>
      <c r="DHC21" s="51"/>
      <c r="DHD21" s="51"/>
      <c r="DHE21" s="51"/>
      <c r="DHF21" s="66">
        <f t="shared" si="846"/>
        <v>0</v>
      </c>
      <c r="DHG21" s="70">
        <f t="shared" si="847"/>
        <v>0</v>
      </c>
      <c r="DHH21" s="65"/>
      <c r="DHI21" s="66">
        <v>0</v>
      </c>
      <c r="DHJ21" s="66"/>
      <c r="DHK21" s="66"/>
      <c r="DHL21" s="66"/>
      <c r="DHM21" s="66"/>
      <c r="DHN21" s="66">
        <f t="shared" si="848"/>
        <v>0</v>
      </c>
      <c r="DHO21" s="70">
        <f t="shared" si="849"/>
        <v>0</v>
      </c>
      <c r="DHP21" s="50"/>
      <c r="DHQ21" s="51">
        <v>0</v>
      </c>
      <c r="DHR21" s="51">
        <v>0</v>
      </c>
      <c r="DHS21" s="51"/>
      <c r="DHT21" s="51"/>
      <c r="DHU21" s="51"/>
      <c r="DHV21" s="66">
        <f t="shared" si="850"/>
        <v>0</v>
      </c>
      <c r="DHW21" s="70">
        <f t="shared" si="851"/>
        <v>0</v>
      </c>
      <c r="DHX21" s="50"/>
      <c r="DHY21" s="51"/>
      <c r="DHZ21" s="51"/>
      <c r="DIA21" s="51"/>
      <c r="DIB21" s="51">
        <v>315</v>
      </c>
      <c r="DIC21" s="51">
        <v>0</v>
      </c>
      <c r="DID21" s="66">
        <f t="shared" si="852"/>
        <v>315</v>
      </c>
      <c r="DIE21" s="70">
        <f t="shared" si="853"/>
        <v>52.5</v>
      </c>
      <c r="DIF21" s="50"/>
      <c r="DIG21" s="51"/>
      <c r="DIH21" s="51"/>
      <c r="DII21" s="51">
        <v>0</v>
      </c>
      <c r="DIJ21" s="51"/>
      <c r="DIK21" s="51"/>
      <c r="DIL21" s="66">
        <f t="shared" si="854"/>
        <v>0</v>
      </c>
      <c r="DIM21" s="70">
        <f t="shared" si="855"/>
        <v>0</v>
      </c>
      <c r="DIN21" s="50"/>
      <c r="DIO21" s="51"/>
      <c r="DIP21" s="51">
        <v>0</v>
      </c>
      <c r="DIQ21" s="51"/>
      <c r="DIR21" s="51">
        <v>0</v>
      </c>
      <c r="DIS21" s="51"/>
      <c r="DIT21" s="66">
        <f t="shared" si="856"/>
        <v>0</v>
      </c>
      <c r="DIU21" s="70">
        <f t="shared" si="857"/>
        <v>0</v>
      </c>
      <c r="DIV21" s="50">
        <f>SUMIF(SUMPK!$B:$B,$B:$B,SUMPK!$O:$O)</f>
        <v>0</v>
      </c>
      <c r="DIW21" s="51"/>
      <c r="DIX21" s="51"/>
      <c r="DIY21" s="51"/>
      <c r="DIZ21" s="51"/>
      <c r="DJA21" s="51"/>
      <c r="DJB21" s="66">
        <f t="shared" si="858"/>
        <v>0</v>
      </c>
      <c r="DJC21" s="70">
        <f t="shared" si="859"/>
        <v>0</v>
      </c>
      <c r="DJD21" s="50"/>
      <c r="DJE21" s="51"/>
      <c r="DJF21" s="51"/>
      <c r="DJG21" s="51"/>
      <c r="DJH21" s="51"/>
      <c r="DJI21" s="51"/>
      <c r="DJJ21" s="66">
        <f t="shared" si="860"/>
        <v>0</v>
      </c>
      <c r="DJK21" s="70">
        <f t="shared" si="861"/>
        <v>0</v>
      </c>
      <c r="DJL21" s="50"/>
      <c r="DJM21" s="51"/>
      <c r="DJN21" s="51"/>
      <c r="DJO21" s="51">
        <v>0</v>
      </c>
      <c r="DJP21" s="51"/>
      <c r="DJQ21" s="51">
        <v>0</v>
      </c>
      <c r="DJR21" s="66">
        <f t="shared" si="862"/>
        <v>0</v>
      </c>
      <c r="DJS21" s="70">
        <f t="shared" si="863"/>
        <v>0</v>
      </c>
      <c r="DJT21" s="50"/>
      <c r="DJU21" s="51"/>
      <c r="DJV21" s="51"/>
      <c r="DJW21" s="51">
        <v>0</v>
      </c>
      <c r="DJX21" s="51"/>
      <c r="DJY21" s="51">
        <v>1664</v>
      </c>
      <c r="DJZ21" s="66">
        <f t="shared" si="864"/>
        <v>1664</v>
      </c>
      <c r="DKA21" s="70">
        <f t="shared" si="865"/>
        <v>277.33333333333331</v>
      </c>
      <c r="DKB21" s="50"/>
      <c r="DKC21" s="51">
        <v>324</v>
      </c>
      <c r="DKD21" s="51">
        <v>0</v>
      </c>
      <c r="DKE21" s="51"/>
      <c r="DKF21" s="51"/>
      <c r="DKG21" s="51"/>
      <c r="DKH21" s="66">
        <f t="shared" si="866"/>
        <v>324</v>
      </c>
      <c r="DKI21" s="70">
        <f t="shared" si="867"/>
        <v>54</v>
      </c>
      <c r="DKJ21" s="50"/>
      <c r="DKK21" s="51"/>
      <c r="DKL21" s="51">
        <v>0</v>
      </c>
      <c r="DKM21" s="51">
        <v>0</v>
      </c>
      <c r="DKN21" s="51"/>
      <c r="DKO21" s="51"/>
      <c r="DKP21" s="66">
        <f t="shared" si="868"/>
        <v>0</v>
      </c>
      <c r="DKQ21" s="70">
        <f t="shared" si="869"/>
        <v>0</v>
      </c>
      <c r="DKR21" s="50"/>
      <c r="DKS21" s="51"/>
      <c r="DKT21" s="51"/>
      <c r="DKU21" s="51">
        <v>1760</v>
      </c>
      <c r="DKV21" s="51">
        <v>1591</v>
      </c>
      <c r="DKW21" s="51"/>
      <c r="DKX21" s="66">
        <f t="shared" si="870"/>
        <v>3351</v>
      </c>
      <c r="DKY21" s="70">
        <f t="shared" si="871"/>
        <v>558.5</v>
      </c>
      <c r="DKZ21" s="50">
        <v>0</v>
      </c>
      <c r="DLA21" s="51">
        <v>0</v>
      </c>
      <c r="DLB21" s="51">
        <v>0</v>
      </c>
      <c r="DLC21" s="51"/>
      <c r="DLD21" s="51">
        <v>1619</v>
      </c>
      <c r="DLE21" s="51">
        <v>0</v>
      </c>
      <c r="DLF21" s="66">
        <f t="shared" si="872"/>
        <v>1619</v>
      </c>
      <c r="DLG21" s="70">
        <f t="shared" si="873"/>
        <v>269.83333333333331</v>
      </c>
      <c r="DLH21" s="50"/>
      <c r="DLI21" s="51"/>
      <c r="DLJ21" s="51">
        <v>0</v>
      </c>
      <c r="DLK21" s="51"/>
      <c r="DLL21" s="51"/>
      <c r="DLM21" s="51"/>
      <c r="DLN21" s="66">
        <f t="shared" si="874"/>
        <v>0</v>
      </c>
      <c r="DLO21" s="70">
        <f t="shared" si="875"/>
        <v>0</v>
      </c>
      <c r="DLP21" s="50"/>
      <c r="DLQ21" s="51"/>
      <c r="DLR21" s="51"/>
      <c r="DLS21" s="51">
        <v>0</v>
      </c>
      <c r="DLT21" s="51"/>
      <c r="DLU21" s="51"/>
      <c r="DLV21" s="66">
        <f t="shared" si="876"/>
        <v>0</v>
      </c>
      <c r="DLW21" s="70">
        <f t="shared" si="877"/>
        <v>0</v>
      </c>
      <c r="DLX21" s="50"/>
      <c r="DLY21" s="51"/>
      <c r="DLZ21" s="51"/>
      <c r="DMA21" s="51"/>
      <c r="DMB21" s="51"/>
      <c r="DMC21" s="51"/>
      <c r="DMD21" s="66">
        <f t="shared" si="878"/>
        <v>0</v>
      </c>
      <c r="DME21" s="70">
        <f t="shared" si="879"/>
        <v>0</v>
      </c>
      <c r="DMF21" s="50"/>
      <c r="DMG21" s="51"/>
      <c r="DMH21" s="51"/>
      <c r="DMI21" s="51">
        <v>0</v>
      </c>
      <c r="DMJ21" s="51"/>
      <c r="DMK21" s="51"/>
      <c r="DML21" s="66">
        <f t="shared" si="880"/>
        <v>0</v>
      </c>
      <c r="DMM21" s="70">
        <f t="shared" si="881"/>
        <v>0</v>
      </c>
      <c r="DMN21" s="50"/>
      <c r="DMO21" s="51"/>
      <c r="DMP21" s="51"/>
      <c r="DMQ21" s="51">
        <v>0</v>
      </c>
      <c r="DMR21" s="51"/>
      <c r="DMS21" s="51">
        <v>0</v>
      </c>
      <c r="DMT21" s="66">
        <f t="shared" si="882"/>
        <v>0</v>
      </c>
      <c r="DMU21" s="70">
        <f t="shared" si="883"/>
        <v>0</v>
      </c>
      <c r="DMV21" s="50"/>
      <c r="DMW21" s="51">
        <v>0</v>
      </c>
      <c r="DMX21" s="51">
        <v>0</v>
      </c>
      <c r="DMY21" s="51"/>
      <c r="DMZ21" s="51"/>
      <c r="DNA21" s="51"/>
      <c r="DNB21" s="66">
        <f t="shared" si="884"/>
        <v>0</v>
      </c>
      <c r="DNC21" s="70">
        <f t="shared" si="885"/>
        <v>0</v>
      </c>
      <c r="DND21" s="50"/>
      <c r="DNE21" s="51"/>
      <c r="DNF21" s="51"/>
      <c r="DNG21" s="51"/>
      <c r="DNH21" s="51"/>
      <c r="DNI21" s="51"/>
      <c r="DNJ21" s="66">
        <f t="shared" si="886"/>
        <v>0</v>
      </c>
      <c r="DNK21" s="70">
        <f t="shared" si="887"/>
        <v>0</v>
      </c>
      <c r="DNL21" s="50"/>
      <c r="DNM21" s="51"/>
      <c r="DNN21" s="51"/>
      <c r="DNO21" s="51"/>
      <c r="DNP21" s="51"/>
      <c r="DNQ21" s="51"/>
      <c r="DNR21" s="66">
        <f t="shared" si="888"/>
        <v>0</v>
      </c>
      <c r="DNS21" s="70">
        <f t="shared" si="889"/>
        <v>0</v>
      </c>
      <c r="DNT21" s="50"/>
      <c r="DNU21" s="51"/>
      <c r="DNV21" s="51"/>
      <c r="DNW21" s="51"/>
      <c r="DNX21" s="51"/>
      <c r="DNY21" s="51"/>
      <c r="DNZ21" s="66">
        <f t="shared" si="890"/>
        <v>0</v>
      </c>
      <c r="DOA21" s="70">
        <f t="shared" si="891"/>
        <v>0</v>
      </c>
      <c r="DOB21" s="50">
        <v>0</v>
      </c>
      <c r="DOC21" s="51"/>
      <c r="DOD21" s="51"/>
      <c r="DOE21" s="51"/>
      <c r="DOF21" s="51"/>
      <c r="DOG21" s="51"/>
      <c r="DOH21" s="66">
        <f t="shared" si="892"/>
        <v>0</v>
      </c>
      <c r="DOI21" s="70">
        <f t="shared" si="893"/>
        <v>0</v>
      </c>
      <c r="DOJ21" s="50"/>
      <c r="DOK21" s="51">
        <v>0</v>
      </c>
      <c r="DOL21" s="51"/>
      <c r="DOM21" s="51"/>
      <c r="DON21" s="51"/>
      <c r="DOO21" s="51"/>
      <c r="DOP21" s="66">
        <f t="shared" si="894"/>
        <v>0</v>
      </c>
      <c r="DOQ21" s="70">
        <f t="shared" si="895"/>
        <v>0</v>
      </c>
      <c r="DOR21" s="50"/>
      <c r="DOS21" s="51"/>
      <c r="DOT21" s="51"/>
      <c r="DOU21" s="51"/>
      <c r="DOV21" s="51"/>
      <c r="DOW21" s="51"/>
      <c r="DOX21" s="66">
        <f t="shared" si="896"/>
        <v>0</v>
      </c>
      <c r="DOY21" s="70">
        <f t="shared" si="897"/>
        <v>0</v>
      </c>
      <c r="DOZ21" s="50"/>
      <c r="DPA21" s="51"/>
      <c r="DPB21" s="51"/>
      <c r="DPC21" s="51"/>
      <c r="DPD21" s="51"/>
      <c r="DPE21" s="51"/>
      <c r="DPF21" s="66">
        <f t="shared" si="898"/>
        <v>0</v>
      </c>
      <c r="DPG21" s="70">
        <f t="shared" si="899"/>
        <v>0</v>
      </c>
      <c r="DPH21" s="50">
        <v>0</v>
      </c>
      <c r="DPI21" s="51"/>
      <c r="DPJ21" s="51"/>
      <c r="DPK21" s="51"/>
      <c r="DPL21" s="51">
        <v>0</v>
      </c>
      <c r="DPM21" s="51"/>
      <c r="DPN21" s="66">
        <f t="shared" si="900"/>
        <v>0</v>
      </c>
      <c r="DPO21" s="70">
        <f t="shared" si="901"/>
        <v>0</v>
      </c>
      <c r="DPP21" s="50"/>
      <c r="DPQ21" s="51"/>
      <c r="DPR21" s="51"/>
      <c r="DPS21" s="51"/>
      <c r="DPT21" s="51"/>
      <c r="DPU21" s="51"/>
      <c r="DPV21" s="493">
        <f t="shared" si="902"/>
        <v>0</v>
      </c>
      <c r="DPW21" s="494">
        <f t="shared" si="903"/>
        <v>0</v>
      </c>
      <c r="DPX21" s="50"/>
      <c r="DPY21" s="51"/>
      <c r="DPZ21" s="51">
        <v>340</v>
      </c>
      <c r="DQA21" s="51"/>
      <c r="DQB21" s="51"/>
      <c r="DQC21" s="51"/>
      <c r="DQD21" s="493">
        <f t="shared" si="904"/>
        <v>340</v>
      </c>
      <c r="DQE21" s="494">
        <f t="shared" si="905"/>
        <v>56.666666666666664</v>
      </c>
      <c r="DQF21" s="50"/>
      <c r="DQG21" s="51"/>
      <c r="DQH21" s="51"/>
      <c r="DQI21" s="51"/>
      <c r="DQJ21" s="51"/>
      <c r="DQK21" s="51"/>
      <c r="DQL21" s="499">
        <f t="shared" si="906"/>
        <v>0</v>
      </c>
      <c r="DQM21" s="494">
        <f t="shared" si="907"/>
        <v>0</v>
      </c>
      <c r="DQN21" s="50"/>
      <c r="DQO21" s="51"/>
      <c r="DQP21" s="51">
        <v>0</v>
      </c>
      <c r="DQQ21" s="51">
        <v>0</v>
      </c>
      <c r="DQR21" s="51"/>
      <c r="DQS21" s="51"/>
      <c r="DQT21" s="66">
        <f t="shared" si="908"/>
        <v>0</v>
      </c>
      <c r="DQU21" s="70">
        <f t="shared" si="909"/>
        <v>0</v>
      </c>
      <c r="DQV21" s="50"/>
      <c r="DQW21" s="51"/>
      <c r="DQX21" s="51">
        <v>0</v>
      </c>
      <c r="DQY21" s="51">
        <v>0</v>
      </c>
      <c r="DQZ21" s="51">
        <v>0</v>
      </c>
      <c r="DRA21" s="51"/>
      <c r="DRB21" s="493">
        <f t="shared" si="910"/>
        <v>0</v>
      </c>
      <c r="DRC21" s="494">
        <f t="shared" si="911"/>
        <v>0</v>
      </c>
      <c r="DRD21" s="50"/>
      <c r="DRE21" s="51"/>
      <c r="DRF21" s="51"/>
      <c r="DRG21" s="51">
        <v>0</v>
      </c>
      <c r="DRH21" s="51"/>
      <c r="DRI21" s="51"/>
      <c r="DRJ21" s="493">
        <f t="shared" si="912"/>
        <v>0</v>
      </c>
      <c r="DRK21" s="494">
        <f t="shared" si="913"/>
        <v>0</v>
      </c>
      <c r="DRL21" s="50"/>
      <c r="DRM21" s="51"/>
      <c r="DRN21" s="51"/>
      <c r="DRO21" s="51"/>
      <c r="DRP21" s="51"/>
      <c r="DRQ21" s="51"/>
      <c r="DRR21" s="66">
        <f t="shared" si="914"/>
        <v>0</v>
      </c>
      <c r="DRS21" s="70">
        <f t="shared" si="915"/>
        <v>0</v>
      </c>
      <c r="DRT21" s="50"/>
      <c r="DRU21" s="51"/>
      <c r="DRV21" s="51"/>
      <c r="DRW21" s="51"/>
      <c r="DRX21" s="51"/>
      <c r="DRY21" s="51"/>
      <c r="DRZ21" s="493">
        <f t="shared" si="916"/>
        <v>0</v>
      </c>
      <c r="DSA21" s="70">
        <f t="shared" si="917"/>
        <v>0</v>
      </c>
      <c r="DSB21" s="84"/>
      <c r="DSC21" s="85"/>
      <c r="DSD21" s="85">
        <v>0</v>
      </c>
      <c r="DSE21" s="85"/>
      <c r="DSF21" s="85"/>
      <c r="DSG21" s="85"/>
      <c r="DSH21" s="66">
        <f t="shared" si="918"/>
        <v>0</v>
      </c>
      <c r="DSI21" s="70">
        <f t="shared" si="919"/>
        <v>0</v>
      </c>
      <c r="DSJ21" s="50"/>
      <c r="DSK21" s="51"/>
      <c r="DSL21" s="51"/>
      <c r="DSM21" s="51">
        <v>0</v>
      </c>
      <c r="DSN21" s="51"/>
      <c r="DSO21" s="51"/>
      <c r="DSP21" s="66">
        <f t="shared" ref="DSP21" si="1215">SUM(DSJ21:DSO21)</f>
        <v>0</v>
      </c>
      <c r="DSQ21" s="70">
        <f t="shared" si="921"/>
        <v>0</v>
      </c>
      <c r="DSR21" s="50">
        <v>347</v>
      </c>
      <c r="DSS21" s="51"/>
      <c r="DST21" s="51"/>
      <c r="DSU21" s="51"/>
      <c r="DSV21" s="51">
        <v>0</v>
      </c>
      <c r="DSW21" s="51"/>
      <c r="DSX21" s="66">
        <f t="shared" si="922"/>
        <v>347</v>
      </c>
      <c r="DSY21" s="70">
        <f t="shared" si="923"/>
        <v>57.833333333333336</v>
      </c>
      <c r="DSZ21" s="50"/>
      <c r="DTA21" s="51"/>
      <c r="DTB21" s="51"/>
      <c r="DTC21" s="51"/>
      <c r="DTD21" s="51">
        <v>0</v>
      </c>
      <c r="DTE21" s="51"/>
      <c r="DTF21" s="66">
        <f t="shared" si="924"/>
        <v>0</v>
      </c>
      <c r="DTG21" s="70">
        <f t="shared" si="925"/>
        <v>0</v>
      </c>
      <c r="DTH21" s="50"/>
      <c r="DTI21" s="51"/>
      <c r="DTJ21" s="51">
        <v>330</v>
      </c>
      <c r="DTK21" s="51"/>
      <c r="DTL21" s="51"/>
      <c r="DTM21" s="51"/>
      <c r="DTN21" s="66">
        <f t="shared" si="926"/>
        <v>330</v>
      </c>
      <c r="DTO21" s="70">
        <f t="shared" si="927"/>
        <v>55</v>
      </c>
      <c r="DTP21" s="50"/>
      <c r="DTQ21" s="51"/>
      <c r="DTR21" s="51"/>
      <c r="DTS21" s="51"/>
      <c r="DTT21" s="51"/>
      <c r="DTU21" s="51">
        <v>0</v>
      </c>
      <c r="DTV21" s="66">
        <f t="shared" si="928"/>
        <v>0</v>
      </c>
      <c r="DTW21" s="70">
        <f t="shared" si="929"/>
        <v>0</v>
      </c>
      <c r="DTX21" s="50">
        <v>327</v>
      </c>
      <c r="DTY21" s="51"/>
      <c r="DTZ21" s="51"/>
      <c r="DUA21" s="51"/>
      <c r="DUB21" s="51">
        <v>0</v>
      </c>
      <c r="DUC21" s="51"/>
      <c r="DUD21" s="66">
        <f t="shared" si="930"/>
        <v>327</v>
      </c>
      <c r="DUE21" s="70">
        <f t="shared" si="931"/>
        <v>54.5</v>
      </c>
      <c r="DUF21" s="1"/>
      <c r="DUG21" s="1"/>
      <c r="DUH21" s="1"/>
      <c r="DUI21" s="1"/>
      <c r="DUJ21" s="1"/>
      <c r="DUK21" s="1"/>
      <c r="DUN21" s="1"/>
      <c r="DUO21" s="1"/>
      <c r="DUP21" s="1"/>
      <c r="DUQ21" s="1"/>
      <c r="DUR21" s="1"/>
      <c r="DUS21" s="1"/>
      <c r="DUV21" s="50"/>
      <c r="DUW21" s="51">
        <v>0</v>
      </c>
      <c r="DUX21" s="51"/>
      <c r="DUY21" s="51"/>
      <c r="DUZ21" s="51"/>
      <c r="DVA21" s="51"/>
      <c r="DVB21" s="200"/>
      <c r="DVC21" s="516"/>
      <c r="DVD21" s="50"/>
      <c r="DVE21" s="51">
        <v>345</v>
      </c>
      <c r="DVF21" s="51"/>
      <c r="DVG21" s="51"/>
      <c r="DVH21" s="51"/>
      <c r="DVI21" s="51"/>
      <c r="DVJ21" s="66">
        <f t="shared" si="938"/>
        <v>345</v>
      </c>
      <c r="DVK21" s="70">
        <f t="shared" si="939"/>
        <v>57.5</v>
      </c>
      <c r="DVL21" s="50"/>
      <c r="DVM21" s="51">
        <v>0</v>
      </c>
      <c r="DVN21" s="51">
        <v>0</v>
      </c>
      <c r="DVO21" s="51">
        <v>0</v>
      </c>
      <c r="DVP21" s="51"/>
      <c r="DVQ21" s="51"/>
      <c r="DVR21" s="66">
        <f t="shared" si="940"/>
        <v>0</v>
      </c>
      <c r="DVS21" s="70">
        <f t="shared" si="941"/>
        <v>0</v>
      </c>
      <c r="DVT21" s="50"/>
      <c r="DVU21" s="51"/>
      <c r="DVV21" s="51">
        <v>0</v>
      </c>
      <c r="DVW21" s="51">
        <v>0</v>
      </c>
      <c r="DVX21" s="51"/>
      <c r="DVY21" s="51">
        <v>0</v>
      </c>
      <c r="DVZ21" s="66">
        <f t="shared" si="942"/>
        <v>0</v>
      </c>
      <c r="DWA21" s="70">
        <f t="shared" si="943"/>
        <v>0</v>
      </c>
      <c r="DWB21" s="50"/>
      <c r="DWC21" s="51"/>
      <c r="DWD21" s="51">
        <v>0</v>
      </c>
      <c r="DWE21" s="51"/>
      <c r="DWF21" s="51">
        <v>0</v>
      </c>
      <c r="DWG21" s="51">
        <v>0</v>
      </c>
      <c r="DWH21" s="66">
        <f t="shared" si="944"/>
        <v>0</v>
      </c>
      <c r="DWI21" s="70">
        <f t="shared" si="945"/>
        <v>0</v>
      </c>
      <c r="DWJ21" s="50"/>
      <c r="DWK21" s="51"/>
      <c r="DWL21" s="51"/>
      <c r="DWM21" s="51">
        <v>0</v>
      </c>
      <c r="DWN21" s="51"/>
      <c r="DWO21" s="51"/>
      <c r="DWP21" s="66">
        <f t="shared" si="946"/>
        <v>0</v>
      </c>
      <c r="DWQ21" s="70">
        <f t="shared" si="947"/>
        <v>0</v>
      </c>
      <c r="DWR21" s="50"/>
      <c r="DWS21" s="51"/>
      <c r="DWT21" s="51">
        <v>0</v>
      </c>
      <c r="DWU21" s="51"/>
      <c r="DWV21" s="51">
        <v>0</v>
      </c>
      <c r="DWW21" s="51"/>
      <c r="DWX21" s="66">
        <f t="shared" si="948"/>
        <v>0</v>
      </c>
      <c r="DWY21" s="70">
        <f t="shared" si="1201"/>
        <v>0</v>
      </c>
      <c r="DWZ21" s="50">
        <v>0</v>
      </c>
      <c r="DXA21" s="51"/>
      <c r="DXB21" s="51"/>
      <c r="DXC21" s="51">
        <v>0</v>
      </c>
      <c r="DXD21" s="51">
        <v>0</v>
      </c>
      <c r="DXE21" s="51"/>
      <c r="DXF21" s="66">
        <f t="shared" si="949"/>
        <v>0</v>
      </c>
      <c r="DXG21" s="70">
        <f t="shared" si="950"/>
        <v>0</v>
      </c>
      <c r="DXH21" s="50"/>
      <c r="DXI21" s="51">
        <v>0</v>
      </c>
      <c r="DXJ21" s="51">
        <v>0</v>
      </c>
      <c r="DXK21" s="51"/>
      <c r="DXL21" s="51"/>
      <c r="DXM21" s="51"/>
      <c r="DXN21" s="66">
        <f t="shared" si="951"/>
        <v>0</v>
      </c>
      <c r="DXO21" s="70">
        <f t="shared" si="952"/>
        <v>0</v>
      </c>
      <c r="DXP21" s="50">
        <v>0</v>
      </c>
      <c r="DXQ21" s="51"/>
      <c r="DXR21" s="51">
        <v>0</v>
      </c>
      <c r="DXS21" s="51">
        <v>0</v>
      </c>
      <c r="DXT21" s="51"/>
      <c r="DXU21" s="51"/>
      <c r="DXV21" s="66">
        <f t="shared" si="953"/>
        <v>0</v>
      </c>
      <c r="DXW21" s="70">
        <f t="shared" si="954"/>
        <v>0</v>
      </c>
      <c r="DXX21" s="50">
        <v>0</v>
      </c>
      <c r="DXY21" s="51"/>
      <c r="DXZ21" s="51"/>
      <c r="DYA21" s="51">
        <v>0</v>
      </c>
      <c r="DYB21" s="51"/>
      <c r="DYC21" s="51">
        <v>0</v>
      </c>
      <c r="DYD21" s="66">
        <f t="shared" si="955"/>
        <v>0</v>
      </c>
      <c r="DYE21" s="70">
        <f t="shared" si="956"/>
        <v>0</v>
      </c>
      <c r="DYF21" s="50"/>
      <c r="DYG21" s="51"/>
      <c r="DYH21" s="51">
        <v>0</v>
      </c>
      <c r="DYI21" s="51"/>
      <c r="DYJ21" s="51"/>
      <c r="DYK21" s="51"/>
      <c r="DYL21" s="66">
        <f t="shared" si="957"/>
        <v>0</v>
      </c>
      <c r="DYM21" s="70">
        <f t="shared" si="958"/>
        <v>0</v>
      </c>
      <c r="DYN21" s="50">
        <v>0</v>
      </c>
      <c r="DYO21" s="51"/>
      <c r="DYP21" s="51">
        <v>0</v>
      </c>
      <c r="DYQ21" s="51">
        <v>0</v>
      </c>
      <c r="DYR21" s="51"/>
      <c r="DYS21" s="51">
        <v>0</v>
      </c>
      <c r="DYT21" s="66">
        <f t="shared" si="959"/>
        <v>0</v>
      </c>
      <c r="DYU21" s="70">
        <f t="shared" si="960"/>
        <v>0</v>
      </c>
      <c r="DYV21" s="50"/>
      <c r="DYW21" s="51"/>
      <c r="DYX21" s="51">
        <v>0</v>
      </c>
      <c r="DYY21" s="51"/>
      <c r="DYZ21" s="51"/>
      <c r="DZA21" s="51"/>
      <c r="DZB21" s="66">
        <f t="shared" si="961"/>
        <v>0</v>
      </c>
      <c r="DZC21" s="70">
        <f t="shared" si="962"/>
        <v>0</v>
      </c>
      <c r="DZD21" s="50">
        <v>0</v>
      </c>
      <c r="DZE21" s="51"/>
      <c r="DZF21" s="51">
        <v>0</v>
      </c>
      <c r="DZG21" s="51"/>
      <c r="DZH21" s="51"/>
      <c r="DZI21" s="51"/>
      <c r="DZJ21" s="66">
        <f t="shared" si="963"/>
        <v>0</v>
      </c>
      <c r="DZK21" s="70">
        <f t="shared" si="964"/>
        <v>0</v>
      </c>
      <c r="DZL21" s="50"/>
      <c r="DZM21" s="51"/>
      <c r="DZN21" s="51"/>
      <c r="DZO21" s="51"/>
      <c r="DZP21" s="51"/>
      <c r="DZQ21" s="51"/>
      <c r="DZR21" s="66">
        <f t="shared" si="965"/>
        <v>0</v>
      </c>
      <c r="DZS21" s="70">
        <f t="shared" si="966"/>
        <v>0</v>
      </c>
      <c r="DZT21" s="50"/>
      <c r="DZU21" s="51"/>
      <c r="DZV21" s="51"/>
      <c r="DZW21" s="51"/>
      <c r="DZX21" s="51"/>
      <c r="DZY21" s="51"/>
      <c r="DZZ21" s="66">
        <f t="shared" si="967"/>
        <v>0</v>
      </c>
      <c r="EAA21" s="70">
        <f t="shared" si="968"/>
        <v>0</v>
      </c>
      <c r="EAB21" s="50"/>
      <c r="EAC21" s="51"/>
      <c r="EAD21" s="51"/>
      <c r="EAE21" s="51"/>
      <c r="EAF21" s="51"/>
      <c r="EAG21" s="51"/>
      <c r="EAH21" s="66">
        <f t="shared" si="969"/>
        <v>0</v>
      </c>
      <c r="EAI21" s="70">
        <f t="shared" si="970"/>
        <v>0</v>
      </c>
      <c r="EAJ21" s="50"/>
      <c r="EAK21" s="51">
        <v>0</v>
      </c>
      <c r="EAL21" s="51">
        <v>0</v>
      </c>
      <c r="EAM21" s="51"/>
      <c r="EAN21" s="51"/>
      <c r="EAO21" s="51"/>
      <c r="EAP21" s="66">
        <f t="shared" si="971"/>
        <v>0</v>
      </c>
      <c r="EAQ21" s="70">
        <f t="shared" si="1202"/>
        <v>0</v>
      </c>
      <c r="EAR21" s="50">
        <v>0</v>
      </c>
      <c r="EAS21" s="51"/>
      <c r="EAT21" s="51">
        <v>0</v>
      </c>
      <c r="EAU21" s="51"/>
      <c r="EAV21" s="51">
        <v>0</v>
      </c>
      <c r="EAW21" s="51"/>
      <c r="EAX21" s="66">
        <f t="shared" si="972"/>
        <v>0</v>
      </c>
      <c r="EAY21" s="70">
        <f t="shared" si="973"/>
        <v>0</v>
      </c>
      <c r="EAZ21" s="50"/>
      <c r="EBA21" s="51">
        <v>0</v>
      </c>
      <c r="EBB21" s="51"/>
      <c r="EBC21" s="51"/>
      <c r="EBD21" s="51"/>
      <c r="EBE21" s="51"/>
      <c r="EBF21" s="66">
        <f t="shared" si="974"/>
        <v>0</v>
      </c>
      <c r="EBG21" s="70">
        <f t="shared" si="975"/>
        <v>0</v>
      </c>
      <c r="EBH21" s="50"/>
      <c r="EBI21" s="51">
        <v>0</v>
      </c>
      <c r="EBJ21" s="51"/>
      <c r="EBK21" s="51"/>
      <c r="EBL21" s="51">
        <v>0</v>
      </c>
      <c r="EBM21" s="51"/>
      <c r="EBN21" s="66">
        <f t="shared" si="976"/>
        <v>0</v>
      </c>
      <c r="EBO21" s="70">
        <f t="shared" si="1131"/>
        <v>0</v>
      </c>
      <c r="EBP21" s="50"/>
      <c r="EBQ21" s="51"/>
      <c r="EBR21" s="51"/>
      <c r="EBS21" s="51">
        <v>0</v>
      </c>
      <c r="EBT21" s="51"/>
      <c r="EBU21" s="51"/>
      <c r="EBV21" s="66">
        <f t="shared" si="977"/>
        <v>0</v>
      </c>
      <c r="EBW21" s="70">
        <f t="shared" si="978"/>
        <v>0</v>
      </c>
      <c r="EBX21" s="50"/>
      <c r="EBY21" s="51">
        <v>0</v>
      </c>
      <c r="EBZ21" s="51"/>
      <c r="ECA21" s="51"/>
      <c r="ECB21" s="51"/>
      <c r="ECC21" s="51"/>
      <c r="ECD21" s="66">
        <f t="shared" si="979"/>
        <v>0</v>
      </c>
      <c r="ECE21" s="70">
        <f t="shared" si="980"/>
        <v>0</v>
      </c>
      <c r="ECF21" s="50">
        <v>0</v>
      </c>
      <c r="ECG21" s="51">
        <v>0</v>
      </c>
      <c r="ECH21" s="51"/>
      <c r="ECI21" s="51"/>
      <c r="ECJ21" s="51"/>
      <c r="ECK21" s="51"/>
      <c r="ECL21" s="66">
        <f t="shared" si="981"/>
        <v>0</v>
      </c>
      <c r="ECM21" s="70">
        <f t="shared" si="982"/>
        <v>0</v>
      </c>
      <c r="ECN21" s="50"/>
      <c r="ECO21" s="51">
        <v>0</v>
      </c>
      <c r="ECP21" s="51"/>
      <c r="ECQ21" s="51"/>
      <c r="ECR21" s="51"/>
      <c r="ECS21" s="51"/>
      <c r="ECT21" s="66">
        <f t="shared" si="983"/>
        <v>0</v>
      </c>
      <c r="ECU21" s="70">
        <f t="shared" si="984"/>
        <v>0</v>
      </c>
      <c r="ECV21" s="50"/>
      <c r="ECW21" s="51"/>
      <c r="ECX21" s="51"/>
      <c r="ECY21" s="51"/>
      <c r="ECZ21" s="51"/>
      <c r="EDA21" s="51">
        <v>0</v>
      </c>
      <c r="EDB21" s="66">
        <f t="shared" si="985"/>
        <v>0</v>
      </c>
      <c r="EDC21" s="70">
        <f t="shared" si="986"/>
        <v>0</v>
      </c>
      <c r="EDD21" s="50">
        <v>0</v>
      </c>
      <c r="EDE21" s="51"/>
      <c r="EDF21" s="51">
        <v>0</v>
      </c>
      <c r="EDG21" s="51">
        <v>0</v>
      </c>
      <c r="EDH21" s="51"/>
      <c r="EDI21" s="51"/>
      <c r="EDJ21" s="66">
        <f t="shared" si="987"/>
        <v>0</v>
      </c>
      <c r="EDK21" s="70">
        <f t="shared" si="988"/>
        <v>0</v>
      </c>
      <c r="EDL21" s="50"/>
      <c r="EDM21" s="51"/>
      <c r="EDN21" s="51"/>
      <c r="EDO21" s="51"/>
      <c r="EDP21" s="51"/>
      <c r="EDQ21" s="51">
        <v>0</v>
      </c>
      <c r="EDR21" s="66">
        <f t="shared" si="989"/>
        <v>0</v>
      </c>
      <c r="EDS21" s="210">
        <f t="shared" si="990"/>
        <v>0</v>
      </c>
      <c r="EDT21" s="196">
        <v>0</v>
      </c>
      <c r="EDU21" s="197"/>
      <c r="EDV21" s="197">
        <v>0</v>
      </c>
      <c r="EDW21" s="197"/>
      <c r="EDX21" s="197"/>
      <c r="EDY21" s="197"/>
      <c r="EDZ21" s="246">
        <f t="shared" si="991"/>
        <v>0</v>
      </c>
      <c r="EEA21" s="199">
        <f t="shared" si="992"/>
        <v>0</v>
      </c>
      <c r="EEB21" s="50">
        <v>0</v>
      </c>
      <c r="EEC21" s="51"/>
      <c r="EED21" s="51">
        <v>0</v>
      </c>
      <c r="EEE21" s="51"/>
      <c r="EEF21" s="51"/>
      <c r="EEG21" s="51"/>
      <c r="EEH21" s="66">
        <f t="shared" si="993"/>
        <v>0</v>
      </c>
      <c r="EEI21" s="70">
        <f t="shared" si="994"/>
        <v>0</v>
      </c>
      <c r="EEJ21" s="50"/>
      <c r="EEK21" s="51"/>
      <c r="EEL21" s="51"/>
      <c r="EEM21" s="51"/>
      <c r="EEN21" s="51"/>
      <c r="EEO21" s="51"/>
      <c r="EEP21" s="66">
        <f t="shared" si="995"/>
        <v>0</v>
      </c>
      <c r="EEQ21" s="70">
        <f t="shared" si="996"/>
        <v>0</v>
      </c>
      <c r="EER21" s="50">
        <v>0</v>
      </c>
      <c r="EES21" s="51"/>
      <c r="EET21" s="51"/>
      <c r="EEU21" s="51"/>
      <c r="EEV21" s="51"/>
      <c r="EEW21" s="51">
        <v>367</v>
      </c>
      <c r="EEX21" s="66">
        <f t="shared" si="997"/>
        <v>367</v>
      </c>
      <c r="EEY21" s="70">
        <f t="shared" si="998"/>
        <v>61.166666666666664</v>
      </c>
      <c r="EEZ21" s="50">
        <v>367</v>
      </c>
      <c r="EFA21" s="51"/>
      <c r="EFB21" s="51">
        <v>0</v>
      </c>
      <c r="EFC21" s="51"/>
      <c r="EFD21" s="51"/>
      <c r="EFE21" s="51">
        <v>341</v>
      </c>
      <c r="EFF21" s="66">
        <f t="shared" si="999"/>
        <v>708</v>
      </c>
      <c r="EFG21" s="70">
        <f t="shared" si="1000"/>
        <v>118</v>
      </c>
      <c r="EFH21" s="50"/>
      <c r="EFI21" s="51"/>
      <c r="EFJ21" s="51"/>
      <c r="EFK21" s="51"/>
      <c r="EFL21" s="51"/>
      <c r="EFM21" s="51">
        <v>319</v>
      </c>
      <c r="EFN21" s="66">
        <f t="shared" si="1001"/>
        <v>319</v>
      </c>
      <c r="EFO21" s="70">
        <f t="shared" si="1002"/>
        <v>53.166666666666664</v>
      </c>
      <c r="EFP21" s="50"/>
      <c r="EFQ21" s="51"/>
      <c r="EFR21" s="51"/>
      <c r="EFS21" s="51"/>
      <c r="EFT21" s="51"/>
      <c r="EFU21" s="51"/>
      <c r="EFV21" s="66">
        <f t="shared" si="1003"/>
        <v>0</v>
      </c>
      <c r="EFW21" s="70">
        <f t="shared" si="1004"/>
        <v>0</v>
      </c>
      <c r="EFX21" s="50"/>
      <c r="EFY21" s="51"/>
      <c r="EFZ21" s="51"/>
      <c r="EGA21" s="51">
        <v>0</v>
      </c>
      <c r="EGB21" s="51">
        <v>0</v>
      </c>
      <c r="EGC21" s="51"/>
      <c r="EGD21" s="66">
        <f t="shared" si="1005"/>
        <v>0</v>
      </c>
      <c r="EGE21" s="70">
        <f t="shared" si="1006"/>
        <v>0</v>
      </c>
      <c r="EGF21" s="50">
        <v>0</v>
      </c>
      <c r="EGG21" s="51">
        <v>343</v>
      </c>
      <c r="EGH21" s="51"/>
      <c r="EGI21" s="51"/>
      <c r="EGJ21" s="51">
        <v>0</v>
      </c>
      <c r="EGK21" s="51"/>
      <c r="EGL21" s="66">
        <f t="shared" si="1007"/>
        <v>343</v>
      </c>
      <c r="EGM21" s="70">
        <f t="shared" si="1008"/>
        <v>57.166666666666664</v>
      </c>
      <c r="EGN21" s="50">
        <v>0</v>
      </c>
      <c r="EGO21" s="51"/>
      <c r="EGP21" s="51"/>
      <c r="EGQ21" s="51">
        <v>0</v>
      </c>
      <c r="EGR21" s="51"/>
      <c r="EGS21" s="51">
        <v>0</v>
      </c>
      <c r="EGT21" s="66">
        <f t="shared" si="1009"/>
        <v>0</v>
      </c>
      <c r="EGU21" s="70">
        <f t="shared" si="1203"/>
        <v>0</v>
      </c>
      <c r="EGV21" s="50">
        <v>335</v>
      </c>
      <c r="EGW21" s="51"/>
      <c r="EGX21" s="51"/>
      <c r="EGY21" s="51"/>
      <c r="EGZ21" s="51">
        <v>0</v>
      </c>
      <c r="EHA21" s="51"/>
      <c r="EHB21" s="66">
        <f t="shared" si="1010"/>
        <v>335</v>
      </c>
      <c r="EHC21" s="70">
        <f t="shared" si="1011"/>
        <v>55.833333333333336</v>
      </c>
      <c r="EHD21" s="50"/>
      <c r="EHE21" s="51">
        <v>0</v>
      </c>
      <c r="EHF21" s="51"/>
      <c r="EHG21" s="51"/>
      <c r="EHH21" s="51">
        <v>345</v>
      </c>
      <c r="EHI21" s="51">
        <v>0</v>
      </c>
      <c r="EHJ21" s="66">
        <f t="shared" si="1012"/>
        <v>345</v>
      </c>
      <c r="EHK21" s="70">
        <f t="shared" si="1013"/>
        <v>57.5</v>
      </c>
      <c r="EHL21" s="50"/>
      <c r="EHM21" s="51"/>
      <c r="EHN21" s="51"/>
      <c r="EHO21" s="51"/>
      <c r="EHP21" s="51"/>
      <c r="EHQ21" s="51"/>
      <c r="EHR21" s="66">
        <f t="shared" si="1014"/>
        <v>0</v>
      </c>
      <c r="EHS21" s="70">
        <f t="shared" si="1015"/>
        <v>0</v>
      </c>
      <c r="EHT21" s="50"/>
      <c r="EHU21" s="51"/>
      <c r="EHV21" s="51"/>
      <c r="EHW21" s="51"/>
      <c r="EHX21" s="51"/>
      <c r="EHY21" s="51">
        <v>0</v>
      </c>
      <c r="EHZ21" s="66">
        <f t="shared" si="1016"/>
        <v>0</v>
      </c>
      <c r="EIA21" s="70">
        <f t="shared" si="1017"/>
        <v>0</v>
      </c>
      <c r="EIB21" s="50"/>
      <c r="EIC21" s="51"/>
      <c r="EID21" s="51"/>
      <c r="EIE21" s="51"/>
      <c r="EIF21" s="51">
        <v>0</v>
      </c>
      <c r="EIG21" s="51">
        <v>0</v>
      </c>
      <c r="EIH21" s="66">
        <f t="shared" si="1018"/>
        <v>0</v>
      </c>
      <c r="EII21" s="70">
        <f t="shared" si="1019"/>
        <v>0</v>
      </c>
      <c r="EIJ21" s="50"/>
      <c r="EIK21" s="51">
        <v>0</v>
      </c>
      <c r="EIL21" s="51"/>
      <c r="EIM21" s="51">
        <v>0</v>
      </c>
      <c r="EIN21" s="51">
        <v>346</v>
      </c>
      <c r="EIO21" s="51">
        <v>0</v>
      </c>
      <c r="EIP21" s="66">
        <f t="shared" si="1020"/>
        <v>346</v>
      </c>
      <c r="EIQ21" s="70">
        <f t="shared" si="1021"/>
        <v>57.666666666666664</v>
      </c>
      <c r="EIR21" s="50">
        <v>0</v>
      </c>
      <c r="EIS21" s="51"/>
      <c r="EIT21" s="51"/>
      <c r="EIU21" s="51"/>
      <c r="EIV21" s="51"/>
      <c r="EIW21" s="51"/>
      <c r="EIX21" s="66">
        <f t="shared" si="1022"/>
        <v>0</v>
      </c>
      <c r="EIY21" s="70">
        <f t="shared" si="1023"/>
        <v>0</v>
      </c>
      <c r="EIZ21" s="50">
        <v>348</v>
      </c>
      <c r="EJA21" s="51"/>
      <c r="EJB21" s="51"/>
      <c r="EJC21" s="51"/>
      <c r="EJD21" s="51"/>
      <c r="EJE21" s="51"/>
      <c r="EJF21" s="66">
        <f t="shared" si="1024"/>
        <v>348</v>
      </c>
      <c r="EJG21" s="70">
        <f t="shared" si="1025"/>
        <v>58</v>
      </c>
      <c r="EJH21" s="50">
        <v>0</v>
      </c>
      <c r="EJI21" s="51"/>
      <c r="EJJ21" s="51"/>
      <c r="EJK21" s="51"/>
      <c r="EJL21" s="51"/>
      <c r="EJM21" s="51"/>
      <c r="EJN21" s="66">
        <f t="shared" si="1026"/>
        <v>0</v>
      </c>
      <c r="EJO21" s="70">
        <f t="shared" si="1027"/>
        <v>0</v>
      </c>
      <c r="EJP21" s="50"/>
      <c r="EJQ21" s="51">
        <v>344</v>
      </c>
      <c r="EJR21" s="51">
        <v>0</v>
      </c>
      <c r="EJS21" s="51"/>
      <c r="EJT21" s="51"/>
      <c r="EJU21" s="51"/>
      <c r="EJV21" s="66">
        <f t="shared" si="1028"/>
        <v>344</v>
      </c>
      <c r="EJW21" s="70">
        <f t="shared" si="1029"/>
        <v>57.333333333333336</v>
      </c>
      <c r="EJX21" s="50"/>
      <c r="EJY21" s="51"/>
      <c r="EJZ21" s="51"/>
      <c r="EKA21" s="51"/>
      <c r="EKB21" s="51"/>
      <c r="EKC21" s="51"/>
      <c r="EKD21" s="66">
        <f t="shared" si="1030"/>
        <v>0</v>
      </c>
      <c r="EKE21" s="70">
        <f t="shared" si="1031"/>
        <v>0</v>
      </c>
      <c r="EKF21" s="50"/>
      <c r="EKG21" s="51">
        <v>334</v>
      </c>
      <c r="EKH21" s="51"/>
      <c r="EKI21" s="51"/>
      <c r="EKJ21" s="51"/>
      <c r="EKK21" s="51"/>
      <c r="EKL21" s="66">
        <f t="shared" si="1032"/>
        <v>334</v>
      </c>
      <c r="EKM21" s="70">
        <f t="shared" si="1033"/>
        <v>55.666666666666664</v>
      </c>
      <c r="EKN21" s="50"/>
      <c r="EKO21" s="51"/>
      <c r="EKP21" s="51">
        <v>334</v>
      </c>
      <c r="EKQ21" s="51"/>
      <c r="EKR21" s="51"/>
      <c r="EKS21" s="51">
        <v>0</v>
      </c>
      <c r="EKT21" s="66">
        <f t="shared" si="1034"/>
        <v>334</v>
      </c>
      <c r="EKU21" s="210">
        <f t="shared" si="1035"/>
        <v>55.666666666666664</v>
      </c>
      <c r="EKV21" s="665"/>
      <c r="EKW21" s="196"/>
      <c r="EKX21" s="197"/>
      <c r="EKY21" s="197"/>
      <c r="EKZ21" s="197">
        <v>329</v>
      </c>
      <c r="ELA21" s="197"/>
      <c r="ELB21" s="197"/>
      <c r="ELC21" s="246">
        <f t="shared" si="1036"/>
        <v>329</v>
      </c>
      <c r="ELD21" s="212">
        <f t="shared" si="1037"/>
        <v>54.833333333333336</v>
      </c>
      <c r="ELE21" s="196">
        <v>0</v>
      </c>
      <c r="ELF21" s="197"/>
      <c r="ELG21" s="197"/>
      <c r="ELH21" s="197">
        <v>0</v>
      </c>
      <c r="ELI21" s="197"/>
      <c r="ELJ21" s="197"/>
      <c r="ELK21" s="246">
        <f t="shared" si="1038"/>
        <v>0</v>
      </c>
      <c r="ELL21" s="212">
        <f t="shared" si="1039"/>
        <v>0</v>
      </c>
      <c r="ELM21" s="196">
        <v>350</v>
      </c>
      <c r="ELN21" s="197">
        <v>0</v>
      </c>
      <c r="ELO21" s="197"/>
      <c r="ELP21" s="197"/>
      <c r="ELQ21" s="197"/>
      <c r="ELR21" s="197">
        <v>0</v>
      </c>
      <c r="ELS21" s="246">
        <f t="shared" si="1040"/>
        <v>350</v>
      </c>
      <c r="ELT21" s="212">
        <f t="shared" si="1041"/>
        <v>58.333333333333336</v>
      </c>
      <c r="ELU21" s="196">
        <v>0</v>
      </c>
      <c r="ELV21" s="197"/>
      <c r="ELW21" s="197">
        <v>340</v>
      </c>
      <c r="ELX21" s="197"/>
      <c r="ELY21" s="197"/>
      <c r="ELZ21" s="197"/>
      <c r="EMA21" s="246">
        <f t="shared" si="1042"/>
        <v>340</v>
      </c>
      <c r="EMB21" s="212">
        <f t="shared" si="1043"/>
        <v>56.666666666666664</v>
      </c>
      <c r="EMC21" s="196"/>
      <c r="EMD21" s="197"/>
      <c r="EME21" s="197">
        <v>328</v>
      </c>
      <c r="EMF21" s="197"/>
      <c r="EMG21" s="197"/>
      <c r="EMH21" s="197"/>
      <c r="EMI21" s="246">
        <f t="shared" si="1044"/>
        <v>328</v>
      </c>
      <c r="EMJ21" s="212">
        <f t="shared" si="1045"/>
        <v>54.666666666666664</v>
      </c>
      <c r="EMK21" s="196"/>
      <c r="EML21" s="197"/>
      <c r="EMM21" s="197">
        <v>346</v>
      </c>
      <c r="EMN21" s="197">
        <v>637</v>
      </c>
      <c r="EMO21" s="197">
        <v>289</v>
      </c>
      <c r="EMP21" s="197"/>
      <c r="EMQ21" s="246">
        <f t="shared" si="1046"/>
        <v>1272</v>
      </c>
      <c r="EMR21" s="212">
        <f t="shared" si="1047"/>
        <v>212</v>
      </c>
      <c r="EMS21" s="196"/>
      <c r="EMT21" s="197">
        <v>0</v>
      </c>
      <c r="EMU21" s="197"/>
      <c r="EMV21" s="197"/>
      <c r="EMW21" s="197"/>
      <c r="EMX21" s="197"/>
      <c r="EMY21" s="246">
        <f t="shared" si="1048"/>
        <v>0</v>
      </c>
      <c r="EMZ21" s="212">
        <f t="shared" si="1049"/>
        <v>0</v>
      </c>
      <c r="ENA21" s="196"/>
      <c r="ENB21" s="197"/>
      <c r="ENC21" s="197">
        <v>0</v>
      </c>
      <c r="END21" s="197">
        <v>348</v>
      </c>
      <c r="ENE21" s="197"/>
      <c r="ENF21" s="197"/>
      <c r="ENG21" s="246">
        <f t="shared" si="1050"/>
        <v>348</v>
      </c>
      <c r="ENH21" s="212">
        <f t="shared" si="1051"/>
        <v>58</v>
      </c>
      <c r="ENI21" s="196"/>
      <c r="ENJ21" s="197"/>
      <c r="ENK21" s="197"/>
      <c r="ENL21" s="197"/>
      <c r="ENM21" s="197">
        <v>0</v>
      </c>
      <c r="ENN21" s="197">
        <v>0</v>
      </c>
      <c r="ENO21" s="246">
        <f t="shared" si="1052"/>
        <v>0</v>
      </c>
      <c r="ENP21" s="212">
        <f t="shared" si="1053"/>
        <v>0</v>
      </c>
      <c r="ENQ21" s="196">
        <v>0</v>
      </c>
      <c r="ENR21" s="197"/>
      <c r="ENS21" s="197">
        <v>338</v>
      </c>
      <c r="ENT21" s="197"/>
      <c r="ENU21" s="197">
        <v>0</v>
      </c>
      <c r="ENV21" s="197">
        <v>357</v>
      </c>
      <c r="ENW21" s="246">
        <f t="shared" si="1054"/>
        <v>695</v>
      </c>
      <c r="ENX21" s="212">
        <f t="shared" si="1055"/>
        <v>115.83333333333333</v>
      </c>
      <c r="ENY21" s="196"/>
      <c r="ENZ21" s="197"/>
      <c r="EOA21" s="197"/>
      <c r="EOB21" s="197"/>
      <c r="EOC21" s="197">
        <v>0</v>
      </c>
      <c r="EOD21" s="197"/>
      <c r="EOE21" s="246">
        <f t="shared" si="1056"/>
        <v>0</v>
      </c>
      <c r="EOF21" s="212">
        <f t="shared" si="1057"/>
        <v>0</v>
      </c>
      <c r="EOG21" s="196"/>
      <c r="EOH21" s="197"/>
      <c r="EOI21" s="197"/>
      <c r="EOJ21" s="197"/>
      <c r="EOK21" s="197">
        <v>0</v>
      </c>
      <c r="EOL21" s="197"/>
      <c r="EOM21" s="246">
        <f t="shared" si="1058"/>
        <v>0</v>
      </c>
      <c r="EON21" s="212">
        <f t="shared" si="1059"/>
        <v>0</v>
      </c>
      <c r="EOO21" s="196"/>
      <c r="EOP21" s="197"/>
      <c r="EOQ21" s="197">
        <v>0</v>
      </c>
      <c r="EOR21" s="197">
        <v>310</v>
      </c>
      <c r="EOS21" s="197"/>
      <c r="EOT21" s="197"/>
      <c r="EOU21" s="246">
        <f t="shared" si="1060"/>
        <v>310</v>
      </c>
      <c r="EOV21" s="212">
        <f t="shared" si="1061"/>
        <v>51.666666666666664</v>
      </c>
      <c r="EOW21" s="196"/>
      <c r="EOX21" s="197">
        <v>354</v>
      </c>
      <c r="EOY21" s="197">
        <v>0</v>
      </c>
      <c r="EOZ21" s="197"/>
      <c r="EPA21" s="197"/>
      <c r="EPB21" s="197"/>
      <c r="EPC21" s="246">
        <f t="shared" si="1062"/>
        <v>354</v>
      </c>
      <c r="EPD21" s="212">
        <f t="shared" si="1063"/>
        <v>59</v>
      </c>
      <c r="EPE21" s="196">
        <v>0</v>
      </c>
      <c r="EPF21" s="197">
        <f>SUMIF(SUMPK!$B:$B,$B:$B,SUMPK!$O:$O)</f>
        <v>0</v>
      </c>
      <c r="EPG21" s="197"/>
      <c r="EPH21" s="197">
        <v>0</v>
      </c>
      <c r="EPI21" s="197">
        <v>314</v>
      </c>
      <c r="EPJ21" s="197"/>
      <c r="EPK21" s="246">
        <f t="shared" si="1064"/>
        <v>314</v>
      </c>
      <c r="EPL21" s="212">
        <f t="shared" si="1065"/>
        <v>52.333333333333336</v>
      </c>
      <c r="EPM21" s="196"/>
      <c r="EPN21" s="197"/>
      <c r="EPO21" s="197"/>
      <c r="EPP21" s="197">
        <v>360</v>
      </c>
      <c r="EPQ21" s="197">
        <v>322</v>
      </c>
      <c r="EPR21" s="197"/>
      <c r="EPS21" s="246">
        <f t="shared" si="1066"/>
        <v>682</v>
      </c>
      <c r="EPT21" s="212">
        <f t="shared" si="1067"/>
        <v>113.66666666666667</v>
      </c>
      <c r="EPU21" s="196">
        <v>0</v>
      </c>
      <c r="EPV21" s="197"/>
      <c r="EPW21" s="197"/>
      <c r="EPX21" s="197"/>
      <c r="EPY21" s="197"/>
      <c r="EPZ21" s="197">
        <v>0</v>
      </c>
      <c r="EQA21" s="246">
        <f t="shared" si="1068"/>
        <v>0</v>
      </c>
      <c r="EQB21" s="212">
        <f t="shared" si="1069"/>
        <v>0</v>
      </c>
      <c r="EQC21" s="196"/>
      <c r="EQD21" s="197">
        <v>0</v>
      </c>
      <c r="EQE21" s="197">
        <v>324</v>
      </c>
      <c r="EQF21" s="197">
        <v>0</v>
      </c>
      <c r="EQG21" s="197"/>
      <c r="EQH21" s="197">
        <v>0</v>
      </c>
      <c r="EQI21" s="246">
        <f t="shared" si="1070"/>
        <v>324</v>
      </c>
      <c r="EQJ21" s="212">
        <f t="shared" si="1071"/>
        <v>54</v>
      </c>
      <c r="EQK21" s="196"/>
      <c r="EQL21" s="197"/>
      <c r="EQM21" s="197">
        <v>341</v>
      </c>
      <c r="EQN21" s="197"/>
      <c r="EQO21" s="197">
        <v>0</v>
      </c>
      <c r="EQP21" s="197"/>
      <c r="EQQ21" s="246">
        <f t="shared" si="1072"/>
        <v>341</v>
      </c>
      <c r="EQR21" s="212">
        <f t="shared" si="1073"/>
        <v>56.833333333333336</v>
      </c>
      <c r="EQS21" s="196">
        <v>0</v>
      </c>
      <c r="EQT21" s="197"/>
      <c r="EQU21" s="197">
        <v>0</v>
      </c>
      <c r="EQV21" s="197"/>
      <c r="EQW21" s="197"/>
      <c r="EQX21" s="197">
        <v>351</v>
      </c>
      <c r="EQY21" s="246">
        <f t="shared" si="1074"/>
        <v>351</v>
      </c>
      <c r="EQZ21" s="212">
        <f t="shared" si="1075"/>
        <v>58.5</v>
      </c>
      <c r="ERA21" s="196">
        <v>0</v>
      </c>
      <c r="ERB21" s="197">
        <v>0</v>
      </c>
      <c r="ERC21" s="197"/>
      <c r="ERD21" s="197"/>
      <c r="ERE21" s="197">
        <v>0</v>
      </c>
      <c r="ERF21" s="197"/>
      <c r="ERG21" s="246">
        <f t="shared" si="1076"/>
        <v>0</v>
      </c>
      <c r="ERH21" s="212">
        <f t="shared" si="1077"/>
        <v>0</v>
      </c>
      <c r="ERI21" s="196"/>
      <c r="ERJ21" s="197"/>
      <c r="ERK21" s="197"/>
      <c r="ERL21" s="197"/>
      <c r="ERM21" s="197">
        <v>0</v>
      </c>
      <c r="ERN21" s="197"/>
      <c r="ERO21" s="246">
        <f t="shared" si="1078"/>
        <v>0</v>
      </c>
      <c r="ERP21" s="212">
        <f t="shared" si="1079"/>
        <v>0</v>
      </c>
      <c r="ERQ21" s="196"/>
      <c r="ERR21" s="197">
        <v>0</v>
      </c>
      <c r="ERS21" s="197"/>
      <c r="ERT21" s="197">
        <v>174</v>
      </c>
      <c r="ERU21" s="197"/>
      <c r="ERV21" s="197"/>
      <c r="ERW21" s="246">
        <f t="shared" si="1080"/>
        <v>174</v>
      </c>
      <c r="ERX21" s="212">
        <f t="shared" si="1081"/>
        <v>29</v>
      </c>
      <c r="ERY21" s="196"/>
      <c r="ERZ21" s="197"/>
      <c r="ESA21" s="197">
        <v>349</v>
      </c>
      <c r="ESB21" s="197"/>
      <c r="ESC21" s="197"/>
      <c r="ESD21" s="197"/>
      <c r="ESE21" s="246">
        <f t="shared" si="1082"/>
        <v>349</v>
      </c>
      <c r="ESF21" s="212">
        <f t="shared" si="1083"/>
        <v>58.166666666666664</v>
      </c>
      <c r="ESG21" s="196"/>
      <c r="ESH21" s="197"/>
      <c r="ESI21" s="197"/>
      <c r="ESJ21" s="197"/>
      <c r="ESK21" s="197"/>
      <c r="ESL21" s="197"/>
      <c r="ESM21" s="246">
        <f t="shared" si="1084"/>
        <v>0</v>
      </c>
      <c r="ESN21" s="212">
        <f t="shared" si="1085"/>
        <v>0</v>
      </c>
      <c r="ESO21" s="459"/>
      <c r="ESP21" s="460"/>
      <c r="ESQ21" s="460">
        <v>0</v>
      </c>
      <c r="ESR21" s="460"/>
      <c r="ESS21" s="460"/>
      <c r="EST21" s="460"/>
      <c r="ESU21" s="246">
        <f t="shared" si="1086"/>
        <v>0</v>
      </c>
      <c r="ESV21" s="212">
        <f t="shared" si="1087"/>
        <v>0</v>
      </c>
      <c r="ESW21" s="196"/>
      <c r="ESX21" s="197"/>
      <c r="ESY21" s="197"/>
      <c r="ESZ21" s="197"/>
      <c r="ETA21" s="197">
        <v>0</v>
      </c>
      <c r="ETB21" s="197"/>
      <c r="ETC21" s="810">
        <f t="shared" si="1088"/>
        <v>0</v>
      </c>
      <c r="ETD21" s="212">
        <f t="shared" si="1089"/>
        <v>0</v>
      </c>
      <c r="ETE21" s="196">
        <v>0</v>
      </c>
      <c r="ETF21" s="197">
        <v>340</v>
      </c>
      <c r="ETG21" s="197"/>
      <c r="ETH21" s="197"/>
      <c r="ETI21" s="197"/>
      <c r="ETJ21" s="197">
        <v>337</v>
      </c>
      <c r="ETK21" s="810">
        <f t="shared" si="1090"/>
        <v>677</v>
      </c>
      <c r="ETL21" s="212">
        <f t="shared" si="1091"/>
        <v>112.83333333333333</v>
      </c>
      <c r="ETM21" s="816"/>
      <c r="ETN21" s="817">
        <v>0</v>
      </c>
      <c r="ETO21" s="817">
        <v>0</v>
      </c>
      <c r="ETP21" s="817">
        <v>0</v>
      </c>
      <c r="ETQ21" s="817"/>
      <c r="ETR21" s="817"/>
      <c r="ETS21" s="810">
        <f t="shared" si="1092"/>
        <v>0</v>
      </c>
      <c r="ETT21" s="212">
        <f t="shared" si="1093"/>
        <v>0</v>
      </c>
      <c r="ETU21" s="459"/>
      <c r="ETV21" s="460"/>
      <c r="ETW21" s="460"/>
      <c r="ETX21" s="460"/>
      <c r="ETY21" s="460">
        <v>0</v>
      </c>
      <c r="ETZ21" s="460"/>
      <c r="EUA21" s="810">
        <f t="shared" si="1094"/>
        <v>0</v>
      </c>
      <c r="EUB21" s="212">
        <f t="shared" si="1095"/>
        <v>0</v>
      </c>
      <c r="EUC21" s="459">
        <v>0</v>
      </c>
      <c r="EUD21" s="460"/>
      <c r="EUE21" s="460"/>
      <c r="EUF21" s="460"/>
      <c r="EUG21" s="460"/>
      <c r="EUH21" s="460">
        <v>0</v>
      </c>
      <c r="EUI21" s="810">
        <f t="shared" si="1096"/>
        <v>0</v>
      </c>
      <c r="EUJ21" s="212">
        <f t="shared" si="1097"/>
        <v>0</v>
      </c>
      <c r="EUK21" s="196"/>
      <c r="EUL21" s="197"/>
      <c r="EUM21" s="197">
        <v>0</v>
      </c>
      <c r="EUN21" s="197"/>
      <c r="EUO21" s="197"/>
      <c r="EUP21" s="197"/>
      <c r="EUQ21" s="810">
        <f t="shared" si="1098"/>
        <v>0</v>
      </c>
      <c r="EUR21" s="212">
        <f t="shared" si="1099"/>
        <v>0</v>
      </c>
      <c r="EUS21" s="196"/>
      <c r="EUT21" s="197"/>
      <c r="EUU21" s="197"/>
      <c r="EUV21" s="197">
        <v>0</v>
      </c>
      <c r="EUW21" s="197"/>
      <c r="EUX21" s="197"/>
      <c r="EUY21" s="810">
        <f t="shared" si="1100"/>
        <v>0</v>
      </c>
      <c r="EUZ21" s="212">
        <f t="shared" si="1101"/>
        <v>0</v>
      </c>
      <c r="EVA21" s="196">
        <v>0</v>
      </c>
      <c r="EVB21" s="197"/>
      <c r="EVC21" s="197"/>
      <c r="EVD21" s="197"/>
      <c r="EVE21" s="197"/>
      <c r="EVF21" s="197"/>
      <c r="EVG21" s="810">
        <f t="shared" si="1102"/>
        <v>0</v>
      </c>
      <c r="EVH21" s="212">
        <f t="shared" si="1103"/>
        <v>0</v>
      </c>
      <c r="EVI21" s="196"/>
      <c r="EVJ21" s="197"/>
      <c r="EVK21" s="197"/>
      <c r="EVL21" s="197"/>
      <c r="EVM21" s="197"/>
      <c r="EVN21" s="197"/>
      <c r="EVO21" s="810">
        <f t="shared" si="1104"/>
        <v>0</v>
      </c>
      <c r="EVP21" s="212">
        <f t="shared" si="1105"/>
        <v>0</v>
      </c>
      <c r="EVQ21" s="196"/>
      <c r="EVR21" s="197">
        <v>344</v>
      </c>
      <c r="EVS21" s="197"/>
      <c r="EVT21" s="197"/>
      <c r="EVU21" s="197"/>
      <c r="EVV21" s="197"/>
      <c r="EVW21" s="810">
        <f t="shared" si="1106"/>
        <v>344</v>
      </c>
      <c r="EVX21" s="212">
        <f t="shared" si="1107"/>
        <v>57.333333333333336</v>
      </c>
      <c r="EVY21" s="196">
        <v>0</v>
      </c>
      <c r="EVZ21" s="197">
        <v>0</v>
      </c>
      <c r="EWA21" s="197"/>
      <c r="EWB21" s="197"/>
      <c r="EWC21" s="197"/>
      <c r="EWD21" s="197"/>
      <c r="EWE21" s="810">
        <f t="shared" si="1108"/>
        <v>0</v>
      </c>
      <c r="EWF21" s="212">
        <f t="shared" si="1109"/>
        <v>0</v>
      </c>
      <c r="EWG21" s="196"/>
      <c r="EWH21" s="197"/>
      <c r="EWI21" s="197"/>
      <c r="EWJ21" s="197"/>
      <c r="EWK21" s="197">
        <v>0</v>
      </c>
      <c r="EWL21" s="197"/>
      <c r="EWM21" s="810">
        <f t="shared" si="1110"/>
        <v>0</v>
      </c>
      <c r="EWN21" s="212">
        <f t="shared" si="175"/>
        <v>0</v>
      </c>
      <c r="EWO21" s="196"/>
      <c r="EWP21" s="197"/>
      <c r="EWQ21" s="197"/>
      <c r="EWR21" s="197">
        <v>0</v>
      </c>
      <c r="EWS21" s="197"/>
      <c r="EWT21" s="197">
        <v>0</v>
      </c>
      <c r="EWU21" s="810">
        <f t="shared" si="1111"/>
        <v>0</v>
      </c>
      <c r="EWV21" s="212">
        <f t="shared" si="1112"/>
        <v>0</v>
      </c>
      <c r="EWW21" s="196"/>
      <c r="EWX21" s="197"/>
      <c r="EWY21" s="197">
        <v>40</v>
      </c>
      <c r="EWZ21" s="197">
        <v>298</v>
      </c>
      <c r="EXA21" s="197"/>
      <c r="EXB21" s="197"/>
      <c r="EXC21" s="810">
        <f t="shared" si="1113"/>
        <v>338</v>
      </c>
      <c r="EXD21" s="212">
        <f t="shared" si="1114"/>
        <v>56.333333333333336</v>
      </c>
      <c r="EXE21" s="196"/>
      <c r="EXF21" s="197">
        <v>0</v>
      </c>
      <c r="EXG21" s="197"/>
      <c r="EXH21" s="197"/>
      <c r="EXI21" s="197"/>
      <c r="EXJ21" s="197">
        <v>0</v>
      </c>
      <c r="EXK21" s="810">
        <f t="shared" si="1115"/>
        <v>0</v>
      </c>
      <c r="EXL21" s="212">
        <f t="shared" si="1116"/>
        <v>0</v>
      </c>
      <c r="EXM21" s="459">
        <v>0</v>
      </c>
      <c r="EXN21" s="460"/>
      <c r="EXO21" s="460"/>
      <c r="EXP21" s="460"/>
      <c r="EXQ21" s="460"/>
      <c r="EXR21" s="460"/>
      <c r="EXS21" s="810">
        <f t="shared" si="1117"/>
        <v>0</v>
      </c>
      <c r="EXT21" s="212">
        <f t="shared" si="1118"/>
        <v>0</v>
      </c>
      <c r="EXU21" s="196"/>
      <c r="EXV21" s="197"/>
      <c r="EXW21" s="197"/>
      <c r="EXX21" s="197">
        <v>0</v>
      </c>
      <c r="EXY21" s="197"/>
      <c r="EXZ21" s="197">
        <v>0</v>
      </c>
      <c r="EYA21" s="810">
        <f t="shared" si="1119"/>
        <v>0</v>
      </c>
      <c r="EYB21" s="212">
        <f t="shared" si="1120"/>
        <v>0</v>
      </c>
      <c r="EYC21" s="196"/>
      <c r="EYD21" s="197"/>
      <c r="EYE21" s="197">
        <v>252</v>
      </c>
      <c r="EYF21" s="197"/>
      <c r="EYG21" s="197"/>
      <c r="EYH21" s="197">
        <v>0</v>
      </c>
      <c r="EYI21" s="810">
        <f t="shared" si="1121"/>
        <v>252</v>
      </c>
      <c r="EYJ21" s="212">
        <f t="shared" si="1122"/>
        <v>42</v>
      </c>
      <c r="EYK21" s="196">
        <v>0</v>
      </c>
      <c r="EYL21" s="197"/>
      <c r="EYM21" s="197"/>
      <c r="EYN21" s="197"/>
      <c r="EYO21" s="197"/>
      <c r="EYP21" s="197"/>
      <c r="EYQ21" s="810">
        <f t="shared" si="1123"/>
        <v>0</v>
      </c>
      <c r="EYR21" s="212">
        <f t="shared" si="1124"/>
        <v>0</v>
      </c>
      <c r="EYS21" s="196">
        <v>0</v>
      </c>
      <c r="EYT21" s="197">
        <v>317</v>
      </c>
      <c r="EYU21" s="197"/>
      <c r="EYV21" s="197"/>
      <c r="EYW21" s="197"/>
      <c r="EYX21" s="197"/>
      <c r="EYY21" s="878">
        <f t="shared" si="1125"/>
        <v>317</v>
      </c>
      <c r="EYZ21" s="879">
        <f t="shared" si="1126"/>
        <v>52.833333333333336</v>
      </c>
      <c r="EZA21" s="196"/>
      <c r="EZB21" s="197">
        <v>0</v>
      </c>
      <c r="EZC21" s="197"/>
      <c r="EZD21" s="197">
        <v>0</v>
      </c>
      <c r="EZE21" s="197"/>
      <c r="EZF21" s="197">
        <v>0</v>
      </c>
      <c r="EZG21" s="878">
        <f t="shared" si="1127"/>
        <v>0</v>
      </c>
      <c r="EZH21" s="879">
        <f t="shared" si="1128"/>
        <v>0</v>
      </c>
      <c r="EZI21" s="196"/>
      <c r="EZJ21" s="197"/>
      <c r="EZK21" s="197"/>
      <c r="EZL21" s="197"/>
      <c r="EZM21" s="197"/>
      <c r="EZN21" s="197"/>
      <c r="EZO21" s="878">
        <f t="shared" si="1129"/>
        <v>0</v>
      </c>
      <c r="EZP21" s="879">
        <f t="shared" si="1130"/>
        <v>0</v>
      </c>
    </row>
    <row r="22" spans="1:4072" s="148" customFormat="1" x14ac:dyDescent="0.2">
      <c r="A22" s="1005" t="s">
        <v>14</v>
      </c>
      <c r="B22" s="1006"/>
      <c r="C22" s="1006"/>
      <c r="D22" s="227">
        <v>25</v>
      </c>
      <c r="E22" s="224">
        <f t="shared" ref="E22:N22" si="1216">SUM(E7:E21)</f>
        <v>0</v>
      </c>
      <c r="F22" s="224">
        <f t="shared" si="1216"/>
        <v>27950</v>
      </c>
      <c r="G22" s="224">
        <f t="shared" si="1216"/>
        <v>0</v>
      </c>
      <c r="H22" s="224">
        <f t="shared" si="1216"/>
        <v>0</v>
      </c>
      <c r="I22" s="224">
        <f t="shared" si="1216"/>
        <v>0</v>
      </c>
      <c r="J22" s="224">
        <f t="shared" si="1216"/>
        <v>549</v>
      </c>
      <c r="K22" s="224">
        <f t="shared" si="1216"/>
        <v>0</v>
      </c>
      <c r="L22" s="224">
        <f t="shared" si="1216"/>
        <v>27401</v>
      </c>
      <c r="M22" s="224">
        <f t="shared" si="1216"/>
        <v>27401</v>
      </c>
      <c r="N22" s="224">
        <f t="shared" si="1216"/>
        <v>796.33333333333337</v>
      </c>
      <c r="O22" s="232">
        <f t="shared" ref="O22" si="1217">IF(N22=0,0,M22/N22)</f>
        <v>34.408957722896609</v>
      </c>
      <c r="P22" s="230">
        <f>SUM(P7:P21)</f>
        <v>2453.1666666666665</v>
      </c>
      <c r="Q22" s="232">
        <f>IF(P22=0,0,M22/P22*6)</f>
        <v>67.017868061688972</v>
      </c>
      <c r="R22" s="230">
        <f>SUM(R7:R21)</f>
        <v>1116.9230769230769</v>
      </c>
      <c r="S22" s="223"/>
      <c r="T22" s="232">
        <f t="shared" ref="T22" si="1218">IF(R22=0,0,M22/R22)</f>
        <v>24.532575757575756</v>
      </c>
      <c r="U22" s="224">
        <f>SUM(U7:U21)</f>
        <v>0</v>
      </c>
      <c r="V22" s="232">
        <f t="shared" ref="V22" si="1219">IF(R22=0,0,(M22+U22)/R22)</f>
        <v>24.532575757575756</v>
      </c>
      <c r="W22" s="226">
        <f>F22/(E22+F22)</f>
        <v>1</v>
      </c>
      <c r="X22" s="223"/>
      <c r="Y22" s="147" t="e">
        <f>K22+#REF!</f>
        <v>#REF!</v>
      </c>
      <c r="Z22" s="147" t="e">
        <f>+Z7</f>
        <v>#REF!</v>
      </c>
      <c r="AA22" s="147" t="e">
        <f>AA7</f>
        <v>#REF!</v>
      </c>
      <c r="AB22" s="147" t="e">
        <f>(U22+M22)/Z22</f>
        <v>#REF!</v>
      </c>
      <c r="AC22" s="654"/>
      <c r="AD22" s="9"/>
      <c r="AL22" s="149"/>
      <c r="AM22" s="149"/>
      <c r="AN22" s="149"/>
      <c r="AO22" s="149"/>
      <c r="AP22" s="149"/>
      <c r="AQ22" s="149"/>
      <c r="AT22" s="149"/>
      <c r="AU22" s="149"/>
      <c r="AV22" s="149"/>
      <c r="AW22" s="149"/>
      <c r="AX22" s="149"/>
      <c r="AY22" s="149"/>
      <c r="BB22" s="149"/>
      <c r="BC22" s="149"/>
      <c r="BD22" s="149"/>
      <c r="BE22" s="149"/>
      <c r="BF22" s="149"/>
      <c r="BG22" s="149"/>
      <c r="BJ22" s="149"/>
      <c r="BK22" s="149"/>
      <c r="BL22" s="149"/>
      <c r="BM22" s="149"/>
      <c r="BN22" s="149"/>
      <c r="BO22" s="149"/>
      <c r="BR22" s="149"/>
      <c r="BS22" s="149"/>
      <c r="BT22" s="149"/>
      <c r="BU22" s="149"/>
      <c r="BV22" s="149"/>
      <c r="BW22" s="149"/>
      <c r="BZ22" s="149"/>
      <c r="CA22" s="149"/>
      <c r="CB22" s="149"/>
      <c r="CC22" s="149"/>
      <c r="CD22" s="149"/>
      <c r="CE22" s="149"/>
      <c r="CH22" s="149"/>
      <c r="CI22" s="149"/>
      <c r="CJ22" s="149"/>
      <c r="CK22" s="149"/>
      <c r="CL22" s="149"/>
      <c r="CM22" s="149"/>
      <c r="CP22" s="149"/>
      <c r="CQ22" s="149"/>
      <c r="CR22" s="149"/>
      <c r="CS22" s="149"/>
      <c r="CT22" s="149"/>
      <c r="CU22" s="149"/>
      <c r="CX22" s="149"/>
      <c r="CY22" s="149"/>
      <c r="CZ22" s="149"/>
      <c r="DA22" s="149"/>
      <c r="DB22" s="149"/>
      <c r="DC22" s="149"/>
      <c r="DF22" s="149"/>
      <c r="DG22" s="149"/>
      <c r="DH22" s="149"/>
      <c r="DI22" s="149"/>
      <c r="DJ22" s="149"/>
      <c r="DK22" s="149"/>
      <c r="DN22" s="149"/>
      <c r="DO22" s="149"/>
      <c r="DP22" s="149"/>
      <c r="DQ22" s="149"/>
      <c r="DR22" s="149"/>
      <c r="DS22" s="149"/>
      <c r="DV22" s="149"/>
      <c r="DW22" s="149"/>
      <c r="DX22" s="149"/>
      <c r="DY22" s="149"/>
      <c r="DZ22" s="149"/>
      <c r="EA22" s="149"/>
      <c r="ED22" s="149"/>
      <c r="EE22" s="149"/>
      <c r="EF22" s="149"/>
      <c r="EG22" s="149"/>
      <c r="EH22" s="149"/>
      <c r="EI22" s="149"/>
      <c r="EL22" s="149"/>
      <c r="EM22" s="149"/>
      <c r="EN22" s="149"/>
      <c r="EO22" s="149"/>
      <c r="EP22" s="149"/>
      <c r="EQ22" s="149"/>
      <c r="ET22" s="149"/>
      <c r="EU22" s="149"/>
      <c r="EV22" s="149"/>
      <c r="EW22" s="149"/>
      <c r="EX22" s="149"/>
      <c r="EY22" s="149"/>
      <c r="FB22" s="149"/>
      <c r="FC22" s="149"/>
      <c r="FD22" s="149"/>
      <c r="FE22" s="149"/>
      <c r="FF22" s="149"/>
      <c r="FG22" s="149"/>
      <c r="FJ22" s="149"/>
      <c r="FK22" s="149"/>
      <c r="FL22" s="149"/>
      <c r="FM22" s="149"/>
      <c r="FN22" s="149"/>
      <c r="FO22" s="149"/>
      <c r="FR22" s="149"/>
      <c r="FS22" s="149"/>
      <c r="FT22" s="149"/>
      <c r="FU22" s="149"/>
      <c r="FV22" s="149"/>
      <c r="FW22" s="149"/>
      <c r="FZ22" s="149"/>
      <c r="GA22" s="149"/>
      <c r="GB22" s="149"/>
      <c r="GC22" s="149"/>
      <c r="GD22" s="149"/>
      <c r="GE22" s="149"/>
      <c r="GH22" s="149"/>
      <c r="GI22" s="149"/>
      <c r="GJ22" s="149"/>
      <c r="GK22" s="149"/>
      <c r="GL22" s="149"/>
      <c r="GM22" s="149"/>
      <c r="GP22" s="149"/>
      <c r="GQ22" s="149"/>
      <c r="GR22" s="149"/>
      <c r="GS22" s="149"/>
      <c r="GT22" s="149"/>
      <c r="GU22" s="149"/>
      <c r="GX22" s="149"/>
      <c r="GY22" s="149"/>
      <c r="GZ22" s="149"/>
      <c r="HA22" s="149"/>
      <c r="HB22" s="149"/>
      <c r="HC22" s="149"/>
      <c r="HF22" s="149"/>
      <c r="HG22" s="149"/>
      <c r="HH22" s="149"/>
      <c r="HI22" s="149"/>
      <c r="HJ22" s="149"/>
      <c r="HK22" s="149"/>
      <c r="HN22" s="152"/>
      <c r="HO22" s="152"/>
      <c r="HP22" s="152"/>
      <c r="HQ22" s="152"/>
      <c r="HR22" s="152"/>
      <c r="HS22" s="152"/>
      <c r="HV22" s="149"/>
      <c r="HW22" s="149"/>
      <c r="HX22" s="149"/>
      <c r="HY22" s="149"/>
      <c r="HZ22" s="149"/>
      <c r="IA22" s="149"/>
      <c r="ID22" s="149"/>
      <c r="IE22" s="149"/>
      <c r="IF22" s="149"/>
      <c r="IG22" s="149"/>
      <c r="IH22" s="149"/>
      <c r="II22" s="149"/>
      <c r="IL22" s="149"/>
      <c r="IM22" s="149"/>
      <c r="IN22" s="149"/>
      <c r="IO22" s="149"/>
      <c r="IP22" s="149"/>
      <c r="IQ22" s="149"/>
      <c r="IT22" s="149"/>
      <c r="IU22" s="149"/>
      <c r="IV22" s="149"/>
      <c r="IW22" s="149"/>
      <c r="IX22" s="149"/>
      <c r="IY22" s="149"/>
      <c r="JB22" s="149"/>
      <c r="JC22" s="149"/>
      <c r="JD22" s="149"/>
      <c r="JE22" s="149"/>
      <c r="JF22" s="149"/>
      <c r="JG22" s="149"/>
      <c r="JJ22" s="149"/>
      <c r="JK22" s="149"/>
      <c r="JL22" s="149"/>
      <c r="JM22" s="149"/>
      <c r="JN22" s="149"/>
      <c r="JO22" s="149"/>
      <c r="JR22" s="149"/>
      <c r="JS22" s="149"/>
      <c r="JT22" s="149"/>
      <c r="JU22" s="149"/>
      <c r="JV22" s="149"/>
      <c r="JW22" s="149"/>
      <c r="JZ22" s="149"/>
      <c r="KA22" s="149"/>
      <c r="KB22" s="149"/>
      <c r="KC22" s="149"/>
      <c r="KD22" s="149"/>
      <c r="KE22" s="149"/>
      <c r="KH22" s="149"/>
      <c r="KI22" s="149"/>
      <c r="KJ22" s="149"/>
      <c r="KK22" s="149"/>
      <c r="KL22" s="149"/>
      <c r="KM22" s="149"/>
      <c r="KP22" s="149"/>
      <c r="KQ22" s="149"/>
      <c r="KR22" s="149"/>
      <c r="KS22" s="149"/>
      <c r="KT22" s="149"/>
      <c r="KU22" s="149"/>
      <c r="KX22" s="149"/>
      <c r="KY22" s="149"/>
      <c r="KZ22" s="149"/>
      <c r="LA22" s="149"/>
      <c r="LB22" s="149"/>
      <c r="LC22" s="149"/>
      <c r="LF22" s="149"/>
      <c r="LG22" s="149"/>
      <c r="LH22" s="149"/>
      <c r="LI22" s="149"/>
      <c r="LJ22" s="149"/>
      <c r="LK22" s="149"/>
      <c r="LN22" s="149"/>
      <c r="LO22" s="149"/>
      <c r="LP22" s="149"/>
      <c r="LQ22" s="149"/>
      <c r="LR22" s="149"/>
      <c r="LS22" s="149"/>
      <c r="LV22" s="149"/>
      <c r="LW22" s="149"/>
      <c r="LX22" s="149"/>
      <c r="LY22" s="149"/>
      <c r="LZ22" s="149"/>
      <c r="MA22" s="149"/>
      <c r="MD22" s="149"/>
      <c r="ME22" s="149"/>
      <c r="MF22" s="149"/>
      <c r="MG22" s="149"/>
      <c r="MH22" s="149"/>
      <c r="MI22" s="149"/>
      <c r="ML22" s="149"/>
      <c r="MM22" s="149"/>
      <c r="MN22" s="149"/>
      <c r="MO22" s="149"/>
      <c r="MP22" s="149"/>
      <c r="MQ22" s="149"/>
      <c r="MT22" s="149"/>
      <c r="MU22" s="149"/>
      <c r="MV22" s="149"/>
      <c r="MW22" s="149"/>
      <c r="MX22" s="149"/>
      <c r="MY22" s="149"/>
      <c r="NB22" s="149"/>
      <c r="NC22" s="149"/>
      <c r="ND22" s="149"/>
      <c r="NE22" s="149"/>
      <c r="NF22" s="149"/>
      <c r="NG22" s="149"/>
      <c r="NJ22" s="149"/>
      <c r="NK22" s="149"/>
      <c r="NL22" s="149"/>
      <c r="NM22" s="149"/>
      <c r="NN22" s="149"/>
      <c r="NO22" s="149"/>
      <c r="NR22" s="149"/>
      <c r="NS22" s="149"/>
      <c r="NT22" s="149"/>
      <c r="NU22" s="149"/>
      <c r="NV22" s="149"/>
      <c r="NW22" s="149"/>
      <c r="NZ22" s="149"/>
      <c r="OA22" s="149"/>
      <c r="OB22" s="149"/>
      <c r="OC22" s="149"/>
      <c r="OD22" s="149"/>
      <c r="OE22" s="149"/>
      <c r="OH22" s="149"/>
      <c r="OI22" s="149"/>
      <c r="OJ22" s="149"/>
      <c r="OK22" s="149"/>
      <c r="OL22" s="149"/>
      <c r="OM22" s="149"/>
      <c r="OP22" s="149"/>
      <c r="OQ22" s="149"/>
      <c r="OR22" s="149"/>
      <c r="OS22" s="149"/>
      <c r="OT22" s="149"/>
      <c r="OU22" s="149"/>
      <c r="OX22" s="149"/>
      <c r="OY22" s="149"/>
      <c r="OZ22" s="149"/>
      <c r="PA22" s="149"/>
      <c r="PB22" s="149"/>
      <c r="PC22" s="149"/>
      <c r="PF22" s="149"/>
      <c r="PG22" s="149"/>
      <c r="PH22" s="149"/>
      <c r="PI22" s="149"/>
      <c r="PJ22" s="149"/>
      <c r="PK22" s="149"/>
      <c r="PN22" s="149"/>
      <c r="PO22" s="149"/>
      <c r="PP22" s="149"/>
      <c r="PQ22" s="149"/>
      <c r="PR22" s="149"/>
      <c r="PS22" s="149"/>
      <c r="PV22" s="149"/>
      <c r="PW22" s="149"/>
      <c r="PX22" s="149"/>
      <c r="PY22" s="149"/>
      <c r="PZ22" s="149"/>
      <c r="QA22" s="149"/>
      <c r="QD22" s="149"/>
      <c r="QE22" s="149"/>
      <c r="QF22" s="149"/>
      <c r="QG22" s="149"/>
      <c r="QH22" s="149"/>
      <c r="QI22" s="149"/>
      <c r="QL22" s="149"/>
      <c r="QM22" s="149"/>
      <c r="QN22" s="149"/>
      <c r="QO22" s="149"/>
      <c r="QP22" s="149"/>
      <c r="QQ22" s="149"/>
      <c r="QT22" s="149"/>
      <c r="QU22" s="149"/>
      <c r="QV22" s="149"/>
      <c r="QW22" s="149"/>
      <c r="QX22" s="149"/>
      <c r="QY22" s="149"/>
      <c r="RB22" s="149"/>
      <c r="RC22" s="149"/>
      <c r="RD22" s="149"/>
      <c r="RE22" s="149"/>
      <c r="RF22" s="149"/>
      <c r="RG22" s="149"/>
      <c r="RJ22" s="149"/>
      <c r="RK22" s="149"/>
      <c r="RL22" s="149"/>
      <c r="RM22" s="149"/>
      <c r="RN22" s="149"/>
      <c r="RO22" s="149"/>
      <c r="RR22" s="149"/>
      <c r="RS22" s="149"/>
      <c r="RT22" s="149"/>
      <c r="RU22" s="149"/>
      <c r="RV22" s="149"/>
      <c r="RW22" s="149"/>
      <c r="RZ22" s="149"/>
      <c r="SA22" s="149"/>
      <c r="SB22" s="149"/>
      <c r="SC22" s="149"/>
      <c r="SD22" s="149"/>
      <c r="SE22" s="149"/>
      <c r="SH22" s="149"/>
      <c r="SI22" s="149"/>
      <c r="SJ22" s="149"/>
      <c r="SK22" s="149"/>
      <c r="SL22" s="149"/>
      <c r="SM22" s="149"/>
      <c r="SP22" s="149"/>
      <c r="SQ22" s="149"/>
      <c r="SR22" s="149"/>
      <c r="SS22" s="149"/>
      <c r="ST22" s="149"/>
      <c r="SU22" s="149"/>
      <c r="SX22" s="149"/>
      <c r="SY22" s="149"/>
      <c r="SZ22" s="149"/>
      <c r="TA22" s="149"/>
      <c r="TB22" s="149"/>
      <c r="TC22" s="149"/>
      <c r="TF22" s="149"/>
      <c r="TG22" s="149"/>
      <c r="TH22" s="149"/>
      <c r="TI22" s="149"/>
      <c r="TJ22" s="149"/>
      <c r="TK22" s="149"/>
      <c r="TN22" s="149"/>
      <c r="TO22" s="149"/>
      <c r="TP22" s="149"/>
      <c r="TQ22" s="149"/>
      <c r="TR22" s="149"/>
      <c r="TS22" s="149"/>
      <c r="TV22" s="149"/>
      <c r="TW22" s="149"/>
      <c r="TX22" s="149"/>
      <c r="TY22" s="149"/>
      <c r="TZ22" s="149"/>
      <c r="UA22" s="149"/>
      <c r="UD22" s="149"/>
      <c r="UE22" s="149"/>
      <c r="UF22" s="149"/>
      <c r="UG22" s="149"/>
      <c r="UH22" s="149"/>
      <c r="UI22" s="149"/>
      <c r="UL22" s="149"/>
      <c r="UM22" s="149"/>
      <c r="UN22" s="149"/>
      <c r="UO22" s="149"/>
      <c r="UP22" s="149"/>
      <c r="UQ22" s="149"/>
      <c r="UR22" s="149"/>
      <c r="UU22" s="149"/>
      <c r="UV22" s="149"/>
      <c r="UW22" s="149"/>
      <c r="UX22" s="149"/>
      <c r="UY22" s="149"/>
      <c r="UZ22" s="149"/>
      <c r="VC22" s="1"/>
      <c r="VD22" s="1"/>
      <c r="VE22" s="1"/>
      <c r="VF22" s="1"/>
      <c r="VG22" s="1"/>
      <c r="VH22" s="1"/>
      <c r="VK22" s="149"/>
      <c r="VL22" s="149"/>
      <c r="VM22" s="149"/>
      <c r="VN22" s="149"/>
      <c r="VO22" s="149"/>
      <c r="VP22" s="149"/>
      <c r="VS22" s="149"/>
      <c r="VT22" s="149"/>
      <c r="VU22" s="149"/>
      <c r="VV22" s="149"/>
      <c r="VW22" s="149"/>
      <c r="VX22" s="149"/>
      <c r="WA22" s="150"/>
      <c r="WB22" s="150"/>
      <c r="WC22" s="150"/>
      <c r="WD22" s="150"/>
      <c r="WE22" s="150"/>
      <c r="WF22" s="150"/>
      <c r="WG22" s="151"/>
      <c r="WH22" s="151"/>
      <c r="WI22" s="149"/>
      <c r="WJ22" s="149"/>
      <c r="WK22" s="149"/>
      <c r="WL22" s="149"/>
      <c r="WM22" s="149"/>
      <c r="WN22" s="149"/>
      <c r="WQ22" s="149"/>
      <c r="WR22" s="149"/>
      <c r="WS22" s="149"/>
      <c r="WT22" s="149"/>
      <c r="WU22" s="149"/>
      <c r="WV22" s="149"/>
      <c r="WW22" s="149"/>
      <c r="WZ22" s="149"/>
      <c r="XA22" s="149"/>
      <c r="XB22" s="149"/>
      <c r="XC22" s="149"/>
      <c r="XD22" s="149"/>
      <c r="XE22" s="149"/>
      <c r="XF22" s="149"/>
      <c r="XI22" s="149"/>
      <c r="XJ22" s="149"/>
      <c r="XK22" s="149"/>
      <c r="XL22" s="149"/>
      <c r="XM22" s="149"/>
      <c r="XN22" s="149"/>
      <c r="XO22" s="149"/>
      <c r="XR22" s="149"/>
      <c r="XS22" s="149"/>
      <c r="XT22" s="149"/>
      <c r="XU22" s="149"/>
      <c r="XV22" s="149"/>
      <c r="XW22" s="149"/>
      <c r="XX22" s="149"/>
      <c r="YA22" s="149"/>
      <c r="YB22" s="149"/>
      <c r="YC22" s="149"/>
      <c r="YD22" s="149"/>
      <c r="YE22" s="149"/>
      <c r="YF22" s="149"/>
      <c r="YG22" s="149"/>
      <c r="YJ22" s="149"/>
      <c r="YK22" s="149"/>
      <c r="YL22" s="149"/>
      <c r="YM22" s="149"/>
      <c r="YN22" s="149"/>
      <c r="YO22" s="149"/>
      <c r="YP22" s="149"/>
      <c r="YS22" s="149"/>
      <c r="YT22" s="149"/>
      <c r="YU22" s="149"/>
      <c r="YV22" s="149"/>
      <c r="YW22" s="149"/>
      <c r="YX22" s="149"/>
      <c r="ZA22" s="1"/>
      <c r="ZB22" s="1"/>
      <c r="ZC22" s="1"/>
      <c r="ZD22" s="1"/>
      <c r="ZE22" s="1"/>
      <c r="ZF22" s="1"/>
      <c r="ZI22" s="149"/>
      <c r="ZJ22" s="149"/>
      <c r="ZK22" s="149"/>
      <c r="ZL22" s="149"/>
      <c r="ZM22" s="149"/>
      <c r="ZN22" s="149"/>
      <c r="ZQ22" s="1"/>
      <c r="ZR22" s="1"/>
      <c r="ZS22" s="1"/>
      <c r="ZT22" s="1"/>
      <c r="ZU22" s="1"/>
      <c r="ZV22" s="1"/>
      <c r="ZW22" s="1"/>
      <c r="ZZ22" s="149"/>
      <c r="AAA22" s="149"/>
      <c r="AAB22" s="149"/>
      <c r="AAC22" s="149"/>
      <c r="AAD22" s="149"/>
      <c r="AAE22" s="149"/>
      <c r="AAF22" s="149"/>
      <c r="AAI22" s="149"/>
      <c r="AAJ22" s="149"/>
      <c r="AAK22" s="149"/>
      <c r="AAL22" s="149"/>
      <c r="AAM22" s="149"/>
      <c r="AAN22" s="149"/>
      <c r="AAQ22" s="149"/>
      <c r="AAR22" s="149"/>
      <c r="AAS22" s="149"/>
      <c r="AAT22" s="149"/>
      <c r="AAU22" s="149"/>
      <c r="AAV22" s="149"/>
      <c r="AAY22" s="149"/>
      <c r="AAZ22" s="149"/>
      <c r="ABA22" s="149"/>
      <c r="ABB22" s="149"/>
      <c r="ABC22" s="149"/>
      <c r="ABD22" s="149"/>
      <c r="ABG22" s="149"/>
      <c r="ABH22" s="149"/>
      <c r="ABI22" s="149"/>
      <c r="ABJ22" s="149"/>
      <c r="ABK22" s="149"/>
      <c r="ABL22" s="149"/>
      <c r="ABO22" s="149"/>
      <c r="ABP22" s="149"/>
      <c r="ABQ22" s="149"/>
      <c r="ABR22" s="149"/>
      <c r="ABS22" s="149"/>
      <c r="ABT22" s="149"/>
      <c r="ABW22" s="149"/>
      <c r="ABX22" s="149"/>
      <c r="ABY22" s="149"/>
      <c r="ABZ22" s="149"/>
      <c r="ACA22" s="149"/>
      <c r="ACB22" s="149"/>
      <c r="ACE22" s="149"/>
      <c r="ACF22" s="149"/>
      <c r="ACG22" s="149"/>
      <c r="ACH22" s="149"/>
      <c r="ACI22" s="149"/>
      <c r="ACJ22" s="149"/>
      <c r="ACM22" s="149"/>
      <c r="ACN22" s="149"/>
      <c r="ACO22" s="149"/>
      <c r="ACP22" s="149"/>
      <c r="ACQ22" s="149"/>
      <c r="ACR22" s="149"/>
      <c r="ACU22" s="149"/>
      <c r="ACV22" s="149"/>
      <c r="ACW22" s="149"/>
      <c r="ACX22" s="149"/>
      <c r="ACY22" s="149"/>
      <c r="ACZ22" s="149"/>
      <c r="ADC22" s="149"/>
      <c r="ADD22" s="149"/>
      <c r="ADE22" s="149"/>
      <c r="ADF22" s="149"/>
      <c r="ADG22" s="149"/>
      <c r="ADH22" s="149"/>
      <c r="ADK22" s="149"/>
      <c r="ADL22" s="149"/>
      <c r="ADM22" s="149"/>
      <c r="ADN22" s="149"/>
      <c r="ADO22" s="149"/>
      <c r="ADP22" s="149"/>
      <c r="ADS22" s="149"/>
      <c r="ADT22" s="149"/>
      <c r="ADU22" s="149"/>
      <c r="ADV22" s="149"/>
      <c r="ADW22" s="149"/>
      <c r="ADX22" s="149"/>
      <c r="AEA22" s="149"/>
      <c r="AEB22" s="149"/>
      <c r="AEC22" s="149"/>
      <c r="AED22" s="149"/>
      <c r="AEE22" s="149"/>
      <c r="AEF22" s="149"/>
      <c r="AEI22" s="149"/>
      <c r="AEJ22" s="149"/>
      <c r="AEK22" s="149"/>
      <c r="AEL22" s="149"/>
      <c r="AEM22" s="149"/>
      <c r="AEN22" s="149"/>
      <c r="AEQ22" s="149"/>
      <c r="AER22" s="149"/>
      <c r="AES22" s="149"/>
      <c r="AET22" s="149"/>
      <c r="AEU22" s="149"/>
      <c r="AEV22" s="149"/>
      <c r="AEY22" s="149"/>
      <c r="AEZ22" s="149"/>
      <c r="AFA22" s="149"/>
      <c r="AFB22" s="149"/>
      <c r="AFC22" s="149"/>
      <c r="AFD22" s="149"/>
      <c r="AFG22" s="149"/>
      <c r="AFH22" s="149"/>
      <c r="AFI22" s="149"/>
      <c r="AFJ22" s="149"/>
      <c r="AFK22" s="149"/>
      <c r="AFL22" s="149"/>
      <c r="AFO22" s="149"/>
      <c r="AFP22" s="149"/>
      <c r="AFQ22" s="149"/>
      <c r="AFR22" s="149"/>
      <c r="AFS22" s="149"/>
      <c r="AFT22" s="149"/>
      <c r="AFW22" s="149"/>
      <c r="AFX22" s="149"/>
      <c r="AFY22" s="149"/>
      <c r="AFZ22" s="149"/>
      <c r="AGA22" s="149"/>
      <c r="AGB22" s="149"/>
      <c r="AGE22" s="149"/>
      <c r="AGF22" s="149"/>
      <c r="AGG22" s="149"/>
      <c r="AGH22" s="149"/>
      <c r="AGI22" s="149"/>
      <c r="AGJ22" s="149"/>
      <c r="AGM22" s="149"/>
      <c r="AGN22" s="149"/>
      <c r="AGO22" s="149"/>
      <c r="AGP22" s="149"/>
      <c r="AGQ22" s="149"/>
      <c r="AGR22" s="149"/>
      <c r="AGS22" s="149"/>
      <c r="AGV22" s="149"/>
      <c r="AGW22" s="149"/>
      <c r="AGX22" s="149"/>
      <c r="AGY22" s="149"/>
      <c r="AGZ22" s="149"/>
      <c r="AHA22" s="149"/>
      <c r="AHD22" s="149"/>
      <c r="AHE22" s="149"/>
      <c r="AHF22" s="149"/>
      <c r="AHG22" s="149"/>
      <c r="AHH22" s="149"/>
      <c r="AHI22" s="149"/>
      <c r="AHL22" s="149"/>
      <c r="AHM22" s="149"/>
      <c r="AHN22" s="149"/>
      <c r="AHO22" s="149"/>
      <c r="AHP22" s="149"/>
      <c r="AHQ22" s="149"/>
      <c r="AHT22" s="149"/>
      <c r="AHU22" s="149"/>
      <c r="AHV22" s="149"/>
      <c r="AHW22" s="149"/>
      <c r="AHX22" s="149"/>
      <c r="AHY22" s="149"/>
      <c r="AHZ22" s="186"/>
      <c r="AIA22" s="187"/>
      <c r="AIB22" s="149"/>
      <c r="AIC22" s="149"/>
      <c r="AID22" s="149"/>
      <c r="AIE22" s="149"/>
      <c r="AIF22" s="149"/>
      <c r="AIG22" s="149"/>
      <c r="AIJ22" s="149"/>
      <c r="AIK22" s="149"/>
      <c r="AIL22" s="149"/>
      <c r="AIM22" s="149"/>
      <c r="AIN22" s="149"/>
      <c r="AIO22" s="149"/>
      <c r="AIR22" s="1"/>
      <c r="AIS22" s="1"/>
      <c r="AIT22" s="1"/>
      <c r="AIU22" s="1"/>
      <c r="AIV22" s="1"/>
      <c r="AIW22" s="1"/>
      <c r="AIZ22" s="149"/>
      <c r="AJA22" s="149"/>
      <c r="AJB22" s="149"/>
      <c r="AJC22" s="149"/>
      <c r="AJD22" s="149"/>
      <c r="AJE22" s="149"/>
      <c r="AJH22" s="149"/>
      <c r="AJI22" s="149"/>
      <c r="AJJ22" s="149"/>
      <c r="AJK22" s="149"/>
      <c r="AJL22" s="149"/>
      <c r="AJM22" s="149"/>
      <c r="AJP22" s="149"/>
      <c r="AJQ22" s="149"/>
      <c r="AJR22" s="149"/>
      <c r="AJS22" s="149"/>
      <c r="AJT22" s="149"/>
      <c r="AJU22" s="149"/>
      <c r="AJX22" s="149"/>
      <c r="AJY22" s="149"/>
      <c r="AJZ22" s="149"/>
      <c r="AKA22" s="149"/>
      <c r="AKB22" s="149"/>
      <c r="AKC22" s="149"/>
      <c r="AKF22" s="149"/>
      <c r="AKG22" s="149"/>
      <c r="AKH22" s="149"/>
      <c r="AKI22" s="149"/>
      <c r="AKJ22" s="149"/>
      <c r="AKK22" s="149"/>
      <c r="AKN22" s="149"/>
      <c r="AKO22" s="149"/>
      <c r="AKP22" s="149"/>
      <c r="AKQ22" s="149"/>
      <c r="AKR22" s="149"/>
      <c r="AKS22" s="149"/>
      <c r="AKV22" s="149"/>
      <c r="AKW22" s="149"/>
      <c r="AKX22" s="149"/>
      <c r="AKY22" s="149"/>
      <c r="AKZ22" s="149"/>
      <c r="ALA22" s="149"/>
      <c r="ALD22" s="149"/>
      <c r="ALE22" s="149"/>
      <c r="ALF22" s="149"/>
      <c r="ALG22" s="149"/>
      <c r="ALH22" s="149"/>
      <c r="ALI22" s="149"/>
      <c r="ALL22" s="149"/>
      <c r="ALM22" s="149"/>
      <c r="ALN22" s="149"/>
      <c r="ALO22" s="149"/>
      <c r="ALP22" s="149"/>
      <c r="ALQ22" s="149"/>
      <c r="ALT22" s="149"/>
      <c r="ALU22" s="149"/>
      <c r="ALV22" s="149"/>
      <c r="ALW22" s="149"/>
      <c r="ALX22" s="149"/>
      <c r="ALY22" s="149"/>
      <c r="AMB22" s="149"/>
      <c r="AMC22" s="149"/>
      <c r="AMD22" s="149"/>
      <c r="AME22" s="149"/>
      <c r="AMF22" s="149"/>
      <c r="AMG22" s="149"/>
      <c r="AMJ22" s="149"/>
      <c r="AMK22" s="149"/>
      <c r="AML22" s="149"/>
      <c r="AMM22" s="149"/>
      <c r="AMN22" s="149"/>
      <c r="AMO22" s="149"/>
      <c r="AMR22" s="149"/>
      <c r="AMS22" s="149"/>
      <c r="AMT22" s="149"/>
      <c r="AMU22" s="149"/>
      <c r="AMV22" s="149"/>
      <c r="AMW22" s="149"/>
      <c r="AMZ22" s="149"/>
      <c r="ANA22" s="149"/>
      <c r="ANB22" s="149"/>
      <c r="ANC22" s="149"/>
      <c r="AND22" s="149"/>
      <c r="ANE22" s="149"/>
      <c r="ANH22" s="149"/>
      <c r="ANI22" s="149"/>
      <c r="ANJ22" s="149"/>
      <c r="ANK22" s="149"/>
      <c r="ANL22" s="149"/>
      <c r="ANM22" s="149"/>
      <c r="ANP22" s="149"/>
      <c r="ANQ22" s="149"/>
      <c r="ANR22" s="149"/>
      <c r="ANS22" s="149"/>
      <c r="ANT22" s="149"/>
      <c r="ANU22" s="149"/>
      <c r="ANX22" s="152"/>
      <c r="ANY22" s="152"/>
      <c r="ANZ22" s="152"/>
      <c r="AOA22" s="152"/>
      <c r="AOB22" s="152"/>
      <c r="AOC22" s="152"/>
      <c r="AOF22" s="149"/>
      <c r="AOG22" s="149"/>
      <c r="AOH22" s="149"/>
      <c r="AOI22" s="149"/>
      <c r="AOJ22" s="149"/>
      <c r="AOK22" s="149"/>
      <c r="AON22" s="149"/>
      <c r="AOO22" s="149"/>
      <c r="AOP22" s="149"/>
      <c r="AOQ22" s="149"/>
      <c r="AOR22" s="149"/>
      <c r="AOS22" s="149"/>
      <c r="AOV22" s="149"/>
      <c r="AOW22" s="149"/>
      <c r="AOX22" s="149"/>
      <c r="AOY22" s="149"/>
      <c r="AOZ22" s="149"/>
      <c r="APA22" s="149"/>
      <c r="APD22" s="149"/>
      <c r="APE22" s="149"/>
      <c r="APF22" s="149"/>
      <c r="APG22" s="149"/>
      <c r="APH22" s="149"/>
      <c r="API22" s="149"/>
      <c r="APL22" s="149"/>
      <c r="APM22" s="149"/>
      <c r="APN22" s="149"/>
      <c r="APO22" s="149"/>
      <c r="APP22" s="149"/>
      <c r="APQ22" s="149"/>
      <c r="APT22" s="149"/>
      <c r="APU22" s="149"/>
      <c r="APV22" s="149"/>
      <c r="APW22" s="149"/>
      <c r="APX22" s="149"/>
      <c r="APY22" s="149"/>
      <c r="AQB22" s="149"/>
      <c r="AQC22" s="149"/>
      <c r="AQD22" s="149"/>
      <c r="AQE22" s="149"/>
      <c r="AQF22" s="149"/>
      <c r="AQG22" s="149"/>
      <c r="AQJ22" s="149"/>
      <c r="AQK22" s="149"/>
      <c r="AQL22" s="149"/>
      <c r="AQM22" s="149"/>
      <c r="AQN22" s="149"/>
      <c r="AQO22" s="149"/>
      <c r="AQR22" s="149"/>
      <c r="AQS22" s="149"/>
      <c r="AQT22" s="149"/>
      <c r="AQU22" s="149"/>
      <c r="AQV22" s="149"/>
      <c r="AQW22" s="149"/>
      <c r="AQZ22" s="149"/>
      <c r="ARA22" s="149"/>
      <c r="ARB22" s="149"/>
      <c r="ARC22" s="149"/>
      <c r="ARD22" s="149"/>
      <c r="ARE22" s="149"/>
      <c r="ARH22" s="149"/>
      <c r="ARI22" s="149"/>
      <c r="ARJ22" s="149"/>
      <c r="ARK22" s="149"/>
      <c r="ARL22" s="149"/>
      <c r="ARM22" s="149"/>
      <c r="ARP22" s="149"/>
      <c r="ARQ22" s="149"/>
      <c r="ARR22" s="149"/>
      <c r="ARS22" s="149"/>
      <c r="ART22" s="149"/>
      <c r="ARU22" s="149"/>
      <c r="ARX22" s="149"/>
      <c r="ARY22" s="149"/>
      <c r="ARZ22" s="149"/>
      <c r="ASA22" s="149"/>
      <c r="ASB22" s="149"/>
      <c r="ASC22" s="149"/>
      <c r="ASF22" s="149"/>
      <c r="ASG22" s="149"/>
      <c r="ASH22" s="149"/>
      <c r="ASI22" s="149"/>
      <c r="ASJ22" s="149"/>
      <c r="ASK22" s="149"/>
      <c r="ASN22" s="149"/>
      <c r="ASO22" s="149"/>
      <c r="ASP22" s="149"/>
      <c r="ASQ22" s="149"/>
      <c r="ASR22" s="149"/>
      <c r="ASS22" s="149"/>
      <c r="ASV22" s="149"/>
      <c r="ASW22" s="149"/>
      <c r="ASX22" s="149"/>
      <c r="ASY22" s="149"/>
      <c r="ASZ22" s="149"/>
      <c r="ATA22" s="149"/>
      <c r="ATD22" s="149"/>
      <c r="ATE22" s="149"/>
      <c r="ATF22" s="149"/>
      <c r="ATG22" s="149"/>
      <c r="ATH22" s="149"/>
      <c r="ATI22" s="149"/>
      <c r="ATL22" s="149"/>
      <c r="ATM22" s="149"/>
      <c r="ATN22" s="149"/>
      <c r="ATO22" s="149"/>
      <c r="ATP22" s="149"/>
      <c r="ATQ22" s="149"/>
      <c r="ATT22" s="149"/>
      <c r="ATU22" s="149"/>
      <c r="ATV22" s="149"/>
      <c r="ATW22" s="149"/>
      <c r="ATX22" s="149"/>
      <c r="ATY22" s="149"/>
      <c r="AUB22" s="149"/>
      <c r="AUC22" s="149"/>
      <c r="AUD22" s="149"/>
      <c r="AUE22" s="149"/>
      <c r="AUF22" s="149"/>
      <c r="AUG22" s="149"/>
      <c r="AUJ22" s="149"/>
      <c r="AUK22" s="149"/>
      <c r="AUL22" s="149"/>
      <c r="AUM22" s="149"/>
      <c r="AUN22" s="149"/>
      <c r="AUO22" s="149"/>
      <c r="AUR22" s="149"/>
      <c r="AUS22" s="149"/>
      <c r="AUT22" s="149"/>
      <c r="AUU22" s="149"/>
      <c r="AUV22" s="149"/>
      <c r="AUW22" s="149"/>
      <c r="AUZ22" s="149"/>
      <c r="AVA22" s="149"/>
      <c r="AVB22" s="149"/>
      <c r="AVC22" s="149"/>
      <c r="AVD22" s="149"/>
      <c r="AVE22" s="149"/>
      <c r="AVH22" s="149"/>
      <c r="AVI22" s="149"/>
      <c r="AVJ22" s="149"/>
      <c r="AVK22" s="149"/>
      <c r="AVL22" s="149"/>
      <c r="AVM22" s="149"/>
      <c r="AVP22" s="149"/>
      <c r="AVQ22" s="149"/>
      <c r="AVR22" s="149"/>
      <c r="AVS22" s="149"/>
      <c r="AVT22" s="149"/>
      <c r="AVU22" s="149"/>
      <c r="AVX22" s="149"/>
      <c r="AVY22" s="149"/>
      <c r="AVZ22" s="149"/>
      <c r="AWA22" s="149"/>
      <c r="AWB22" s="149"/>
      <c r="AWC22" s="149"/>
      <c r="AWF22" s="149"/>
      <c r="AWG22" s="149"/>
      <c r="AWH22" s="149"/>
      <c r="AWI22" s="149"/>
      <c r="AWJ22" s="149"/>
      <c r="AWK22" s="149"/>
      <c r="AWN22" s="149"/>
      <c r="AWO22" s="149"/>
      <c r="AWP22" s="149"/>
      <c r="AWQ22" s="149"/>
      <c r="AWR22" s="149"/>
      <c r="AWS22" s="149"/>
      <c r="AWV22" s="149"/>
      <c r="AWW22" s="149"/>
      <c r="AWX22" s="149"/>
      <c r="AWY22" s="149"/>
      <c r="AWZ22" s="149"/>
      <c r="AXA22" s="149"/>
      <c r="AXD22" s="149"/>
      <c r="AXE22" s="149"/>
      <c r="AXF22" s="149"/>
      <c r="AXG22" s="149"/>
      <c r="AXH22" s="149"/>
      <c r="AXI22" s="149"/>
      <c r="AXL22" s="149"/>
      <c r="AXM22" s="149"/>
      <c r="AXN22" s="149"/>
      <c r="AXO22" s="149"/>
      <c r="AXP22" s="149"/>
      <c r="AXQ22" s="149"/>
      <c r="AXT22" s="149"/>
      <c r="AXU22" s="149"/>
      <c r="AXV22" s="149"/>
      <c r="AXW22" s="149"/>
      <c r="AXX22" s="149"/>
      <c r="AXY22" s="149"/>
      <c r="AYB22" s="149"/>
      <c r="AYC22" s="149"/>
      <c r="AYD22" s="149"/>
      <c r="AYE22" s="149"/>
      <c r="AYF22" s="149"/>
      <c r="AYG22" s="149"/>
      <c r="AYJ22" s="149"/>
      <c r="AYK22" s="149"/>
      <c r="AYL22" s="149"/>
      <c r="AYM22" s="149"/>
      <c r="AYN22" s="149"/>
      <c r="AYO22" s="149"/>
      <c r="AYR22" s="149"/>
      <c r="AYS22" s="149"/>
      <c r="AYT22" s="149"/>
      <c r="AYU22" s="149"/>
      <c r="AYV22" s="149"/>
      <c r="AYW22" s="149"/>
      <c r="AYZ22" s="149"/>
      <c r="AZA22" s="149"/>
      <c r="AZB22" s="149"/>
      <c r="AZC22" s="149"/>
      <c r="AZD22" s="149"/>
      <c r="AZE22" s="149"/>
      <c r="AZH22" s="149"/>
      <c r="AZI22" s="149"/>
      <c r="AZJ22" s="149"/>
      <c r="AZK22" s="149"/>
      <c r="AZL22" s="149"/>
      <c r="AZM22" s="149"/>
      <c r="AZP22" s="149"/>
      <c r="AZQ22" s="149"/>
      <c r="AZR22" s="149"/>
      <c r="AZS22" s="149"/>
      <c r="AZT22" s="149"/>
      <c r="AZU22" s="149"/>
      <c r="AZX22" s="152"/>
      <c r="AZY22" s="152"/>
      <c r="AZZ22" s="152"/>
      <c r="BAA22" s="152"/>
      <c r="BAB22" s="152"/>
      <c r="BAC22" s="152"/>
      <c r="BAF22" s="149"/>
      <c r="BAG22" s="149"/>
      <c r="BAH22" s="149"/>
      <c r="BAI22" s="149"/>
      <c r="BAJ22" s="149"/>
      <c r="BAK22" s="149"/>
      <c r="BAN22" s="149"/>
      <c r="BAO22" s="149"/>
      <c r="BAP22" s="149"/>
      <c r="BAQ22" s="149"/>
      <c r="BAR22" s="149"/>
      <c r="BAS22" s="149"/>
      <c r="BAV22" s="149"/>
      <c r="BAW22" s="149"/>
      <c r="BAX22" s="149"/>
      <c r="BAY22" s="149"/>
      <c r="BAZ22" s="149"/>
      <c r="BBA22" s="149"/>
      <c r="BBD22" s="149"/>
      <c r="BBE22" s="149"/>
      <c r="BBF22" s="149"/>
      <c r="BBG22" s="149"/>
      <c r="BBH22" s="149"/>
      <c r="BBI22" s="149"/>
      <c r="BBL22" s="149"/>
      <c r="BBM22" s="149"/>
      <c r="BBN22" s="149"/>
      <c r="BBO22" s="149"/>
      <c r="BBP22" s="149"/>
      <c r="BBQ22" s="149"/>
      <c r="BBT22" s="149"/>
      <c r="BBU22" s="149"/>
      <c r="BBV22" s="149"/>
      <c r="BBW22" s="149"/>
      <c r="BBX22" s="149"/>
      <c r="BBY22" s="149"/>
      <c r="BCB22" s="149"/>
      <c r="BCC22" s="149"/>
      <c r="BCD22" s="149"/>
      <c r="BCE22" s="149"/>
      <c r="BCF22" s="149"/>
      <c r="BCG22" s="149"/>
      <c r="BCJ22" s="149"/>
      <c r="BCK22" s="149"/>
      <c r="BCL22" s="149"/>
      <c r="BCM22" s="149"/>
      <c r="BCN22" s="149"/>
      <c r="BCO22" s="149"/>
      <c r="BCR22" s="149"/>
      <c r="BCS22" s="149"/>
      <c r="BCT22" s="149"/>
      <c r="BCU22" s="149"/>
      <c r="BCV22" s="149"/>
      <c r="BCW22" s="149"/>
      <c r="BCZ22" s="149"/>
      <c r="BDA22" s="149"/>
      <c r="BDB22" s="149"/>
      <c r="BDC22" s="149"/>
      <c r="BDD22" s="149"/>
      <c r="BDE22" s="149"/>
      <c r="BDH22" s="149"/>
      <c r="BDI22" s="149"/>
      <c r="BDJ22" s="149"/>
      <c r="BDK22" s="149"/>
      <c r="BDL22" s="149"/>
      <c r="BDM22" s="149"/>
      <c r="BDP22" s="149"/>
      <c r="BDQ22" s="149"/>
      <c r="BDR22" s="149"/>
      <c r="BDS22" s="149"/>
      <c r="BDT22" s="149"/>
      <c r="BDU22" s="149"/>
      <c r="BDX22" s="149"/>
      <c r="BDY22" s="149"/>
      <c r="BDZ22" s="149"/>
      <c r="BEA22" s="149"/>
      <c r="BEB22" s="149"/>
      <c r="BEC22" s="149"/>
      <c r="BEF22" s="149"/>
      <c r="BEG22" s="149"/>
      <c r="BEH22" s="149"/>
      <c r="BEI22" s="149"/>
      <c r="BEJ22" s="149"/>
      <c r="BEK22" s="149"/>
      <c r="BEN22" s="149"/>
      <c r="BEO22" s="149"/>
      <c r="BEP22" s="149"/>
      <c r="BEQ22" s="149"/>
      <c r="BER22" s="149"/>
      <c r="BES22" s="149"/>
      <c r="BEV22" s="152"/>
      <c r="BEW22" s="152"/>
      <c r="BEX22" s="152"/>
      <c r="BEY22" s="152"/>
      <c r="BEZ22" s="152"/>
      <c r="BFA22" s="152"/>
      <c r="BFD22" s="149"/>
      <c r="BFE22" s="149"/>
      <c r="BFF22" s="149"/>
      <c r="BFG22" s="149"/>
      <c r="BFH22" s="149"/>
      <c r="BFI22" s="149"/>
      <c r="BFL22" s="149"/>
      <c r="BFM22" s="149"/>
      <c r="BFN22" s="149"/>
      <c r="BFO22" s="149"/>
      <c r="BFP22" s="149"/>
      <c r="BFQ22" s="149"/>
      <c r="BFT22" s="149"/>
      <c r="BFU22" s="149"/>
      <c r="BFV22" s="149"/>
      <c r="BFW22" s="149"/>
      <c r="BFX22" s="149"/>
      <c r="BFY22" s="149"/>
      <c r="BGB22" s="149"/>
      <c r="BGC22" s="149"/>
      <c r="BGD22" s="149"/>
      <c r="BGE22" s="149"/>
      <c r="BGF22" s="149"/>
      <c r="BGG22" s="149"/>
      <c r="BGJ22" s="149"/>
      <c r="BGK22" s="149"/>
      <c r="BGL22" s="149"/>
      <c r="BGM22" s="149"/>
      <c r="BGN22" s="149"/>
      <c r="BGO22" s="149"/>
      <c r="BGR22" s="149"/>
      <c r="BGS22" s="149"/>
      <c r="BGT22" s="149"/>
      <c r="BGU22" s="149"/>
      <c r="BGV22" s="149"/>
      <c r="BGW22" s="149"/>
      <c r="BGZ22" s="149"/>
      <c r="BHA22" s="149"/>
      <c r="BHB22" s="149"/>
      <c r="BHC22" s="149"/>
      <c r="BHD22" s="149"/>
      <c r="BHE22" s="149"/>
      <c r="BHH22" s="149"/>
      <c r="BHI22" s="149"/>
      <c r="BHJ22" s="149"/>
      <c r="BHK22" s="149"/>
      <c r="BHL22" s="149"/>
      <c r="BHM22" s="149"/>
      <c r="BHP22" s="149"/>
      <c r="BHQ22" s="149"/>
      <c r="BHR22" s="149"/>
      <c r="BHS22" s="149"/>
      <c r="BHT22" s="149"/>
      <c r="BHU22" s="149"/>
      <c r="BHX22" s="149"/>
      <c r="BHY22" s="149"/>
      <c r="BHZ22" s="149"/>
      <c r="BIA22" s="149"/>
      <c r="BIB22" s="149"/>
      <c r="BIC22" s="149"/>
      <c r="BIF22" s="149"/>
      <c r="BIG22" s="149"/>
      <c r="BIH22" s="149"/>
      <c r="BII22" s="149"/>
      <c r="BIJ22" s="149"/>
      <c r="BIK22" s="149"/>
      <c r="BIN22" s="149"/>
      <c r="BIO22" s="149"/>
      <c r="BIP22" s="149"/>
      <c r="BIQ22" s="149"/>
      <c r="BIR22" s="149"/>
      <c r="BIS22" s="149"/>
      <c r="BIV22" s="149"/>
      <c r="BIW22" s="149"/>
      <c r="BIX22" s="149"/>
      <c r="BIY22" s="149"/>
      <c r="BIZ22" s="149"/>
      <c r="BJA22" s="149"/>
      <c r="BJD22" s="149"/>
      <c r="BJE22" s="149"/>
      <c r="BJF22" s="149"/>
      <c r="BJG22" s="149"/>
      <c r="BJH22" s="149"/>
      <c r="BJI22" s="149"/>
      <c r="BJL22" s="149"/>
      <c r="BJM22" s="149"/>
      <c r="BJN22" s="149"/>
      <c r="BJO22" s="149"/>
      <c r="BJP22" s="149"/>
      <c r="BJQ22" s="149"/>
      <c r="BJT22" s="149"/>
      <c r="BJU22" s="149"/>
      <c r="BJV22" s="149"/>
      <c r="BJW22" s="149"/>
      <c r="BJX22" s="149"/>
      <c r="BJY22" s="149"/>
      <c r="BKB22" s="149"/>
      <c r="BKC22" s="149"/>
      <c r="BKD22" s="149"/>
      <c r="BKE22" s="149"/>
      <c r="BKF22" s="149"/>
      <c r="BKG22" s="149"/>
      <c r="BKJ22" s="149"/>
      <c r="BKK22" s="149"/>
      <c r="BKL22" s="149"/>
      <c r="BKM22" s="149"/>
      <c r="BKN22" s="149"/>
      <c r="BKO22" s="149"/>
      <c r="BKR22" s="149"/>
      <c r="BKS22" s="149"/>
      <c r="BKT22" s="149"/>
      <c r="BKU22" s="149"/>
      <c r="BKV22" s="149"/>
      <c r="BKW22" s="149"/>
      <c r="BKZ22" s="149"/>
      <c r="BLA22" s="149"/>
      <c r="BLB22" s="149"/>
      <c r="BLC22" s="149"/>
      <c r="BLD22" s="149"/>
      <c r="BLE22" s="149"/>
      <c r="BLH22" s="149"/>
      <c r="BLI22" s="149"/>
      <c r="BLJ22" s="149"/>
      <c r="BLK22" s="149"/>
      <c r="BLL22" s="149"/>
      <c r="BLM22" s="149"/>
      <c r="BLP22" s="149"/>
      <c r="BLQ22" s="149"/>
      <c r="BLR22" s="149"/>
      <c r="BLS22" s="149"/>
      <c r="BLT22" s="149"/>
      <c r="BLU22" s="149"/>
      <c r="BMV22" s="149"/>
      <c r="BMW22" s="149"/>
      <c r="BMX22" s="149"/>
      <c r="BMY22" s="149"/>
      <c r="BMZ22" s="149"/>
      <c r="BNA22" s="149"/>
      <c r="BND22" s="149"/>
      <c r="BNE22" s="149"/>
      <c r="BNF22" s="149"/>
      <c r="BNG22" s="149"/>
      <c r="BNH22" s="149"/>
      <c r="BNI22" s="149"/>
      <c r="BPH22" s="149"/>
      <c r="BPI22" s="149"/>
      <c r="BPJ22" s="149"/>
      <c r="BPK22" s="149"/>
      <c r="BPL22" s="149"/>
      <c r="BPM22" s="149"/>
      <c r="BPP22" s="149"/>
      <c r="BPQ22" s="149"/>
      <c r="BPR22" s="149"/>
      <c r="BPS22" s="149"/>
      <c r="BPT22" s="149"/>
      <c r="BPU22" s="149"/>
      <c r="BPX22" s="149"/>
      <c r="BPY22" s="149"/>
      <c r="BPZ22" s="149"/>
      <c r="BQA22" s="149"/>
      <c r="BQB22" s="149"/>
      <c r="BQC22" s="149"/>
      <c r="BQF22" s="149"/>
      <c r="BQG22" s="149"/>
      <c r="BQH22" s="149"/>
      <c r="BQI22" s="149"/>
      <c r="BQJ22" s="149"/>
      <c r="BQK22" s="149"/>
      <c r="BQN22" s="149"/>
      <c r="BQO22" s="149"/>
      <c r="BQP22" s="149"/>
      <c r="BQQ22" s="149"/>
      <c r="BQR22" s="149"/>
      <c r="BQS22" s="149"/>
      <c r="BQV22" s="149"/>
      <c r="BQW22" s="149"/>
      <c r="BQX22" s="149"/>
      <c r="BQY22" s="149"/>
      <c r="BQZ22" s="149"/>
      <c r="BRA22" s="149"/>
      <c r="BRD22" s="149"/>
      <c r="BRE22" s="149"/>
      <c r="BRF22" s="149"/>
      <c r="BRG22" s="149"/>
      <c r="BRH22" s="149"/>
      <c r="BRI22" s="149"/>
      <c r="BRL22" s="149"/>
      <c r="BRM22" s="149"/>
      <c r="BRN22" s="149"/>
      <c r="BRO22" s="149"/>
      <c r="BRP22" s="149"/>
      <c r="BRQ22" s="149"/>
      <c r="BRT22" s="149"/>
      <c r="BRU22" s="149"/>
      <c r="BRV22" s="149"/>
      <c r="BRW22" s="149"/>
      <c r="BRX22" s="149"/>
      <c r="BRY22" s="149"/>
      <c r="BSB22" s="149"/>
      <c r="BSC22" s="149"/>
      <c r="BSD22" s="149"/>
      <c r="BSE22" s="149"/>
      <c r="BSF22" s="149"/>
      <c r="BSG22" s="149"/>
      <c r="BSR22" s="149"/>
      <c r="BSS22" s="149"/>
      <c r="BST22" s="149"/>
      <c r="BSU22" s="149"/>
      <c r="BSV22" s="149"/>
      <c r="BSW22" s="149"/>
      <c r="BSZ22" s="149"/>
      <c r="BTA22" s="149"/>
      <c r="BTB22" s="149"/>
      <c r="BTC22" s="149"/>
      <c r="BTD22" s="149"/>
      <c r="BTE22" s="149"/>
      <c r="BTH22" s="149"/>
      <c r="BTI22" s="149"/>
      <c r="BTJ22" s="149"/>
      <c r="BTK22" s="149"/>
      <c r="BTL22" s="149"/>
      <c r="BTM22" s="149"/>
      <c r="BTP22" s="149"/>
      <c r="BTQ22" s="149"/>
      <c r="BTR22" s="149"/>
      <c r="BTS22" s="149"/>
      <c r="BTT22" s="149"/>
      <c r="BTU22" s="149"/>
      <c r="BTX22" s="149"/>
      <c r="BTY22" s="149"/>
      <c r="BTZ22" s="149"/>
      <c r="BUA22" s="149"/>
      <c r="BUB22" s="149"/>
      <c r="BUC22" s="149"/>
      <c r="BUF22" s="149"/>
      <c r="BUG22" s="149"/>
      <c r="BUH22" s="149"/>
      <c r="BUI22" s="149"/>
      <c r="BUJ22" s="149"/>
      <c r="BUK22" s="149"/>
      <c r="BUV22" s="149"/>
      <c r="BUW22" s="149"/>
      <c r="BUX22" s="149"/>
      <c r="BUY22" s="149"/>
      <c r="BUZ22" s="149"/>
      <c r="BVA22" s="149"/>
      <c r="BVD22" s="149"/>
      <c r="BVE22" s="149"/>
      <c r="BVF22" s="149"/>
      <c r="BVG22" s="149"/>
      <c r="BVH22" s="149"/>
      <c r="BVI22" s="149"/>
      <c r="BVT22" s="149"/>
      <c r="BVU22" s="149"/>
      <c r="BVV22" s="149"/>
      <c r="BVW22" s="149"/>
      <c r="BVX22" s="149"/>
      <c r="BVY22" s="149"/>
      <c r="BWB22" s="149"/>
      <c r="BWC22" s="149"/>
      <c r="BWD22" s="149"/>
      <c r="BWE22" s="149"/>
      <c r="BWF22" s="149"/>
      <c r="BWG22" s="149"/>
      <c r="BWJ22" s="149"/>
      <c r="BWK22" s="149"/>
      <c r="BWL22" s="149"/>
      <c r="BWM22" s="149"/>
      <c r="BWN22" s="149"/>
      <c r="BWO22" s="149"/>
      <c r="BWR22" s="149"/>
      <c r="BWS22" s="149"/>
      <c r="BWT22" s="149"/>
      <c r="BWU22" s="149"/>
      <c r="BWV22" s="149"/>
      <c r="BWW22" s="149"/>
      <c r="BWZ22" s="149"/>
      <c r="BXA22" s="149"/>
      <c r="BXB22" s="149"/>
      <c r="BXC22" s="149"/>
      <c r="BXD22" s="149"/>
      <c r="BXE22" s="149"/>
      <c r="BXH22" s="149"/>
      <c r="BXI22" s="149"/>
      <c r="BXJ22" s="149"/>
      <c r="BXK22" s="149"/>
      <c r="BXL22" s="149"/>
      <c r="BXM22" s="149"/>
      <c r="BXP22" s="149"/>
      <c r="BXQ22" s="149"/>
      <c r="BXR22" s="149"/>
      <c r="BXS22" s="149"/>
      <c r="BXT22" s="149"/>
      <c r="BXU22" s="149"/>
      <c r="BXX22" s="149"/>
      <c r="BXY22" s="149"/>
      <c r="BXZ22" s="149"/>
      <c r="BYA22" s="149"/>
      <c r="BYB22" s="149"/>
      <c r="BYC22" s="149"/>
      <c r="BYF22" s="149"/>
      <c r="BYG22" s="149"/>
      <c r="BYH22" s="149"/>
      <c r="BYI22" s="149"/>
      <c r="BYJ22" s="149"/>
      <c r="BYK22" s="149"/>
      <c r="BYN22" s="149"/>
      <c r="BYO22" s="149"/>
      <c r="BYP22" s="149"/>
      <c r="BYQ22" s="149"/>
      <c r="BYR22" s="149"/>
      <c r="BYS22" s="149"/>
      <c r="BYV22" s="149"/>
      <c r="BYW22" s="149"/>
      <c r="BYX22" s="149"/>
      <c r="BYY22" s="149"/>
      <c r="BYZ22" s="149"/>
      <c r="BZA22" s="149"/>
      <c r="BZD22" s="149"/>
      <c r="BZE22" s="149"/>
      <c r="BZF22" s="149"/>
      <c r="BZG22" s="149"/>
      <c r="BZH22" s="149"/>
      <c r="BZI22" s="149"/>
      <c r="BZL22" s="149"/>
      <c r="BZM22" s="149"/>
      <c r="BZN22" s="149"/>
      <c r="BZO22" s="149"/>
      <c r="BZP22" s="149"/>
      <c r="BZQ22" s="149"/>
      <c r="BZT22" s="149"/>
      <c r="BZU22" s="149"/>
      <c r="BZV22" s="149"/>
      <c r="BZW22" s="149"/>
      <c r="BZX22" s="149"/>
      <c r="BZY22" s="149"/>
      <c r="CAB22" s="149"/>
      <c r="CAC22" s="149"/>
      <c r="CAD22" s="149"/>
      <c r="CAE22" s="149"/>
      <c r="CAF22" s="149"/>
      <c r="CAG22" s="149"/>
      <c r="CAJ22" s="149"/>
      <c r="CAK22" s="149"/>
      <c r="CAL22" s="149"/>
      <c r="CAM22" s="149"/>
      <c r="CAN22" s="149"/>
      <c r="CAO22" s="149"/>
      <c r="CAR22" s="149"/>
      <c r="CAS22" s="149"/>
      <c r="CAT22" s="149"/>
      <c r="CAU22" s="149"/>
      <c r="CAV22" s="149"/>
      <c r="CAW22" s="149"/>
      <c r="CAZ22" s="149"/>
      <c r="CBA22" s="149"/>
      <c r="CBB22" s="149"/>
      <c r="CBC22" s="149"/>
      <c r="CBD22" s="149"/>
      <c r="CBE22" s="149"/>
      <c r="CBH22" s="149"/>
      <c r="CBI22" s="149"/>
      <c r="CBJ22" s="149"/>
      <c r="CBK22" s="149"/>
      <c r="CBL22" s="149"/>
      <c r="CBM22" s="149"/>
      <c r="CBP22" s="149"/>
      <c r="CBQ22" s="149"/>
      <c r="CBR22" s="149"/>
      <c r="CBS22" s="149"/>
      <c r="CBT22" s="149"/>
      <c r="CBU22" s="149"/>
      <c r="CBX22" s="149"/>
      <c r="CBY22" s="149"/>
      <c r="CBZ22" s="149"/>
      <c r="CCA22" s="149"/>
      <c r="CCB22" s="149"/>
      <c r="CCC22" s="149"/>
      <c r="CCF22" s="149"/>
      <c r="CCG22" s="149"/>
      <c r="CCH22" s="149"/>
      <c r="CCI22" s="149"/>
      <c r="CCJ22" s="149"/>
      <c r="CCK22" s="149"/>
      <c r="CCN22" s="149"/>
      <c r="CCO22" s="149"/>
      <c r="CCP22" s="149"/>
      <c r="CCQ22" s="149"/>
      <c r="CCR22" s="149"/>
      <c r="CCS22" s="149"/>
      <c r="CCV22" s="149"/>
      <c r="CCW22" s="149"/>
      <c r="CCX22" s="149"/>
      <c r="CCY22" s="149"/>
      <c r="CCZ22" s="149"/>
      <c r="CDA22" s="149"/>
      <c r="CDD22" s="149"/>
      <c r="CDE22" s="149"/>
      <c r="CDF22" s="149"/>
      <c r="CDG22" s="149"/>
      <c r="CDH22" s="149"/>
      <c r="CDI22" s="149"/>
      <c r="CDL22" s="149"/>
      <c r="CDM22" s="149"/>
      <c r="CDN22" s="149"/>
      <c r="CDO22" s="149"/>
      <c r="CDP22" s="149"/>
      <c r="CDQ22" s="149"/>
      <c r="CDT22" s="149"/>
      <c r="CDU22" s="149"/>
      <c r="CDV22" s="149"/>
      <c r="CDW22" s="149"/>
      <c r="CDX22" s="149"/>
      <c r="CDY22" s="149"/>
      <c r="CEB22" s="149"/>
      <c r="CEC22" s="149"/>
      <c r="CED22" s="149"/>
      <c r="CEE22" s="149"/>
      <c r="CEF22" s="149"/>
      <c r="CEG22" s="149"/>
      <c r="CEJ22" s="149"/>
      <c r="CEK22" s="149"/>
      <c r="CEL22" s="149"/>
      <c r="CEM22" s="149"/>
      <c r="CEN22" s="149"/>
      <c r="CEO22" s="149"/>
      <c r="CER22" s="149"/>
      <c r="CES22" s="149"/>
      <c r="CET22" s="149"/>
      <c r="CEU22" s="149"/>
      <c r="CEV22" s="149"/>
      <c r="CEW22" s="149"/>
      <c r="CEZ22" s="149"/>
      <c r="CFA22" s="149"/>
      <c r="CFB22" s="149"/>
      <c r="CFC22" s="149"/>
      <c r="CFD22" s="149"/>
      <c r="CFE22" s="149"/>
      <c r="CFH22" s="149"/>
      <c r="CFI22" s="149"/>
      <c r="CFJ22" s="149"/>
      <c r="CFK22" s="149"/>
      <c r="CFL22" s="149"/>
      <c r="CFM22" s="149"/>
      <c r="CFP22" s="149"/>
      <c r="CFQ22" s="149"/>
      <c r="CFR22" s="149"/>
      <c r="CFS22" s="149"/>
      <c r="CFT22" s="149"/>
      <c r="CFU22" s="149"/>
      <c r="CFX22" s="149"/>
      <c r="CFY22" s="149"/>
      <c r="CFZ22" s="149"/>
      <c r="CGA22" s="149"/>
      <c r="CGB22" s="149"/>
      <c r="CGC22" s="149"/>
      <c r="CGF22" s="149"/>
      <c r="CGG22" s="149"/>
      <c r="CGH22" s="149"/>
      <c r="CGI22" s="149"/>
      <c r="CGJ22" s="149"/>
      <c r="CGK22" s="149"/>
      <c r="CGN22" s="149"/>
      <c r="CGO22" s="149"/>
      <c r="CGP22" s="149"/>
      <c r="CGQ22" s="149"/>
      <c r="CGR22" s="149"/>
      <c r="CGS22" s="149"/>
      <c r="CGV22" s="149"/>
      <c r="CGW22" s="149"/>
      <c r="CGX22" s="149"/>
      <c r="CGY22" s="149"/>
      <c r="CGZ22" s="149"/>
      <c r="CHA22" s="149"/>
      <c r="CHD22" s="149"/>
      <c r="CHE22" s="149"/>
      <c r="CHF22" s="149"/>
      <c r="CHG22" s="149"/>
      <c r="CHH22" s="149"/>
      <c r="CHI22" s="149"/>
      <c r="CHL22" s="149"/>
      <c r="CHM22" s="149"/>
      <c r="CHN22" s="149"/>
      <c r="CHO22" s="149"/>
      <c r="CHP22" s="149"/>
      <c r="CHQ22" s="149"/>
      <c r="CHT22" s="149"/>
      <c r="CHU22" s="149"/>
      <c r="CHV22" s="149"/>
      <c r="CHW22" s="149"/>
      <c r="CHX22" s="149"/>
      <c r="CHY22" s="149"/>
      <c r="CIB22" s="149"/>
      <c r="CIC22" s="149"/>
      <c r="CID22" s="149"/>
      <c r="CIE22" s="149"/>
      <c r="CIF22" s="149"/>
      <c r="CIG22" s="149"/>
      <c r="CIJ22" s="149"/>
      <c r="CIK22" s="149"/>
      <c r="CIL22" s="149"/>
      <c r="CIM22" s="149"/>
      <c r="CIN22" s="149"/>
      <c r="CIO22" s="149"/>
      <c r="CIR22" s="149"/>
      <c r="CIS22" s="149"/>
      <c r="CIT22" s="149"/>
      <c r="CIU22" s="149"/>
      <c r="CIV22" s="149"/>
      <c r="CIW22" s="149"/>
      <c r="CIZ22" s="149"/>
      <c r="CJA22" s="149"/>
      <c r="CJB22" s="149"/>
      <c r="CJC22" s="149"/>
      <c r="CJD22" s="149"/>
      <c r="CJE22" s="149"/>
      <c r="CJH22" s="149"/>
      <c r="CJI22" s="149"/>
      <c r="CJJ22" s="149"/>
      <c r="CJK22" s="149"/>
      <c r="CJL22" s="149"/>
      <c r="CJM22" s="149"/>
      <c r="CJP22" s="149"/>
      <c r="CJQ22" s="149"/>
      <c r="CJR22" s="149"/>
      <c r="CJS22" s="149"/>
      <c r="CJT22" s="149"/>
      <c r="CJU22" s="149"/>
      <c r="CJX22" s="149"/>
      <c r="CJY22" s="149"/>
      <c r="CJZ22" s="149"/>
      <c r="CKA22" s="149"/>
      <c r="CKB22" s="149"/>
      <c r="CKC22" s="149"/>
      <c r="CKF22" s="149"/>
      <c r="CKG22" s="149"/>
      <c r="CKH22" s="149"/>
      <c r="CKI22" s="149"/>
      <c r="CKJ22" s="149"/>
      <c r="CKK22" s="149"/>
      <c r="CKN22" s="149"/>
      <c r="CKO22" s="149"/>
      <c r="CKP22" s="149"/>
      <c r="CKQ22" s="149"/>
      <c r="CKR22" s="149"/>
      <c r="CKV22" s="149"/>
      <c r="CKW22" s="149"/>
      <c r="CKX22" s="149"/>
      <c r="CKY22" s="149"/>
      <c r="CKZ22" s="149"/>
      <c r="CLA22" s="149"/>
      <c r="CLD22" s="149"/>
      <c r="CLE22" s="149"/>
      <c r="CLF22" s="149"/>
      <c r="CLG22" s="149"/>
      <c r="CLH22" s="149"/>
      <c r="CLI22" s="149"/>
      <c r="CLL22" s="149"/>
      <c r="CLM22" s="149"/>
      <c r="CLN22" s="149"/>
      <c r="CLO22" s="149"/>
      <c r="CLP22" s="149"/>
      <c r="CLQ22" s="149"/>
      <c r="CLT22" s="149"/>
      <c r="CLU22" s="149"/>
      <c r="CLV22" s="149"/>
      <c r="CLW22" s="149"/>
      <c r="CLX22" s="149"/>
      <c r="CLY22" s="149"/>
      <c r="CMB22" s="149"/>
      <c r="CMC22" s="149"/>
      <c r="CMD22" s="149"/>
      <c r="CME22" s="149"/>
      <c r="CMF22" s="149"/>
      <c r="CMG22" s="149"/>
      <c r="CMJ22" s="149"/>
      <c r="CMK22" s="149"/>
      <c r="CML22" s="149"/>
      <c r="CMM22" s="149"/>
      <c r="CMN22" s="149"/>
      <c r="CMO22" s="149"/>
      <c r="CMR22" s="149"/>
      <c r="CMS22" s="149"/>
      <c r="CMT22" s="149"/>
      <c r="CMU22" s="149"/>
      <c r="CMV22" s="149"/>
      <c r="CMW22" s="149"/>
      <c r="CMZ22" s="149"/>
      <c r="CNA22" s="149"/>
      <c r="CNB22" s="149"/>
      <c r="CNC22" s="149"/>
      <c r="CND22" s="149"/>
      <c r="CNE22" s="149"/>
      <c r="CNH22" s="149"/>
      <c r="CNI22" s="149"/>
      <c r="CNJ22" s="149"/>
      <c r="CNK22" s="149"/>
      <c r="CNL22" s="149"/>
      <c r="CNM22" s="149"/>
      <c r="CNP22" s="149"/>
      <c r="CNQ22" s="149"/>
      <c r="CNR22" s="149"/>
      <c r="CNS22" s="149"/>
      <c r="CNT22" s="149"/>
      <c r="CNU22" s="149"/>
      <c r="CNX22" s="149"/>
      <c r="CNY22" s="149"/>
      <c r="CNZ22" s="149"/>
      <c r="COA22" s="149"/>
      <c r="COB22" s="149"/>
      <c r="COC22" s="149"/>
      <c r="COF22" s="149"/>
      <c r="COG22" s="149"/>
      <c r="COH22" s="149"/>
      <c r="COI22" s="149"/>
      <c r="COJ22" s="149"/>
      <c r="COK22" s="149"/>
      <c r="CON22" s="149"/>
      <c r="COO22" s="149"/>
      <c r="COP22" s="149"/>
      <c r="COQ22" s="149"/>
      <c r="COR22" s="149"/>
      <c r="COS22" s="149"/>
      <c r="COV22" s="149"/>
      <c r="COW22" s="149"/>
      <c r="COX22" s="149"/>
      <c r="COY22" s="149"/>
      <c r="COZ22" s="149"/>
      <c r="CPA22" s="149"/>
      <c r="CPD22" s="149"/>
      <c r="CPE22" s="149"/>
      <c r="CPF22" s="149"/>
      <c r="CPG22" s="149"/>
      <c r="CPH22" s="149"/>
      <c r="CPI22" s="149"/>
      <c r="CPL22" s="149"/>
      <c r="CPM22" s="149"/>
      <c r="CPN22" s="149"/>
      <c r="CPO22" s="149"/>
      <c r="CPP22" s="149"/>
      <c r="CPQ22" s="149"/>
      <c r="CPT22" s="149"/>
      <c r="CPU22" s="149"/>
      <c r="CPV22" s="149"/>
      <c r="CPW22" s="149"/>
      <c r="CPX22" s="149"/>
      <c r="CPY22" s="149"/>
      <c r="CQB22" s="149"/>
      <c r="CQC22" s="149"/>
      <c r="CQD22" s="149"/>
      <c r="CQE22" s="149"/>
      <c r="CQF22" s="149"/>
      <c r="CQG22" s="149"/>
      <c r="CQJ22" s="152"/>
      <c r="CQK22" s="152"/>
      <c r="CQL22" s="152"/>
      <c r="CQM22" s="152"/>
      <c r="CQN22" s="152"/>
      <c r="CQO22" s="152"/>
      <c r="CQR22" s="149"/>
      <c r="CQS22" s="149"/>
      <c r="CQT22" s="149"/>
      <c r="CQU22" s="149"/>
      <c r="CQV22" s="149"/>
      <c r="CQW22" s="149"/>
      <c r="CQZ22" s="149"/>
      <c r="CRA22" s="149"/>
      <c r="CRB22" s="149"/>
      <c r="CRC22" s="149"/>
      <c r="CRD22" s="149"/>
      <c r="CRE22" s="149"/>
      <c r="CRH22" s="149"/>
      <c r="CRI22" s="149"/>
      <c r="CRJ22" s="149"/>
      <c r="CRK22" s="149"/>
      <c r="CRL22" s="149"/>
      <c r="CRM22" s="149"/>
      <c r="CRP22" s="149"/>
      <c r="CRQ22" s="149"/>
      <c r="CRR22" s="149"/>
      <c r="CRS22" s="149"/>
      <c r="CRT22" s="149"/>
      <c r="CRU22" s="149"/>
      <c r="CRX22" s="149"/>
      <c r="CRY22" s="149"/>
      <c r="CRZ22" s="149"/>
      <c r="CSA22" s="149"/>
      <c r="CSB22" s="149"/>
      <c r="CSC22" s="149"/>
      <c r="CSF22" s="149"/>
      <c r="CSG22" s="149"/>
      <c r="CSH22" s="149"/>
      <c r="CSI22" s="149"/>
      <c r="CSJ22" s="149"/>
      <c r="CSK22" s="149"/>
      <c r="CSN22" s="149"/>
      <c r="CSO22" s="149"/>
      <c r="CSP22" s="149"/>
      <c r="CSQ22" s="149"/>
      <c r="CSR22" s="149"/>
      <c r="CSS22" s="149"/>
      <c r="CSV22" s="149"/>
      <c r="CSW22" s="149"/>
      <c r="CSX22" s="149"/>
      <c r="CSY22" s="149"/>
      <c r="CSZ22" s="149"/>
      <c r="CTA22" s="149"/>
      <c r="CTD22" s="149"/>
      <c r="CTE22" s="149"/>
      <c r="CTF22" s="149"/>
      <c r="CTG22" s="149"/>
      <c r="CTH22" s="149"/>
      <c r="CTI22" s="149"/>
      <c r="CTL22" s="149"/>
      <c r="CTM22" s="149"/>
      <c r="CTN22" s="149"/>
      <c r="CTO22" s="149"/>
      <c r="CTP22" s="149"/>
      <c r="CTQ22" s="149"/>
      <c r="CTT22" s="149"/>
      <c r="CTU22" s="149"/>
      <c r="CTV22" s="149"/>
      <c r="CTW22" s="149"/>
      <c r="CTX22" s="149"/>
      <c r="CTY22" s="149"/>
      <c r="CUB22" s="149"/>
      <c r="CUC22" s="149"/>
      <c r="CUD22" s="149"/>
      <c r="CUE22" s="149"/>
      <c r="CUF22" s="149"/>
      <c r="CUG22" s="149"/>
      <c r="CUJ22" s="149"/>
      <c r="CUK22" s="149"/>
      <c r="CUL22" s="149"/>
      <c r="CUM22" s="149"/>
      <c r="CUN22" s="149"/>
      <c r="CUO22" s="149"/>
      <c r="CUR22" s="149"/>
      <c r="CUS22" s="149"/>
      <c r="CUT22" s="149"/>
      <c r="CUU22" s="149"/>
      <c r="CUV22" s="149"/>
      <c r="CUW22" s="149"/>
      <c r="CUZ22" s="149"/>
      <c r="CVA22" s="149"/>
      <c r="CVB22" s="149"/>
      <c r="CVC22" s="149"/>
      <c r="CVD22" s="149"/>
      <c r="CVE22" s="149"/>
      <c r="CVH22" s="149"/>
      <c r="CVI22" s="149"/>
      <c r="CVJ22" s="149"/>
      <c r="CVK22" s="149"/>
      <c r="CVL22" s="149"/>
      <c r="CVM22" s="149"/>
      <c r="CVP22" s="149"/>
      <c r="CVQ22" s="149"/>
      <c r="CVR22" s="149"/>
      <c r="CVS22" s="149"/>
      <c r="CVT22" s="149"/>
      <c r="CVU22" s="149"/>
      <c r="CVX22" s="149"/>
      <c r="CVY22" s="149"/>
      <c r="CVZ22" s="149"/>
      <c r="CWA22" s="149"/>
      <c r="CWB22" s="149"/>
      <c r="CWC22" s="149"/>
      <c r="CWF22" s="149"/>
      <c r="CWG22" s="149"/>
      <c r="CWH22" s="149"/>
      <c r="CWI22" s="149"/>
      <c r="CWJ22" s="149"/>
      <c r="CWK22" s="149"/>
      <c r="CWN22" s="149"/>
      <c r="CWO22" s="149"/>
      <c r="CWP22" s="149"/>
      <c r="CWQ22" s="149"/>
      <c r="CWR22" s="149"/>
      <c r="CWS22" s="149"/>
      <c r="CWV22" s="149"/>
      <c r="CWW22" s="149"/>
      <c r="CWX22" s="149"/>
      <c r="CWY22" s="149"/>
      <c r="CWZ22" s="149"/>
      <c r="CXA22" s="149"/>
      <c r="CXD22" s="149"/>
      <c r="CXE22" s="149"/>
      <c r="CXF22" s="149"/>
      <c r="CXG22" s="149"/>
      <c r="CXH22" s="149"/>
      <c r="CXI22" s="149"/>
      <c r="CXL22" s="149"/>
      <c r="CXM22" s="149"/>
      <c r="CXN22" s="149"/>
      <c r="CXO22" s="149"/>
      <c r="CXP22" s="149"/>
      <c r="CXQ22" s="149"/>
      <c r="CXT22" s="149"/>
      <c r="CXU22" s="149"/>
      <c r="CXV22" s="149"/>
      <c r="CXW22" s="149"/>
      <c r="CXX22" s="149"/>
      <c r="CXY22" s="149"/>
      <c r="CYB22" s="149"/>
      <c r="CYC22" s="149"/>
      <c r="CYD22" s="149"/>
      <c r="CYE22" s="149"/>
      <c r="CYF22" s="149"/>
      <c r="CYG22" s="149"/>
      <c r="CYJ22" s="149"/>
      <c r="CYK22" s="149"/>
      <c r="CYL22" s="149"/>
      <c r="CYM22" s="149"/>
      <c r="CYN22" s="149"/>
      <c r="CYO22" s="149"/>
      <c r="CYR22" s="149"/>
      <c r="CYS22" s="149"/>
      <c r="CYT22" s="149"/>
      <c r="CYU22" s="149"/>
      <c r="CYV22" s="149"/>
      <c r="CYW22" s="149"/>
      <c r="CYZ22" s="149"/>
      <c r="CZA22" s="149"/>
      <c r="CZB22" s="149"/>
      <c r="CZC22" s="149"/>
      <c r="CZD22" s="149"/>
      <c r="CZE22" s="149"/>
      <c r="CZH22" s="149"/>
      <c r="CZI22" s="149"/>
      <c r="CZJ22" s="149"/>
      <c r="CZK22" s="149"/>
      <c r="CZL22" s="149"/>
      <c r="CZM22" s="149"/>
      <c r="CZP22" s="149"/>
      <c r="CZQ22" s="149"/>
      <c r="CZR22" s="149"/>
      <c r="CZS22" s="149"/>
      <c r="CZT22" s="149"/>
      <c r="CZU22" s="149"/>
      <c r="CZX22" s="149"/>
      <c r="CZY22" s="149"/>
      <c r="CZZ22" s="149"/>
      <c r="DAA22" s="149"/>
      <c r="DAB22" s="149"/>
      <c r="DAC22" s="149"/>
      <c r="DAF22" s="149"/>
      <c r="DAG22" s="149"/>
      <c r="DAH22" s="149"/>
      <c r="DAI22" s="149"/>
      <c r="DAJ22" s="149"/>
      <c r="DAK22" s="149"/>
      <c r="DAN22" s="149"/>
      <c r="DAO22" s="149"/>
      <c r="DAP22" s="149"/>
      <c r="DAQ22" s="149"/>
      <c r="DAR22" s="149"/>
      <c r="DAS22" s="149"/>
      <c r="DAV22" s="149"/>
      <c r="DAW22" s="149"/>
      <c r="DAX22" s="149"/>
      <c r="DAY22" s="149"/>
      <c r="DAZ22" s="149"/>
      <c r="DBA22" s="149"/>
      <c r="DBD22" s="149"/>
      <c r="DBE22" s="149"/>
      <c r="DBF22" s="149"/>
      <c r="DBG22" s="149"/>
      <c r="DBH22" s="149"/>
      <c r="DBI22" s="149"/>
      <c r="DBL22" s="149"/>
      <c r="DBM22" s="149"/>
      <c r="DBN22" s="149"/>
      <c r="DBO22" s="149"/>
      <c r="DBP22" s="149"/>
      <c r="DBQ22" s="149"/>
      <c r="DBT22" s="149"/>
      <c r="DBU22" s="149"/>
      <c r="DBV22" s="149"/>
      <c r="DBW22" s="149"/>
      <c r="DBX22" s="149"/>
      <c r="DBY22" s="149"/>
      <c r="DCB22" s="149"/>
      <c r="DCC22" s="149"/>
      <c r="DCD22" s="149"/>
      <c r="DCE22" s="149"/>
      <c r="DCF22" s="149"/>
      <c r="DCG22" s="149"/>
      <c r="DCJ22" s="149"/>
      <c r="DCK22" s="149"/>
      <c r="DCL22" s="149"/>
      <c r="DCM22" s="149"/>
      <c r="DCN22" s="149"/>
      <c r="DCO22" s="149"/>
      <c r="DCR22" s="149"/>
      <c r="DCS22" s="149"/>
      <c r="DCT22" s="149"/>
      <c r="DCU22" s="149"/>
      <c r="DCV22" s="149"/>
      <c r="DCW22" s="149"/>
      <c r="DCZ22" s="149"/>
      <c r="DDA22" s="149"/>
      <c r="DDB22" s="149"/>
      <c r="DDC22" s="149"/>
      <c r="DDD22" s="149"/>
      <c r="DDE22" s="149"/>
      <c r="DDH22" s="149"/>
      <c r="DDI22" s="149"/>
      <c r="DDJ22" s="149"/>
      <c r="DDK22" s="149"/>
      <c r="DDL22" s="149"/>
      <c r="DDM22" s="149"/>
      <c r="DDP22" s="149"/>
      <c r="DDQ22" s="149"/>
      <c r="DDR22" s="149"/>
      <c r="DDS22" s="149"/>
      <c r="DDT22" s="149"/>
      <c r="DDU22" s="149"/>
      <c r="DDX22" s="149"/>
      <c r="DDY22" s="149"/>
      <c r="DDZ22" s="149"/>
      <c r="DEA22" s="149"/>
      <c r="DEB22" s="149"/>
      <c r="DEC22" s="149"/>
      <c r="DEF22" s="149"/>
      <c r="DEG22" s="149"/>
      <c r="DEH22" s="149"/>
      <c r="DEI22" s="149"/>
      <c r="DEJ22" s="149"/>
      <c r="DEK22" s="149"/>
      <c r="DEN22" s="149"/>
      <c r="DEO22" s="149"/>
      <c r="DEP22" s="149"/>
      <c r="DEQ22" s="149"/>
      <c r="DER22" s="149"/>
      <c r="DES22" s="149"/>
      <c r="DEV22" s="149"/>
      <c r="DEW22" s="149"/>
      <c r="DEX22" s="149"/>
      <c r="DEY22" s="149"/>
      <c r="DEZ22" s="149"/>
      <c r="DFA22" s="149"/>
      <c r="DFD22" s="149"/>
      <c r="DFE22" s="149"/>
      <c r="DFF22" s="149"/>
      <c r="DFG22" s="149"/>
      <c r="DFH22" s="149"/>
      <c r="DFI22" s="149"/>
      <c r="DFL22" s="149"/>
      <c r="DFM22" s="149"/>
      <c r="DFN22" s="149"/>
      <c r="DFO22" s="149"/>
      <c r="DFP22" s="149"/>
      <c r="DFQ22" s="149"/>
      <c r="DFT22" s="149"/>
      <c r="DFU22" s="149"/>
      <c r="DFV22" s="149"/>
      <c r="DFW22" s="149"/>
      <c r="DFX22" s="149"/>
      <c r="DFY22" s="149"/>
      <c r="DGB22" s="149"/>
      <c r="DGC22" s="149"/>
      <c r="DGD22" s="149"/>
      <c r="DGE22" s="149"/>
      <c r="DGF22" s="149"/>
      <c r="DGG22" s="149"/>
      <c r="DGJ22" s="149"/>
      <c r="DGK22" s="149"/>
      <c r="DGL22" s="149"/>
      <c r="DGM22" s="149"/>
      <c r="DGN22" s="149"/>
      <c r="DGO22" s="149"/>
      <c r="DGR22" s="149"/>
      <c r="DGS22" s="149"/>
      <c r="DGT22" s="149"/>
      <c r="DGU22" s="149"/>
      <c r="DGV22" s="149"/>
      <c r="DGW22" s="149"/>
      <c r="DGZ22" s="149"/>
      <c r="DHA22" s="149"/>
      <c r="DHB22" s="149"/>
      <c r="DHC22" s="149"/>
      <c r="DHD22" s="149"/>
      <c r="DHE22" s="149"/>
      <c r="DHH22" s="149"/>
      <c r="DHI22" s="149"/>
      <c r="DHJ22" s="149"/>
      <c r="DHK22" s="149"/>
      <c r="DHL22" s="149"/>
      <c r="DHM22" s="149"/>
      <c r="DHP22" s="149"/>
      <c r="DHQ22" s="149"/>
      <c r="DHR22" s="149"/>
      <c r="DHS22" s="149"/>
      <c r="DHT22" s="149"/>
      <c r="DHU22" s="149"/>
      <c r="DHX22" s="149"/>
      <c r="DHY22" s="149"/>
      <c r="DHZ22" s="149"/>
      <c r="DIA22" s="149"/>
      <c r="DIB22" s="149"/>
      <c r="DIC22" s="149"/>
      <c r="DIF22" s="149"/>
      <c r="DIG22" s="149"/>
      <c r="DIH22" s="149"/>
      <c r="DII22" s="149"/>
      <c r="DIJ22" s="149"/>
      <c r="DIK22" s="149"/>
      <c r="DIN22" s="149"/>
      <c r="DIO22" s="149"/>
      <c r="DIP22" s="149"/>
      <c r="DIQ22" s="149"/>
      <c r="DIR22" s="149"/>
      <c r="DIS22" s="149"/>
      <c r="DIV22" s="149"/>
      <c r="DIW22" s="149"/>
      <c r="DIX22" s="149"/>
      <c r="DIY22" s="149"/>
      <c r="DIZ22" s="149"/>
      <c r="DJA22" s="149"/>
      <c r="DJD22" s="149"/>
      <c r="DJE22" s="149"/>
      <c r="DJF22" s="149"/>
      <c r="DJG22" s="149"/>
      <c r="DJH22" s="149"/>
      <c r="DJI22" s="149"/>
      <c r="DJL22" s="149"/>
      <c r="DJM22" s="149"/>
      <c r="DJN22" s="149"/>
      <c r="DJO22" s="149"/>
      <c r="DJP22" s="149"/>
      <c r="DJQ22" s="149"/>
      <c r="DJT22" s="149"/>
      <c r="DJU22" s="149"/>
      <c r="DJV22" s="149"/>
      <c r="DJW22" s="149"/>
      <c r="DJX22" s="149"/>
      <c r="DJY22" s="149"/>
      <c r="DKB22" s="149"/>
      <c r="DKC22" s="149"/>
      <c r="DKD22" s="149"/>
      <c r="DKE22" s="149"/>
      <c r="DKF22" s="149"/>
      <c r="DKG22" s="149"/>
      <c r="DKJ22" s="149"/>
      <c r="DKK22" s="149"/>
      <c r="DKL22" s="149"/>
      <c r="DKM22" s="149"/>
      <c r="DKN22" s="149"/>
      <c r="DKO22" s="149"/>
      <c r="DKR22" s="149"/>
      <c r="DKS22" s="149"/>
      <c r="DKT22" s="149"/>
      <c r="DKU22" s="149"/>
      <c r="DKV22" s="149"/>
      <c r="DKW22" s="149"/>
      <c r="DKZ22" s="149"/>
      <c r="DLA22" s="149"/>
      <c r="DLB22" s="149"/>
      <c r="DLC22" s="149"/>
      <c r="DLD22" s="149"/>
      <c r="DLE22" s="149"/>
      <c r="DLH22" s="149"/>
      <c r="DLI22" s="149"/>
      <c r="DLJ22" s="149"/>
      <c r="DLK22" s="149"/>
      <c r="DLL22" s="149"/>
      <c r="DLM22" s="149"/>
      <c r="DLP22" s="149"/>
      <c r="DLQ22" s="149"/>
      <c r="DLR22" s="149"/>
      <c r="DLS22" s="149"/>
      <c r="DLT22" s="149"/>
      <c r="DLU22" s="149"/>
      <c r="DLX22" s="1"/>
      <c r="DLY22" s="1"/>
      <c r="DLZ22" s="1"/>
      <c r="DMA22" s="1"/>
      <c r="DMB22" s="1"/>
      <c r="DMC22" s="1"/>
      <c r="DMF22" s="149"/>
      <c r="DMG22" s="149"/>
      <c r="DMH22" s="149"/>
      <c r="DMI22" s="149"/>
      <c r="DMJ22" s="149"/>
      <c r="DMK22" s="149"/>
      <c r="DMN22" s="149"/>
      <c r="DMO22" s="149"/>
      <c r="DMP22" s="149"/>
      <c r="DMQ22" s="149"/>
      <c r="DMR22" s="149"/>
      <c r="DMS22" s="149"/>
      <c r="DMV22" s="149"/>
      <c r="DMW22" s="149"/>
      <c r="DMX22" s="149"/>
      <c r="DMY22" s="149"/>
      <c r="DMZ22" s="149"/>
      <c r="DNA22" s="149"/>
      <c r="DND22" s="149"/>
      <c r="DNE22" s="149"/>
      <c r="DNF22" s="149"/>
      <c r="DNG22" s="149"/>
      <c r="DNH22" s="149"/>
      <c r="DNI22" s="149"/>
      <c r="DNL22" s="149"/>
      <c r="DNM22" s="149"/>
      <c r="DNN22" s="149"/>
      <c r="DNO22" s="149"/>
      <c r="DNP22" s="149"/>
      <c r="DNQ22" s="149"/>
      <c r="DNT22" s="149"/>
      <c r="DNU22" s="149"/>
      <c r="DNV22" s="149"/>
      <c r="DNW22" s="149"/>
      <c r="DNX22" s="149"/>
      <c r="DNY22" s="149"/>
      <c r="DOB22" s="149"/>
      <c r="DOC22" s="149"/>
      <c r="DOD22" s="149"/>
      <c r="DOE22" s="149"/>
      <c r="DOF22" s="149"/>
      <c r="DOG22" s="149"/>
      <c r="DOJ22" s="149"/>
      <c r="DOK22" s="149"/>
      <c r="DOL22" s="149"/>
      <c r="DOM22" s="149"/>
      <c r="DON22" s="149"/>
      <c r="DOO22" s="149"/>
      <c r="DOR22" s="149"/>
      <c r="DOS22" s="149"/>
      <c r="DOT22" s="149"/>
      <c r="DOU22" s="149"/>
      <c r="DOV22" s="149"/>
      <c r="DOW22" s="149"/>
      <c r="DOZ22" s="1"/>
      <c r="DPA22" s="1"/>
      <c r="DPB22" s="1"/>
      <c r="DPC22" s="1"/>
      <c r="DPD22" s="1"/>
      <c r="DPE22" s="1"/>
      <c r="DPF22" s="1"/>
      <c r="DPG22" s="1"/>
      <c r="DPH22" s="149"/>
      <c r="DPI22" s="149"/>
      <c r="DPJ22" s="149"/>
      <c r="DPK22" s="149"/>
      <c r="DPL22" s="149"/>
      <c r="DPM22" s="149"/>
      <c r="DPP22" s="149"/>
      <c r="DPQ22" s="149"/>
      <c r="DPR22" s="149"/>
      <c r="DPS22" s="149"/>
      <c r="DPT22" s="149"/>
      <c r="DPU22" s="149"/>
      <c r="DPX22" s="149"/>
      <c r="DPY22" s="149"/>
      <c r="DPZ22" s="149"/>
      <c r="DQA22" s="149"/>
      <c r="DQB22" s="149"/>
      <c r="DQC22" s="149"/>
      <c r="DQF22" s="149"/>
      <c r="DQG22" s="149"/>
      <c r="DQH22" s="149"/>
      <c r="DQI22" s="149"/>
      <c r="DQJ22" s="149"/>
      <c r="DQK22" s="149"/>
      <c r="DQM22" s="151"/>
      <c r="DQN22" s="149"/>
      <c r="DQO22" s="149"/>
      <c r="DQP22" s="149"/>
      <c r="DQQ22" s="149"/>
      <c r="DQR22" s="149"/>
      <c r="DQS22" s="149"/>
      <c r="DQV22" s="149"/>
      <c r="DQW22" s="149"/>
      <c r="DQX22" s="149"/>
      <c r="DQY22" s="149"/>
      <c r="DQZ22" s="149"/>
      <c r="DRA22" s="149"/>
      <c r="DRD22" s="149"/>
      <c r="DRE22" s="149"/>
      <c r="DRF22" s="149"/>
      <c r="DRG22" s="149"/>
      <c r="DRH22" s="149"/>
      <c r="DRI22" s="149"/>
      <c r="DRL22" s="149"/>
      <c r="DRM22" s="149"/>
      <c r="DRN22" s="149"/>
      <c r="DRO22" s="149"/>
      <c r="DRP22" s="149"/>
      <c r="DRQ22" s="149"/>
      <c r="DRT22" s="149"/>
      <c r="DRU22" s="149"/>
      <c r="DRV22" s="149"/>
      <c r="DRW22" s="149"/>
      <c r="DRX22" s="149"/>
      <c r="DRY22" s="149"/>
      <c r="DSA22" s="8"/>
      <c r="DSB22" s="152"/>
      <c r="DSC22" s="152"/>
      <c r="DSD22" s="152"/>
      <c r="DSE22" s="152"/>
      <c r="DSF22" s="152"/>
      <c r="DSG22" s="152"/>
      <c r="DSJ22" s="149"/>
      <c r="DSK22" s="149"/>
      <c r="DSL22" s="149"/>
      <c r="DSM22" s="149"/>
      <c r="DSN22" s="149"/>
      <c r="DSO22" s="149"/>
      <c r="DSR22" s="149"/>
      <c r="DSS22" s="149"/>
      <c r="DST22" s="149"/>
      <c r="DSU22" s="149"/>
      <c r="DSV22" s="149"/>
      <c r="DSW22" s="149"/>
      <c r="DSZ22" s="149"/>
      <c r="DTA22" s="149"/>
      <c r="DTB22" s="149"/>
      <c r="DTC22" s="149"/>
      <c r="DTD22" s="149"/>
      <c r="DTE22" s="149"/>
      <c r="DTH22" s="149"/>
      <c r="DTI22" s="149"/>
      <c r="DTJ22" s="149"/>
      <c r="DTK22" s="149"/>
      <c r="DTL22" s="149"/>
      <c r="DTM22" s="149"/>
      <c r="DTP22" s="149"/>
      <c r="DTQ22" s="149"/>
      <c r="DTR22" s="149"/>
      <c r="DTS22" s="149"/>
      <c r="DTT22" s="149"/>
      <c r="DTU22" s="149"/>
      <c r="DTX22" s="149"/>
      <c r="DTY22" s="149"/>
      <c r="DTZ22" s="149"/>
      <c r="DUA22" s="149"/>
      <c r="DUB22" s="149"/>
      <c r="DUC22" s="149"/>
      <c r="DUF22" s="149"/>
      <c r="DUG22" s="149"/>
      <c r="DUH22" s="149"/>
      <c r="DUI22" s="149"/>
      <c r="DUJ22" s="149"/>
      <c r="DUK22" s="149"/>
      <c r="DUN22" s="149"/>
      <c r="DUO22" s="149"/>
      <c r="DUP22" s="149"/>
      <c r="DUQ22" s="149"/>
      <c r="DUR22" s="149"/>
      <c r="DUS22" s="149"/>
      <c r="DUV22" s="149"/>
      <c r="DUW22" s="149"/>
      <c r="DUX22" s="149"/>
      <c r="DUY22" s="149"/>
      <c r="DUZ22" s="149"/>
      <c r="DVA22" s="149"/>
      <c r="DVD22" s="149"/>
      <c r="DVE22" s="149"/>
      <c r="DVF22" s="149"/>
      <c r="DVG22" s="149"/>
      <c r="DVH22" s="149"/>
      <c r="DVI22" s="149"/>
      <c r="DVL22" s="149"/>
      <c r="DVM22" s="149"/>
      <c r="DVN22" s="149"/>
      <c r="DVO22" s="149"/>
      <c r="DVP22" s="149"/>
      <c r="DVQ22" s="149"/>
      <c r="DVT22" s="149"/>
      <c r="DVU22" s="149"/>
      <c r="DVV22" s="149"/>
      <c r="DVW22" s="149"/>
      <c r="DVX22" s="149"/>
      <c r="DVY22" s="149"/>
      <c r="DWB22" s="149"/>
      <c r="DWC22" s="149"/>
      <c r="DWD22" s="149"/>
      <c r="DWE22" s="149"/>
      <c r="DWF22" s="149"/>
      <c r="DWG22" s="149"/>
      <c r="DWJ22" s="149"/>
      <c r="DWK22" s="149"/>
      <c r="DWL22" s="149"/>
      <c r="DWM22" s="149"/>
      <c r="DWN22" s="149"/>
      <c r="DWO22" s="149"/>
      <c r="DWR22" s="149"/>
      <c r="DWS22" s="149"/>
      <c r="DWT22" s="149"/>
      <c r="DWU22" s="149"/>
      <c r="DWV22" s="149"/>
      <c r="DWW22" s="149"/>
      <c r="DWZ22" s="149"/>
      <c r="DXA22" s="149"/>
      <c r="DXB22" s="149"/>
      <c r="DXC22" s="149"/>
      <c r="DXD22" s="149"/>
      <c r="DXE22" s="149"/>
      <c r="DXH22" s="149"/>
      <c r="DXI22" s="149"/>
      <c r="DXJ22" s="149"/>
      <c r="DXK22" s="149"/>
      <c r="DXL22" s="149"/>
      <c r="DXM22" s="149"/>
      <c r="DXP22" s="1"/>
      <c r="DXQ22" s="1"/>
      <c r="DXR22" s="1"/>
      <c r="DXS22" s="1"/>
      <c r="DXT22" s="1"/>
      <c r="DXU22" s="149"/>
      <c r="DXX22" s="149"/>
      <c r="DXY22" s="149"/>
      <c r="DXZ22" s="149"/>
      <c r="DYA22" s="149"/>
      <c r="DYB22" s="149"/>
      <c r="DYC22" s="149"/>
      <c r="DYF22" s="149"/>
      <c r="DYG22" s="149"/>
      <c r="DYH22" s="149"/>
      <c r="DYI22" s="149"/>
      <c r="DYJ22" s="149"/>
      <c r="DYK22" s="149"/>
      <c r="DYN22" s="149"/>
      <c r="DYO22" s="149"/>
      <c r="DYP22" s="149"/>
      <c r="DYQ22" s="149"/>
      <c r="DYR22" s="149"/>
      <c r="DYS22" s="149"/>
      <c r="DYV22" s="149"/>
      <c r="DYW22" s="149"/>
      <c r="DYX22" s="149"/>
      <c r="DYY22" s="149"/>
      <c r="DYZ22" s="149"/>
      <c r="DZA22" s="149"/>
      <c r="DZD22" s="1"/>
      <c r="DZE22" s="1"/>
      <c r="DZF22" s="1"/>
      <c r="DZG22" s="1"/>
      <c r="DZH22" s="1"/>
      <c r="DZI22" s="1"/>
      <c r="DZL22" s="149"/>
      <c r="DZM22" s="149"/>
      <c r="DZN22" s="149"/>
      <c r="DZO22" s="149"/>
      <c r="DZP22" s="149"/>
      <c r="DZQ22" s="149"/>
      <c r="DZT22" s="149"/>
      <c r="DZU22" s="149"/>
      <c r="DZV22" s="149"/>
      <c r="DZW22" s="149"/>
      <c r="DZX22" s="149"/>
      <c r="DZY22" s="149"/>
      <c r="EAB22" s="149"/>
      <c r="EAC22" s="149"/>
      <c r="EAD22" s="149"/>
      <c r="EAE22" s="149"/>
      <c r="EAF22" s="149"/>
      <c r="EAG22" s="149"/>
      <c r="EAJ22" s="1"/>
      <c r="EAK22" s="1"/>
      <c r="EAL22" s="1"/>
      <c r="EAM22" s="1"/>
      <c r="EAN22" s="1"/>
      <c r="EAO22" s="1"/>
      <c r="EAR22" s="149"/>
      <c r="EAS22" s="149"/>
      <c r="EAT22" s="149"/>
      <c r="EAU22" s="149"/>
      <c r="EAV22" s="149"/>
      <c r="EAW22" s="149"/>
      <c r="EAZ22" s="149"/>
      <c r="EBA22" s="149"/>
      <c r="EBB22" s="149"/>
      <c r="EBC22" s="149"/>
      <c r="EBD22" s="149"/>
      <c r="EBE22" s="149"/>
      <c r="EBH22" s="149"/>
      <c r="EBI22" s="149"/>
      <c r="EBJ22" s="149"/>
      <c r="EBK22" s="149"/>
      <c r="EBL22" s="149"/>
      <c r="EBM22" s="149"/>
      <c r="EBP22" s="149"/>
      <c r="EBQ22" s="149"/>
      <c r="EBR22" s="149"/>
      <c r="EBS22" s="149"/>
      <c r="EBT22" s="149"/>
      <c r="EBU22" s="149"/>
      <c r="EBX22" s="149"/>
      <c r="EBY22" s="149"/>
      <c r="EBZ22" s="149"/>
      <c r="ECA22" s="149"/>
      <c r="ECB22" s="149"/>
      <c r="ECC22" s="149"/>
      <c r="ECF22" s="149"/>
      <c r="ECG22" s="149"/>
      <c r="ECH22" s="149"/>
      <c r="ECI22" s="149"/>
      <c r="ECJ22" s="149"/>
      <c r="ECK22" s="149"/>
      <c r="ECN22" s="149"/>
      <c r="ECO22" s="149"/>
      <c r="ECP22" s="149"/>
      <c r="ECQ22" s="149"/>
      <c r="ECR22" s="149"/>
      <c r="ECS22" s="149"/>
      <c r="ECV22" s="149"/>
      <c r="ECW22" s="149"/>
      <c r="ECX22" s="149"/>
      <c r="ECY22" s="149"/>
      <c r="ECZ22" s="149"/>
      <c r="EDA22" s="149"/>
      <c r="EDD22" s="149"/>
      <c r="EDE22" s="149"/>
      <c r="EDF22" s="149"/>
      <c r="EDG22" s="149"/>
      <c r="EDH22" s="149"/>
      <c r="EDI22" s="149"/>
      <c r="EDL22" s="1"/>
      <c r="EDM22" s="1"/>
      <c r="EDN22" s="1"/>
      <c r="EDO22" s="1"/>
      <c r="EDP22" s="1"/>
      <c r="EDQ22" s="1"/>
      <c r="EDT22" s="149"/>
      <c r="EDU22" s="149"/>
      <c r="EDV22" s="149"/>
      <c r="EDW22" s="149"/>
      <c r="EDX22" s="149"/>
      <c r="EDY22" s="149"/>
      <c r="EEB22" s="149"/>
      <c r="EEC22" s="149"/>
      <c r="EED22" s="149"/>
      <c r="EEE22" s="149"/>
      <c r="EEF22" s="149"/>
      <c r="EEG22" s="149"/>
      <c r="EEJ22" s="149"/>
      <c r="EEK22" s="149"/>
      <c r="EEL22" s="149"/>
      <c r="EEM22" s="149"/>
      <c r="EEN22" s="149"/>
      <c r="EEO22" s="149"/>
      <c r="EER22" s="149"/>
      <c r="EES22" s="149"/>
      <c r="EET22" s="149"/>
      <c r="EEU22" s="149"/>
      <c r="EEV22" s="149"/>
      <c r="EEW22" s="149"/>
      <c r="EEZ22" s="149"/>
      <c r="EFA22" s="149"/>
      <c r="EFB22" s="149"/>
      <c r="EFC22" s="149"/>
      <c r="EFD22" s="149"/>
      <c r="EFE22" s="149"/>
      <c r="EFH22" s="149"/>
      <c r="EFI22" s="149"/>
      <c r="EFJ22" s="149"/>
      <c r="EFK22" s="149"/>
      <c r="EFL22" s="149"/>
      <c r="EFM22" s="149"/>
      <c r="EFP22" s="149"/>
      <c r="EFQ22" s="149"/>
      <c r="EFR22" s="149"/>
      <c r="EFS22" s="149"/>
      <c r="EFT22" s="149"/>
      <c r="EFU22" s="149"/>
      <c r="EFX22" s="149"/>
      <c r="EFY22" s="149"/>
      <c r="EFZ22" s="149"/>
      <c r="EGA22" s="149"/>
      <c r="EGB22" s="149"/>
      <c r="EGC22" s="149"/>
      <c r="EGF22" s="149"/>
      <c r="EGG22" s="149"/>
      <c r="EGH22" s="149"/>
      <c r="EGI22" s="149"/>
      <c r="EGJ22" s="149"/>
      <c r="EGK22" s="149"/>
      <c r="EGN22" s="149"/>
      <c r="EGO22" s="149"/>
      <c r="EGP22" s="149"/>
      <c r="EGQ22" s="149"/>
      <c r="EGR22" s="149"/>
      <c r="EGS22" s="149"/>
      <c r="EGV22" s="149"/>
      <c r="EGW22" s="149"/>
      <c r="EGX22" s="149"/>
      <c r="EGY22" s="149"/>
      <c r="EGZ22" s="149"/>
      <c r="EHA22" s="149"/>
      <c r="EHD22" s="149"/>
      <c r="EHE22" s="149"/>
      <c r="EHF22" s="149"/>
      <c r="EHG22" s="149"/>
      <c r="EHH22" s="149"/>
      <c r="EHI22" s="149"/>
      <c r="EHL22" s="149"/>
      <c r="EHM22" s="149"/>
      <c r="EHN22" s="149"/>
      <c r="EHO22" s="149"/>
      <c r="EHP22" s="149"/>
      <c r="EHQ22" s="149"/>
      <c r="EHT22" s="149"/>
      <c r="EHU22" s="149"/>
      <c r="EHV22" s="149"/>
      <c r="EHW22" s="149"/>
      <c r="EHX22" s="149"/>
      <c r="EHY22" s="149"/>
      <c r="EIB22" s="149"/>
      <c r="EIC22" s="149"/>
      <c r="EID22" s="149"/>
      <c r="EIE22" s="149"/>
      <c r="EIF22" s="149"/>
      <c r="EIG22" s="149"/>
      <c r="EIH22" s="149"/>
      <c r="EIJ22" s="149"/>
      <c r="EIK22" s="149"/>
      <c r="EIL22" s="149"/>
      <c r="EIM22" s="149"/>
      <c r="EIN22" s="149"/>
      <c r="EIO22" s="149"/>
      <c r="EIR22" s="149"/>
      <c r="EIS22" s="149"/>
      <c r="EIT22" s="149"/>
      <c r="EIU22" s="149"/>
      <c r="EIV22" s="149"/>
      <c r="EIW22" s="149"/>
      <c r="EIZ22" s="149"/>
      <c r="EJA22" s="149"/>
      <c r="EJB22" s="149"/>
      <c r="EJC22" s="149"/>
      <c r="EJD22" s="149"/>
      <c r="EJE22" s="149"/>
      <c r="EJH22" s="149"/>
      <c r="EJI22" s="149"/>
      <c r="EJJ22" s="149"/>
      <c r="EJK22" s="149"/>
      <c r="EJL22" s="149"/>
      <c r="EJM22" s="149"/>
      <c r="EJP22" s="149"/>
      <c r="EJQ22" s="149"/>
      <c r="EJR22" s="149"/>
      <c r="EJS22" s="149"/>
      <c r="EJT22" s="149"/>
      <c r="EJU22" s="149"/>
      <c r="EJX22" s="149"/>
      <c r="EJY22" s="149"/>
      <c r="EJZ22" s="149"/>
      <c r="EKA22" s="149"/>
      <c r="EKB22" s="149"/>
      <c r="EKC22" s="149"/>
      <c r="EKF22" s="149"/>
      <c r="EKG22" s="149"/>
      <c r="EKH22" s="149"/>
      <c r="EKI22" s="149"/>
      <c r="EKJ22" s="149"/>
      <c r="EKK22" s="149"/>
      <c r="EKN22" s="149"/>
      <c r="EKO22" s="149"/>
      <c r="EKP22" s="149"/>
      <c r="EKQ22" s="149"/>
      <c r="EKR22" s="149"/>
      <c r="EKS22" s="149"/>
      <c r="EKV22" s="669"/>
      <c r="EKW22" s="1"/>
      <c r="EKX22" s="1"/>
      <c r="EKY22" s="1"/>
      <c r="EKZ22" s="1"/>
      <c r="ELA22" s="1"/>
      <c r="ELB22" s="1"/>
      <c r="ELE22" s="149"/>
      <c r="ELF22" s="149"/>
      <c r="ELG22" s="149"/>
      <c r="ELH22" s="149"/>
      <c r="ELI22" s="149"/>
      <c r="ELJ22" s="149"/>
      <c r="ELM22" s="149"/>
      <c r="ELN22" s="149"/>
      <c r="ELO22" s="149"/>
      <c r="ELP22" s="149"/>
      <c r="ELQ22" s="149"/>
      <c r="ELR22" s="149"/>
      <c r="ELU22" s="149"/>
      <c r="ELV22" s="149"/>
      <c r="ELW22" s="149"/>
      <c r="ELX22" s="149"/>
      <c r="ELY22" s="149"/>
      <c r="ELZ22" s="149"/>
      <c r="EMC22" s="149"/>
      <c r="EMD22" s="149"/>
      <c r="EME22" s="149"/>
      <c r="EMF22" s="149"/>
      <c r="EMG22" s="149"/>
      <c r="EMH22" s="149"/>
      <c r="EMK22" s="149"/>
      <c r="EML22" s="149"/>
      <c r="EMM22" s="149"/>
      <c r="EMN22" s="149"/>
      <c r="EMO22" s="149"/>
      <c r="EMP22" s="149"/>
      <c r="EMS22" s="149"/>
      <c r="EMT22" s="149"/>
      <c r="EMU22" s="149"/>
      <c r="EMV22" s="149"/>
      <c r="EMW22" s="149"/>
      <c r="EMX22" s="149"/>
      <c r="ENA22" s="149"/>
      <c r="ENB22" s="149"/>
      <c r="ENC22" s="149"/>
      <c r="END22" s="149"/>
      <c r="ENE22" s="149"/>
      <c r="ENF22" s="149"/>
      <c r="ENI22" s="149"/>
      <c r="ENJ22" s="149"/>
      <c r="ENK22" s="149"/>
      <c r="ENL22" s="149"/>
      <c r="ENM22" s="149"/>
      <c r="ENN22" s="149"/>
      <c r="ENQ22" s="149"/>
      <c r="ENR22" s="149"/>
      <c r="ENS22" s="149"/>
      <c r="ENT22" s="149"/>
      <c r="ENU22" s="149"/>
      <c r="ENV22" s="149"/>
      <c r="ENY22" s="149"/>
      <c r="ENZ22" s="149"/>
      <c r="EOA22" s="149"/>
      <c r="EOB22" s="149"/>
      <c r="EOC22" s="149"/>
      <c r="EOD22" s="149"/>
      <c r="EOG22" s="149"/>
      <c r="EOH22" s="149"/>
      <c r="EOI22" s="149"/>
      <c r="EOJ22" s="149"/>
      <c r="EOK22" s="149"/>
      <c r="EOL22" s="149"/>
      <c r="EOM22" s="149"/>
      <c r="EOO22" s="149"/>
      <c r="EOP22" s="149"/>
      <c r="EOQ22" s="149"/>
      <c r="EOR22" s="149"/>
      <c r="EOS22" s="149"/>
      <c r="EOT22" s="149"/>
      <c r="EOW22" s="149"/>
      <c r="EOX22" s="149"/>
      <c r="EOY22" s="149"/>
      <c r="EOZ22" s="149"/>
      <c r="EPA22" s="149"/>
      <c r="EPB22" s="149"/>
      <c r="EPE22" s="149"/>
      <c r="EPF22" s="149"/>
      <c r="EPG22" s="149"/>
      <c r="EPH22" s="149"/>
      <c r="EPI22" s="149"/>
      <c r="EPJ22" s="149"/>
      <c r="EPM22" s="149"/>
      <c r="EPN22" s="149"/>
      <c r="EPO22" s="149"/>
      <c r="EPP22" s="149"/>
      <c r="EPQ22" s="149"/>
      <c r="EPR22" s="149"/>
      <c r="EPU22" s="149"/>
      <c r="EPV22" s="149"/>
      <c r="EPW22" s="149"/>
      <c r="EPX22" s="149"/>
      <c r="EPY22" s="149"/>
      <c r="EPZ22" s="149"/>
      <c r="EQC22" s="149"/>
      <c r="EQD22" s="149"/>
      <c r="EQE22" s="149"/>
      <c r="EQF22" s="149"/>
      <c r="EQG22" s="149"/>
      <c r="EQH22" s="149"/>
      <c r="EQK22" s="149"/>
      <c r="EQL22" s="149"/>
      <c r="EQM22" s="149"/>
      <c r="EQN22" s="149"/>
      <c r="EQO22" s="149"/>
      <c r="EQP22" s="149"/>
      <c r="EQS22" s="1"/>
      <c r="EQT22" s="1"/>
      <c r="EQU22" s="1"/>
      <c r="EQV22" s="1"/>
      <c r="EQW22" s="1"/>
      <c r="EQX22" s="1"/>
      <c r="ERA22" s="149"/>
      <c r="ERB22" s="149"/>
      <c r="ERC22" s="149"/>
      <c r="ERD22" s="149"/>
      <c r="ERE22" s="149"/>
      <c r="ERF22" s="149"/>
      <c r="ERI22" s="149"/>
      <c r="ERJ22" s="149"/>
      <c r="ERK22" s="149"/>
      <c r="ERL22" s="149"/>
      <c r="ERM22" s="149"/>
      <c r="ERN22" s="149"/>
      <c r="ERQ22" s="149"/>
      <c r="ERR22" s="149"/>
      <c r="ERS22" s="149"/>
      <c r="ERT22" s="149"/>
      <c r="ERU22" s="149"/>
      <c r="ERV22" s="149"/>
      <c r="ERY22" s="149"/>
      <c r="ERZ22" s="149"/>
      <c r="ESA22" s="149"/>
      <c r="ESB22" s="149"/>
      <c r="ESC22" s="149"/>
      <c r="ESD22" s="149"/>
      <c r="ESG22" s="149"/>
      <c r="ESH22" s="149"/>
      <c r="ESI22" s="149"/>
      <c r="ESJ22" s="149"/>
      <c r="ESK22" s="149"/>
      <c r="ESL22" s="149"/>
      <c r="ESO22" s="152"/>
      <c r="ESP22" s="152"/>
      <c r="ESQ22" s="152"/>
      <c r="ESR22" s="152"/>
      <c r="ESS22" s="152"/>
      <c r="EST22" s="152"/>
      <c r="ESW22" s="149"/>
      <c r="ESX22" s="149"/>
      <c r="ESY22" s="149"/>
      <c r="ESZ22" s="149"/>
      <c r="ETA22" s="149"/>
      <c r="ETB22" s="149"/>
      <c r="ETE22" s="149"/>
      <c r="ETF22" s="149"/>
      <c r="ETG22" s="149"/>
      <c r="ETH22" s="149"/>
      <c r="ETI22" s="149"/>
      <c r="ETJ22" s="149"/>
      <c r="ETM22" s="833"/>
      <c r="ETN22" s="833"/>
      <c r="ETO22" s="833"/>
      <c r="ETP22" s="833"/>
      <c r="ETQ22" s="833"/>
      <c r="ETR22" s="833"/>
      <c r="ETU22" s="152"/>
      <c r="ETV22" s="152"/>
      <c r="ETW22" s="152"/>
      <c r="ETX22" s="152"/>
      <c r="ETY22" s="152"/>
      <c r="ETZ22" s="152"/>
      <c r="EUC22" s="152"/>
      <c r="EUD22" s="152"/>
      <c r="EUE22" s="152"/>
      <c r="EUF22" s="152"/>
      <c r="EUG22" s="152"/>
      <c r="EUH22" s="152"/>
      <c r="EUK22" s="149"/>
      <c r="EUL22" s="149"/>
      <c r="EUM22" s="149"/>
      <c r="EUN22" s="149"/>
      <c r="EUO22" s="149"/>
      <c r="EUP22" s="149"/>
      <c r="EUS22" s="149"/>
      <c r="EUT22" s="149"/>
      <c r="EUU22" s="149"/>
      <c r="EUV22" s="149"/>
      <c r="EUW22" s="149"/>
      <c r="EUX22" s="149"/>
      <c r="EVA22" s="149"/>
      <c r="EVB22" s="149"/>
      <c r="EVC22" s="149"/>
      <c r="EVD22" s="149"/>
      <c r="EVE22" s="149"/>
      <c r="EVF22" s="149"/>
      <c r="EVI22" s="149"/>
      <c r="EVJ22" s="149"/>
      <c r="EVK22" s="149"/>
      <c r="EVL22" s="149"/>
      <c r="EVM22" s="149"/>
      <c r="EVN22" s="149"/>
      <c r="EVQ22" s="149"/>
      <c r="EVR22" s="149"/>
      <c r="EVS22" s="149"/>
      <c r="EVT22" s="149"/>
      <c r="EVU22" s="149"/>
      <c r="EVV22" s="149"/>
      <c r="EVY22" s="149"/>
      <c r="EVZ22" s="149"/>
      <c r="EWA22" s="149"/>
      <c r="EWB22" s="149"/>
      <c r="EWC22" s="149"/>
      <c r="EWD22" s="149"/>
      <c r="EWG22" s="149"/>
      <c r="EWH22" s="149"/>
      <c r="EWI22" s="149"/>
      <c r="EWJ22" s="149"/>
      <c r="EWK22" s="149"/>
      <c r="EWL22" s="149"/>
      <c r="EWO22" s="149"/>
      <c r="EWP22" s="149"/>
      <c r="EWQ22" s="149"/>
      <c r="EWR22" s="149"/>
      <c r="EWS22" s="149"/>
      <c r="EWT22" s="149"/>
      <c r="EWW22" s="149"/>
      <c r="EWX22" s="149"/>
      <c r="EWY22" s="149"/>
      <c r="EWZ22" s="149"/>
      <c r="EXA22" s="149"/>
      <c r="EXB22" s="149"/>
      <c r="EXE22" s="149"/>
      <c r="EXF22" s="149"/>
      <c r="EXG22" s="149"/>
      <c r="EXH22" s="149"/>
      <c r="EXI22" s="149"/>
      <c r="EXJ22" s="149"/>
      <c r="EXM22" s="152"/>
      <c r="EXN22" s="152"/>
      <c r="EXO22" s="152"/>
      <c r="EXP22" s="152"/>
      <c r="EXQ22" s="152"/>
      <c r="EXR22" s="152"/>
      <c r="EXU22" s="149"/>
      <c r="EXV22" s="149"/>
      <c r="EXW22" s="149"/>
      <c r="EXX22" s="149"/>
      <c r="EXY22" s="149"/>
      <c r="EXZ22" s="149"/>
      <c r="EYC22" s="149"/>
      <c r="EYD22" s="149"/>
      <c r="EYE22" s="149"/>
      <c r="EYF22" s="149"/>
      <c r="EYG22" s="149"/>
      <c r="EYH22" s="149"/>
      <c r="EYK22" s="149"/>
      <c r="EYL22" s="149"/>
      <c r="EYM22" s="149"/>
      <c r="EYN22" s="149"/>
      <c r="EYO22" s="149"/>
      <c r="EYP22" s="149"/>
      <c r="EYS22" s="149"/>
      <c r="EYT22" s="149"/>
      <c r="EYU22" s="149"/>
      <c r="EYV22" s="149"/>
      <c r="EYW22" s="149"/>
      <c r="EYX22" s="149"/>
      <c r="EZA22" s="149"/>
      <c r="EZB22" s="149"/>
      <c r="EZC22" s="149"/>
      <c r="EZD22" s="149"/>
      <c r="EZE22" s="149"/>
      <c r="EZF22" s="149"/>
      <c r="EZI22" s="149"/>
      <c r="EZJ22" s="149"/>
      <c r="EZK22" s="149"/>
      <c r="EZL22" s="149"/>
      <c r="EZM22" s="149"/>
      <c r="EZN22" s="149"/>
    </row>
    <row r="23" spans="1:4072" x14ac:dyDescent="0.2">
      <c r="A23" s="12" t="s">
        <v>25</v>
      </c>
      <c r="B23" s="12"/>
      <c r="C23" s="25"/>
      <c r="X23" s="2"/>
    </row>
    <row r="24" spans="1:4072" ht="12" customHeight="1" x14ac:dyDescent="0.2">
      <c r="A24" s="306" t="s">
        <v>267</v>
      </c>
      <c r="B24" s="306"/>
      <c r="C24" s="25"/>
      <c r="X24" s="2"/>
      <c r="Y24" s="2"/>
      <c r="Z24" s="2"/>
      <c r="AA24" s="2"/>
      <c r="AB24" s="2"/>
      <c r="AC24" s="656"/>
    </row>
    <row r="25" spans="1:4072" x14ac:dyDescent="0.2">
      <c r="A25" s="306" t="s">
        <v>268</v>
      </c>
      <c r="B25" s="306"/>
      <c r="C25" s="25"/>
      <c r="X25" s="2"/>
      <c r="Y25" s="2"/>
      <c r="Z25" s="2"/>
      <c r="AA25" s="2"/>
      <c r="AB25" s="10"/>
      <c r="AC25" s="654"/>
    </row>
    <row r="26" spans="1:4072" x14ac:dyDescent="0.2">
      <c r="C26" s="12"/>
      <c r="X26" s="13"/>
      <c r="AA26" s="13"/>
      <c r="AB26" s="10"/>
      <c r="AC26" s="654"/>
    </row>
    <row r="27" spans="1:4072" s="5" customFormat="1" ht="25.5" customHeight="1" x14ac:dyDescent="0.2">
      <c r="A27" s="1001" t="s">
        <v>273</v>
      </c>
      <c r="B27" s="1002"/>
      <c r="C27" s="1002"/>
      <c r="D27" s="1002"/>
      <c r="E27" s="1002"/>
      <c r="F27" s="1002"/>
      <c r="G27" s="1002"/>
      <c r="H27" s="1002"/>
      <c r="I27" s="1002"/>
      <c r="J27" s="1002"/>
      <c r="K27" s="1002"/>
      <c r="L27" s="1002"/>
      <c r="M27" s="1003"/>
      <c r="N27" s="955" t="s">
        <v>252</v>
      </c>
      <c r="O27" s="956"/>
      <c r="P27" s="972" t="s">
        <v>255</v>
      </c>
      <c r="Q27" s="973"/>
      <c r="R27" s="973"/>
      <c r="S27" s="973"/>
      <c r="T27" s="973"/>
      <c r="U27" s="992" t="s">
        <v>260</v>
      </c>
      <c r="V27" s="995" t="s">
        <v>259</v>
      </c>
      <c r="W27" s="998" t="s">
        <v>265</v>
      </c>
      <c r="X27" s="982" t="s">
        <v>262</v>
      </c>
      <c r="Y27" s="979" t="s">
        <v>1</v>
      </c>
      <c r="Z27" s="980"/>
      <c r="AA27" s="980"/>
      <c r="AB27" s="981"/>
      <c r="AC27" s="1007" t="s">
        <v>329</v>
      </c>
      <c r="HN27" s="78"/>
      <c r="HO27" s="78"/>
      <c r="HP27" s="78"/>
      <c r="HQ27" s="78"/>
      <c r="HR27" s="78"/>
      <c r="HS27" s="78"/>
      <c r="WA27" s="59"/>
      <c r="WB27" s="59"/>
      <c r="WC27" s="59"/>
      <c r="WD27" s="59"/>
      <c r="WE27" s="59"/>
      <c r="WF27" s="59"/>
      <c r="WG27" s="59"/>
      <c r="WH27" s="59"/>
      <c r="ANX27" s="78"/>
      <c r="ANY27" s="78"/>
      <c r="ANZ27" s="78"/>
      <c r="AOA27" s="78"/>
      <c r="AOB27" s="78"/>
      <c r="AOC27" s="78"/>
      <c r="AZX27" s="78"/>
      <c r="AZY27" s="78"/>
      <c r="AZZ27" s="78"/>
      <c r="BAA27" s="78"/>
      <c r="BAB27" s="78"/>
      <c r="BAC27" s="78"/>
      <c r="BEV27" s="78"/>
      <c r="BEW27" s="78"/>
      <c r="BEX27" s="78"/>
      <c r="BEY27" s="78"/>
      <c r="BEZ27" s="78"/>
      <c r="BFA27" s="78"/>
      <c r="CQJ27" s="78"/>
      <c r="CQK27" s="78"/>
      <c r="CQL27" s="78"/>
      <c r="CQM27" s="78"/>
      <c r="CQN27" s="78"/>
      <c r="CQO27" s="78"/>
      <c r="DQM27" s="59"/>
      <c r="DSB27" s="78"/>
      <c r="DSC27" s="78"/>
      <c r="DSD27" s="78"/>
      <c r="DSE27" s="78"/>
      <c r="DSF27" s="78"/>
      <c r="DSG27" s="78"/>
      <c r="EKV27" s="454"/>
      <c r="ESO27" s="78"/>
      <c r="ESP27" s="78"/>
      <c r="ESQ27" s="78"/>
      <c r="ESR27" s="78"/>
      <c r="ESS27" s="78"/>
      <c r="EST27" s="78"/>
      <c r="ETM27" s="833"/>
      <c r="ETN27" s="833"/>
      <c r="ETO27" s="833"/>
      <c r="ETP27" s="833"/>
      <c r="ETQ27" s="833"/>
      <c r="ETR27" s="833"/>
      <c r="ETU27" s="78"/>
      <c r="ETV27" s="78"/>
      <c r="ETW27" s="78"/>
      <c r="ETX27" s="78"/>
      <c r="ETY27" s="78"/>
      <c r="ETZ27" s="78"/>
      <c r="EUC27" s="78"/>
      <c r="EUD27" s="78"/>
      <c r="EUE27" s="78"/>
      <c r="EUF27" s="78"/>
      <c r="EUG27" s="78"/>
      <c r="EUH27" s="78"/>
      <c r="EXM27" s="78"/>
      <c r="EXN27" s="78"/>
      <c r="EXO27" s="78"/>
      <c r="EXP27" s="78"/>
      <c r="EXQ27" s="78"/>
      <c r="EXR27" s="78"/>
    </row>
    <row r="28" spans="1:4072" s="6" customFormat="1" ht="25.5" customHeight="1" thickBot="1" x14ac:dyDescent="0.25">
      <c r="A28" s="982" t="s">
        <v>248</v>
      </c>
      <c r="B28" s="995" t="s">
        <v>249</v>
      </c>
      <c r="C28" s="984" t="s">
        <v>250</v>
      </c>
      <c r="D28" s="982" t="s">
        <v>251</v>
      </c>
      <c r="E28" s="913" t="s">
        <v>232</v>
      </c>
      <c r="F28" s="914"/>
      <c r="G28" s="913" t="s">
        <v>233</v>
      </c>
      <c r="H28" s="914"/>
      <c r="I28" s="913" t="s">
        <v>234</v>
      </c>
      <c r="J28" s="914"/>
      <c r="K28" s="986" t="s">
        <v>235</v>
      </c>
      <c r="L28" s="987"/>
      <c r="M28" s="988"/>
      <c r="N28" s="939" t="s">
        <v>254</v>
      </c>
      <c r="O28" s="939" t="s">
        <v>253</v>
      </c>
      <c r="P28" s="937" t="s">
        <v>256</v>
      </c>
      <c r="Q28" s="937" t="s">
        <v>253</v>
      </c>
      <c r="R28" s="974" t="s">
        <v>257</v>
      </c>
      <c r="S28" s="316"/>
      <c r="T28" s="976" t="s">
        <v>258</v>
      </c>
      <c r="U28" s="993"/>
      <c r="V28" s="996"/>
      <c r="W28" s="999"/>
      <c r="X28" s="983"/>
      <c r="Y28" s="989" t="s">
        <v>10</v>
      </c>
      <c r="Z28" s="989" t="s">
        <v>11</v>
      </c>
      <c r="AA28" s="989" t="s">
        <v>12</v>
      </c>
      <c r="AB28" s="989" t="s">
        <v>18</v>
      </c>
      <c r="AC28" s="1007"/>
      <c r="HN28" s="79"/>
      <c r="HO28" s="79"/>
      <c r="HP28" s="79"/>
      <c r="HQ28" s="79"/>
      <c r="HR28" s="79"/>
      <c r="HS28" s="79"/>
      <c r="VC28" s="97"/>
      <c r="VD28" s="97"/>
      <c r="VE28" s="97"/>
      <c r="VF28" s="97"/>
      <c r="VG28" s="97"/>
      <c r="VH28" s="97"/>
      <c r="WA28" s="32"/>
      <c r="WB28" s="32"/>
      <c r="WC28" s="32"/>
      <c r="WD28" s="32"/>
      <c r="WE28" s="32"/>
      <c r="WF28" s="32"/>
      <c r="WG28" s="32"/>
      <c r="WH28" s="32"/>
      <c r="ZA28" s="97"/>
      <c r="ZB28" s="97"/>
      <c r="ZC28" s="97"/>
      <c r="ZD28" s="97"/>
      <c r="ZE28" s="97"/>
      <c r="ZF28" s="97"/>
      <c r="ZQ28" s="97"/>
      <c r="ZR28" s="97"/>
      <c r="ZS28" s="97"/>
      <c r="ZT28" s="97"/>
      <c r="ZU28" s="97"/>
      <c r="ZV28" s="97"/>
      <c r="ZW28" s="97"/>
      <c r="AIR28" s="97"/>
      <c r="AIS28" s="97"/>
      <c r="AIT28" s="97"/>
      <c r="AIU28" s="97"/>
      <c r="AIV28" s="97"/>
      <c r="AIW28" s="97"/>
      <c r="ANX28" s="79"/>
      <c r="ANY28" s="79"/>
      <c r="ANZ28" s="79"/>
      <c r="AOA28" s="79"/>
      <c r="AOB28" s="79"/>
      <c r="AOC28" s="79"/>
      <c r="AZX28" s="79"/>
      <c r="AZY28" s="79"/>
      <c r="AZZ28" s="79"/>
      <c r="BAA28" s="79"/>
      <c r="BAB28" s="79"/>
      <c r="BAC28" s="79"/>
      <c r="BEV28" s="79"/>
      <c r="BEW28" s="79"/>
      <c r="BEX28" s="79"/>
      <c r="BEY28" s="79"/>
      <c r="BEZ28" s="79"/>
      <c r="BFA28" s="79"/>
      <c r="CGU28" s="44">
        <v>6</v>
      </c>
      <c r="CJG28" s="44">
        <v>6</v>
      </c>
      <c r="CQJ28" s="79"/>
      <c r="CQK28" s="79"/>
      <c r="CQL28" s="79"/>
      <c r="CQM28" s="79"/>
      <c r="CQN28" s="79"/>
      <c r="CQO28" s="79"/>
      <c r="DLX28" s="97"/>
      <c r="DLY28" s="97"/>
      <c r="DLZ28" s="97"/>
      <c r="DMA28" s="97"/>
      <c r="DMB28" s="97"/>
      <c r="DMC28" s="97"/>
      <c r="DOZ28" s="97"/>
      <c r="DPA28" s="97"/>
      <c r="DPB28" s="97"/>
      <c r="DPC28" s="97"/>
      <c r="DPD28" s="97"/>
      <c r="DPE28" s="97"/>
      <c r="DPF28" s="97"/>
      <c r="DPG28" s="97"/>
      <c r="DQM28" s="32"/>
      <c r="DSA28" s="97"/>
      <c r="DSB28" s="79"/>
      <c r="DSC28" s="79"/>
      <c r="DSD28" s="79"/>
      <c r="DSE28" s="79"/>
      <c r="DSF28" s="79"/>
      <c r="DSG28" s="79"/>
      <c r="DWY28" s="44">
        <v>6</v>
      </c>
      <c r="DXP28" s="97"/>
      <c r="DXQ28" s="97"/>
      <c r="DXR28" s="97"/>
      <c r="DXS28" s="97"/>
      <c r="DXT28" s="97"/>
      <c r="DZD28" s="97"/>
      <c r="DZE28" s="97"/>
      <c r="DZF28" s="97"/>
      <c r="DZG28" s="97"/>
      <c r="DZH28" s="97"/>
      <c r="DZI28" s="97"/>
      <c r="EAJ28" s="97"/>
      <c r="EAK28" s="97"/>
      <c r="EAL28" s="97"/>
      <c r="EAM28" s="97"/>
      <c r="EAN28" s="97"/>
      <c r="EAO28" s="97"/>
      <c r="EAQ28" s="44">
        <v>6</v>
      </c>
      <c r="EDL28" s="97"/>
      <c r="EDM28" s="97"/>
      <c r="EDN28" s="97"/>
      <c r="EDO28" s="97"/>
      <c r="EDP28" s="97"/>
      <c r="EDQ28" s="97"/>
      <c r="EGU28" s="44">
        <v>6</v>
      </c>
      <c r="EKV28" s="567"/>
      <c r="EKW28" s="97"/>
      <c r="EKX28" s="97"/>
      <c r="EKY28" s="97"/>
      <c r="EKZ28" s="97"/>
      <c r="ELA28" s="97"/>
      <c r="ELB28" s="97"/>
      <c r="EQS28" s="97"/>
      <c r="EQT28" s="97"/>
      <c r="EQU28" s="97"/>
      <c r="EQV28" s="97"/>
      <c r="EQW28" s="97"/>
      <c r="EQX28" s="97"/>
      <c r="ESO28" s="79"/>
      <c r="ESP28" s="79"/>
      <c r="ESQ28" s="79"/>
      <c r="ESR28" s="79"/>
      <c r="ESS28" s="79"/>
      <c r="EST28" s="79"/>
      <c r="ETM28" s="837"/>
      <c r="ETN28" s="837"/>
      <c r="ETO28" s="837"/>
      <c r="ETP28" s="837"/>
      <c r="ETQ28" s="837"/>
      <c r="ETR28" s="837"/>
      <c r="ETU28" s="79"/>
      <c r="ETV28" s="79"/>
      <c r="ETW28" s="79"/>
      <c r="ETX28" s="79"/>
      <c r="ETY28" s="79"/>
      <c r="ETZ28" s="79"/>
      <c r="EUC28" s="79"/>
      <c r="EUD28" s="79"/>
      <c r="EUE28" s="79"/>
      <c r="EUF28" s="79"/>
      <c r="EUG28" s="79"/>
      <c r="EUH28" s="79"/>
      <c r="EWN28" s="44">
        <v>6</v>
      </c>
      <c r="EXM28" s="79"/>
      <c r="EXN28" s="79"/>
      <c r="EXO28" s="79"/>
      <c r="EXP28" s="79"/>
      <c r="EXQ28" s="79"/>
      <c r="EXR28" s="79"/>
      <c r="EYZ28" s="44">
        <v>6</v>
      </c>
    </row>
    <row r="29" spans="1:4072" s="6" customFormat="1" ht="51.75" customHeight="1" thickBot="1" x14ac:dyDescent="0.25">
      <c r="A29" s="983"/>
      <c r="B29" s="1004"/>
      <c r="C29" s="985"/>
      <c r="D29" s="983"/>
      <c r="E29" s="739" t="s">
        <v>236</v>
      </c>
      <c r="F29" s="740" t="s">
        <v>237</v>
      </c>
      <c r="G29" s="739" t="s">
        <v>236</v>
      </c>
      <c r="H29" s="740" t="s">
        <v>237</v>
      </c>
      <c r="I29" s="739" t="s">
        <v>236</v>
      </c>
      <c r="J29" s="740" t="s">
        <v>237</v>
      </c>
      <c r="K29" s="739" t="s">
        <v>236</v>
      </c>
      <c r="L29" s="740" t="s">
        <v>237</v>
      </c>
      <c r="M29" s="741" t="s">
        <v>238</v>
      </c>
      <c r="N29" s="940"/>
      <c r="O29" s="940"/>
      <c r="P29" s="938"/>
      <c r="Q29" s="938"/>
      <c r="R29" s="975"/>
      <c r="S29" s="316"/>
      <c r="T29" s="976"/>
      <c r="U29" s="994"/>
      <c r="V29" s="997"/>
      <c r="W29" s="1000"/>
      <c r="X29" s="983"/>
      <c r="Y29" s="990"/>
      <c r="Z29" s="991"/>
      <c r="AA29" s="991"/>
      <c r="AB29" s="991"/>
      <c r="AC29" s="1007"/>
      <c r="AD29" s="647">
        <v>26</v>
      </c>
      <c r="AE29" s="46">
        <v>27</v>
      </c>
      <c r="AF29" s="46">
        <v>28</v>
      </c>
      <c r="AG29" s="46">
        <v>29</v>
      </c>
      <c r="AH29" s="46">
        <v>30</v>
      </c>
      <c r="AI29" s="46">
        <v>31</v>
      </c>
      <c r="AJ29" s="135" t="s">
        <v>22</v>
      </c>
      <c r="AK29" s="136" t="s">
        <v>23</v>
      </c>
      <c r="AL29" s="56">
        <v>1</v>
      </c>
      <c r="AM29" s="57">
        <v>2</v>
      </c>
      <c r="AN29" s="57">
        <v>3</v>
      </c>
      <c r="AO29" s="57">
        <v>4</v>
      </c>
      <c r="AP29" s="57">
        <v>5</v>
      </c>
      <c r="AQ29" s="57">
        <v>6</v>
      </c>
      <c r="AR29" s="135" t="s">
        <v>22</v>
      </c>
      <c r="AS29" s="136" t="s">
        <v>23</v>
      </c>
      <c r="AT29" s="45">
        <v>7</v>
      </c>
      <c r="AU29" s="46">
        <v>8</v>
      </c>
      <c r="AV29" s="46">
        <v>9</v>
      </c>
      <c r="AW29" s="46">
        <v>10</v>
      </c>
      <c r="AX29" s="46">
        <v>11</v>
      </c>
      <c r="AY29" s="46">
        <v>12</v>
      </c>
      <c r="AZ29" s="135" t="s">
        <v>22</v>
      </c>
      <c r="BA29" s="136" t="s">
        <v>23</v>
      </c>
      <c r="BB29" s="45">
        <v>13</v>
      </c>
      <c r="BC29" s="46">
        <v>14</v>
      </c>
      <c r="BD29" s="46">
        <v>15</v>
      </c>
      <c r="BE29" s="46">
        <v>16</v>
      </c>
      <c r="BF29" s="46">
        <v>17</v>
      </c>
      <c r="BG29" s="46">
        <v>18</v>
      </c>
      <c r="BH29" s="135" t="s">
        <v>22</v>
      </c>
      <c r="BI29" s="136" t="s">
        <v>23</v>
      </c>
      <c r="BJ29" s="45">
        <v>19</v>
      </c>
      <c r="BK29" s="46">
        <v>20</v>
      </c>
      <c r="BL29" s="46">
        <v>21</v>
      </c>
      <c r="BM29" s="46">
        <v>22</v>
      </c>
      <c r="BN29" s="46">
        <v>23</v>
      </c>
      <c r="BO29" s="46">
        <v>24</v>
      </c>
      <c r="BP29" s="135" t="s">
        <v>22</v>
      </c>
      <c r="BQ29" s="136" t="s">
        <v>23</v>
      </c>
      <c r="BR29" s="45">
        <v>25</v>
      </c>
      <c r="BS29" s="46">
        <v>26</v>
      </c>
      <c r="BT29" s="46">
        <v>1</v>
      </c>
      <c r="BU29" s="46">
        <v>2</v>
      </c>
      <c r="BV29" s="46">
        <v>3</v>
      </c>
      <c r="BW29" s="46">
        <v>4</v>
      </c>
      <c r="BX29" s="135" t="s">
        <v>22</v>
      </c>
      <c r="BY29" s="136" t="s">
        <v>23</v>
      </c>
      <c r="BZ29" s="45">
        <v>5</v>
      </c>
      <c r="CA29" s="45">
        <v>6</v>
      </c>
      <c r="CB29" s="45">
        <v>7</v>
      </c>
      <c r="CC29" s="45">
        <v>8</v>
      </c>
      <c r="CD29" s="45">
        <v>9</v>
      </c>
      <c r="CE29" s="45">
        <v>10</v>
      </c>
      <c r="CF29" s="135" t="s">
        <v>22</v>
      </c>
      <c r="CG29" s="136" t="s">
        <v>23</v>
      </c>
      <c r="CH29" s="45">
        <v>11</v>
      </c>
      <c r="CI29" s="46">
        <v>13</v>
      </c>
      <c r="CJ29" s="46">
        <v>14</v>
      </c>
      <c r="CK29" s="46">
        <v>15</v>
      </c>
      <c r="CL29" s="46">
        <v>16</v>
      </c>
      <c r="CM29" s="46">
        <v>17</v>
      </c>
      <c r="CN29" s="135" t="s">
        <v>22</v>
      </c>
      <c r="CO29" s="136" t="s">
        <v>23</v>
      </c>
      <c r="CP29" s="45">
        <v>18</v>
      </c>
      <c r="CQ29" s="46">
        <v>19</v>
      </c>
      <c r="CR29" s="46">
        <v>20</v>
      </c>
      <c r="CS29" s="46">
        <v>21</v>
      </c>
      <c r="CT29" s="46">
        <v>22</v>
      </c>
      <c r="CU29" s="46">
        <v>23</v>
      </c>
      <c r="CV29" s="135" t="s">
        <v>22</v>
      </c>
      <c r="CW29" s="136" t="s">
        <v>23</v>
      </c>
      <c r="CX29" s="45">
        <v>24</v>
      </c>
      <c r="CY29" s="46">
        <v>25</v>
      </c>
      <c r="CZ29" s="46">
        <v>26</v>
      </c>
      <c r="DA29" s="46">
        <v>27</v>
      </c>
      <c r="DB29" s="46">
        <v>28</v>
      </c>
      <c r="DC29" s="46">
        <v>29</v>
      </c>
      <c r="DD29" s="135" t="s">
        <v>22</v>
      </c>
      <c r="DE29" s="136" t="s">
        <v>23</v>
      </c>
      <c r="DF29" s="45">
        <v>3</v>
      </c>
      <c r="DG29" s="46">
        <v>4</v>
      </c>
      <c r="DH29" s="46">
        <v>5</v>
      </c>
      <c r="DI29" s="46">
        <v>6</v>
      </c>
      <c r="DJ29" s="46">
        <v>7</v>
      </c>
      <c r="DK29" s="46">
        <v>8</v>
      </c>
      <c r="DL29" s="135" t="s">
        <v>22</v>
      </c>
      <c r="DM29" s="136" t="s">
        <v>23</v>
      </c>
      <c r="DN29" s="45">
        <v>10</v>
      </c>
      <c r="DO29" s="46">
        <v>11</v>
      </c>
      <c r="DP29" s="46">
        <v>12</v>
      </c>
      <c r="DQ29" s="46">
        <v>13</v>
      </c>
      <c r="DR29" s="46">
        <v>14</v>
      </c>
      <c r="DS29" s="46">
        <v>15</v>
      </c>
      <c r="DT29" s="135" t="s">
        <v>22</v>
      </c>
      <c r="DU29" s="136" t="s">
        <v>23</v>
      </c>
      <c r="DV29" s="45">
        <v>16</v>
      </c>
      <c r="DW29" s="46">
        <v>17</v>
      </c>
      <c r="DX29" s="46">
        <v>18</v>
      </c>
      <c r="DY29" s="46">
        <v>19</v>
      </c>
      <c r="DZ29" s="46">
        <v>20</v>
      </c>
      <c r="EA29" s="46">
        <v>21</v>
      </c>
      <c r="EB29" s="135" t="s">
        <v>22</v>
      </c>
      <c r="EC29" s="136" t="s">
        <v>23</v>
      </c>
      <c r="ED29" s="71">
        <v>23</v>
      </c>
      <c r="EE29" s="71">
        <v>24</v>
      </c>
      <c r="EF29" s="71">
        <v>25</v>
      </c>
      <c r="EG29" s="71">
        <v>26</v>
      </c>
      <c r="EH29" s="71">
        <v>27</v>
      </c>
      <c r="EI29" s="71">
        <v>28</v>
      </c>
      <c r="EJ29" s="139" t="s">
        <v>22</v>
      </c>
      <c r="EK29" s="140" t="s">
        <v>23</v>
      </c>
      <c r="EL29" s="45">
        <v>29</v>
      </c>
      <c r="EM29" s="46">
        <v>30</v>
      </c>
      <c r="EN29" s="46">
        <v>31</v>
      </c>
      <c r="EO29" s="46">
        <v>1</v>
      </c>
      <c r="EP29" s="46">
        <v>2</v>
      </c>
      <c r="EQ29" s="46">
        <v>3</v>
      </c>
      <c r="ER29" s="135" t="s">
        <v>22</v>
      </c>
      <c r="ES29" s="136" t="s">
        <v>23</v>
      </c>
      <c r="ET29" s="45">
        <v>4</v>
      </c>
      <c r="EU29" s="46">
        <v>5</v>
      </c>
      <c r="EV29" s="46">
        <v>6</v>
      </c>
      <c r="EW29" s="46">
        <v>7</v>
      </c>
      <c r="EX29" s="46">
        <v>8</v>
      </c>
      <c r="EY29" s="46">
        <v>9</v>
      </c>
      <c r="EZ29" s="135" t="s">
        <v>22</v>
      </c>
      <c r="FA29" s="136" t="s">
        <v>23</v>
      </c>
      <c r="FB29" s="45">
        <v>11</v>
      </c>
      <c r="FC29" s="46">
        <v>12</v>
      </c>
      <c r="FD29" s="46">
        <v>13</v>
      </c>
      <c r="FE29" s="46">
        <v>14</v>
      </c>
      <c r="FF29" s="46">
        <v>15</v>
      </c>
      <c r="FG29" s="46">
        <v>16</v>
      </c>
      <c r="FH29" s="135" t="s">
        <v>22</v>
      </c>
      <c r="FI29" s="136" t="s">
        <v>23</v>
      </c>
      <c r="FJ29" s="45">
        <v>17</v>
      </c>
      <c r="FK29" s="46">
        <v>18</v>
      </c>
      <c r="FL29" s="46">
        <v>19</v>
      </c>
      <c r="FM29" s="46">
        <v>20</v>
      </c>
      <c r="FN29" s="46">
        <v>21</v>
      </c>
      <c r="FO29" s="46">
        <v>22</v>
      </c>
      <c r="FP29" s="135" t="s">
        <v>22</v>
      </c>
      <c r="FQ29" s="136" t="s">
        <v>23</v>
      </c>
      <c r="FR29" s="45">
        <v>24</v>
      </c>
      <c r="FS29" s="46">
        <v>25</v>
      </c>
      <c r="FT29" s="46">
        <v>26</v>
      </c>
      <c r="FU29" s="46">
        <v>27</v>
      </c>
      <c r="FV29" s="46">
        <v>28</v>
      </c>
      <c r="FW29" s="46">
        <v>29</v>
      </c>
      <c r="FX29" s="135" t="s">
        <v>22</v>
      </c>
      <c r="FY29" s="136" t="s">
        <v>23</v>
      </c>
      <c r="FZ29" s="45">
        <v>29</v>
      </c>
      <c r="GA29" s="46">
        <v>2</v>
      </c>
      <c r="GB29" s="46">
        <v>3</v>
      </c>
      <c r="GC29" s="46">
        <v>4</v>
      </c>
      <c r="GD29" s="46">
        <v>5</v>
      </c>
      <c r="GE29" s="46">
        <v>6</v>
      </c>
      <c r="GF29" s="135" t="s">
        <v>22</v>
      </c>
      <c r="GG29" s="136" t="s">
        <v>23</v>
      </c>
      <c r="GH29" s="45">
        <v>7</v>
      </c>
      <c r="GI29" s="46">
        <v>8</v>
      </c>
      <c r="GJ29" s="46">
        <v>9</v>
      </c>
      <c r="GK29" s="46">
        <v>10</v>
      </c>
      <c r="GL29" s="46">
        <v>11</v>
      </c>
      <c r="GM29" s="46">
        <v>12</v>
      </c>
      <c r="GN29" s="135" t="s">
        <v>22</v>
      </c>
      <c r="GO29" s="136" t="s">
        <v>23</v>
      </c>
      <c r="GP29" s="45">
        <v>13</v>
      </c>
      <c r="GQ29" s="46">
        <v>14</v>
      </c>
      <c r="GR29" s="46">
        <v>15</v>
      </c>
      <c r="GS29" s="46">
        <v>16</v>
      </c>
      <c r="GT29" s="46">
        <v>17</v>
      </c>
      <c r="GU29" s="46">
        <v>18</v>
      </c>
      <c r="GV29" s="135" t="s">
        <v>22</v>
      </c>
      <c r="GW29" s="136" t="s">
        <v>23</v>
      </c>
      <c r="GX29" s="45">
        <v>19</v>
      </c>
      <c r="GY29" s="46">
        <v>20</v>
      </c>
      <c r="GZ29" s="46">
        <v>21</v>
      </c>
      <c r="HA29" s="46">
        <v>22</v>
      </c>
      <c r="HB29" s="46">
        <v>23</v>
      </c>
      <c r="HC29" s="46">
        <v>24</v>
      </c>
      <c r="HD29" s="135" t="s">
        <v>22</v>
      </c>
      <c r="HE29" s="136" t="s">
        <v>23</v>
      </c>
      <c r="HF29" s="45">
        <v>25</v>
      </c>
      <c r="HG29" s="46">
        <v>26</v>
      </c>
      <c r="HH29" s="46">
        <v>27</v>
      </c>
      <c r="HI29" s="46">
        <v>28</v>
      </c>
      <c r="HJ29" s="46">
        <v>29</v>
      </c>
      <c r="HK29" s="46">
        <v>30</v>
      </c>
      <c r="HL29" s="135" t="s">
        <v>22</v>
      </c>
      <c r="HM29" s="136" t="s">
        <v>23</v>
      </c>
      <c r="HN29" s="80">
        <v>1</v>
      </c>
      <c r="HO29" s="81">
        <v>2</v>
      </c>
      <c r="HP29" s="81">
        <v>3</v>
      </c>
      <c r="HQ29" s="81">
        <v>4</v>
      </c>
      <c r="HR29" s="81">
        <v>5</v>
      </c>
      <c r="HS29" s="81">
        <v>6</v>
      </c>
      <c r="HT29" s="135" t="s">
        <v>22</v>
      </c>
      <c r="HU29" s="136" t="s">
        <v>23</v>
      </c>
      <c r="HV29" s="45">
        <v>8</v>
      </c>
      <c r="HW29" s="46">
        <v>9</v>
      </c>
      <c r="HX29" s="46">
        <v>10</v>
      </c>
      <c r="HY29" s="46">
        <v>11</v>
      </c>
      <c r="HZ29" s="46">
        <v>12</v>
      </c>
      <c r="IA29" s="46">
        <v>13</v>
      </c>
      <c r="IB29" s="135" t="s">
        <v>22</v>
      </c>
      <c r="IC29" s="136" t="s">
        <v>23</v>
      </c>
      <c r="ID29" s="45">
        <v>14</v>
      </c>
      <c r="IE29" s="46">
        <v>15</v>
      </c>
      <c r="IF29" s="46">
        <v>16</v>
      </c>
      <c r="IG29" s="46">
        <v>17</v>
      </c>
      <c r="IH29" s="46">
        <v>18</v>
      </c>
      <c r="II29" s="46">
        <v>19</v>
      </c>
      <c r="IJ29" s="135" t="s">
        <v>22</v>
      </c>
      <c r="IK29" s="136" t="s">
        <v>23</v>
      </c>
      <c r="IL29" s="45">
        <v>20</v>
      </c>
      <c r="IM29" s="46">
        <v>21</v>
      </c>
      <c r="IN29" s="46">
        <v>22</v>
      </c>
      <c r="IO29" s="46">
        <v>23</v>
      </c>
      <c r="IP29" s="46">
        <v>24</v>
      </c>
      <c r="IQ29" s="46">
        <v>25</v>
      </c>
      <c r="IR29" s="135" t="s">
        <v>22</v>
      </c>
      <c r="IS29" s="136" t="s">
        <v>23</v>
      </c>
      <c r="IT29" s="45">
        <v>27</v>
      </c>
      <c r="IU29" s="46">
        <v>28</v>
      </c>
      <c r="IV29" s="46">
        <v>29</v>
      </c>
      <c r="IW29" s="46">
        <v>30</v>
      </c>
      <c r="IX29" s="46">
        <v>1</v>
      </c>
      <c r="IY29" s="46">
        <v>2</v>
      </c>
      <c r="IZ29" s="135" t="s">
        <v>22</v>
      </c>
      <c r="JA29" s="136" t="s">
        <v>23</v>
      </c>
      <c r="JB29" s="45">
        <v>5</v>
      </c>
      <c r="JC29" s="46">
        <v>6</v>
      </c>
      <c r="JD29" s="46">
        <v>7</v>
      </c>
      <c r="JE29" s="46">
        <v>8</v>
      </c>
      <c r="JF29" s="46">
        <v>9</v>
      </c>
      <c r="JG29" s="46">
        <v>10</v>
      </c>
      <c r="JH29" s="135" t="s">
        <v>22</v>
      </c>
      <c r="JI29" s="136" t="s">
        <v>23</v>
      </c>
      <c r="JJ29" s="45">
        <v>17</v>
      </c>
      <c r="JK29" s="46">
        <v>18</v>
      </c>
      <c r="JL29" s="46">
        <v>19</v>
      </c>
      <c r="JM29" s="46">
        <v>20</v>
      </c>
      <c r="JN29" s="46">
        <v>21</v>
      </c>
      <c r="JO29" s="46">
        <v>22</v>
      </c>
      <c r="JP29" s="135" t="s">
        <v>22</v>
      </c>
      <c r="JQ29" s="136" t="s">
        <v>23</v>
      </c>
      <c r="JR29" s="45">
        <v>24</v>
      </c>
      <c r="JS29" s="46">
        <v>25</v>
      </c>
      <c r="JT29" s="46">
        <v>26</v>
      </c>
      <c r="JU29" s="46">
        <v>27</v>
      </c>
      <c r="JV29" s="46">
        <v>28</v>
      </c>
      <c r="JW29" s="46">
        <v>29</v>
      </c>
      <c r="JX29" s="135" t="s">
        <v>22</v>
      </c>
      <c r="JY29" s="136" t="s">
        <v>23</v>
      </c>
      <c r="JZ29" s="71">
        <v>2</v>
      </c>
      <c r="KA29" s="103">
        <v>4</v>
      </c>
      <c r="KB29" s="103">
        <v>5</v>
      </c>
      <c r="KC29" s="103">
        <v>7</v>
      </c>
      <c r="KD29" s="103">
        <v>8</v>
      </c>
      <c r="KE29" s="103">
        <v>9</v>
      </c>
      <c r="KF29" s="139" t="s">
        <v>22</v>
      </c>
      <c r="KG29" s="140" t="s">
        <v>23</v>
      </c>
      <c r="KH29" s="45">
        <v>10</v>
      </c>
      <c r="KI29" s="46">
        <v>11</v>
      </c>
      <c r="KJ29" s="46">
        <v>12</v>
      </c>
      <c r="KK29" s="46">
        <v>13</v>
      </c>
      <c r="KL29" s="46">
        <v>14</v>
      </c>
      <c r="KM29" s="46">
        <v>15</v>
      </c>
      <c r="KN29" s="135" t="s">
        <v>22</v>
      </c>
      <c r="KO29" s="136" t="s">
        <v>23</v>
      </c>
      <c r="KP29" s="45">
        <v>16</v>
      </c>
      <c r="KQ29" s="46">
        <v>17</v>
      </c>
      <c r="KR29" s="46">
        <v>18</v>
      </c>
      <c r="KS29" s="46">
        <v>19</v>
      </c>
      <c r="KT29" s="46">
        <v>20</v>
      </c>
      <c r="KU29" s="46">
        <v>21</v>
      </c>
      <c r="KV29" s="135" t="s">
        <v>22</v>
      </c>
      <c r="KW29" s="136" t="s">
        <v>23</v>
      </c>
      <c r="KX29" s="45">
        <v>23</v>
      </c>
      <c r="KY29" s="46">
        <v>24</v>
      </c>
      <c r="KZ29" s="46">
        <v>25</v>
      </c>
      <c r="LA29" s="46">
        <v>26</v>
      </c>
      <c r="LB29" s="46">
        <v>27</v>
      </c>
      <c r="LC29" s="46">
        <v>28</v>
      </c>
      <c r="LD29" s="135" t="s">
        <v>22</v>
      </c>
      <c r="LE29" s="136" t="s">
        <v>23</v>
      </c>
      <c r="LF29" s="45">
        <v>30</v>
      </c>
      <c r="LG29" s="46">
        <v>31</v>
      </c>
      <c r="LH29" s="46">
        <v>1</v>
      </c>
      <c r="LI29" s="46">
        <v>3</v>
      </c>
      <c r="LJ29" s="46">
        <v>4</v>
      </c>
      <c r="LK29" s="46">
        <v>5</v>
      </c>
      <c r="LL29" s="135" t="s">
        <v>22</v>
      </c>
      <c r="LM29" s="136" t="s">
        <v>23</v>
      </c>
      <c r="LN29" s="45">
        <v>6</v>
      </c>
      <c r="LO29" s="46">
        <v>7</v>
      </c>
      <c r="LP29" s="46">
        <v>8</v>
      </c>
      <c r="LQ29" s="46">
        <v>9</v>
      </c>
      <c r="LR29" s="46">
        <v>10</v>
      </c>
      <c r="LS29" s="46">
        <v>11</v>
      </c>
      <c r="LT29" s="135" t="s">
        <v>22</v>
      </c>
      <c r="LU29" s="136" t="s">
        <v>23</v>
      </c>
      <c r="LV29" s="45">
        <v>12</v>
      </c>
      <c r="LW29" s="46">
        <v>13</v>
      </c>
      <c r="LX29" s="46">
        <v>14</v>
      </c>
      <c r="LY29" s="46">
        <v>15</v>
      </c>
      <c r="LZ29" s="46">
        <v>16</v>
      </c>
      <c r="MA29" s="46">
        <v>17</v>
      </c>
      <c r="MB29" s="135" t="s">
        <v>22</v>
      </c>
      <c r="MC29" s="136" t="s">
        <v>23</v>
      </c>
      <c r="MD29" s="45">
        <v>18</v>
      </c>
      <c r="ME29" s="46">
        <v>19</v>
      </c>
      <c r="MF29" s="46">
        <v>20</v>
      </c>
      <c r="MG29" s="46">
        <v>21</v>
      </c>
      <c r="MH29" s="46">
        <v>22</v>
      </c>
      <c r="MI29" s="46">
        <v>23</v>
      </c>
      <c r="MJ29" s="135" t="s">
        <v>22</v>
      </c>
      <c r="MK29" s="136" t="s">
        <v>23</v>
      </c>
      <c r="ML29" s="45">
        <v>24</v>
      </c>
      <c r="MM29" s="46">
        <v>25</v>
      </c>
      <c r="MN29" s="46">
        <v>26</v>
      </c>
      <c r="MO29" s="46">
        <v>27</v>
      </c>
      <c r="MP29" s="46">
        <v>28</v>
      </c>
      <c r="MQ29" s="46">
        <v>29</v>
      </c>
      <c r="MR29" s="135" t="s">
        <v>22</v>
      </c>
      <c r="MS29" s="136" t="s">
        <v>23</v>
      </c>
      <c r="MT29" s="45">
        <v>30</v>
      </c>
      <c r="MU29" s="46">
        <v>1</v>
      </c>
      <c r="MV29" s="46">
        <v>2</v>
      </c>
      <c r="MW29" s="46">
        <v>3</v>
      </c>
      <c r="MX29" s="46">
        <v>4</v>
      </c>
      <c r="MY29" s="46">
        <v>5</v>
      </c>
      <c r="MZ29" s="135" t="s">
        <v>22</v>
      </c>
      <c r="NA29" s="136" t="s">
        <v>23</v>
      </c>
      <c r="NB29" s="45">
        <v>6</v>
      </c>
      <c r="NC29" s="46">
        <v>7</v>
      </c>
      <c r="ND29" s="46">
        <v>8</v>
      </c>
      <c r="NE29" s="46">
        <v>9</v>
      </c>
      <c r="NF29" s="46">
        <v>10</v>
      </c>
      <c r="NG29" s="46">
        <v>11</v>
      </c>
      <c r="NH29" s="135" t="s">
        <v>22</v>
      </c>
      <c r="NI29" s="136" t="s">
        <v>23</v>
      </c>
      <c r="NJ29" s="45">
        <v>12</v>
      </c>
      <c r="NK29" s="46">
        <v>13</v>
      </c>
      <c r="NL29" s="46">
        <v>14</v>
      </c>
      <c r="NM29" s="46">
        <v>15</v>
      </c>
      <c r="NN29" s="46">
        <v>16</v>
      </c>
      <c r="NO29" s="46">
        <v>17</v>
      </c>
      <c r="NP29" s="135" t="s">
        <v>22</v>
      </c>
      <c r="NQ29" s="136" t="s">
        <v>23</v>
      </c>
      <c r="NR29" s="45">
        <v>18</v>
      </c>
      <c r="NS29" s="46">
        <v>19</v>
      </c>
      <c r="NT29" s="46">
        <v>20</v>
      </c>
      <c r="NU29" s="46">
        <v>21</v>
      </c>
      <c r="NV29" s="46">
        <v>22</v>
      </c>
      <c r="NW29" s="46">
        <v>23</v>
      </c>
      <c r="NX29" s="135" t="s">
        <v>22</v>
      </c>
      <c r="NY29" s="136" t="s">
        <v>23</v>
      </c>
      <c r="NZ29" s="45">
        <v>24</v>
      </c>
      <c r="OA29" s="46">
        <v>25</v>
      </c>
      <c r="OB29" s="46">
        <v>26</v>
      </c>
      <c r="OC29" s="46">
        <v>27</v>
      </c>
      <c r="OD29" s="46">
        <v>28</v>
      </c>
      <c r="OE29" s="46">
        <v>29</v>
      </c>
      <c r="OF29" s="135" t="s">
        <v>22</v>
      </c>
      <c r="OG29" s="136" t="s">
        <v>23</v>
      </c>
      <c r="OH29" s="45">
        <v>30</v>
      </c>
      <c r="OI29" s="46">
        <v>31</v>
      </c>
      <c r="OJ29" s="46">
        <v>1</v>
      </c>
      <c r="OK29" s="46">
        <v>2</v>
      </c>
      <c r="OL29" s="46">
        <v>3</v>
      </c>
      <c r="OM29" s="46">
        <v>4</v>
      </c>
      <c r="ON29" s="135" t="s">
        <v>22</v>
      </c>
      <c r="OO29" s="136" t="s">
        <v>23</v>
      </c>
      <c r="OP29" s="45">
        <v>6</v>
      </c>
      <c r="OQ29" s="45">
        <v>7</v>
      </c>
      <c r="OR29" s="45">
        <v>8</v>
      </c>
      <c r="OS29" s="45">
        <v>9</v>
      </c>
      <c r="OT29" s="45">
        <v>10</v>
      </c>
      <c r="OU29" s="45">
        <v>11</v>
      </c>
      <c r="OV29" s="135" t="s">
        <v>22</v>
      </c>
      <c r="OW29" s="136" t="s">
        <v>23</v>
      </c>
      <c r="OX29" s="45">
        <v>12</v>
      </c>
      <c r="OY29" s="46">
        <v>13</v>
      </c>
      <c r="OZ29" s="46">
        <v>14</v>
      </c>
      <c r="PA29" s="46">
        <v>15</v>
      </c>
      <c r="PB29" s="46">
        <v>16</v>
      </c>
      <c r="PC29" s="46">
        <v>17</v>
      </c>
      <c r="PD29" s="135" t="s">
        <v>22</v>
      </c>
      <c r="PE29" s="136" t="s">
        <v>23</v>
      </c>
      <c r="PF29" s="45">
        <v>18</v>
      </c>
      <c r="PG29" s="46">
        <v>19</v>
      </c>
      <c r="PH29" s="46">
        <v>20</v>
      </c>
      <c r="PI29" s="46">
        <v>21</v>
      </c>
      <c r="PJ29" s="46">
        <v>22</v>
      </c>
      <c r="PK29" s="46">
        <v>23</v>
      </c>
      <c r="PL29" s="135" t="s">
        <v>22</v>
      </c>
      <c r="PM29" s="136" t="s">
        <v>23</v>
      </c>
      <c r="PN29" s="116">
        <v>30</v>
      </c>
      <c r="PO29" s="117">
        <v>1</v>
      </c>
      <c r="PP29" s="117">
        <v>2</v>
      </c>
      <c r="PQ29" s="117">
        <v>3</v>
      </c>
      <c r="PR29" s="117">
        <v>4</v>
      </c>
      <c r="PS29" s="117">
        <v>5</v>
      </c>
      <c r="PT29" s="141" t="s">
        <v>22</v>
      </c>
      <c r="PU29" s="142" t="s">
        <v>23</v>
      </c>
      <c r="PV29" s="116">
        <v>6</v>
      </c>
      <c r="PW29" s="116">
        <v>7</v>
      </c>
      <c r="PX29" s="116">
        <v>8</v>
      </c>
      <c r="PY29" s="116">
        <v>9</v>
      </c>
      <c r="PZ29" s="116">
        <v>10</v>
      </c>
      <c r="QA29" s="116">
        <v>11</v>
      </c>
      <c r="QB29" s="141" t="s">
        <v>22</v>
      </c>
      <c r="QC29" s="142" t="s">
        <v>23</v>
      </c>
      <c r="QD29" s="116">
        <v>12</v>
      </c>
      <c r="QE29" s="117">
        <v>13</v>
      </c>
      <c r="QF29" s="117">
        <v>14</v>
      </c>
      <c r="QG29" s="117">
        <v>15</v>
      </c>
      <c r="QH29" s="117">
        <v>16</v>
      </c>
      <c r="QI29" s="117">
        <v>17</v>
      </c>
      <c r="QJ29" s="141" t="s">
        <v>22</v>
      </c>
      <c r="QK29" s="142" t="s">
        <v>23</v>
      </c>
      <c r="QL29" s="116">
        <v>18</v>
      </c>
      <c r="QM29" s="117">
        <v>19</v>
      </c>
      <c r="QN29" s="117">
        <v>20</v>
      </c>
      <c r="QO29" s="117">
        <v>21</v>
      </c>
      <c r="QP29" s="117">
        <v>22</v>
      </c>
      <c r="QQ29" s="117">
        <v>23</v>
      </c>
      <c r="QR29" s="141" t="s">
        <v>22</v>
      </c>
      <c r="QS29" s="142" t="s">
        <v>23</v>
      </c>
      <c r="QT29" s="116">
        <v>24</v>
      </c>
      <c r="QU29" s="117">
        <v>25</v>
      </c>
      <c r="QV29" s="117">
        <v>26</v>
      </c>
      <c r="QW29" s="117">
        <v>27</v>
      </c>
      <c r="QX29" s="117">
        <v>28</v>
      </c>
      <c r="QY29" s="117">
        <v>29</v>
      </c>
      <c r="QZ29" s="141" t="s">
        <v>22</v>
      </c>
      <c r="RA29" s="142" t="s">
        <v>23</v>
      </c>
      <c r="RB29" s="116">
        <v>30</v>
      </c>
      <c r="RC29" s="117">
        <v>31</v>
      </c>
      <c r="RD29" s="117">
        <v>2</v>
      </c>
      <c r="RE29" s="117">
        <v>3</v>
      </c>
      <c r="RF29" s="117">
        <v>4</v>
      </c>
      <c r="RG29" s="117">
        <v>5</v>
      </c>
      <c r="RH29" s="141" t="s">
        <v>22</v>
      </c>
      <c r="RI29" s="142" t="s">
        <v>23</v>
      </c>
      <c r="RJ29" s="116">
        <v>5</v>
      </c>
      <c r="RK29" s="117">
        <v>6</v>
      </c>
      <c r="RL29" s="117">
        <v>7</v>
      </c>
      <c r="RM29" s="117">
        <v>8</v>
      </c>
      <c r="RN29" s="117">
        <v>9</v>
      </c>
      <c r="RO29" s="117">
        <v>10</v>
      </c>
      <c r="RP29" s="141" t="s">
        <v>22</v>
      </c>
      <c r="RQ29" s="142" t="s">
        <v>23</v>
      </c>
      <c r="RR29" s="116">
        <v>11</v>
      </c>
      <c r="RS29" s="117">
        <v>12</v>
      </c>
      <c r="RT29" s="117">
        <v>13</v>
      </c>
      <c r="RU29" s="117">
        <v>14</v>
      </c>
      <c r="RV29" s="117">
        <v>15</v>
      </c>
      <c r="RW29" s="117">
        <v>16</v>
      </c>
      <c r="RX29" s="141" t="s">
        <v>22</v>
      </c>
      <c r="RY29" s="142" t="s">
        <v>23</v>
      </c>
      <c r="RZ29" s="116">
        <v>17</v>
      </c>
      <c r="SA29" s="117">
        <v>18</v>
      </c>
      <c r="SB29" s="117">
        <v>19</v>
      </c>
      <c r="SC29" s="117">
        <v>20</v>
      </c>
      <c r="SD29" s="117">
        <v>21</v>
      </c>
      <c r="SE29" s="117">
        <v>22</v>
      </c>
      <c r="SF29" s="141" t="s">
        <v>22</v>
      </c>
      <c r="SG29" s="142" t="s">
        <v>23</v>
      </c>
      <c r="SH29" s="116">
        <v>23</v>
      </c>
      <c r="SI29" s="117">
        <v>24</v>
      </c>
      <c r="SJ29" s="117">
        <v>25</v>
      </c>
      <c r="SK29" s="117">
        <v>26</v>
      </c>
      <c r="SL29" s="117">
        <v>27</v>
      </c>
      <c r="SM29" s="117">
        <v>28</v>
      </c>
      <c r="SN29" s="141" t="s">
        <v>22</v>
      </c>
      <c r="SO29" s="142" t="s">
        <v>23</v>
      </c>
      <c r="SP29" s="116">
        <v>30</v>
      </c>
      <c r="SQ29" s="117">
        <v>31</v>
      </c>
      <c r="SR29" s="117">
        <v>1</v>
      </c>
      <c r="SS29" s="117">
        <v>2</v>
      </c>
      <c r="ST29" s="117">
        <v>3</v>
      </c>
      <c r="SU29" s="117">
        <v>4</v>
      </c>
      <c r="SV29" s="141" t="s">
        <v>22</v>
      </c>
      <c r="SW29" s="142" t="s">
        <v>23</v>
      </c>
      <c r="SX29" s="116">
        <v>5</v>
      </c>
      <c r="SY29" s="117">
        <v>6</v>
      </c>
      <c r="SZ29" s="117">
        <v>7</v>
      </c>
      <c r="TA29" s="117">
        <v>8</v>
      </c>
      <c r="TB29" s="117">
        <v>9</v>
      </c>
      <c r="TC29" s="117">
        <v>10</v>
      </c>
      <c r="TD29" s="141" t="s">
        <v>22</v>
      </c>
      <c r="TE29" s="142" t="s">
        <v>23</v>
      </c>
      <c r="TF29" s="116">
        <v>11</v>
      </c>
      <c r="TG29" s="117">
        <v>12</v>
      </c>
      <c r="TH29" s="117">
        <v>13</v>
      </c>
      <c r="TI29" s="117">
        <v>14</v>
      </c>
      <c r="TJ29" s="117">
        <v>15</v>
      </c>
      <c r="TK29" s="117">
        <v>16</v>
      </c>
      <c r="TL29" s="141" t="s">
        <v>22</v>
      </c>
      <c r="TM29" s="142" t="s">
        <v>23</v>
      </c>
      <c r="TN29" s="116">
        <v>21</v>
      </c>
      <c r="TO29" s="117">
        <v>22</v>
      </c>
      <c r="TP29" s="117">
        <v>23</v>
      </c>
      <c r="TQ29" s="117">
        <v>24</v>
      </c>
      <c r="TR29" s="117">
        <v>25</v>
      </c>
      <c r="TS29" s="117">
        <v>26</v>
      </c>
      <c r="TT29" s="141" t="s">
        <v>22</v>
      </c>
      <c r="TU29" s="142" t="s">
        <v>23</v>
      </c>
      <c r="TV29" s="116">
        <v>27</v>
      </c>
      <c r="TW29" s="117">
        <v>28</v>
      </c>
      <c r="TX29" s="117">
        <v>1</v>
      </c>
      <c r="TY29" s="117">
        <v>2</v>
      </c>
      <c r="TZ29" s="117">
        <v>2</v>
      </c>
      <c r="UA29" s="117">
        <v>4</v>
      </c>
      <c r="UB29" s="141" t="s">
        <v>22</v>
      </c>
      <c r="UC29" s="142" t="s">
        <v>23</v>
      </c>
      <c r="UD29" s="116">
        <v>5</v>
      </c>
      <c r="UE29" s="117">
        <v>6</v>
      </c>
      <c r="UF29" s="117">
        <v>7</v>
      </c>
      <c r="UG29" s="117">
        <v>8</v>
      </c>
      <c r="UH29" s="117">
        <v>9</v>
      </c>
      <c r="UI29" s="117">
        <v>10</v>
      </c>
      <c r="UJ29" s="145" t="s">
        <v>22</v>
      </c>
      <c r="UK29" s="146" t="s">
        <v>23</v>
      </c>
      <c r="UL29" s="116">
        <v>12</v>
      </c>
      <c r="UM29" s="117">
        <v>13</v>
      </c>
      <c r="UN29" s="117">
        <v>14</v>
      </c>
      <c r="UO29" s="117">
        <v>15</v>
      </c>
      <c r="UP29" s="117">
        <v>16</v>
      </c>
      <c r="UQ29" s="117">
        <v>17</v>
      </c>
      <c r="UR29" s="117">
        <v>18</v>
      </c>
      <c r="US29" s="145" t="s">
        <v>22</v>
      </c>
      <c r="UT29" s="146" t="s">
        <v>23</v>
      </c>
      <c r="UU29" s="116">
        <v>19</v>
      </c>
      <c r="UV29" s="117">
        <v>20</v>
      </c>
      <c r="UW29" s="117">
        <v>21</v>
      </c>
      <c r="UX29" s="117">
        <v>22</v>
      </c>
      <c r="UY29" s="117">
        <v>23</v>
      </c>
      <c r="UZ29" s="117">
        <v>24</v>
      </c>
      <c r="VA29" s="145" t="s">
        <v>22</v>
      </c>
      <c r="VB29" s="146" t="s">
        <v>23</v>
      </c>
      <c r="VC29" s="116">
        <v>25</v>
      </c>
      <c r="VD29" s="117">
        <v>26</v>
      </c>
      <c r="VE29" s="117">
        <v>27</v>
      </c>
      <c r="VF29" s="117">
        <v>28</v>
      </c>
      <c r="VG29" s="117">
        <v>29</v>
      </c>
      <c r="VH29" s="117">
        <v>30</v>
      </c>
      <c r="VI29" s="145" t="s">
        <v>22</v>
      </c>
      <c r="VJ29" s="146" t="s">
        <v>23</v>
      </c>
      <c r="VK29" s="45">
        <v>31</v>
      </c>
      <c r="VL29" s="46">
        <v>1</v>
      </c>
      <c r="VM29" s="46">
        <v>2</v>
      </c>
      <c r="VN29" s="46">
        <v>3</v>
      </c>
      <c r="VO29" s="46">
        <v>4</v>
      </c>
      <c r="VP29" s="46">
        <v>5</v>
      </c>
      <c r="VQ29" s="165" t="s">
        <v>22</v>
      </c>
      <c r="VR29" s="166" t="s">
        <v>23</v>
      </c>
      <c r="VS29" s="116">
        <v>7</v>
      </c>
      <c r="VT29" s="117">
        <v>8</v>
      </c>
      <c r="VU29" s="117">
        <v>9</v>
      </c>
      <c r="VV29" s="117">
        <v>10</v>
      </c>
      <c r="VW29" s="117">
        <v>11</v>
      </c>
      <c r="VX29" s="117">
        <v>12</v>
      </c>
      <c r="VY29" s="145" t="s">
        <v>22</v>
      </c>
      <c r="VZ29" s="146" t="s">
        <v>23</v>
      </c>
      <c r="WA29" s="61">
        <v>13</v>
      </c>
      <c r="WB29" s="62">
        <v>14</v>
      </c>
      <c r="WC29" s="62">
        <v>15</v>
      </c>
      <c r="WD29" s="62">
        <v>16</v>
      </c>
      <c r="WE29" s="62">
        <v>17</v>
      </c>
      <c r="WF29" s="62">
        <v>18</v>
      </c>
      <c r="WG29" s="137" t="s">
        <v>22</v>
      </c>
      <c r="WH29" s="138" t="s">
        <v>23</v>
      </c>
      <c r="WI29" s="171">
        <v>19</v>
      </c>
      <c r="WJ29" s="172">
        <v>20</v>
      </c>
      <c r="WK29" s="172">
        <v>21</v>
      </c>
      <c r="WL29" s="172">
        <v>22</v>
      </c>
      <c r="WM29" s="172">
        <v>23</v>
      </c>
      <c r="WN29" s="172">
        <v>24</v>
      </c>
      <c r="WO29" s="143" t="s">
        <v>22</v>
      </c>
      <c r="WP29" s="144" t="s">
        <v>23</v>
      </c>
      <c r="WQ29" s="45">
        <v>24</v>
      </c>
      <c r="WR29" s="46">
        <v>26</v>
      </c>
      <c r="WS29" s="46">
        <v>27</v>
      </c>
      <c r="WT29" s="46">
        <v>28</v>
      </c>
      <c r="WU29" s="46">
        <v>29</v>
      </c>
      <c r="WV29" s="46">
        <v>30</v>
      </c>
      <c r="WW29" s="46">
        <v>3</v>
      </c>
      <c r="WX29" s="137" t="s">
        <v>22</v>
      </c>
      <c r="WY29" s="138" t="s">
        <v>23</v>
      </c>
      <c r="WZ29" s="45">
        <v>3</v>
      </c>
      <c r="XA29" s="46">
        <v>4</v>
      </c>
      <c r="XB29" s="46">
        <v>5</v>
      </c>
      <c r="XC29" s="46">
        <v>6</v>
      </c>
      <c r="XD29" s="46">
        <v>7</v>
      </c>
      <c r="XE29" s="46">
        <v>8</v>
      </c>
      <c r="XF29" s="46">
        <v>9</v>
      </c>
      <c r="XG29" s="137" t="s">
        <v>22</v>
      </c>
      <c r="XH29" s="138" t="s">
        <v>23</v>
      </c>
      <c r="XI29" s="45">
        <v>10</v>
      </c>
      <c r="XJ29" s="46">
        <v>11</v>
      </c>
      <c r="XK29" s="46">
        <v>12</v>
      </c>
      <c r="XL29" s="46">
        <v>13</v>
      </c>
      <c r="XM29" s="46">
        <v>14</v>
      </c>
      <c r="XN29" s="46">
        <v>15</v>
      </c>
      <c r="XO29" s="46">
        <v>16</v>
      </c>
      <c r="XP29" s="137" t="s">
        <v>22</v>
      </c>
      <c r="XQ29" s="138" t="s">
        <v>23</v>
      </c>
      <c r="XR29" s="45">
        <v>17</v>
      </c>
      <c r="XS29" s="46">
        <v>18</v>
      </c>
      <c r="XT29" s="46">
        <v>19</v>
      </c>
      <c r="XU29" s="46">
        <v>20</v>
      </c>
      <c r="XV29" s="46">
        <v>21</v>
      </c>
      <c r="XW29" s="46">
        <v>22</v>
      </c>
      <c r="XX29" s="46">
        <v>23</v>
      </c>
      <c r="XY29" s="137" t="s">
        <v>22</v>
      </c>
      <c r="XZ29" s="138" t="s">
        <v>23</v>
      </c>
      <c r="YA29" s="45">
        <v>27</v>
      </c>
      <c r="YB29" s="46">
        <v>28</v>
      </c>
      <c r="YC29" s="46">
        <v>29</v>
      </c>
      <c r="YD29" s="46">
        <v>30</v>
      </c>
      <c r="YE29" s="46">
        <v>31</v>
      </c>
      <c r="YF29" s="46">
        <v>1</v>
      </c>
      <c r="YG29" s="46">
        <v>2</v>
      </c>
      <c r="YH29" s="137" t="s">
        <v>22</v>
      </c>
      <c r="YI29" s="138" t="s">
        <v>23</v>
      </c>
      <c r="YJ29" s="56">
        <v>4</v>
      </c>
      <c r="YK29" s="57">
        <v>5</v>
      </c>
      <c r="YL29" s="57">
        <v>6</v>
      </c>
      <c r="YM29" s="57">
        <v>7</v>
      </c>
      <c r="YN29" s="57">
        <v>8</v>
      </c>
      <c r="YO29" s="57">
        <v>9</v>
      </c>
      <c r="YP29" s="57">
        <v>10</v>
      </c>
      <c r="YQ29" s="137" t="s">
        <v>22</v>
      </c>
      <c r="YR29" s="138" t="s">
        <v>23</v>
      </c>
      <c r="YS29" s="45">
        <v>11</v>
      </c>
      <c r="YT29" s="46">
        <v>12</v>
      </c>
      <c r="YU29" s="46">
        <v>13</v>
      </c>
      <c r="YV29" s="46">
        <v>14</v>
      </c>
      <c r="YW29" s="46">
        <v>15</v>
      </c>
      <c r="YX29" s="46">
        <v>16</v>
      </c>
      <c r="YY29" s="137" t="s">
        <v>22</v>
      </c>
      <c r="YZ29" s="138" t="s">
        <v>23</v>
      </c>
      <c r="ZA29" s="45">
        <v>17</v>
      </c>
      <c r="ZB29" s="46">
        <v>18</v>
      </c>
      <c r="ZC29" s="46">
        <v>19</v>
      </c>
      <c r="ZD29" s="46">
        <v>20</v>
      </c>
      <c r="ZE29" s="46">
        <v>21</v>
      </c>
      <c r="ZF29" s="46">
        <v>22</v>
      </c>
      <c r="ZG29" s="137" t="s">
        <v>22</v>
      </c>
      <c r="ZH29" s="138" t="s">
        <v>23</v>
      </c>
      <c r="ZI29" s="61">
        <v>23</v>
      </c>
      <c r="ZJ29" s="62">
        <v>24</v>
      </c>
      <c r="ZK29" s="62">
        <v>25</v>
      </c>
      <c r="ZL29" s="62">
        <v>26</v>
      </c>
      <c r="ZM29" s="62">
        <v>27</v>
      </c>
      <c r="ZN29" s="62">
        <v>28</v>
      </c>
      <c r="ZO29" s="137" t="s">
        <v>22</v>
      </c>
      <c r="ZP29" s="138" t="s">
        <v>23</v>
      </c>
      <c r="ZQ29" s="45">
        <v>29</v>
      </c>
      <c r="ZR29" s="46">
        <v>30</v>
      </c>
      <c r="ZS29" s="46">
        <v>2</v>
      </c>
      <c r="ZT29" s="46">
        <v>3</v>
      </c>
      <c r="ZU29" s="46">
        <v>4</v>
      </c>
      <c r="ZV29" s="46">
        <v>5</v>
      </c>
      <c r="ZW29" s="46">
        <v>6</v>
      </c>
      <c r="ZX29" s="137" t="s">
        <v>22</v>
      </c>
      <c r="ZY29" s="138" t="s">
        <v>23</v>
      </c>
      <c r="ZZ29" s="45">
        <v>7</v>
      </c>
      <c r="AAA29" s="46">
        <v>8</v>
      </c>
      <c r="AAB29" s="46">
        <v>9</v>
      </c>
      <c r="AAC29" s="46">
        <v>10</v>
      </c>
      <c r="AAD29" s="46">
        <v>11</v>
      </c>
      <c r="AAE29" s="46">
        <v>12</v>
      </c>
      <c r="AAF29" s="46">
        <v>13</v>
      </c>
      <c r="AAG29" s="137" t="s">
        <v>22</v>
      </c>
      <c r="AAH29" s="138" t="s">
        <v>23</v>
      </c>
      <c r="AAI29" s="45">
        <v>14</v>
      </c>
      <c r="AAJ29" s="46">
        <v>15</v>
      </c>
      <c r="AAK29" s="46">
        <v>16</v>
      </c>
      <c r="AAL29" s="46">
        <v>17</v>
      </c>
      <c r="AAM29" s="46">
        <v>18</v>
      </c>
      <c r="AAN29" s="46">
        <v>19</v>
      </c>
      <c r="AAO29" s="137" t="s">
        <v>22</v>
      </c>
      <c r="AAP29" s="138" t="s">
        <v>23</v>
      </c>
      <c r="AAQ29" s="45">
        <v>23</v>
      </c>
      <c r="AAR29" s="46">
        <v>24</v>
      </c>
      <c r="AAS29" s="46">
        <v>25</v>
      </c>
      <c r="AAT29" s="46">
        <v>26</v>
      </c>
      <c r="AAU29" s="46">
        <v>27</v>
      </c>
      <c r="AAV29" s="46">
        <v>28</v>
      </c>
      <c r="AAW29" s="137" t="s">
        <v>22</v>
      </c>
      <c r="AAX29" s="138" t="s">
        <v>23</v>
      </c>
      <c r="AAY29" s="45">
        <v>30</v>
      </c>
      <c r="AAZ29" s="46">
        <v>31</v>
      </c>
      <c r="ABA29" s="46">
        <v>1</v>
      </c>
      <c r="ABB29" s="46">
        <v>2</v>
      </c>
      <c r="ABC29" s="46">
        <v>3</v>
      </c>
      <c r="ABD29" s="46">
        <v>4</v>
      </c>
      <c r="ABE29" s="137" t="s">
        <v>22</v>
      </c>
      <c r="ABF29" s="138" t="s">
        <v>23</v>
      </c>
      <c r="ABG29" s="45">
        <v>6</v>
      </c>
      <c r="ABH29" s="46">
        <v>7</v>
      </c>
      <c r="ABI29" s="46">
        <v>8</v>
      </c>
      <c r="ABJ29" s="46">
        <v>9</v>
      </c>
      <c r="ABK29" s="46">
        <v>10</v>
      </c>
      <c r="ABL29" s="46">
        <v>11</v>
      </c>
      <c r="ABM29" s="137" t="s">
        <v>22</v>
      </c>
      <c r="ABN29" s="138" t="s">
        <v>23</v>
      </c>
      <c r="ABO29" s="45">
        <v>13</v>
      </c>
      <c r="ABP29" s="46">
        <v>14</v>
      </c>
      <c r="ABQ29" s="46">
        <v>15</v>
      </c>
      <c r="ABR29" s="46">
        <v>16</v>
      </c>
      <c r="ABS29" s="46">
        <v>17</v>
      </c>
      <c r="ABT29" s="46">
        <v>18</v>
      </c>
      <c r="ABU29" s="137" t="s">
        <v>22</v>
      </c>
      <c r="ABV29" s="138" t="s">
        <v>23</v>
      </c>
      <c r="ABW29" s="45">
        <v>20</v>
      </c>
      <c r="ABX29" s="46">
        <v>21</v>
      </c>
      <c r="ABY29" s="46">
        <v>22</v>
      </c>
      <c r="ABZ29" s="46">
        <v>23</v>
      </c>
      <c r="ACA29" s="46">
        <v>24</v>
      </c>
      <c r="ACB29" s="46">
        <v>25</v>
      </c>
      <c r="ACC29" s="137" t="s">
        <v>22</v>
      </c>
      <c r="ACD29" s="138" t="s">
        <v>23</v>
      </c>
      <c r="ACE29" s="45">
        <v>27</v>
      </c>
      <c r="ACF29" s="46">
        <v>28</v>
      </c>
      <c r="ACG29" s="46">
        <v>29</v>
      </c>
      <c r="ACH29" s="46">
        <v>30</v>
      </c>
      <c r="ACI29" s="46">
        <v>31</v>
      </c>
      <c r="ACJ29" s="46">
        <v>1</v>
      </c>
      <c r="ACK29" s="137" t="s">
        <v>22</v>
      </c>
      <c r="ACL29" s="138" t="s">
        <v>23</v>
      </c>
      <c r="ACM29" s="45">
        <v>4</v>
      </c>
      <c r="ACN29" s="46">
        <v>5</v>
      </c>
      <c r="ACO29" s="46">
        <v>6</v>
      </c>
      <c r="ACP29" s="46">
        <v>7</v>
      </c>
      <c r="ACQ29" s="46">
        <v>8</v>
      </c>
      <c r="ACR29" s="46">
        <v>9</v>
      </c>
      <c r="ACS29" s="137" t="s">
        <v>22</v>
      </c>
      <c r="ACT29" s="138" t="s">
        <v>23</v>
      </c>
      <c r="ACU29" s="45">
        <v>11</v>
      </c>
      <c r="ACV29" s="46">
        <v>12</v>
      </c>
      <c r="ACW29" s="46">
        <v>13</v>
      </c>
      <c r="ACX29" s="46">
        <v>14</v>
      </c>
      <c r="ACY29" s="46">
        <v>15</v>
      </c>
      <c r="ACZ29" s="46">
        <v>16</v>
      </c>
      <c r="ADA29" s="137" t="s">
        <v>22</v>
      </c>
      <c r="ADB29" s="138" t="s">
        <v>23</v>
      </c>
      <c r="ADC29" s="45">
        <v>18</v>
      </c>
      <c r="ADD29" s="46">
        <v>19</v>
      </c>
      <c r="ADE29" s="46">
        <v>20</v>
      </c>
      <c r="ADF29" s="46">
        <v>21</v>
      </c>
      <c r="ADG29" s="46">
        <v>22</v>
      </c>
      <c r="ADH29" s="46">
        <v>23</v>
      </c>
      <c r="ADI29" s="137" t="s">
        <v>22</v>
      </c>
      <c r="ADJ29" s="138" t="s">
        <v>23</v>
      </c>
      <c r="ADK29" s="45">
        <v>25</v>
      </c>
      <c r="ADL29" s="46">
        <v>26</v>
      </c>
      <c r="ADM29" s="46">
        <v>27</v>
      </c>
      <c r="ADN29" s="46">
        <v>28</v>
      </c>
      <c r="ADO29" s="46">
        <v>29</v>
      </c>
      <c r="ADP29" s="46">
        <v>30</v>
      </c>
      <c r="ADQ29" s="137" t="s">
        <v>22</v>
      </c>
      <c r="ADR29" s="138" t="s">
        <v>23</v>
      </c>
      <c r="ADS29" s="45">
        <v>1</v>
      </c>
      <c r="ADT29" s="46">
        <v>2</v>
      </c>
      <c r="ADU29" s="46">
        <v>3</v>
      </c>
      <c r="ADV29" s="46">
        <v>4</v>
      </c>
      <c r="ADW29" s="46">
        <v>5</v>
      </c>
      <c r="ADX29" s="46">
        <v>6</v>
      </c>
      <c r="ADY29" s="137" t="s">
        <v>22</v>
      </c>
      <c r="ADZ29" s="138" t="s">
        <v>23</v>
      </c>
      <c r="AEA29" s="45">
        <v>7</v>
      </c>
      <c r="AEB29" s="46">
        <v>8</v>
      </c>
      <c r="AEC29" s="46">
        <v>9</v>
      </c>
      <c r="AED29" s="46">
        <v>10</v>
      </c>
      <c r="AEE29" s="46">
        <v>11</v>
      </c>
      <c r="AEF29" s="46">
        <v>12</v>
      </c>
      <c r="AEG29" s="137" t="s">
        <v>22</v>
      </c>
      <c r="AEH29" s="138" t="s">
        <v>23</v>
      </c>
      <c r="AEI29" s="45">
        <v>15</v>
      </c>
      <c r="AEJ29" s="46">
        <v>16</v>
      </c>
      <c r="AEK29" s="46">
        <v>17</v>
      </c>
      <c r="AEL29" s="46">
        <v>18</v>
      </c>
      <c r="AEM29" s="46">
        <v>19</v>
      </c>
      <c r="AEN29" s="46">
        <v>20</v>
      </c>
      <c r="AEO29" s="137" t="s">
        <v>22</v>
      </c>
      <c r="AEP29" s="138" t="s">
        <v>23</v>
      </c>
      <c r="AEQ29" s="45">
        <v>22</v>
      </c>
      <c r="AER29" s="46">
        <v>23</v>
      </c>
      <c r="AES29" s="46">
        <v>24</v>
      </c>
      <c r="AET29" s="46">
        <v>25</v>
      </c>
      <c r="AEU29" s="46">
        <v>26</v>
      </c>
      <c r="AEV29" s="46">
        <v>27</v>
      </c>
      <c r="AEW29" s="137" t="s">
        <v>22</v>
      </c>
      <c r="AEX29" s="138" t="s">
        <v>23</v>
      </c>
      <c r="AEY29" s="45">
        <v>28</v>
      </c>
      <c r="AEZ29" s="46">
        <v>29</v>
      </c>
      <c r="AFA29" s="46">
        <v>30</v>
      </c>
      <c r="AFB29" s="46">
        <v>31</v>
      </c>
      <c r="AFC29" s="46">
        <v>2</v>
      </c>
      <c r="AFD29" s="46">
        <v>3</v>
      </c>
      <c r="AFE29" s="137" t="s">
        <v>22</v>
      </c>
      <c r="AFF29" s="138" t="s">
        <v>23</v>
      </c>
      <c r="AFG29" s="45">
        <v>3</v>
      </c>
      <c r="AFH29" s="46">
        <v>4</v>
      </c>
      <c r="AFI29" s="46">
        <v>5</v>
      </c>
      <c r="AFJ29" s="46">
        <v>6</v>
      </c>
      <c r="AFK29" s="46">
        <v>7</v>
      </c>
      <c r="AFL29" s="46">
        <v>8</v>
      </c>
      <c r="AFM29" s="137" t="s">
        <v>22</v>
      </c>
      <c r="AFN29" s="138" t="s">
        <v>23</v>
      </c>
      <c r="AFO29" s="45">
        <v>10</v>
      </c>
      <c r="AFP29" s="46">
        <v>11</v>
      </c>
      <c r="AFQ29" s="46">
        <v>12</v>
      </c>
      <c r="AFR29" s="46">
        <v>13</v>
      </c>
      <c r="AFS29" s="46">
        <v>14</v>
      </c>
      <c r="AFT29" s="46">
        <v>15</v>
      </c>
      <c r="AFU29" s="137" t="s">
        <v>22</v>
      </c>
      <c r="AFV29" s="138" t="s">
        <v>23</v>
      </c>
      <c r="AFW29" s="45">
        <v>15</v>
      </c>
      <c r="AFX29" s="46">
        <v>16</v>
      </c>
      <c r="AFY29" s="46">
        <v>17</v>
      </c>
      <c r="AFZ29" s="46">
        <v>18</v>
      </c>
      <c r="AGA29" s="46">
        <v>22</v>
      </c>
      <c r="AGB29" s="46">
        <v>23</v>
      </c>
      <c r="AGC29" s="137" t="s">
        <v>22</v>
      </c>
      <c r="AGD29" s="138" t="s">
        <v>23</v>
      </c>
      <c r="AGE29" s="45">
        <v>22</v>
      </c>
      <c r="AGF29" s="46">
        <v>23</v>
      </c>
      <c r="AGG29" s="46">
        <v>24</v>
      </c>
      <c r="AGH29" s="46">
        <v>25</v>
      </c>
      <c r="AGI29" s="46">
        <v>26</v>
      </c>
      <c r="AGJ29" s="46">
        <v>27</v>
      </c>
      <c r="AGK29" s="137" t="s">
        <v>22</v>
      </c>
      <c r="AGL29" s="138" t="s">
        <v>23</v>
      </c>
      <c r="AGM29" s="45">
        <v>27</v>
      </c>
      <c r="AGN29" s="46">
        <v>28</v>
      </c>
      <c r="AGO29" s="46">
        <v>29</v>
      </c>
      <c r="AGP29" s="46">
        <v>30</v>
      </c>
      <c r="AGQ29" s="46">
        <v>1</v>
      </c>
      <c r="AGR29" s="46">
        <v>2</v>
      </c>
      <c r="AGS29" s="46">
        <v>3</v>
      </c>
      <c r="AGT29" s="137" t="s">
        <v>22</v>
      </c>
      <c r="AGU29" s="138" t="s">
        <v>23</v>
      </c>
      <c r="AGV29" s="45">
        <v>4</v>
      </c>
      <c r="AGW29" s="46">
        <v>5</v>
      </c>
      <c r="AGX29" s="46">
        <v>6</v>
      </c>
      <c r="AGY29" s="46">
        <v>7</v>
      </c>
      <c r="AGZ29" s="46">
        <v>8</v>
      </c>
      <c r="AHA29" s="46">
        <v>9</v>
      </c>
      <c r="AHB29" s="137" t="s">
        <v>22</v>
      </c>
      <c r="AHC29" s="138" t="s">
        <v>23</v>
      </c>
      <c r="AHD29" s="45">
        <v>10</v>
      </c>
      <c r="AHE29" s="46">
        <v>11</v>
      </c>
      <c r="AHF29" s="46">
        <v>12</v>
      </c>
      <c r="AHG29" s="46">
        <v>13</v>
      </c>
      <c r="AHH29" s="46">
        <v>14</v>
      </c>
      <c r="AHI29" s="46">
        <v>15</v>
      </c>
      <c r="AHJ29" s="137" t="s">
        <v>22</v>
      </c>
      <c r="AHK29" s="138" t="s">
        <v>23</v>
      </c>
      <c r="AHL29" s="45">
        <v>17</v>
      </c>
      <c r="AHM29" s="46">
        <v>18</v>
      </c>
      <c r="AHN29" s="46">
        <v>19</v>
      </c>
      <c r="AHO29" s="46">
        <v>20</v>
      </c>
      <c r="AHP29" s="46">
        <v>21</v>
      </c>
      <c r="AHQ29" s="46">
        <v>22</v>
      </c>
      <c r="AHR29" s="137" t="s">
        <v>22</v>
      </c>
      <c r="AHS29" s="138" t="s">
        <v>23</v>
      </c>
      <c r="AHT29" s="45">
        <v>23</v>
      </c>
      <c r="AHU29" s="46">
        <v>24</v>
      </c>
      <c r="AHV29" s="46">
        <v>25</v>
      </c>
      <c r="AHW29" s="46">
        <v>26</v>
      </c>
      <c r="AHX29" s="46">
        <v>27</v>
      </c>
      <c r="AHY29" s="46">
        <v>28</v>
      </c>
      <c r="AHZ29" s="137" t="s">
        <v>22</v>
      </c>
      <c r="AIA29" s="138" t="s">
        <v>23</v>
      </c>
      <c r="AIB29" s="45">
        <v>29</v>
      </c>
      <c r="AIC29" s="46">
        <v>30</v>
      </c>
      <c r="AID29" s="46">
        <v>31</v>
      </c>
      <c r="AIE29" s="46">
        <v>1</v>
      </c>
      <c r="AIF29" s="46">
        <v>2</v>
      </c>
      <c r="AIG29" s="46">
        <v>3</v>
      </c>
      <c r="AIH29" s="137" t="s">
        <v>22</v>
      </c>
      <c r="AII29" s="138" t="s">
        <v>23</v>
      </c>
      <c r="AIJ29" s="45">
        <v>4</v>
      </c>
      <c r="AIK29" s="46">
        <v>5</v>
      </c>
      <c r="AIL29" s="46">
        <v>6</v>
      </c>
      <c r="AIM29" s="46">
        <v>7</v>
      </c>
      <c r="AIN29" s="46">
        <v>8</v>
      </c>
      <c r="AIO29" s="46">
        <v>9</v>
      </c>
      <c r="AIP29" s="137" t="s">
        <v>22</v>
      </c>
      <c r="AIQ29" s="138" t="s">
        <v>23</v>
      </c>
      <c r="AIR29" s="45">
        <v>10</v>
      </c>
      <c r="AIS29" s="46">
        <v>11</v>
      </c>
      <c r="AIT29" s="46">
        <v>12</v>
      </c>
      <c r="AIU29" s="46">
        <v>13</v>
      </c>
      <c r="AIV29" s="46">
        <v>14</v>
      </c>
      <c r="AIW29" s="46">
        <v>15</v>
      </c>
      <c r="AIX29" s="137" t="s">
        <v>22</v>
      </c>
      <c r="AIY29" s="138" t="s">
        <v>23</v>
      </c>
      <c r="AIZ29" s="125">
        <v>16</v>
      </c>
      <c r="AJA29" s="126">
        <v>18</v>
      </c>
      <c r="AJB29" s="126">
        <v>19</v>
      </c>
      <c r="AJC29" s="126">
        <v>20</v>
      </c>
      <c r="AJD29" s="126">
        <v>21</v>
      </c>
      <c r="AJE29" s="126">
        <v>22</v>
      </c>
      <c r="AJF29" s="135" t="s">
        <v>22</v>
      </c>
      <c r="AJG29" s="136" t="s">
        <v>23</v>
      </c>
      <c r="AJH29" s="45">
        <v>22</v>
      </c>
      <c r="AJI29" s="46">
        <v>23</v>
      </c>
      <c r="AJJ29" s="46">
        <v>24</v>
      </c>
      <c r="AJK29" s="46">
        <v>25</v>
      </c>
      <c r="AJL29" s="46">
        <v>26</v>
      </c>
      <c r="AJM29" s="46">
        <v>27</v>
      </c>
      <c r="AJN29" s="135" t="s">
        <v>22</v>
      </c>
      <c r="AJO29" s="136" t="s">
        <v>23</v>
      </c>
      <c r="AJP29" s="45">
        <v>28</v>
      </c>
      <c r="AJQ29" s="46">
        <v>29</v>
      </c>
      <c r="AJR29" s="46">
        <v>30</v>
      </c>
      <c r="AJS29" s="46">
        <v>31</v>
      </c>
      <c r="AJT29" s="46">
        <v>1</v>
      </c>
      <c r="AJU29" s="46">
        <v>2</v>
      </c>
      <c r="AJV29" s="135" t="s">
        <v>22</v>
      </c>
      <c r="AJW29" s="136" t="s">
        <v>23</v>
      </c>
      <c r="AJX29" s="45">
        <v>10</v>
      </c>
      <c r="AJY29" s="46">
        <v>11</v>
      </c>
      <c r="AJZ29" s="46">
        <v>12</v>
      </c>
      <c r="AKA29" s="46">
        <v>13</v>
      </c>
      <c r="AKB29" s="46">
        <v>14</v>
      </c>
      <c r="AKC29" s="46">
        <v>15</v>
      </c>
      <c r="AKD29" s="135" t="s">
        <v>22</v>
      </c>
      <c r="AKE29" s="136" t="s">
        <v>23</v>
      </c>
      <c r="AKF29" s="45">
        <v>16</v>
      </c>
      <c r="AKG29" s="46">
        <v>17</v>
      </c>
      <c r="AKH29" s="46">
        <v>18</v>
      </c>
      <c r="AKI29" s="46">
        <v>19</v>
      </c>
      <c r="AKJ29" s="46">
        <v>20</v>
      </c>
      <c r="AKK29" s="46">
        <v>21</v>
      </c>
      <c r="AKL29" s="135" t="s">
        <v>22</v>
      </c>
      <c r="AKM29" s="153" t="s">
        <v>23</v>
      </c>
      <c r="AKN29" s="191">
        <v>22</v>
      </c>
      <c r="AKO29" s="192">
        <v>23</v>
      </c>
      <c r="AKP29" s="192">
        <v>24</v>
      </c>
      <c r="AKQ29" s="192">
        <v>25</v>
      </c>
      <c r="AKR29" s="192">
        <v>26</v>
      </c>
      <c r="AKS29" s="192">
        <v>27</v>
      </c>
      <c r="AKT29" s="193" t="s">
        <v>22</v>
      </c>
      <c r="AKU29" s="198" t="s">
        <v>23</v>
      </c>
      <c r="AKV29" s="45">
        <v>28</v>
      </c>
      <c r="AKW29" s="46">
        <v>1</v>
      </c>
      <c r="AKX29" s="46">
        <v>2</v>
      </c>
      <c r="AKY29" s="46">
        <v>4</v>
      </c>
      <c r="AKZ29" s="46">
        <v>5</v>
      </c>
      <c r="ALA29" s="46">
        <v>6</v>
      </c>
      <c r="ALB29" s="135" t="s">
        <v>22</v>
      </c>
      <c r="ALC29" s="136" t="s">
        <v>23</v>
      </c>
      <c r="ALD29" s="125">
        <v>7</v>
      </c>
      <c r="ALE29" s="126">
        <v>8</v>
      </c>
      <c r="ALF29" s="126">
        <v>9</v>
      </c>
      <c r="ALG29" s="126">
        <v>10</v>
      </c>
      <c r="ALH29" s="126">
        <v>11</v>
      </c>
      <c r="ALI29" s="126">
        <v>12</v>
      </c>
      <c r="ALJ29" s="135" t="s">
        <v>22</v>
      </c>
      <c r="ALK29" s="136" t="s">
        <v>23</v>
      </c>
      <c r="ALL29" s="125">
        <v>12</v>
      </c>
      <c r="ALM29" s="126">
        <v>13</v>
      </c>
      <c r="ALN29" s="126">
        <v>14</v>
      </c>
      <c r="ALO29" s="126">
        <v>15</v>
      </c>
      <c r="ALP29" s="126">
        <v>16</v>
      </c>
      <c r="ALQ29" s="126">
        <v>17</v>
      </c>
      <c r="ALR29" s="135" t="s">
        <v>22</v>
      </c>
      <c r="ALS29" s="136" t="s">
        <v>23</v>
      </c>
      <c r="ALT29" s="45">
        <v>19</v>
      </c>
      <c r="ALU29" s="46">
        <v>20</v>
      </c>
      <c r="ALV29" s="46">
        <v>21</v>
      </c>
      <c r="ALW29" s="46">
        <v>22</v>
      </c>
      <c r="ALX29" s="46">
        <v>23</v>
      </c>
      <c r="ALY29" s="46">
        <v>24</v>
      </c>
      <c r="ALZ29" s="135" t="s">
        <v>22</v>
      </c>
      <c r="AMA29" s="136" t="s">
        <v>23</v>
      </c>
      <c r="AMB29" s="45">
        <v>25</v>
      </c>
      <c r="AMC29" s="46">
        <v>26</v>
      </c>
      <c r="AMD29" s="46">
        <v>27</v>
      </c>
      <c r="AME29" s="46">
        <v>28</v>
      </c>
      <c r="AMF29" s="46">
        <v>29</v>
      </c>
      <c r="AMG29" s="46">
        <v>30</v>
      </c>
      <c r="AMH29" s="135" t="s">
        <v>22</v>
      </c>
      <c r="AMI29" s="136" t="s">
        <v>23</v>
      </c>
      <c r="AMJ29" s="45">
        <v>1</v>
      </c>
      <c r="AMK29" s="46">
        <v>2</v>
      </c>
      <c r="AML29" s="46">
        <v>3</v>
      </c>
      <c r="AMM29" s="46">
        <v>4</v>
      </c>
      <c r="AMN29" s="46">
        <v>5</v>
      </c>
      <c r="AMO29" s="46">
        <v>6</v>
      </c>
      <c r="AMP29" s="165" t="s">
        <v>22</v>
      </c>
      <c r="AMQ29" s="166" t="s">
        <v>23</v>
      </c>
      <c r="AMR29" s="45">
        <v>7</v>
      </c>
      <c r="AMS29" s="46">
        <v>8</v>
      </c>
      <c r="AMT29" s="46">
        <v>9</v>
      </c>
      <c r="AMU29" s="46">
        <v>10</v>
      </c>
      <c r="AMV29" s="46">
        <v>11</v>
      </c>
      <c r="AMW29" s="46">
        <v>12</v>
      </c>
      <c r="AMX29" s="165" t="s">
        <v>22</v>
      </c>
      <c r="AMY29" s="166" t="s">
        <v>23</v>
      </c>
      <c r="AMZ29" s="45">
        <v>13</v>
      </c>
      <c r="ANA29" s="46">
        <v>14</v>
      </c>
      <c r="ANB29" s="46">
        <v>15</v>
      </c>
      <c r="ANC29" s="46">
        <v>16</v>
      </c>
      <c r="AND29" s="46">
        <v>17</v>
      </c>
      <c r="ANE29" s="46">
        <v>18</v>
      </c>
      <c r="ANF29" s="165" t="s">
        <v>22</v>
      </c>
      <c r="ANG29" s="166" t="s">
        <v>23</v>
      </c>
      <c r="ANH29" s="45">
        <v>25</v>
      </c>
      <c r="ANI29" s="46">
        <v>26</v>
      </c>
      <c r="ANJ29" s="46">
        <v>27</v>
      </c>
      <c r="ANK29" s="46">
        <v>28</v>
      </c>
      <c r="ANL29" s="46">
        <v>29</v>
      </c>
      <c r="ANM29" s="46">
        <v>30</v>
      </c>
      <c r="ANN29" s="165" t="s">
        <v>22</v>
      </c>
      <c r="ANO29" s="166" t="s">
        <v>23</v>
      </c>
      <c r="ANP29" s="45">
        <v>1</v>
      </c>
      <c r="ANQ29" s="46">
        <v>2</v>
      </c>
      <c r="ANR29" s="46">
        <v>3</v>
      </c>
      <c r="ANS29" s="46">
        <v>4</v>
      </c>
      <c r="ANT29" s="46">
        <v>5</v>
      </c>
      <c r="ANU29" s="46">
        <v>6</v>
      </c>
      <c r="ANV29" s="165" t="s">
        <v>22</v>
      </c>
      <c r="ANW29" s="166" t="s">
        <v>23</v>
      </c>
      <c r="ANX29" s="80">
        <v>7</v>
      </c>
      <c r="ANY29" s="81">
        <v>8</v>
      </c>
      <c r="ANZ29" s="81">
        <v>9</v>
      </c>
      <c r="AOA29" s="81">
        <v>10</v>
      </c>
      <c r="AOB29" s="81">
        <v>11</v>
      </c>
      <c r="AOC29" s="81">
        <v>12</v>
      </c>
      <c r="AOD29" s="165" t="s">
        <v>22</v>
      </c>
      <c r="AOE29" s="166" t="s">
        <v>23</v>
      </c>
      <c r="AOF29" s="45">
        <v>13</v>
      </c>
      <c r="AOG29" s="46">
        <v>14</v>
      </c>
      <c r="AOH29" s="46">
        <v>15</v>
      </c>
      <c r="AOI29" s="46">
        <v>16</v>
      </c>
      <c r="AOJ29" s="46">
        <v>17</v>
      </c>
      <c r="AOK29" s="46">
        <v>18</v>
      </c>
      <c r="AOL29" s="165" t="s">
        <v>22</v>
      </c>
      <c r="AOM29" s="166" t="s">
        <v>23</v>
      </c>
      <c r="AON29" s="45">
        <v>19</v>
      </c>
      <c r="AOO29" s="46">
        <v>20</v>
      </c>
      <c r="AOP29" s="46">
        <v>21</v>
      </c>
      <c r="AOQ29" s="46">
        <v>22</v>
      </c>
      <c r="AOR29" s="46">
        <v>23</v>
      </c>
      <c r="AOS29" s="46">
        <v>24</v>
      </c>
      <c r="AOT29" s="165" t="s">
        <v>22</v>
      </c>
      <c r="AOU29" s="166" t="s">
        <v>23</v>
      </c>
      <c r="AOV29" s="61">
        <v>25</v>
      </c>
      <c r="AOW29" s="62">
        <v>26</v>
      </c>
      <c r="AOX29" s="62">
        <v>27</v>
      </c>
      <c r="AOY29" s="62">
        <v>28</v>
      </c>
      <c r="AOZ29" s="62">
        <v>29</v>
      </c>
      <c r="APA29" s="62">
        <v>30</v>
      </c>
      <c r="APB29" s="137" t="s">
        <v>22</v>
      </c>
      <c r="APC29" s="138" t="s">
        <v>23</v>
      </c>
      <c r="APD29" s="45">
        <v>1</v>
      </c>
      <c r="APE29" s="46">
        <v>2</v>
      </c>
      <c r="APF29" s="46">
        <v>3</v>
      </c>
      <c r="APG29" s="46">
        <v>4</v>
      </c>
      <c r="APH29" s="46">
        <v>5</v>
      </c>
      <c r="API29" s="46">
        <v>6</v>
      </c>
      <c r="APJ29" s="137" t="s">
        <v>22</v>
      </c>
      <c r="APK29" s="138" t="s">
        <v>23</v>
      </c>
      <c r="APL29" s="45">
        <v>6</v>
      </c>
      <c r="APM29" s="46">
        <v>7</v>
      </c>
      <c r="APN29" s="46">
        <v>8</v>
      </c>
      <c r="APO29" s="46">
        <v>9</v>
      </c>
      <c r="APP29" s="46">
        <v>10</v>
      </c>
      <c r="APQ29" s="46">
        <v>11</v>
      </c>
      <c r="APR29" s="165" t="s">
        <v>22</v>
      </c>
      <c r="APS29" s="166" t="s">
        <v>23</v>
      </c>
      <c r="APT29" s="45">
        <v>12</v>
      </c>
      <c r="APU29" s="46">
        <v>13</v>
      </c>
      <c r="APV29" s="46">
        <v>14</v>
      </c>
      <c r="APW29" s="46">
        <v>15</v>
      </c>
      <c r="APX29" s="46">
        <v>16</v>
      </c>
      <c r="APY29" s="46">
        <v>17</v>
      </c>
      <c r="APZ29" s="165" t="s">
        <v>22</v>
      </c>
      <c r="AQA29" s="166" t="s">
        <v>23</v>
      </c>
      <c r="AQB29" s="45">
        <v>18</v>
      </c>
      <c r="AQC29" s="46">
        <v>19</v>
      </c>
      <c r="AQD29" s="46">
        <v>20</v>
      </c>
      <c r="AQE29" s="46">
        <v>21</v>
      </c>
      <c r="AQF29" s="46">
        <v>22</v>
      </c>
      <c r="AQG29" s="46">
        <v>23</v>
      </c>
      <c r="AQH29" s="165" t="s">
        <v>22</v>
      </c>
      <c r="AQI29" s="166" t="s">
        <v>23</v>
      </c>
      <c r="AQJ29" s="45">
        <v>24</v>
      </c>
      <c r="AQK29" s="46">
        <v>25</v>
      </c>
      <c r="AQL29" s="46">
        <v>26</v>
      </c>
      <c r="AQM29" s="46">
        <v>27</v>
      </c>
      <c r="AQN29" s="46">
        <v>28</v>
      </c>
      <c r="AQO29" s="46">
        <v>29</v>
      </c>
      <c r="AQP29" s="165" t="s">
        <v>22</v>
      </c>
      <c r="AQQ29" s="166" t="s">
        <v>23</v>
      </c>
      <c r="AQR29" s="45">
        <v>1</v>
      </c>
      <c r="AQS29" s="46">
        <v>2</v>
      </c>
      <c r="AQT29" s="46">
        <v>3</v>
      </c>
      <c r="AQU29" s="46">
        <v>4</v>
      </c>
      <c r="AQV29" s="46">
        <v>5</v>
      </c>
      <c r="AQW29" s="46">
        <v>6</v>
      </c>
      <c r="AQX29" s="165" t="s">
        <v>22</v>
      </c>
      <c r="AQY29" s="166" t="s">
        <v>23</v>
      </c>
      <c r="AQZ29" s="45">
        <v>7</v>
      </c>
      <c r="ARA29" s="46">
        <v>8</v>
      </c>
      <c r="ARB29" s="46">
        <v>9</v>
      </c>
      <c r="ARC29" s="46">
        <v>10</v>
      </c>
      <c r="ARD29" s="46">
        <v>11</v>
      </c>
      <c r="ARE29" s="46">
        <v>12</v>
      </c>
      <c r="ARF29" s="165" t="s">
        <v>22</v>
      </c>
      <c r="ARG29" s="166" t="s">
        <v>23</v>
      </c>
      <c r="ARH29" s="45">
        <v>14</v>
      </c>
      <c r="ARI29" s="46">
        <v>15</v>
      </c>
      <c r="ARJ29" s="46">
        <v>16</v>
      </c>
      <c r="ARK29" s="46">
        <v>17</v>
      </c>
      <c r="ARL29" s="46">
        <v>18</v>
      </c>
      <c r="ARM29" s="46">
        <v>19</v>
      </c>
      <c r="ARN29" s="165" t="s">
        <v>22</v>
      </c>
      <c r="ARO29" s="166" t="s">
        <v>23</v>
      </c>
      <c r="ARP29" s="45">
        <v>21</v>
      </c>
      <c r="ARQ29" s="46">
        <v>22</v>
      </c>
      <c r="ARR29" s="46">
        <v>23</v>
      </c>
      <c r="ARS29" s="46">
        <v>24</v>
      </c>
      <c r="ART29" s="46">
        <v>25</v>
      </c>
      <c r="ARU29" s="46">
        <v>26</v>
      </c>
      <c r="ARV29" s="165" t="s">
        <v>22</v>
      </c>
      <c r="ARW29" s="166" t="s">
        <v>23</v>
      </c>
      <c r="ARX29" s="45">
        <v>1</v>
      </c>
      <c r="ARY29" s="46">
        <v>2</v>
      </c>
      <c r="ARZ29" s="46">
        <v>3</v>
      </c>
      <c r="ASA29" s="46">
        <v>4</v>
      </c>
      <c r="ASB29" s="46">
        <v>5</v>
      </c>
      <c r="ASC29" s="46">
        <v>6</v>
      </c>
      <c r="ASD29" s="165" t="s">
        <v>22</v>
      </c>
      <c r="ASE29" s="166" t="s">
        <v>23</v>
      </c>
      <c r="ASF29" s="45">
        <v>7</v>
      </c>
      <c r="ASG29" s="46">
        <v>8</v>
      </c>
      <c r="ASH29" s="46">
        <v>9</v>
      </c>
      <c r="ASI29" s="46">
        <v>10</v>
      </c>
      <c r="ASJ29" s="46">
        <v>11</v>
      </c>
      <c r="ASK29" s="46">
        <v>12</v>
      </c>
      <c r="ASL29" s="165" t="s">
        <v>22</v>
      </c>
      <c r="ASM29" s="166" t="s">
        <v>23</v>
      </c>
      <c r="ASN29" s="45">
        <v>13</v>
      </c>
      <c r="ASO29" s="46">
        <v>14</v>
      </c>
      <c r="ASP29" s="46">
        <v>15</v>
      </c>
      <c r="ASQ29" s="46">
        <v>16</v>
      </c>
      <c r="ASR29" s="46">
        <v>17</v>
      </c>
      <c r="ASS29" s="46">
        <v>18</v>
      </c>
      <c r="AST29" s="165" t="s">
        <v>22</v>
      </c>
      <c r="ASU29" s="166" t="s">
        <v>23</v>
      </c>
      <c r="ASV29" s="45">
        <v>19</v>
      </c>
      <c r="ASW29" s="46">
        <v>20</v>
      </c>
      <c r="ASX29" s="46">
        <v>21</v>
      </c>
      <c r="ASY29" s="46">
        <v>22</v>
      </c>
      <c r="ASZ29" s="46">
        <v>23</v>
      </c>
      <c r="ATA29" s="46">
        <v>24</v>
      </c>
      <c r="ATB29" s="206" t="s">
        <v>22</v>
      </c>
      <c r="ATC29" s="207" t="s">
        <v>23</v>
      </c>
      <c r="ATD29" s="45">
        <v>25</v>
      </c>
      <c r="ATE29" s="46">
        <v>26</v>
      </c>
      <c r="ATF29" s="46">
        <v>27</v>
      </c>
      <c r="ATG29" s="46">
        <v>28</v>
      </c>
      <c r="ATH29" s="46">
        <v>29</v>
      </c>
      <c r="ATI29" s="46">
        <v>30</v>
      </c>
      <c r="ATJ29" s="165" t="s">
        <v>22</v>
      </c>
      <c r="ATK29" s="166" t="s">
        <v>23</v>
      </c>
      <c r="ATL29" s="45">
        <v>31</v>
      </c>
      <c r="ATM29" s="46">
        <v>1</v>
      </c>
      <c r="ATN29" s="46">
        <v>2</v>
      </c>
      <c r="ATO29" s="46">
        <v>3</v>
      </c>
      <c r="ATP29" s="46">
        <v>4</v>
      </c>
      <c r="ATQ29" s="46">
        <v>5</v>
      </c>
      <c r="ATR29" s="165" t="s">
        <v>22</v>
      </c>
      <c r="ATS29" s="166" t="s">
        <v>23</v>
      </c>
      <c r="ATT29" s="45">
        <v>6</v>
      </c>
      <c r="ATU29" s="46">
        <v>7</v>
      </c>
      <c r="ATV29" s="46">
        <v>8</v>
      </c>
      <c r="ATW29" s="46">
        <v>9</v>
      </c>
      <c r="ATX29" s="46">
        <v>10</v>
      </c>
      <c r="ATY29" s="46">
        <v>11</v>
      </c>
      <c r="ATZ29" s="165" t="s">
        <v>22</v>
      </c>
      <c r="AUA29" s="166" t="s">
        <v>23</v>
      </c>
      <c r="AUB29" s="45">
        <v>13</v>
      </c>
      <c r="AUC29" s="46">
        <v>14</v>
      </c>
      <c r="AUD29" s="46">
        <v>15</v>
      </c>
      <c r="AUE29" s="46">
        <v>16</v>
      </c>
      <c r="AUF29" s="46">
        <v>17</v>
      </c>
      <c r="AUG29" s="46">
        <v>18</v>
      </c>
      <c r="AUH29" s="165" t="s">
        <v>22</v>
      </c>
      <c r="AUI29" s="166" t="s">
        <v>23</v>
      </c>
      <c r="AUJ29" s="125">
        <v>18</v>
      </c>
      <c r="AUK29" s="126">
        <v>19</v>
      </c>
      <c r="AUL29" s="126">
        <v>20</v>
      </c>
      <c r="AUM29" s="126">
        <v>21</v>
      </c>
      <c r="AUN29" s="126">
        <v>22</v>
      </c>
      <c r="AUO29" s="126">
        <v>23</v>
      </c>
      <c r="AUP29" s="165" t="s">
        <v>22</v>
      </c>
      <c r="AUQ29" s="166" t="s">
        <v>23</v>
      </c>
      <c r="AUR29" s="45">
        <v>24</v>
      </c>
      <c r="AUS29" s="46">
        <v>25</v>
      </c>
      <c r="AUT29" s="46">
        <v>26</v>
      </c>
      <c r="AUU29" s="46">
        <v>27</v>
      </c>
      <c r="AUV29" s="46">
        <v>28</v>
      </c>
      <c r="AUW29" s="46">
        <v>29</v>
      </c>
      <c r="AUX29" s="165" t="s">
        <v>22</v>
      </c>
      <c r="AUY29" s="166" t="s">
        <v>23</v>
      </c>
      <c r="AUZ29" s="45">
        <v>1</v>
      </c>
      <c r="AVA29" s="46">
        <v>2</v>
      </c>
      <c r="AVB29" s="46">
        <v>3</v>
      </c>
      <c r="AVC29" s="46">
        <v>4</v>
      </c>
      <c r="AVD29" s="46">
        <v>5</v>
      </c>
      <c r="AVE29" s="46">
        <v>6</v>
      </c>
      <c r="AVF29" s="165" t="s">
        <v>22</v>
      </c>
      <c r="AVG29" s="166" t="s">
        <v>23</v>
      </c>
      <c r="AVH29" s="45">
        <v>7</v>
      </c>
      <c r="AVI29" s="46">
        <v>8</v>
      </c>
      <c r="AVJ29" s="46">
        <v>9</v>
      </c>
      <c r="AVK29" s="46">
        <v>10</v>
      </c>
      <c r="AVL29" s="46">
        <v>11</v>
      </c>
      <c r="AVM29" s="46">
        <v>12</v>
      </c>
      <c r="AVN29" s="165" t="s">
        <v>22</v>
      </c>
      <c r="AVO29" s="166" t="s">
        <v>23</v>
      </c>
      <c r="AVP29" s="45">
        <v>16</v>
      </c>
      <c r="AVQ29" s="46">
        <v>17</v>
      </c>
      <c r="AVR29" s="46">
        <v>18</v>
      </c>
      <c r="AVS29" s="46">
        <v>19</v>
      </c>
      <c r="AVT29" s="46">
        <v>20</v>
      </c>
      <c r="AVU29" s="46">
        <v>21</v>
      </c>
      <c r="AVV29" s="165" t="s">
        <v>22</v>
      </c>
      <c r="AVW29" s="166" t="s">
        <v>23</v>
      </c>
      <c r="AVX29" s="45">
        <v>22</v>
      </c>
      <c r="AVY29" s="46">
        <v>23</v>
      </c>
      <c r="AVZ29" s="46">
        <v>24</v>
      </c>
      <c r="AWA29" s="46">
        <v>25</v>
      </c>
      <c r="AWB29" s="46">
        <v>26</v>
      </c>
      <c r="AWC29" s="46">
        <v>27</v>
      </c>
      <c r="AWD29" s="135" t="s">
        <v>22</v>
      </c>
      <c r="AWE29" s="136" t="s">
        <v>23</v>
      </c>
      <c r="AWF29" s="45">
        <v>29</v>
      </c>
      <c r="AWG29" s="46">
        <v>30</v>
      </c>
      <c r="AWH29" s="46">
        <v>31</v>
      </c>
      <c r="AWI29" s="46">
        <v>1</v>
      </c>
      <c r="AWJ29" s="46">
        <v>2</v>
      </c>
      <c r="AWK29" s="46">
        <v>3</v>
      </c>
      <c r="AWL29" s="135" t="s">
        <v>22</v>
      </c>
      <c r="AWM29" s="153" t="s">
        <v>23</v>
      </c>
      <c r="AWN29" s="45">
        <v>6</v>
      </c>
      <c r="AWO29" s="46">
        <v>7</v>
      </c>
      <c r="AWP29" s="46">
        <v>8</v>
      </c>
      <c r="AWQ29" s="46">
        <v>9</v>
      </c>
      <c r="AWR29" s="46">
        <v>10</v>
      </c>
      <c r="AWS29" s="46">
        <v>11</v>
      </c>
      <c r="AWT29" s="135" t="s">
        <v>22</v>
      </c>
      <c r="AWU29" s="136" t="s">
        <v>23</v>
      </c>
      <c r="AWV29" s="45">
        <v>12</v>
      </c>
      <c r="AWW29" s="46">
        <v>13</v>
      </c>
      <c r="AWX29" s="46">
        <v>14</v>
      </c>
      <c r="AWY29" s="46">
        <v>15</v>
      </c>
      <c r="AWZ29" s="46">
        <v>16</v>
      </c>
      <c r="AXA29" s="46">
        <v>17</v>
      </c>
      <c r="AXB29" s="135" t="s">
        <v>22</v>
      </c>
      <c r="AXC29" s="136" t="s">
        <v>23</v>
      </c>
      <c r="AXD29" s="45">
        <v>21</v>
      </c>
      <c r="AXE29" s="46">
        <v>22</v>
      </c>
      <c r="AXF29" s="46">
        <v>23</v>
      </c>
      <c r="AXG29" s="46">
        <v>24</v>
      </c>
      <c r="AXH29" s="46">
        <v>25</v>
      </c>
      <c r="AXI29" s="46">
        <v>26</v>
      </c>
      <c r="AXJ29" s="135" t="s">
        <v>22</v>
      </c>
      <c r="AXK29" s="136" t="s">
        <v>23</v>
      </c>
      <c r="AXL29" s="45">
        <v>27</v>
      </c>
      <c r="AXM29" s="46">
        <v>28</v>
      </c>
      <c r="AXN29" s="46">
        <v>29</v>
      </c>
      <c r="AXO29" s="46">
        <v>30</v>
      </c>
      <c r="AXP29" s="46">
        <v>1</v>
      </c>
      <c r="AXQ29" s="46">
        <v>2</v>
      </c>
      <c r="AXR29" s="135" t="s">
        <v>22</v>
      </c>
      <c r="AXS29" s="136" t="s">
        <v>23</v>
      </c>
      <c r="AXT29" s="45">
        <v>4</v>
      </c>
      <c r="AXU29" s="45">
        <v>5</v>
      </c>
      <c r="AXV29" s="45">
        <v>6</v>
      </c>
      <c r="AXW29" s="45">
        <v>7</v>
      </c>
      <c r="AXX29" s="45">
        <v>8</v>
      </c>
      <c r="AXY29" s="45">
        <v>9</v>
      </c>
      <c r="AXZ29" s="135" t="s">
        <v>22</v>
      </c>
      <c r="AYA29" s="136" t="s">
        <v>23</v>
      </c>
      <c r="AYB29" s="45">
        <v>12</v>
      </c>
      <c r="AYC29" s="46">
        <v>13</v>
      </c>
      <c r="AYD29" s="46">
        <v>14</v>
      </c>
      <c r="AYE29" s="46">
        <v>15</v>
      </c>
      <c r="AYF29" s="46">
        <v>16</v>
      </c>
      <c r="AYG29" s="46">
        <v>17</v>
      </c>
      <c r="AYH29" s="135" t="s">
        <v>22</v>
      </c>
      <c r="AYI29" s="136" t="s">
        <v>23</v>
      </c>
      <c r="AYJ29" s="45">
        <v>18</v>
      </c>
      <c r="AYK29" s="46">
        <v>19</v>
      </c>
      <c r="AYL29" s="46">
        <v>20</v>
      </c>
      <c r="AYM29" s="46">
        <v>21</v>
      </c>
      <c r="AYN29" s="46">
        <v>22</v>
      </c>
      <c r="AYO29" s="46">
        <v>23</v>
      </c>
      <c r="AYP29" s="135" t="s">
        <v>22</v>
      </c>
      <c r="AYQ29" s="136" t="s">
        <v>23</v>
      </c>
      <c r="AYR29" s="45">
        <v>25</v>
      </c>
      <c r="AYS29" s="46">
        <v>26</v>
      </c>
      <c r="AYT29" s="46">
        <v>27</v>
      </c>
      <c r="AYU29" s="46">
        <v>28</v>
      </c>
      <c r="AYV29" s="46">
        <v>29</v>
      </c>
      <c r="AYW29" s="46">
        <v>30</v>
      </c>
      <c r="AYX29" s="135" t="s">
        <v>22</v>
      </c>
      <c r="AYY29" s="136" t="s">
        <v>23</v>
      </c>
      <c r="AYZ29" s="45">
        <v>31</v>
      </c>
      <c r="AZA29" s="46">
        <v>2</v>
      </c>
      <c r="AZB29" s="46">
        <v>3</v>
      </c>
      <c r="AZC29" s="46">
        <v>4</v>
      </c>
      <c r="AZD29" s="46">
        <v>5</v>
      </c>
      <c r="AZE29" s="46">
        <v>6</v>
      </c>
      <c r="AZF29" s="135" t="s">
        <v>22</v>
      </c>
      <c r="AZG29" s="136" t="s">
        <v>23</v>
      </c>
      <c r="AZH29" s="45">
        <v>7</v>
      </c>
      <c r="AZI29" s="46">
        <v>8</v>
      </c>
      <c r="AZJ29" s="46">
        <v>9</v>
      </c>
      <c r="AZK29" s="46">
        <v>10</v>
      </c>
      <c r="AZL29" s="46">
        <v>11</v>
      </c>
      <c r="AZM29" s="46">
        <v>12</v>
      </c>
      <c r="AZN29" s="135" t="s">
        <v>22</v>
      </c>
      <c r="AZO29" s="136" t="s">
        <v>23</v>
      </c>
      <c r="AZP29" s="45">
        <v>13</v>
      </c>
      <c r="AZQ29" s="46">
        <v>14</v>
      </c>
      <c r="AZR29" s="46">
        <v>15</v>
      </c>
      <c r="AZS29" s="46">
        <v>16</v>
      </c>
      <c r="AZT29" s="46">
        <v>17</v>
      </c>
      <c r="AZU29" s="46">
        <v>18</v>
      </c>
      <c r="AZV29" s="135" t="s">
        <v>22</v>
      </c>
      <c r="AZW29" s="136" t="s">
        <v>23</v>
      </c>
      <c r="AZX29" s="80">
        <v>19</v>
      </c>
      <c r="AZY29" s="81">
        <v>20</v>
      </c>
      <c r="AZZ29" s="81">
        <v>21</v>
      </c>
      <c r="BAA29" s="81">
        <v>22</v>
      </c>
      <c r="BAB29" s="81">
        <v>23</v>
      </c>
      <c r="BAC29" s="81">
        <v>24</v>
      </c>
      <c r="BAD29" s="135" t="s">
        <v>22</v>
      </c>
      <c r="BAE29" s="136" t="s">
        <v>23</v>
      </c>
      <c r="BAF29" s="45">
        <v>30</v>
      </c>
      <c r="BAG29" s="46">
        <v>31</v>
      </c>
      <c r="BAH29" s="46">
        <v>1</v>
      </c>
      <c r="BAI29" s="46">
        <v>2</v>
      </c>
      <c r="BAJ29" s="46">
        <v>3</v>
      </c>
      <c r="BAK29" s="46">
        <v>4</v>
      </c>
      <c r="BAL29" s="135" t="s">
        <v>22</v>
      </c>
      <c r="BAM29" s="136" t="s">
        <v>23</v>
      </c>
      <c r="BAN29" s="45">
        <v>5</v>
      </c>
      <c r="BAO29" s="46">
        <v>6</v>
      </c>
      <c r="BAP29" s="46">
        <v>7</v>
      </c>
      <c r="BAQ29" s="46">
        <v>8</v>
      </c>
      <c r="BAR29" s="46">
        <v>9</v>
      </c>
      <c r="BAS29" s="46">
        <v>10</v>
      </c>
      <c r="BAT29" s="135" t="s">
        <v>22</v>
      </c>
      <c r="BAU29" s="136" t="s">
        <v>23</v>
      </c>
      <c r="BAV29" s="45">
        <v>12</v>
      </c>
      <c r="BAW29" s="46">
        <v>13</v>
      </c>
      <c r="BAX29" s="46">
        <v>14</v>
      </c>
      <c r="BAY29" s="46">
        <v>15</v>
      </c>
      <c r="BAZ29" s="46">
        <v>16</v>
      </c>
      <c r="BBA29" s="46">
        <v>17</v>
      </c>
      <c r="BBB29" s="135" t="s">
        <v>22</v>
      </c>
      <c r="BBC29" s="136" t="s">
        <v>23</v>
      </c>
      <c r="BBD29" s="45">
        <v>19</v>
      </c>
      <c r="BBE29" s="46">
        <v>20</v>
      </c>
      <c r="BBF29" s="46">
        <v>21</v>
      </c>
      <c r="BBG29" s="46">
        <v>22</v>
      </c>
      <c r="BBH29" s="46">
        <v>23</v>
      </c>
      <c r="BBI29" s="46">
        <v>24</v>
      </c>
      <c r="BBJ29" s="135" t="s">
        <v>22</v>
      </c>
      <c r="BBK29" s="136" t="s">
        <v>23</v>
      </c>
      <c r="BBL29" s="45">
        <v>27</v>
      </c>
      <c r="BBM29" s="46">
        <v>28</v>
      </c>
      <c r="BBN29" s="46">
        <v>29</v>
      </c>
      <c r="BBO29" s="46">
        <v>2</v>
      </c>
      <c r="BBP29" s="46">
        <v>3</v>
      </c>
      <c r="BBQ29" s="46">
        <v>4</v>
      </c>
      <c r="BBR29" s="135" t="s">
        <v>22</v>
      </c>
      <c r="BBS29" s="136" t="s">
        <v>23</v>
      </c>
      <c r="BBT29" s="45">
        <v>5</v>
      </c>
      <c r="BBU29" s="46">
        <v>6</v>
      </c>
      <c r="BBV29" s="46">
        <v>7</v>
      </c>
      <c r="BBW29" s="46">
        <v>8</v>
      </c>
      <c r="BBX29" s="46">
        <v>9</v>
      </c>
      <c r="BBY29" s="46">
        <v>10</v>
      </c>
      <c r="BBZ29" s="135" t="s">
        <v>22</v>
      </c>
      <c r="BCA29" s="136" t="s">
        <v>23</v>
      </c>
      <c r="BCB29" s="45">
        <v>12</v>
      </c>
      <c r="BCC29" s="46">
        <v>13</v>
      </c>
      <c r="BCD29" s="46">
        <v>14</v>
      </c>
      <c r="BCE29" s="46">
        <v>15</v>
      </c>
      <c r="BCF29" s="46">
        <v>16</v>
      </c>
      <c r="BCG29" s="46">
        <v>17</v>
      </c>
      <c r="BCH29" s="135" t="s">
        <v>22</v>
      </c>
      <c r="BCI29" s="136" t="s">
        <v>23</v>
      </c>
      <c r="BCJ29" s="45">
        <v>19</v>
      </c>
      <c r="BCK29" s="46">
        <v>20</v>
      </c>
      <c r="BCL29" s="46">
        <v>21</v>
      </c>
      <c r="BCM29" s="46">
        <v>22</v>
      </c>
      <c r="BCN29" s="46">
        <v>23</v>
      </c>
      <c r="BCO29" s="46">
        <v>24</v>
      </c>
      <c r="BCP29" s="135" t="s">
        <v>22</v>
      </c>
      <c r="BCQ29" s="136" t="s">
        <v>23</v>
      </c>
      <c r="BCR29" s="45">
        <v>26</v>
      </c>
      <c r="BCS29" s="46">
        <v>27</v>
      </c>
      <c r="BCT29" s="46">
        <v>28</v>
      </c>
      <c r="BCU29" s="46">
        <v>29</v>
      </c>
      <c r="BCV29" s="46">
        <v>30</v>
      </c>
      <c r="BCW29" s="46">
        <v>31</v>
      </c>
      <c r="BCX29" s="135" t="s">
        <v>22</v>
      </c>
      <c r="BCY29" s="136" t="s">
        <v>23</v>
      </c>
      <c r="BCZ29" s="45">
        <v>3</v>
      </c>
      <c r="BDA29" s="46">
        <v>4</v>
      </c>
      <c r="BDB29" s="46">
        <v>5</v>
      </c>
      <c r="BDC29" s="46">
        <v>6</v>
      </c>
      <c r="BDD29" s="46">
        <v>7</v>
      </c>
      <c r="BDE29" s="46">
        <v>8</v>
      </c>
      <c r="BDF29" s="135" t="s">
        <v>22</v>
      </c>
      <c r="BDG29" s="136" t="s">
        <v>23</v>
      </c>
      <c r="BDH29" s="45">
        <v>10</v>
      </c>
      <c r="BDI29" s="46">
        <v>11</v>
      </c>
      <c r="BDJ29" s="46">
        <v>12</v>
      </c>
      <c r="BDK29" s="46">
        <v>13</v>
      </c>
      <c r="BDL29" s="46">
        <v>14</v>
      </c>
      <c r="BDM29" s="46">
        <v>15</v>
      </c>
      <c r="BDN29" s="135" t="s">
        <v>22</v>
      </c>
      <c r="BDO29" s="136" t="s">
        <v>23</v>
      </c>
      <c r="BDP29" s="45">
        <v>15</v>
      </c>
      <c r="BDQ29" s="46">
        <v>16</v>
      </c>
      <c r="BDR29" s="46">
        <v>17</v>
      </c>
      <c r="BDS29" s="46">
        <v>18</v>
      </c>
      <c r="BDT29" s="46">
        <v>19</v>
      </c>
      <c r="BDU29" s="46">
        <v>20</v>
      </c>
      <c r="BDV29" s="135" t="s">
        <v>22</v>
      </c>
      <c r="BDW29" s="136" t="s">
        <v>23</v>
      </c>
      <c r="BDX29" s="45">
        <v>23</v>
      </c>
      <c r="BDY29" s="46">
        <v>24</v>
      </c>
      <c r="BDZ29" s="46">
        <v>25</v>
      </c>
      <c r="BEA29" s="46">
        <v>26</v>
      </c>
      <c r="BEB29" s="46">
        <v>27</v>
      </c>
      <c r="BEC29" s="46">
        <v>28</v>
      </c>
      <c r="BED29" s="135" t="s">
        <v>22</v>
      </c>
      <c r="BEE29" s="136" t="s">
        <v>23</v>
      </c>
      <c r="BEF29" s="45">
        <v>2</v>
      </c>
      <c r="BEG29" s="46">
        <v>3</v>
      </c>
      <c r="BEH29" s="46">
        <v>4</v>
      </c>
      <c r="BEI29" s="46">
        <v>5</v>
      </c>
      <c r="BEJ29" s="46">
        <v>6</v>
      </c>
      <c r="BEK29" s="46">
        <v>7</v>
      </c>
      <c r="BEL29" s="135" t="s">
        <v>22</v>
      </c>
      <c r="BEM29" s="136" t="s">
        <v>23</v>
      </c>
      <c r="BEN29" s="45">
        <v>9</v>
      </c>
      <c r="BEO29" s="46">
        <v>10</v>
      </c>
      <c r="BEP29" s="46">
        <v>11</v>
      </c>
      <c r="BEQ29" s="46">
        <v>12</v>
      </c>
      <c r="BER29" s="46">
        <v>13</v>
      </c>
      <c r="BES29" s="46">
        <v>14</v>
      </c>
      <c r="BET29" s="135" t="s">
        <v>22</v>
      </c>
      <c r="BEU29" s="136" t="s">
        <v>23</v>
      </c>
      <c r="BEV29" s="80">
        <v>15</v>
      </c>
      <c r="BEW29" s="81">
        <v>16</v>
      </c>
      <c r="BEX29" s="81">
        <v>17</v>
      </c>
      <c r="BEY29" s="81">
        <v>18</v>
      </c>
      <c r="BEZ29" s="81">
        <v>19</v>
      </c>
      <c r="BFA29" s="81">
        <v>20</v>
      </c>
      <c r="BFB29" s="135" t="s">
        <v>22</v>
      </c>
      <c r="BFC29" s="136" t="s">
        <v>23</v>
      </c>
      <c r="BFD29" s="45">
        <v>22</v>
      </c>
      <c r="BFE29" s="46">
        <v>23</v>
      </c>
      <c r="BFF29" s="46">
        <v>24</v>
      </c>
      <c r="BFG29" s="46">
        <v>25</v>
      </c>
      <c r="BFH29" s="46">
        <v>26</v>
      </c>
      <c r="BFI29" s="46">
        <v>27</v>
      </c>
      <c r="BFJ29" s="135" t="s">
        <v>22</v>
      </c>
      <c r="BFK29" s="136" t="s">
        <v>23</v>
      </c>
      <c r="BFL29" s="45">
        <v>28</v>
      </c>
      <c r="BFM29" s="46">
        <v>29</v>
      </c>
      <c r="BFN29" s="46">
        <v>30</v>
      </c>
      <c r="BFO29" s="46">
        <v>30</v>
      </c>
      <c r="BFP29" s="46">
        <v>1</v>
      </c>
      <c r="BFQ29" s="46">
        <v>2</v>
      </c>
      <c r="BFR29" s="135" t="s">
        <v>22</v>
      </c>
      <c r="BFS29" s="136" t="s">
        <v>23</v>
      </c>
      <c r="BFT29" s="45">
        <v>6</v>
      </c>
      <c r="BFU29" s="46">
        <v>8</v>
      </c>
      <c r="BFV29" s="46">
        <v>9</v>
      </c>
      <c r="BFW29" s="46">
        <v>10</v>
      </c>
      <c r="BFX29" s="46">
        <v>11</v>
      </c>
      <c r="BFY29" s="46">
        <v>12</v>
      </c>
      <c r="BFZ29" s="135" t="s">
        <v>22</v>
      </c>
      <c r="BGA29" s="136" t="s">
        <v>23</v>
      </c>
      <c r="BGB29" s="45">
        <v>12</v>
      </c>
      <c r="BGC29" s="46">
        <v>13</v>
      </c>
      <c r="BGD29" s="46">
        <v>14</v>
      </c>
      <c r="BGE29" s="46">
        <v>15</v>
      </c>
      <c r="BGF29" s="46">
        <v>16</v>
      </c>
      <c r="BGG29" s="46">
        <v>17</v>
      </c>
      <c r="BGH29" s="135" t="s">
        <v>22</v>
      </c>
      <c r="BGI29" s="136" t="s">
        <v>23</v>
      </c>
      <c r="BGJ29" s="45">
        <v>20</v>
      </c>
      <c r="BGK29" s="46">
        <v>21</v>
      </c>
      <c r="BGL29" s="46">
        <v>22</v>
      </c>
      <c r="BGM29" s="46">
        <v>23</v>
      </c>
      <c r="BGN29" s="46">
        <v>24</v>
      </c>
      <c r="BGO29" s="46">
        <v>25</v>
      </c>
      <c r="BGP29" s="135" t="s">
        <v>22</v>
      </c>
      <c r="BGQ29" s="136" t="s">
        <v>23</v>
      </c>
      <c r="BGR29" s="45">
        <v>27</v>
      </c>
      <c r="BGS29" s="46">
        <v>29</v>
      </c>
      <c r="BGT29" s="46">
        <v>30</v>
      </c>
      <c r="BGU29" s="46">
        <v>30</v>
      </c>
      <c r="BGV29" s="46">
        <v>1</v>
      </c>
      <c r="BGW29" s="46">
        <v>2</v>
      </c>
      <c r="BGX29" s="135" t="s">
        <v>22</v>
      </c>
      <c r="BGY29" s="136" t="s">
        <v>23</v>
      </c>
      <c r="BGZ29" s="45">
        <v>3</v>
      </c>
      <c r="BHA29" s="46">
        <v>4</v>
      </c>
      <c r="BHB29" s="46">
        <v>5</v>
      </c>
      <c r="BHC29" s="46">
        <v>6</v>
      </c>
      <c r="BHD29" s="46">
        <v>7</v>
      </c>
      <c r="BHE29" s="46">
        <v>8</v>
      </c>
      <c r="BHF29" s="135" t="s">
        <v>22</v>
      </c>
      <c r="BHG29" s="136" t="s">
        <v>23</v>
      </c>
      <c r="BHH29" s="45">
        <v>10</v>
      </c>
      <c r="BHI29" s="46">
        <v>11</v>
      </c>
      <c r="BHJ29" s="46">
        <v>13</v>
      </c>
      <c r="BHK29" s="46">
        <v>14</v>
      </c>
      <c r="BHL29" s="46">
        <v>15</v>
      </c>
      <c r="BHM29" s="46">
        <v>16</v>
      </c>
      <c r="BHN29" s="135" t="s">
        <v>22</v>
      </c>
      <c r="BHO29" s="136" t="s">
        <v>23</v>
      </c>
      <c r="BHP29" s="45">
        <v>17</v>
      </c>
      <c r="BHQ29" s="46">
        <v>18</v>
      </c>
      <c r="BHR29" s="46">
        <v>19</v>
      </c>
      <c r="BHS29" s="46">
        <v>20</v>
      </c>
      <c r="BHT29" s="46">
        <v>21</v>
      </c>
      <c r="BHU29" s="46">
        <v>22</v>
      </c>
      <c r="BHV29" s="135" t="s">
        <v>22</v>
      </c>
      <c r="BHW29" s="136" t="s">
        <v>23</v>
      </c>
      <c r="BHX29" s="45">
        <v>23</v>
      </c>
      <c r="BHY29" s="46">
        <v>24</v>
      </c>
      <c r="BHZ29" s="46">
        <v>25</v>
      </c>
      <c r="BIA29" s="46">
        <v>26</v>
      </c>
      <c r="BIB29" s="46">
        <v>27</v>
      </c>
      <c r="BIC29" s="46">
        <v>28</v>
      </c>
      <c r="BID29" s="135" t="s">
        <v>22</v>
      </c>
      <c r="BIE29" s="136" t="s">
        <v>23</v>
      </c>
      <c r="BIF29" s="45">
        <v>30</v>
      </c>
      <c r="BIG29" s="46">
        <v>31</v>
      </c>
      <c r="BIH29" s="46">
        <v>1</v>
      </c>
      <c r="BII29" s="46">
        <v>2</v>
      </c>
      <c r="BIJ29" s="46">
        <v>3</v>
      </c>
      <c r="BIK29" s="46">
        <v>4</v>
      </c>
      <c r="BIL29" s="135" t="s">
        <v>22</v>
      </c>
      <c r="BIM29" s="136" t="s">
        <v>23</v>
      </c>
      <c r="BIN29" s="45">
        <v>6</v>
      </c>
      <c r="BIO29" s="46">
        <v>7</v>
      </c>
      <c r="BIP29" s="46">
        <v>8</v>
      </c>
      <c r="BIQ29" s="46">
        <v>9</v>
      </c>
      <c r="BIR29" s="46">
        <v>10</v>
      </c>
      <c r="BIS29" s="46">
        <v>11</v>
      </c>
      <c r="BIT29" s="135" t="s">
        <v>22</v>
      </c>
      <c r="BIU29" s="153" t="s">
        <v>23</v>
      </c>
      <c r="BIV29" s="191">
        <v>12</v>
      </c>
      <c r="BIW29" s="192">
        <v>13</v>
      </c>
      <c r="BIX29" s="192">
        <v>14</v>
      </c>
      <c r="BIY29" s="192">
        <v>15</v>
      </c>
      <c r="BIZ29" s="192">
        <v>16</v>
      </c>
      <c r="BJA29" s="192">
        <v>17</v>
      </c>
      <c r="BJB29" s="193" t="s">
        <v>22</v>
      </c>
      <c r="BJC29" s="198" t="s">
        <v>23</v>
      </c>
      <c r="BJD29" s="45">
        <v>19</v>
      </c>
      <c r="BJE29" s="46">
        <v>20</v>
      </c>
      <c r="BJF29" s="46">
        <v>21</v>
      </c>
      <c r="BJG29" s="46">
        <v>22</v>
      </c>
      <c r="BJH29" s="46">
        <v>23</v>
      </c>
      <c r="BJI29" s="46">
        <v>24</v>
      </c>
      <c r="BJJ29" s="135" t="s">
        <v>22</v>
      </c>
      <c r="BJK29" s="136" t="s">
        <v>23</v>
      </c>
      <c r="BJL29" s="45">
        <v>25</v>
      </c>
      <c r="BJM29" s="46">
        <v>26</v>
      </c>
      <c r="BJN29" s="46">
        <v>27</v>
      </c>
      <c r="BJO29" s="46">
        <v>28</v>
      </c>
      <c r="BJP29" s="46">
        <v>29</v>
      </c>
      <c r="BJQ29" s="46">
        <v>30</v>
      </c>
      <c r="BJR29" s="135" t="s">
        <v>22</v>
      </c>
      <c r="BJS29" s="136" t="s">
        <v>23</v>
      </c>
      <c r="BJT29" s="45">
        <v>31</v>
      </c>
      <c r="BJU29" s="46">
        <v>1</v>
      </c>
      <c r="BJV29" s="46">
        <v>2</v>
      </c>
      <c r="BJW29" s="46">
        <v>3</v>
      </c>
      <c r="BJX29" s="46">
        <v>4</v>
      </c>
      <c r="BJY29" s="46">
        <v>5</v>
      </c>
      <c r="BJZ29" s="135" t="s">
        <v>22</v>
      </c>
      <c r="BKA29" s="136" t="s">
        <v>23</v>
      </c>
      <c r="BKB29" s="45">
        <v>6</v>
      </c>
      <c r="BKC29" s="46">
        <v>7</v>
      </c>
      <c r="BKD29" s="46">
        <v>8</v>
      </c>
      <c r="BKE29" s="46">
        <v>9</v>
      </c>
      <c r="BKF29" s="46">
        <v>10</v>
      </c>
      <c r="BKG29" s="46">
        <v>11</v>
      </c>
      <c r="BKH29" s="135" t="s">
        <v>22</v>
      </c>
      <c r="BKI29" s="136" t="s">
        <v>23</v>
      </c>
      <c r="BKJ29" s="45">
        <v>12</v>
      </c>
      <c r="BKK29" s="46">
        <v>13</v>
      </c>
      <c r="BKL29" s="46">
        <v>14</v>
      </c>
      <c r="BKM29" s="46">
        <v>15</v>
      </c>
      <c r="BKN29" s="46">
        <v>16</v>
      </c>
      <c r="BKO29" s="46">
        <v>17</v>
      </c>
      <c r="BKP29" s="135" t="s">
        <v>22</v>
      </c>
      <c r="BKQ29" s="136" t="s">
        <v>23</v>
      </c>
      <c r="BKR29" s="45">
        <v>18</v>
      </c>
      <c r="BKS29" s="45">
        <v>19</v>
      </c>
      <c r="BKT29" s="45">
        <v>20</v>
      </c>
      <c r="BKU29" s="45">
        <v>21</v>
      </c>
      <c r="BKV29" s="45">
        <v>22</v>
      </c>
      <c r="BKW29" s="45">
        <v>23</v>
      </c>
      <c r="BKX29" s="135" t="s">
        <v>22</v>
      </c>
      <c r="BKY29" s="136" t="s">
        <v>23</v>
      </c>
      <c r="BKZ29" s="45">
        <v>24</v>
      </c>
      <c r="BLA29" s="46">
        <v>25</v>
      </c>
      <c r="BLB29" s="46">
        <v>26</v>
      </c>
      <c r="BLC29" s="46">
        <v>27</v>
      </c>
      <c r="BLD29" s="46">
        <v>28</v>
      </c>
      <c r="BLE29" s="46">
        <v>29</v>
      </c>
      <c r="BLF29" s="135" t="s">
        <v>22</v>
      </c>
      <c r="BLG29" s="136" t="s">
        <v>23</v>
      </c>
      <c r="BLH29" s="45">
        <v>29</v>
      </c>
      <c r="BLI29" s="46">
        <v>30</v>
      </c>
      <c r="BLJ29" s="46">
        <v>1</v>
      </c>
      <c r="BLK29" s="46">
        <v>2</v>
      </c>
      <c r="BLL29" s="46">
        <v>3</v>
      </c>
      <c r="BLM29" s="46">
        <v>4</v>
      </c>
      <c r="BLN29" s="135" t="s">
        <v>22</v>
      </c>
      <c r="BLO29" s="136" t="s">
        <v>23</v>
      </c>
      <c r="BLP29" s="45">
        <v>5</v>
      </c>
      <c r="BLQ29" s="46">
        <v>6</v>
      </c>
      <c r="BLR29" s="46">
        <v>7</v>
      </c>
      <c r="BLS29" s="46">
        <v>8</v>
      </c>
      <c r="BLT29" s="46">
        <v>9</v>
      </c>
      <c r="BLU29" s="46">
        <v>10</v>
      </c>
      <c r="BLV29" s="135" t="s">
        <v>22</v>
      </c>
      <c r="BLW29" s="136" t="s">
        <v>23</v>
      </c>
      <c r="BLX29" s="45">
        <v>11</v>
      </c>
      <c r="BLY29" s="46">
        <v>12</v>
      </c>
      <c r="BLZ29" s="46">
        <v>13</v>
      </c>
      <c r="BMA29" s="46">
        <v>14</v>
      </c>
      <c r="BMB29" s="46">
        <v>15</v>
      </c>
      <c r="BMC29" s="46">
        <v>16</v>
      </c>
      <c r="BMD29" s="135" t="s">
        <v>22</v>
      </c>
      <c r="BME29" s="136" t="s">
        <v>23</v>
      </c>
      <c r="BMF29" s="45">
        <v>17</v>
      </c>
      <c r="BMG29" s="45">
        <v>18</v>
      </c>
      <c r="BMH29" s="45">
        <v>19</v>
      </c>
      <c r="BMI29" s="45">
        <v>20</v>
      </c>
      <c r="BMJ29" s="45">
        <v>21</v>
      </c>
      <c r="BMK29" s="45">
        <v>22</v>
      </c>
      <c r="BML29" s="135" t="s">
        <v>22</v>
      </c>
      <c r="BMM29" s="136" t="s">
        <v>23</v>
      </c>
      <c r="BMN29" s="45">
        <v>23</v>
      </c>
      <c r="BMO29" s="46">
        <v>24</v>
      </c>
      <c r="BMP29" s="46">
        <v>25</v>
      </c>
      <c r="BMQ29" s="46">
        <v>26</v>
      </c>
      <c r="BMR29" s="46">
        <v>27</v>
      </c>
      <c r="BMS29" s="46">
        <v>28</v>
      </c>
      <c r="BMT29" s="135" t="s">
        <v>22</v>
      </c>
      <c r="BMU29" s="136" t="s">
        <v>23</v>
      </c>
      <c r="BMV29" s="45">
        <v>29</v>
      </c>
      <c r="BMW29" s="46">
        <v>30</v>
      </c>
      <c r="BMX29" s="46">
        <v>31</v>
      </c>
      <c r="BMY29" s="46">
        <v>1</v>
      </c>
      <c r="BMZ29" s="46">
        <v>2</v>
      </c>
      <c r="BNA29" s="46">
        <v>3</v>
      </c>
      <c r="BNB29" s="135" t="s">
        <v>22</v>
      </c>
      <c r="BNC29" s="136" t="s">
        <v>23</v>
      </c>
      <c r="BND29" s="45">
        <v>4</v>
      </c>
      <c r="BNE29" s="46">
        <v>5</v>
      </c>
      <c r="BNF29" s="46">
        <v>6</v>
      </c>
      <c r="BNG29" s="46">
        <v>7</v>
      </c>
      <c r="BNH29" s="46">
        <v>8</v>
      </c>
      <c r="BNI29" s="46">
        <v>9</v>
      </c>
      <c r="BNJ29" s="135" t="s">
        <v>22</v>
      </c>
      <c r="BNK29" s="136" t="s">
        <v>23</v>
      </c>
      <c r="BNL29" s="45">
        <v>11</v>
      </c>
      <c r="BNM29" s="46">
        <v>12</v>
      </c>
      <c r="BNN29" s="46">
        <v>13</v>
      </c>
      <c r="BNO29" s="46">
        <v>14</v>
      </c>
      <c r="BNP29" s="46">
        <v>15</v>
      </c>
      <c r="BNQ29" s="46">
        <v>16</v>
      </c>
      <c r="BNR29" s="135" t="s">
        <v>22</v>
      </c>
      <c r="BNS29" s="136" t="s">
        <v>23</v>
      </c>
      <c r="BNT29" s="45">
        <v>17</v>
      </c>
      <c r="BNU29" s="46">
        <v>18</v>
      </c>
      <c r="BNV29" s="46">
        <v>19</v>
      </c>
      <c r="BNW29" s="46">
        <v>20</v>
      </c>
      <c r="BNX29" s="46">
        <v>21</v>
      </c>
      <c r="BNY29" s="46">
        <v>22</v>
      </c>
      <c r="BNZ29" s="135" t="s">
        <v>22</v>
      </c>
      <c r="BOA29" s="136" t="s">
        <v>23</v>
      </c>
      <c r="BOB29" s="45">
        <v>23</v>
      </c>
      <c r="BOC29" s="45">
        <v>24</v>
      </c>
      <c r="BOD29" s="45">
        <v>25</v>
      </c>
      <c r="BOE29" s="45">
        <v>26</v>
      </c>
      <c r="BOF29" s="45">
        <v>27</v>
      </c>
      <c r="BOG29" s="45">
        <v>28</v>
      </c>
      <c r="BOH29" s="135" t="s">
        <v>22</v>
      </c>
      <c r="BOI29" s="136" t="s">
        <v>23</v>
      </c>
      <c r="BOJ29" s="45">
        <v>29</v>
      </c>
      <c r="BOK29" s="46">
        <v>30</v>
      </c>
      <c r="BOL29" s="46">
        <v>1</v>
      </c>
      <c r="BOM29" s="46">
        <v>2</v>
      </c>
      <c r="BON29" s="46">
        <v>3</v>
      </c>
      <c r="BOO29" s="46">
        <v>4</v>
      </c>
      <c r="BOP29" s="135" t="s">
        <v>22</v>
      </c>
      <c r="BOQ29" s="136" t="s">
        <v>23</v>
      </c>
      <c r="BOR29" s="45">
        <v>6</v>
      </c>
      <c r="BOS29" s="46">
        <v>7</v>
      </c>
      <c r="BOT29" s="46">
        <v>8</v>
      </c>
      <c r="BOU29" s="46">
        <v>9</v>
      </c>
      <c r="BOV29" s="46">
        <v>10</v>
      </c>
      <c r="BOW29" s="46">
        <v>11</v>
      </c>
      <c r="BOX29" s="135" t="s">
        <v>22</v>
      </c>
      <c r="BOY29" s="136" t="s">
        <v>23</v>
      </c>
      <c r="BOZ29" s="45">
        <v>12</v>
      </c>
      <c r="BPA29" s="46">
        <v>13</v>
      </c>
      <c r="BPB29" s="46">
        <v>14</v>
      </c>
      <c r="BPC29" s="46">
        <v>15</v>
      </c>
      <c r="BPD29" s="46">
        <v>16</v>
      </c>
      <c r="BPE29" s="46">
        <v>17</v>
      </c>
      <c r="BPF29" s="135" t="s">
        <v>22</v>
      </c>
      <c r="BPG29" s="136" t="s">
        <v>23</v>
      </c>
      <c r="BPH29" s="45">
        <v>20</v>
      </c>
      <c r="BPI29" s="46">
        <v>21</v>
      </c>
      <c r="BPJ29" s="46">
        <v>22</v>
      </c>
      <c r="BPK29" s="46">
        <v>23</v>
      </c>
      <c r="BPL29" s="46">
        <v>24</v>
      </c>
      <c r="BPM29" s="46">
        <v>25</v>
      </c>
      <c r="BPN29" s="135" t="s">
        <v>22</v>
      </c>
      <c r="BPO29" s="136" t="s">
        <v>23</v>
      </c>
      <c r="BPP29" s="45">
        <v>26</v>
      </c>
      <c r="BPQ29" s="46">
        <v>27</v>
      </c>
      <c r="BPR29" s="46">
        <v>28</v>
      </c>
      <c r="BPS29" s="46">
        <v>29</v>
      </c>
      <c r="BPT29" s="46">
        <v>30</v>
      </c>
      <c r="BPU29" s="46">
        <v>31</v>
      </c>
      <c r="BPV29" s="135" t="s">
        <v>22</v>
      </c>
      <c r="BPW29" s="136" t="s">
        <v>23</v>
      </c>
      <c r="BPX29" s="45">
        <v>2</v>
      </c>
      <c r="BPY29" s="46">
        <v>3</v>
      </c>
      <c r="BPZ29" s="46">
        <v>4</v>
      </c>
      <c r="BQA29" s="46">
        <v>5</v>
      </c>
      <c r="BQB29" s="46">
        <v>6</v>
      </c>
      <c r="BQC29" s="46">
        <v>7</v>
      </c>
      <c r="BQD29" s="135" t="s">
        <v>22</v>
      </c>
      <c r="BQE29" s="136" t="s">
        <v>23</v>
      </c>
      <c r="BQF29" s="45">
        <v>8</v>
      </c>
      <c r="BQG29" s="46">
        <v>9</v>
      </c>
      <c r="BQH29" s="46">
        <v>10</v>
      </c>
      <c r="BQI29" s="46">
        <v>11</v>
      </c>
      <c r="BQJ29" s="46">
        <v>12</v>
      </c>
      <c r="BQK29" s="46">
        <v>13</v>
      </c>
      <c r="BQL29" s="135" t="s">
        <v>22</v>
      </c>
      <c r="BQM29" s="136" t="s">
        <v>23</v>
      </c>
      <c r="BQN29" s="45">
        <v>14</v>
      </c>
      <c r="BQO29" s="46">
        <v>15</v>
      </c>
      <c r="BQP29" s="46">
        <v>16</v>
      </c>
      <c r="BQQ29" s="46">
        <v>17</v>
      </c>
      <c r="BQR29" s="46">
        <v>18</v>
      </c>
      <c r="BQS29" s="46">
        <v>19</v>
      </c>
      <c r="BQT29" s="135" t="s">
        <v>22</v>
      </c>
      <c r="BQU29" s="136" t="s">
        <v>23</v>
      </c>
      <c r="BQV29" s="45">
        <v>20</v>
      </c>
      <c r="BQW29" s="46">
        <v>21</v>
      </c>
      <c r="BQX29" s="46">
        <v>22</v>
      </c>
      <c r="BQY29" s="46">
        <v>23</v>
      </c>
      <c r="BQZ29" s="46">
        <v>24</v>
      </c>
      <c r="BRA29" s="46">
        <v>25</v>
      </c>
      <c r="BRB29" s="135" t="s">
        <v>22</v>
      </c>
      <c r="BRC29" s="136" t="s">
        <v>23</v>
      </c>
      <c r="BRD29" s="45">
        <v>26</v>
      </c>
      <c r="BRE29" s="46">
        <v>27</v>
      </c>
      <c r="BRF29" s="46">
        <v>28</v>
      </c>
      <c r="BRG29" s="46">
        <v>29</v>
      </c>
      <c r="BRH29" s="46">
        <v>30</v>
      </c>
      <c r="BRI29" s="46">
        <v>31</v>
      </c>
      <c r="BRJ29" s="135" t="s">
        <v>22</v>
      </c>
      <c r="BRK29" s="136" t="s">
        <v>23</v>
      </c>
      <c r="BRL29" s="61">
        <v>1</v>
      </c>
      <c r="BRM29" s="62">
        <v>2</v>
      </c>
      <c r="BRN29" s="62">
        <v>3</v>
      </c>
      <c r="BRO29" s="62">
        <v>4</v>
      </c>
      <c r="BRP29" s="62">
        <v>5</v>
      </c>
      <c r="BRQ29" s="62">
        <v>6</v>
      </c>
      <c r="BRR29" s="137" t="s">
        <v>22</v>
      </c>
      <c r="BRS29" s="138" t="s">
        <v>23</v>
      </c>
      <c r="BRT29" s="45">
        <v>7</v>
      </c>
      <c r="BRU29" s="46">
        <v>8</v>
      </c>
      <c r="BRV29" s="46">
        <v>9</v>
      </c>
      <c r="BRW29" s="46">
        <v>10</v>
      </c>
      <c r="BRX29" s="46">
        <v>15</v>
      </c>
      <c r="BRY29" s="46">
        <v>16</v>
      </c>
      <c r="BRZ29" s="135" t="s">
        <v>22</v>
      </c>
      <c r="BSA29" s="136" t="s">
        <v>23</v>
      </c>
      <c r="BSB29" s="45">
        <v>17</v>
      </c>
      <c r="BSC29" s="46">
        <v>18</v>
      </c>
      <c r="BSD29" s="46">
        <v>19</v>
      </c>
      <c r="BSE29" s="46">
        <v>20</v>
      </c>
      <c r="BSF29" s="46">
        <v>21</v>
      </c>
      <c r="BSG29" s="46">
        <v>22</v>
      </c>
      <c r="BSH29" s="135" t="s">
        <v>22</v>
      </c>
      <c r="BSI29" s="136" t="s">
        <v>23</v>
      </c>
      <c r="BSJ29" s="45">
        <v>23</v>
      </c>
      <c r="BSK29" s="46">
        <v>24</v>
      </c>
      <c r="BSL29" s="46">
        <v>25</v>
      </c>
      <c r="BSM29" s="46">
        <v>26</v>
      </c>
      <c r="BSN29" s="46">
        <v>27</v>
      </c>
      <c r="BSO29" s="46">
        <v>28</v>
      </c>
      <c r="BSP29" s="135" t="s">
        <v>22</v>
      </c>
      <c r="BSQ29" s="136" t="s">
        <v>23</v>
      </c>
      <c r="BSR29" s="45">
        <v>2</v>
      </c>
      <c r="BSS29" s="46">
        <v>3</v>
      </c>
      <c r="BST29" s="46">
        <v>4</v>
      </c>
      <c r="BSU29" s="46">
        <v>5</v>
      </c>
      <c r="BSV29" s="46">
        <v>6</v>
      </c>
      <c r="BSW29" s="46">
        <v>7</v>
      </c>
      <c r="BSX29" s="135" t="s">
        <v>22</v>
      </c>
      <c r="BSY29" s="136" t="s">
        <v>23</v>
      </c>
      <c r="BSZ29" s="45">
        <v>9</v>
      </c>
      <c r="BTA29" s="46">
        <v>10</v>
      </c>
      <c r="BTB29" s="46">
        <v>11</v>
      </c>
      <c r="BTC29" s="46">
        <v>12</v>
      </c>
      <c r="BTD29" s="46">
        <v>13</v>
      </c>
      <c r="BTE29" s="46">
        <v>14</v>
      </c>
      <c r="BTF29" s="135" t="s">
        <v>22</v>
      </c>
      <c r="BTG29" s="136" t="s">
        <v>23</v>
      </c>
      <c r="BTH29" s="45">
        <v>15</v>
      </c>
      <c r="BTI29" s="46">
        <v>16</v>
      </c>
      <c r="BTJ29" s="46">
        <v>17</v>
      </c>
      <c r="BTK29" s="46">
        <v>18</v>
      </c>
      <c r="BTL29" s="46">
        <v>19</v>
      </c>
      <c r="BTM29" s="46">
        <v>20</v>
      </c>
      <c r="BTN29" s="137" t="s">
        <v>22</v>
      </c>
      <c r="BTO29" s="138" t="s">
        <v>23</v>
      </c>
      <c r="BTP29" s="45">
        <v>22</v>
      </c>
      <c r="BTQ29" s="46">
        <v>23</v>
      </c>
      <c r="BTR29" s="46">
        <v>24</v>
      </c>
      <c r="BTS29" s="46">
        <v>25</v>
      </c>
      <c r="BTT29" s="46">
        <v>26</v>
      </c>
      <c r="BTU29" s="46">
        <v>27</v>
      </c>
      <c r="BTV29" s="135" t="s">
        <v>22</v>
      </c>
      <c r="BTW29" s="136" t="s">
        <v>23</v>
      </c>
      <c r="BTX29" s="45">
        <v>29</v>
      </c>
      <c r="BTY29" s="46">
        <v>30</v>
      </c>
      <c r="BTZ29" s="46">
        <v>31</v>
      </c>
      <c r="BUA29" s="46">
        <v>1</v>
      </c>
      <c r="BUB29" s="46">
        <v>2</v>
      </c>
      <c r="BUC29" s="46">
        <v>3</v>
      </c>
      <c r="BUD29" s="137" t="s">
        <v>22</v>
      </c>
      <c r="BUE29" s="138" t="s">
        <v>23</v>
      </c>
      <c r="BUF29" s="45">
        <v>5</v>
      </c>
      <c r="BUG29" s="46">
        <v>6</v>
      </c>
      <c r="BUH29" s="46">
        <v>7</v>
      </c>
      <c r="BUI29" s="46">
        <v>8</v>
      </c>
      <c r="BUJ29" s="46">
        <v>9</v>
      </c>
      <c r="BUK29" s="46">
        <v>10</v>
      </c>
      <c r="BUL29" s="137" t="s">
        <v>22</v>
      </c>
      <c r="BUM29" s="138" t="s">
        <v>23</v>
      </c>
      <c r="BUN29" s="45">
        <v>11</v>
      </c>
      <c r="BUO29" s="46">
        <v>12</v>
      </c>
      <c r="BUP29" s="46">
        <v>13</v>
      </c>
      <c r="BUQ29" s="46">
        <v>14</v>
      </c>
      <c r="BUR29" s="46">
        <v>15</v>
      </c>
      <c r="BUS29" s="46">
        <v>16</v>
      </c>
      <c r="BUT29" s="137" t="s">
        <v>22</v>
      </c>
      <c r="BUU29" s="138" t="s">
        <v>23</v>
      </c>
      <c r="BUV29" s="45">
        <v>17</v>
      </c>
      <c r="BUW29" s="46">
        <v>18</v>
      </c>
      <c r="BUX29" s="46">
        <v>19</v>
      </c>
      <c r="BUY29" s="46">
        <v>20</v>
      </c>
      <c r="BUZ29" s="46">
        <v>21</v>
      </c>
      <c r="BVA29" s="46">
        <v>22</v>
      </c>
      <c r="BVB29" s="137" t="s">
        <v>22</v>
      </c>
      <c r="BVC29" s="138" t="s">
        <v>23</v>
      </c>
      <c r="BVD29" s="45">
        <v>24</v>
      </c>
      <c r="BVE29" s="46">
        <v>25</v>
      </c>
      <c r="BVF29" s="46">
        <v>26</v>
      </c>
      <c r="BVG29" s="46">
        <v>27</v>
      </c>
      <c r="BVH29" s="46">
        <v>28</v>
      </c>
      <c r="BVI29" s="46">
        <v>29</v>
      </c>
      <c r="BVJ29" s="137" t="s">
        <v>22</v>
      </c>
      <c r="BVK29" s="138" t="s">
        <v>23</v>
      </c>
      <c r="BVL29" s="45">
        <v>2</v>
      </c>
      <c r="BVM29" s="46">
        <v>3</v>
      </c>
      <c r="BVN29" s="46">
        <v>4</v>
      </c>
      <c r="BVO29" s="46">
        <v>5</v>
      </c>
      <c r="BVP29" s="46">
        <v>6</v>
      </c>
      <c r="BVQ29" s="46">
        <v>7</v>
      </c>
      <c r="BVR29" s="137" t="s">
        <v>22</v>
      </c>
      <c r="BVS29" s="138" t="s">
        <v>23</v>
      </c>
      <c r="BVT29" s="45">
        <v>8</v>
      </c>
      <c r="BVU29" s="46">
        <v>10</v>
      </c>
      <c r="BVV29" s="46">
        <v>11</v>
      </c>
      <c r="BVW29" s="46">
        <v>12</v>
      </c>
      <c r="BVX29" s="46">
        <v>13</v>
      </c>
      <c r="BVY29" s="46">
        <v>14</v>
      </c>
      <c r="BVZ29" s="137" t="s">
        <v>22</v>
      </c>
      <c r="BWA29" s="138" t="s">
        <v>23</v>
      </c>
      <c r="BWB29" s="45">
        <v>15</v>
      </c>
      <c r="BWC29" s="46">
        <v>16</v>
      </c>
      <c r="BWD29" s="46">
        <v>17</v>
      </c>
      <c r="BWE29" s="46">
        <v>18</v>
      </c>
      <c r="BWF29" s="46">
        <v>19</v>
      </c>
      <c r="BWG29" s="46">
        <v>20</v>
      </c>
      <c r="BWH29" s="137" t="s">
        <v>22</v>
      </c>
      <c r="BWI29" s="138" t="s">
        <v>23</v>
      </c>
      <c r="BWJ29" s="45">
        <v>21</v>
      </c>
      <c r="BWK29" s="46">
        <v>22</v>
      </c>
      <c r="BWL29" s="46">
        <v>23</v>
      </c>
      <c r="BWM29" s="46">
        <v>24</v>
      </c>
      <c r="BWN29" s="46">
        <v>25</v>
      </c>
      <c r="BWO29" s="46">
        <v>26</v>
      </c>
      <c r="BWP29" s="137" t="s">
        <v>22</v>
      </c>
      <c r="BWQ29" s="138" t="s">
        <v>23</v>
      </c>
      <c r="BWR29" s="45">
        <v>28</v>
      </c>
      <c r="BWS29" s="46">
        <v>29</v>
      </c>
      <c r="BWT29" s="46">
        <v>31</v>
      </c>
      <c r="BWU29" s="46">
        <v>1</v>
      </c>
      <c r="BWV29" s="46">
        <v>2</v>
      </c>
      <c r="BWW29" s="46">
        <v>3</v>
      </c>
      <c r="BWX29" s="137" t="s">
        <v>22</v>
      </c>
      <c r="BWY29" s="138" t="s">
        <v>23</v>
      </c>
      <c r="BWZ29" s="45">
        <v>4</v>
      </c>
      <c r="BXA29" s="46">
        <v>5</v>
      </c>
      <c r="BXB29" s="46">
        <v>6</v>
      </c>
      <c r="BXC29" s="46">
        <v>7</v>
      </c>
      <c r="BXD29" s="46">
        <v>8</v>
      </c>
      <c r="BXE29" s="46">
        <v>9</v>
      </c>
      <c r="BXF29" s="137" t="s">
        <v>22</v>
      </c>
      <c r="BXG29" s="138" t="s">
        <v>23</v>
      </c>
      <c r="BXH29" s="45">
        <v>11</v>
      </c>
      <c r="BXI29" s="46">
        <v>12</v>
      </c>
      <c r="BXJ29" s="46">
        <v>14</v>
      </c>
      <c r="BXK29" s="46">
        <v>15</v>
      </c>
      <c r="BXL29" s="46">
        <v>16</v>
      </c>
      <c r="BXM29" s="46">
        <v>17</v>
      </c>
      <c r="BXN29" s="137" t="s">
        <v>22</v>
      </c>
      <c r="BXO29" s="138" t="s">
        <v>23</v>
      </c>
      <c r="BXP29" s="45">
        <v>17</v>
      </c>
      <c r="BXQ29" s="46">
        <v>18</v>
      </c>
      <c r="BXR29" s="46">
        <v>19</v>
      </c>
      <c r="BXS29" s="46">
        <v>20</v>
      </c>
      <c r="BXT29" s="46">
        <v>21</v>
      </c>
      <c r="BXU29" s="46">
        <v>22</v>
      </c>
      <c r="BXV29" s="137" t="s">
        <v>22</v>
      </c>
      <c r="BXW29" s="138" t="s">
        <v>23</v>
      </c>
      <c r="BXX29" s="45">
        <v>25</v>
      </c>
      <c r="BXY29" s="46">
        <v>26</v>
      </c>
      <c r="BXZ29" s="46">
        <v>27</v>
      </c>
      <c r="BYA29" s="46">
        <v>28</v>
      </c>
      <c r="BYB29" s="46">
        <v>29</v>
      </c>
      <c r="BYC29" s="46">
        <v>30</v>
      </c>
      <c r="BYD29" s="137" t="s">
        <v>22</v>
      </c>
      <c r="BYE29" s="138" t="s">
        <v>23</v>
      </c>
      <c r="BYF29" s="45">
        <v>1</v>
      </c>
      <c r="BYG29" s="46">
        <v>2</v>
      </c>
      <c r="BYH29" s="46">
        <v>3</v>
      </c>
      <c r="BYI29" s="46">
        <v>5</v>
      </c>
      <c r="BYJ29" s="46">
        <v>6</v>
      </c>
      <c r="BYK29" s="46">
        <v>7</v>
      </c>
      <c r="BYL29" s="137" t="s">
        <v>22</v>
      </c>
      <c r="BYM29" s="138" t="s">
        <v>23</v>
      </c>
      <c r="BYN29" s="45">
        <v>8</v>
      </c>
      <c r="BYO29" s="46">
        <v>9</v>
      </c>
      <c r="BYP29" s="46">
        <v>10</v>
      </c>
      <c r="BYQ29" s="46">
        <v>12</v>
      </c>
      <c r="BYR29" s="46">
        <v>13</v>
      </c>
      <c r="BYS29" s="46">
        <v>14</v>
      </c>
      <c r="BYT29" s="137" t="s">
        <v>22</v>
      </c>
      <c r="BYU29" s="138" t="s">
        <v>23</v>
      </c>
      <c r="BYV29" s="45">
        <v>15</v>
      </c>
      <c r="BYW29" s="46">
        <v>16</v>
      </c>
      <c r="BYX29" s="46">
        <v>17</v>
      </c>
      <c r="BYY29" s="46">
        <v>18</v>
      </c>
      <c r="BYZ29" s="46">
        <v>19</v>
      </c>
      <c r="BZA29" s="46">
        <v>20</v>
      </c>
      <c r="BZB29" s="137" t="s">
        <v>22</v>
      </c>
      <c r="BZC29" s="138" t="s">
        <v>23</v>
      </c>
      <c r="BZD29" s="45">
        <v>21</v>
      </c>
      <c r="BZE29" s="46">
        <v>22</v>
      </c>
      <c r="BZF29" s="46">
        <v>23</v>
      </c>
      <c r="BZG29" s="46">
        <v>24</v>
      </c>
      <c r="BZH29" s="46">
        <v>25</v>
      </c>
      <c r="BZI29" s="46">
        <v>26</v>
      </c>
      <c r="BZJ29" s="137" t="s">
        <v>22</v>
      </c>
      <c r="BZK29" s="138" t="s">
        <v>23</v>
      </c>
      <c r="BZL29" s="45">
        <v>28</v>
      </c>
      <c r="BZM29" s="46">
        <v>29</v>
      </c>
      <c r="BZN29" s="46">
        <v>30</v>
      </c>
      <c r="BZO29" s="46">
        <v>31</v>
      </c>
      <c r="BZP29" s="46">
        <v>1</v>
      </c>
      <c r="BZQ29" s="46">
        <v>2</v>
      </c>
      <c r="BZR29" s="137" t="s">
        <v>22</v>
      </c>
      <c r="BZS29" s="138" t="s">
        <v>23</v>
      </c>
      <c r="BZT29" s="45">
        <v>2</v>
      </c>
      <c r="BZU29" s="46">
        <v>3</v>
      </c>
      <c r="BZV29" s="46">
        <v>4</v>
      </c>
      <c r="BZW29" s="46">
        <v>5</v>
      </c>
      <c r="BZX29" s="46">
        <v>6</v>
      </c>
      <c r="BZY29" s="46">
        <v>7</v>
      </c>
      <c r="BZZ29" s="137" t="s">
        <v>22</v>
      </c>
      <c r="CAA29" s="138" t="s">
        <v>23</v>
      </c>
      <c r="CAB29" s="45">
        <v>9</v>
      </c>
      <c r="CAC29" s="46">
        <v>10</v>
      </c>
      <c r="CAD29" s="46">
        <v>11</v>
      </c>
      <c r="CAE29" s="46">
        <v>12</v>
      </c>
      <c r="CAF29" s="46">
        <v>13</v>
      </c>
      <c r="CAG29" s="46">
        <v>14</v>
      </c>
      <c r="CAH29" s="137" t="s">
        <v>22</v>
      </c>
      <c r="CAI29" s="138" t="s">
        <v>23</v>
      </c>
      <c r="CAJ29" s="45">
        <v>16</v>
      </c>
      <c r="CAK29" s="46">
        <v>17</v>
      </c>
      <c r="CAL29" s="46">
        <v>18</v>
      </c>
      <c r="CAM29" s="46">
        <v>19</v>
      </c>
      <c r="CAN29" s="46">
        <v>20</v>
      </c>
      <c r="CAO29" s="46">
        <v>21</v>
      </c>
      <c r="CAP29" s="137" t="s">
        <v>22</v>
      </c>
      <c r="CAQ29" s="138" t="s">
        <v>23</v>
      </c>
      <c r="CAR29" s="45">
        <v>23</v>
      </c>
      <c r="CAS29" s="46">
        <v>24</v>
      </c>
      <c r="CAT29" s="46">
        <v>25</v>
      </c>
      <c r="CAU29" s="46">
        <v>26</v>
      </c>
      <c r="CAV29" s="46">
        <v>27</v>
      </c>
      <c r="CAW29" s="46">
        <v>28</v>
      </c>
      <c r="CAX29" s="137" t="s">
        <v>22</v>
      </c>
      <c r="CAY29" s="138" t="s">
        <v>23</v>
      </c>
      <c r="CAZ29" s="45">
        <v>29</v>
      </c>
      <c r="CBA29" s="46">
        <v>30</v>
      </c>
      <c r="CBB29" s="46">
        <v>31</v>
      </c>
      <c r="CBC29" s="46">
        <v>1</v>
      </c>
      <c r="CBD29" s="46">
        <v>2</v>
      </c>
      <c r="CBE29" s="46">
        <v>3</v>
      </c>
      <c r="CBF29" s="137" t="s">
        <v>22</v>
      </c>
      <c r="CBG29" s="138" t="s">
        <v>23</v>
      </c>
      <c r="CBH29" s="45">
        <v>4</v>
      </c>
      <c r="CBI29" s="46">
        <v>5</v>
      </c>
      <c r="CBJ29" s="46">
        <v>6</v>
      </c>
      <c r="CBK29" s="46">
        <v>7</v>
      </c>
      <c r="CBL29" s="46">
        <v>8</v>
      </c>
      <c r="CBM29" s="46">
        <v>9</v>
      </c>
      <c r="CBN29" s="137" t="s">
        <v>22</v>
      </c>
      <c r="CBO29" s="138" t="s">
        <v>23</v>
      </c>
      <c r="CBP29" s="45">
        <v>10</v>
      </c>
      <c r="CBQ29" s="46">
        <v>11</v>
      </c>
      <c r="CBR29" s="46">
        <v>12</v>
      </c>
      <c r="CBS29" s="46">
        <v>13</v>
      </c>
      <c r="CBT29" s="46">
        <v>14</v>
      </c>
      <c r="CBU29" s="46">
        <v>15</v>
      </c>
      <c r="CBV29" s="137" t="s">
        <v>22</v>
      </c>
      <c r="CBW29" s="138" t="s">
        <v>23</v>
      </c>
      <c r="CBX29" s="45">
        <v>17</v>
      </c>
      <c r="CBY29" s="46">
        <v>18</v>
      </c>
      <c r="CBZ29" s="46">
        <v>19</v>
      </c>
      <c r="CCA29" s="46">
        <v>20</v>
      </c>
      <c r="CCB29" s="46">
        <v>21</v>
      </c>
      <c r="CCC29" s="46">
        <v>22</v>
      </c>
      <c r="CCD29" s="137" t="s">
        <v>22</v>
      </c>
      <c r="CCE29" s="138" t="s">
        <v>23</v>
      </c>
      <c r="CCF29" s="45">
        <v>23</v>
      </c>
      <c r="CCG29" s="46">
        <v>24</v>
      </c>
      <c r="CCH29" s="46">
        <v>25</v>
      </c>
      <c r="CCI29" s="46">
        <v>27</v>
      </c>
      <c r="CCJ29" s="46">
        <v>28</v>
      </c>
      <c r="CCK29" s="46">
        <v>29</v>
      </c>
      <c r="CCL29" s="137" t="s">
        <v>22</v>
      </c>
      <c r="CCM29" s="138" t="s">
        <v>23</v>
      </c>
      <c r="CCN29" s="45">
        <v>30</v>
      </c>
      <c r="CCO29" s="46">
        <v>1</v>
      </c>
      <c r="CCP29" s="46">
        <v>2</v>
      </c>
      <c r="CCQ29" s="46">
        <v>3</v>
      </c>
      <c r="CCR29" s="46">
        <v>4</v>
      </c>
      <c r="CCS29" s="46">
        <v>5</v>
      </c>
      <c r="CCT29" s="137" t="s">
        <v>22</v>
      </c>
      <c r="CCU29" s="138" t="s">
        <v>23</v>
      </c>
      <c r="CCV29" s="45">
        <v>5</v>
      </c>
      <c r="CCW29" s="46">
        <v>6</v>
      </c>
      <c r="CCX29" s="46">
        <v>7</v>
      </c>
      <c r="CCY29" s="46">
        <v>8</v>
      </c>
      <c r="CCZ29" s="46">
        <v>9</v>
      </c>
      <c r="CDA29" s="46">
        <v>10</v>
      </c>
      <c r="CDB29" s="137" t="s">
        <v>22</v>
      </c>
      <c r="CDC29" s="138" t="s">
        <v>23</v>
      </c>
      <c r="CDD29" s="45">
        <v>11</v>
      </c>
      <c r="CDE29" s="46">
        <v>12</v>
      </c>
      <c r="CDF29" s="46">
        <v>13</v>
      </c>
      <c r="CDG29" s="46">
        <v>14</v>
      </c>
      <c r="CDH29" s="46">
        <v>15</v>
      </c>
      <c r="CDI29" s="46">
        <v>16</v>
      </c>
      <c r="CDJ29" s="137" t="s">
        <v>22</v>
      </c>
      <c r="CDK29" s="138" t="s">
        <v>23</v>
      </c>
      <c r="CDL29" s="45">
        <v>18</v>
      </c>
      <c r="CDM29" s="46">
        <v>19</v>
      </c>
      <c r="CDN29" s="46">
        <v>20</v>
      </c>
      <c r="CDO29" s="46">
        <v>21</v>
      </c>
      <c r="CDP29" s="46">
        <v>22</v>
      </c>
      <c r="CDQ29" s="46">
        <v>23</v>
      </c>
      <c r="CDR29" s="137" t="s">
        <v>22</v>
      </c>
      <c r="CDS29" s="138" t="s">
        <v>23</v>
      </c>
      <c r="CDT29" s="61">
        <v>24</v>
      </c>
      <c r="CDU29" s="62">
        <v>25</v>
      </c>
      <c r="CDV29" s="62">
        <v>26</v>
      </c>
      <c r="CDW29" s="62">
        <v>27</v>
      </c>
      <c r="CDX29" s="62">
        <v>28</v>
      </c>
      <c r="CDY29" s="62">
        <v>29</v>
      </c>
      <c r="CDZ29" s="137" t="s">
        <v>22</v>
      </c>
      <c r="CEA29" s="138" t="s">
        <v>23</v>
      </c>
      <c r="CEB29" s="45">
        <v>30</v>
      </c>
      <c r="CEC29" s="46">
        <v>31</v>
      </c>
      <c r="CED29" s="46">
        <v>1</v>
      </c>
      <c r="CEE29" s="46">
        <v>2</v>
      </c>
      <c r="CEF29" s="46">
        <v>3</v>
      </c>
      <c r="CEG29" s="46">
        <v>4</v>
      </c>
      <c r="CEH29" s="137" t="s">
        <v>22</v>
      </c>
      <c r="CEI29" s="138" t="s">
        <v>23</v>
      </c>
      <c r="CEJ29" s="61">
        <v>5</v>
      </c>
      <c r="CEK29" s="62">
        <v>6</v>
      </c>
      <c r="CEL29" s="62">
        <v>7</v>
      </c>
      <c r="CEM29" s="62">
        <v>8</v>
      </c>
      <c r="CEN29" s="62">
        <v>9</v>
      </c>
      <c r="CEO29" s="62">
        <v>10</v>
      </c>
      <c r="CEP29" s="137" t="s">
        <v>22</v>
      </c>
      <c r="CEQ29" s="138" t="s">
        <v>23</v>
      </c>
      <c r="CER29" s="45">
        <v>11</v>
      </c>
      <c r="CES29" s="46">
        <v>12</v>
      </c>
      <c r="CET29" s="46">
        <v>13</v>
      </c>
      <c r="CEU29" s="46">
        <v>15</v>
      </c>
      <c r="CEV29" s="46">
        <v>16</v>
      </c>
      <c r="CEW29" s="46">
        <v>17</v>
      </c>
      <c r="CEX29" s="137" t="s">
        <v>22</v>
      </c>
      <c r="CEY29" s="138" t="s">
        <v>23</v>
      </c>
      <c r="CEZ29" s="45">
        <v>19</v>
      </c>
      <c r="CFA29" s="46">
        <v>20</v>
      </c>
      <c r="CFB29" s="46">
        <v>21</v>
      </c>
      <c r="CFC29" s="46">
        <v>22</v>
      </c>
      <c r="CFD29" s="46">
        <v>23</v>
      </c>
      <c r="CFE29" s="46">
        <v>24</v>
      </c>
      <c r="CFF29" s="137" t="s">
        <v>22</v>
      </c>
      <c r="CFG29" s="138" t="s">
        <v>23</v>
      </c>
      <c r="CFH29" s="45">
        <v>25</v>
      </c>
      <c r="CFI29" s="46">
        <v>26</v>
      </c>
      <c r="CFJ29" s="46">
        <v>27</v>
      </c>
      <c r="CFK29" s="46">
        <v>28</v>
      </c>
      <c r="CFL29" s="46">
        <v>29</v>
      </c>
      <c r="CFM29" s="46">
        <v>30</v>
      </c>
      <c r="CFN29" s="137" t="s">
        <v>22</v>
      </c>
      <c r="CFO29" s="138" t="s">
        <v>23</v>
      </c>
      <c r="CFP29" s="45">
        <v>1</v>
      </c>
      <c r="CFQ29" s="46">
        <v>2</v>
      </c>
      <c r="CFR29" s="46">
        <v>3</v>
      </c>
      <c r="CFS29" s="46">
        <v>4</v>
      </c>
      <c r="CFT29" s="46">
        <v>6</v>
      </c>
      <c r="CFU29" s="46">
        <v>7</v>
      </c>
      <c r="CFV29" s="137" t="s">
        <v>22</v>
      </c>
      <c r="CFW29" s="138" t="s">
        <v>23</v>
      </c>
      <c r="CFX29" s="45">
        <v>8</v>
      </c>
      <c r="CFY29" s="46">
        <v>9</v>
      </c>
      <c r="CFZ29" s="46">
        <v>10</v>
      </c>
      <c r="CGA29" s="46">
        <v>11</v>
      </c>
      <c r="CGB29" s="46">
        <v>12</v>
      </c>
      <c r="CGC29" s="46">
        <v>13</v>
      </c>
      <c r="CGD29" s="137" t="s">
        <v>22</v>
      </c>
      <c r="CGE29" s="138" t="s">
        <v>23</v>
      </c>
      <c r="CGF29" s="45">
        <v>15</v>
      </c>
      <c r="CGG29" s="45">
        <v>16</v>
      </c>
      <c r="CGH29" s="45">
        <v>17</v>
      </c>
      <c r="CGI29" s="45">
        <v>18</v>
      </c>
      <c r="CGJ29" s="45">
        <v>19</v>
      </c>
      <c r="CGK29" s="45">
        <v>20</v>
      </c>
      <c r="CGL29" s="137" t="s">
        <v>22</v>
      </c>
      <c r="CGM29" s="138" t="s">
        <v>23</v>
      </c>
      <c r="CGN29" s="71">
        <v>21</v>
      </c>
      <c r="CGO29" s="103">
        <v>22</v>
      </c>
      <c r="CGP29" s="103">
        <v>23</v>
      </c>
      <c r="CGQ29" s="103">
        <v>24</v>
      </c>
      <c r="CGR29" s="103">
        <v>25</v>
      </c>
      <c r="CGS29" s="103">
        <v>26</v>
      </c>
      <c r="CGT29" s="181" t="s">
        <v>22</v>
      </c>
      <c r="CGU29" s="182" t="s">
        <v>23</v>
      </c>
      <c r="CGV29" s="61">
        <v>27</v>
      </c>
      <c r="CGW29" s="62">
        <v>28</v>
      </c>
      <c r="CGX29" s="62">
        <v>29</v>
      </c>
      <c r="CGY29" s="62">
        <v>30</v>
      </c>
      <c r="CGZ29" s="62">
        <v>31</v>
      </c>
      <c r="CHA29" s="62">
        <v>3</v>
      </c>
      <c r="CHB29" s="137" t="s">
        <v>22</v>
      </c>
      <c r="CHC29" s="138" t="s">
        <v>23</v>
      </c>
      <c r="CHD29" s="45">
        <v>3</v>
      </c>
      <c r="CHE29" s="46">
        <v>4</v>
      </c>
      <c r="CHF29" s="46">
        <v>5</v>
      </c>
      <c r="CHG29" s="46">
        <v>6</v>
      </c>
      <c r="CHH29" s="46">
        <v>7</v>
      </c>
      <c r="CHI29" s="46">
        <v>8</v>
      </c>
      <c r="CHJ29" s="137" t="s">
        <v>22</v>
      </c>
      <c r="CHK29" s="138" t="s">
        <v>23</v>
      </c>
      <c r="CHL29" s="45">
        <v>9</v>
      </c>
      <c r="CHM29" s="46">
        <v>10</v>
      </c>
      <c r="CHN29" s="46">
        <v>11</v>
      </c>
      <c r="CHO29" s="46">
        <v>12</v>
      </c>
      <c r="CHP29" s="46">
        <v>13</v>
      </c>
      <c r="CHQ29" s="46">
        <v>14</v>
      </c>
      <c r="CHR29" s="137" t="s">
        <v>22</v>
      </c>
      <c r="CHS29" s="138" t="s">
        <v>23</v>
      </c>
      <c r="CHT29" s="45">
        <v>14</v>
      </c>
      <c r="CHU29" s="45">
        <v>15</v>
      </c>
      <c r="CHV29" s="45">
        <v>16</v>
      </c>
      <c r="CHW29" s="45">
        <v>17</v>
      </c>
      <c r="CHX29" s="45">
        <v>18</v>
      </c>
      <c r="CHY29" s="45">
        <v>19</v>
      </c>
      <c r="CHZ29" s="137" t="s">
        <v>22</v>
      </c>
      <c r="CIA29" s="138" t="s">
        <v>23</v>
      </c>
      <c r="CIB29" s="61">
        <v>21</v>
      </c>
      <c r="CIC29" s="62">
        <v>22</v>
      </c>
      <c r="CID29" s="62">
        <v>23</v>
      </c>
      <c r="CIE29" s="62">
        <v>24</v>
      </c>
      <c r="CIF29" s="62">
        <v>25</v>
      </c>
      <c r="CIG29" s="62">
        <v>26</v>
      </c>
      <c r="CIH29" s="137" t="s">
        <v>22</v>
      </c>
      <c r="CII29" s="138" t="s">
        <v>23</v>
      </c>
      <c r="CIJ29" s="45">
        <v>27</v>
      </c>
      <c r="CIK29" s="46">
        <v>28</v>
      </c>
      <c r="CIL29" s="46">
        <v>29</v>
      </c>
      <c r="CIM29" s="46">
        <v>30</v>
      </c>
      <c r="CIN29" s="46">
        <v>31</v>
      </c>
      <c r="CIO29" s="46">
        <v>5</v>
      </c>
      <c r="CIP29" s="137" t="s">
        <v>22</v>
      </c>
      <c r="CIQ29" s="138" t="s">
        <v>23</v>
      </c>
      <c r="CIR29" s="45">
        <v>7</v>
      </c>
      <c r="CIS29" s="46">
        <v>8</v>
      </c>
      <c r="CIT29" s="46">
        <v>9</v>
      </c>
      <c r="CIU29" s="46">
        <v>10</v>
      </c>
      <c r="CIV29" s="46">
        <v>11</v>
      </c>
      <c r="CIW29" s="46">
        <v>12</v>
      </c>
      <c r="CIX29" s="137" t="s">
        <v>22</v>
      </c>
      <c r="CIY29" s="138" t="s">
        <v>23</v>
      </c>
      <c r="CIZ29" s="45">
        <v>14</v>
      </c>
      <c r="CJA29" s="46">
        <v>15</v>
      </c>
      <c r="CJB29" s="46">
        <v>16</v>
      </c>
      <c r="CJC29" s="46">
        <v>17</v>
      </c>
      <c r="CJD29" s="46">
        <v>18</v>
      </c>
      <c r="CJE29" s="46">
        <v>19</v>
      </c>
      <c r="CJF29" s="137" t="s">
        <v>22</v>
      </c>
      <c r="CJG29" s="138" t="s">
        <v>23</v>
      </c>
      <c r="CJH29" s="45">
        <v>20</v>
      </c>
      <c r="CJI29" s="46">
        <v>21</v>
      </c>
      <c r="CJJ29" s="46">
        <v>22</v>
      </c>
      <c r="CJK29" s="46">
        <v>23</v>
      </c>
      <c r="CJL29" s="46">
        <v>24</v>
      </c>
      <c r="CJM29" s="46">
        <v>25</v>
      </c>
      <c r="CJN29" s="137" t="s">
        <v>22</v>
      </c>
      <c r="CJO29" s="183" t="s">
        <v>23</v>
      </c>
      <c r="CJP29" s="61">
        <v>26</v>
      </c>
      <c r="CJQ29" s="62">
        <v>28</v>
      </c>
      <c r="CJR29" s="62">
        <v>1</v>
      </c>
      <c r="CJS29" s="62">
        <v>2</v>
      </c>
      <c r="CJT29" s="62">
        <v>3</v>
      </c>
      <c r="CJU29" s="62">
        <v>4</v>
      </c>
      <c r="CJV29" s="137" t="s">
        <v>22</v>
      </c>
      <c r="CJW29" s="138" t="s">
        <v>23</v>
      </c>
      <c r="CJX29" s="61">
        <v>5</v>
      </c>
      <c r="CJY29" s="62">
        <v>6</v>
      </c>
      <c r="CJZ29" s="62">
        <v>7</v>
      </c>
      <c r="CKA29" s="62">
        <v>8</v>
      </c>
      <c r="CKB29" s="62">
        <v>9</v>
      </c>
      <c r="CKC29" s="62">
        <v>10</v>
      </c>
      <c r="CKD29" s="137" t="s">
        <v>22</v>
      </c>
      <c r="CKE29" s="138" t="s">
        <v>23</v>
      </c>
      <c r="CKF29" s="61">
        <v>14</v>
      </c>
      <c r="CKG29" s="61">
        <v>15</v>
      </c>
      <c r="CKH29" s="61">
        <v>16</v>
      </c>
      <c r="CKI29" s="61">
        <v>17</v>
      </c>
      <c r="CKJ29" s="61">
        <v>18</v>
      </c>
      <c r="CKK29" s="61">
        <v>19</v>
      </c>
      <c r="CKL29" s="137" t="s">
        <v>22</v>
      </c>
      <c r="CKM29" s="138" t="s">
        <v>23</v>
      </c>
      <c r="CKN29" s="45">
        <v>19</v>
      </c>
      <c r="CKO29" s="46">
        <v>21</v>
      </c>
      <c r="CKP29" s="46">
        <v>22</v>
      </c>
      <c r="CKQ29" s="46">
        <v>23</v>
      </c>
      <c r="CKR29" s="46">
        <v>24</v>
      </c>
      <c r="CKS29" s="46">
        <v>25</v>
      </c>
      <c r="CKT29" s="137" t="s">
        <v>22</v>
      </c>
      <c r="CKU29" s="138" t="s">
        <v>23</v>
      </c>
      <c r="CKV29" s="45">
        <v>26</v>
      </c>
      <c r="CKW29" s="46">
        <v>27</v>
      </c>
      <c r="CKX29" s="46">
        <v>28</v>
      </c>
      <c r="CKY29" s="46">
        <v>29</v>
      </c>
      <c r="CKZ29" s="46">
        <v>30</v>
      </c>
      <c r="CLA29" s="46">
        <v>31</v>
      </c>
      <c r="CLB29" s="137" t="s">
        <v>22</v>
      </c>
      <c r="CLC29" s="138" t="s">
        <v>23</v>
      </c>
      <c r="CLD29" s="45">
        <v>1</v>
      </c>
      <c r="CLE29" s="46">
        <v>2</v>
      </c>
      <c r="CLF29" s="46">
        <v>3</v>
      </c>
      <c r="CLG29" s="46">
        <v>4</v>
      </c>
      <c r="CLH29" s="46">
        <v>5</v>
      </c>
      <c r="CLI29" s="46">
        <v>6</v>
      </c>
      <c r="CLJ29" s="137" t="s">
        <v>22</v>
      </c>
      <c r="CLK29" s="138" t="s">
        <v>23</v>
      </c>
      <c r="CLL29" s="45">
        <v>7</v>
      </c>
      <c r="CLM29" s="46">
        <v>8</v>
      </c>
      <c r="CLN29" s="46">
        <v>9</v>
      </c>
      <c r="CLO29" s="46">
        <v>10</v>
      </c>
      <c r="CLP29" s="46">
        <v>11</v>
      </c>
      <c r="CLQ29" s="46">
        <v>12</v>
      </c>
      <c r="CLR29" s="137" t="s">
        <v>22</v>
      </c>
      <c r="CLS29" s="138" t="s">
        <v>23</v>
      </c>
      <c r="CLT29" s="45">
        <v>15</v>
      </c>
      <c r="CLU29" s="46">
        <v>16</v>
      </c>
      <c r="CLV29" s="46">
        <v>17</v>
      </c>
      <c r="CLW29" s="46">
        <v>18</v>
      </c>
      <c r="CLX29" s="46">
        <v>19</v>
      </c>
      <c r="CLY29" s="46">
        <v>20</v>
      </c>
      <c r="CLZ29" s="137" t="s">
        <v>22</v>
      </c>
      <c r="CMA29" s="138" t="s">
        <v>23</v>
      </c>
      <c r="CMB29" s="45">
        <v>21</v>
      </c>
      <c r="CMC29" s="46">
        <v>22</v>
      </c>
      <c r="CMD29" s="46">
        <v>23</v>
      </c>
      <c r="CME29" s="46">
        <v>24</v>
      </c>
      <c r="CMF29" s="46">
        <v>25</v>
      </c>
      <c r="CMG29" s="46">
        <v>26</v>
      </c>
      <c r="CMH29" s="137" t="s">
        <v>22</v>
      </c>
      <c r="CMI29" s="138" t="s">
        <v>23</v>
      </c>
      <c r="CMJ29" s="45">
        <v>27</v>
      </c>
      <c r="CMK29" s="46">
        <v>28</v>
      </c>
      <c r="CML29" s="46">
        <v>29</v>
      </c>
      <c r="CMM29" s="46">
        <v>2</v>
      </c>
      <c r="CMN29" s="46">
        <v>3</v>
      </c>
      <c r="CMO29" s="46">
        <v>4</v>
      </c>
      <c r="CMP29" s="137" t="s">
        <v>22</v>
      </c>
      <c r="CMQ29" s="138" t="s">
        <v>23</v>
      </c>
      <c r="CMR29" s="45">
        <v>5</v>
      </c>
      <c r="CMS29" s="46">
        <v>6</v>
      </c>
      <c r="CMT29" s="46">
        <v>7</v>
      </c>
      <c r="CMU29" s="46">
        <v>9</v>
      </c>
      <c r="CMV29" s="46">
        <v>10</v>
      </c>
      <c r="CMW29" s="46">
        <v>11</v>
      </c>
      <c r="CMX29" s="137" t="s">
        <v>22</v>
      </c>
      <c r="CMY29" s="138" t="s">
        <v>23</v>
      </c>
      <c r="CMZ29" s="45">
        <v>12</v>
      </c>
      <c r="CNA29" s="46">
        <v>13</v>
      </c>
      <c r="CNB29" s="46">
        <v>14</v>
      </c>
      <c r="CNC29" s="46">
        <v>16</v>
      </c>
      <c r="CND29" s="46">
        <v>17</v>
      </c>
      <c r="CNE29" s="46">
        <v>18</v>
      </c>
      <c r="CNF29" s="137" t="s">
        <v>22</v>
      </c>
      <c r="CNG29" s="138" t="s">
        <v>23</v>
      </c>
      <c r="CNH29" s="45">
        <v>19</v>
      </c>
      <c r="CNI29" s="46">
        <v>20</v>
      </c>
      <c r="CNJ29" s="46">
        <v>21</v>
      </c>
      <c r="CNK29" s="46">
        <v>23</v>
      </c>
      <c r="CNL29" s="46">
        <v>24</v>
      </c>
      <c r="CNM29" s="46">
        <v>25</v>
      </c>
      <c r="CNN29" s="137" t="s">
        <v>22</v>
      </c>
      <c r="CNO29" s="138" t="s">
        <v>23</v>
      </c>
      <c r="CNP29" s="45">
        <v>26</v>
      </c>
      <c r="CNQ29" s="46">
        <v>27</v>
      </c>
      <c r="CNR29" s="46">
        <v>28</v>
      </c>
      <c r="CNS29" s="46">
        <v>30</v>
      </c>
      <c r="CNT29" s="46">
        <v>31</v>
      </c>
      <c r="CNU29" s="46">
        <v>1</v>
      </c>
      <c r="CNV29" s="137" t="s">
        <v>22</v>
      </c>
      <c r="CNW29" s="138" t="s">
        <v>23</v>
      </c>
      <c r="CNX29" s="45">
        <v>2</v>
      </c>
      <c r="CNY29" s="46">
        <v>3</v>
      </c>
      <c r="CNZ29" s="46">
        <v>4</v>
      </c>
      <c r="COA29" s="46">
        <v>6</v>
      </c>
      <c r="COB29" s="46">
        <v>7</v>
      </c>
      <c r="COC29" s="46">
        <v>8</v>
      </c>
      <c r="COD29" s="137" t="s">
        <v>22</v>
      </c>
      <c r="COE29" s="138" t="s">
        <v>23</v>
      </c>
      <c r="COF29" s="324">
        <v>9</v>
      </c>
      <c r="COG29" s="325">
        <v>10</v>
      </c>
      <c r="COH29" s="325">
        <v>11</v>
      </c>
      <c r="COI29" s="325">
        <v>13</v>
      </c>
      <c r="COJ29" s="325">
        <v>14</v>
      </c>
      <c r="COK29" s="325">
        <v>15</v>
      </c>
      <c r="COL29" s="137" t="s">
        <v>22</v>
      </c>
      <c r="COM29" s="138" t="s">
        <v>23</v>
      </c>
      <c r="CON29" s="45">
        <v>16</v>
      </c>
      <c r="COO29" s="46">
        <v>17</v>
      </c>
      <c r="COP29" s="46">
        <v>18</v>
      </c>
      <c r="COQ29" s="46">
        <v>20</v>
      </c>
      <c r="COR29" s="46">
        <v>21</v>
      </c>
      <c r="COS29" s="46">
        <v>22</v>
      </c>
      <c r="COT29" s="137" t="s">
        <v>22</v>
      </c>
      <c r="COU29" s="138" t="s">
        <v>23</v>
      </c>
      <c r="COV29" s="45">
        <v>23</v>
      </c>
      <c r="COW29" s="46">
        <v>24</v>
      </c>
      <c r="COX29" s="46">
        <v>25</v>
      </c>
      <c r="COY29" s="46">
        <v>27</v>
      </c>
      <c r="COZ29" s="46">
        <v>28</v>
      </c>
      <c r="CPA29" s="46">
        <v>29</v>
      </c>
      <c r="CPB29" s="137" t="s">
        <v>22</v>
      </c>
      <c r="CPC29" s="138" t="s">
        <v>23</v>
      </c>
      <c r="CPD29" s="324">
        <v>4</v>
      </c>
      <c r="CPE29" s="325">
        <v>5</v>
      </c>
      <c r="CPF29" s="325">
        <v>6</v>
      </c>
      <c r="CPG29" s="325">
        <v>7</v>
      </c>
      <c r="CPH29" s="325">
        <v>8</v>
      </c>
      <c r="CPI29" s="325">
        <v>9</v>
      </c>
      <c r="CPJ29" s="137" t="s">
        <v>22</v>
      </c>
      <c r="CPK29" s="138" t="s">
        <v>23</v>
      </c>
      <c r="CPL29" s="45">
        <v>10</v>
      </c>
      <c r="CPM29" s="46">
        <v>11</v>
      </c>
      <c r="CPN29" s="46">
        <v>12</v>
      </c>
      <c r="CPO29" s="46">
        <v>13</v>
      </c>
      <c r="CPP29" s="46">
        <v>14</v>
      </c>
      <c r="CPQ29" s="46">
        <v>15</v>
      </c>
      <c r="CPR29" s="137" t="s">
        <v>22</v>
      </c>
      <c r="CPS29" s="138" t="s">
        <v>23</v>
      </c>
      <c r="CPT29" s="45">
        <v>16</v>
      </c>
      <c r="CPU29" s="46">
        <v>18</v>
      </c>
      <c r="CPV29" s="46">
        <v>19</v>
      </c>
      <c r="CPW29" s="46">
        <v>20</v>
      </c>
      <c r="CPX29" s="46">
        <v>21</v>
      </c>
      <c r="CPY29" s="46">
        <v>22</v>
      </c>
      <c r="CPZ29" s="137" t="s">
        <v>22</v>
      </c>
      <c r="CQA29" s="138" t="s">
        <v>23</v>
      </c>
      <c r="CQB29" s="324">
        <v>25</v>
      </c>
      <c r="CQC29" s="325">
        <v>26</v>
      </c>
      <c r="CQD29" s="325">
        <v>27</v>
      </c>
      <c r="CQE29" s="325">
        <v>28</v>
      </c>
      <c r="CQF29" s="325">
        <v>29</v>
      </c>
      <c r="CQG29" s="325">
        <v>30</v>
      </c>
      <c r="CQH29" s="137" t="s">
        <v>22</v>
      </c>
      <c r="CQI29" s="138" t="s">
        <v>23</v>
      </c>
      <c r="CQJ29" s="335">
        <v>1</v>
      </c>
      <c r="CQK29" s="336">
        <v>2</v>
      </c>
      <c r="CQL29" s="336">
        <v>3</v>
      </c>
      <c r="CQM29" s="336">
        <v>4</v>
      </c>
      <c r="CQN29" s="336">
        <v>5</v>
      </c>
      <c r="CQO29" s="336">
        <v>6</v>
      </c>
      <c r="CQP29" s="137" t="s">
        <v>22</v>
      </c>
      <c r="CQQ29" s="138" t="s">
        <v>23</v>
      </c>
      <c r="CQR29" s="333">
        <v>7</v>
      </c>
      <c r="CQS29" s="334">
        <v>8</v>
      </c>
      <c r="CQT29" s="334">
        <v>9</v>
      </c>
      <c r="CQU29" s="334">
        <v>10</v>
      </c>
      <c r="CQV29" s="334">
        <v>11</v>
      </c>
      <c r="CQW29" s="334">
        <v>12</v>
      </c>
      <c r="CQX29" s="137" t="s">
        <v>22</v>
      </c>
      <c r="CQY29" s="138" t="s">
        <v>23</v>
      </c>
      <c r="CQZ29" s="61">
        <v>13</v>
      </c>
      <c r="CRA29" s="62">
        <v>14</v>
      </c>
      <c r="CRB29" s="62">
        <v>15</v>
      </c>
      <c r="CRC29" s="62">
        <v>16</v>
      </c>
      <c r="CRD29" s="62">
        <v>17</v>
      </c>
      <c r="CRE29" s="62">
        <v>18</v>
      </c>
      <c r="CRF29" s="137" t="s">
        <v>22</v>
      </c>
      <c r="CRG29" s="138" t="s">
        <v>23</v>
      </c>
      <c r="CRH29" s="45">
        <v>19</v>
      </c>
      <c r="CRI29" s="46">
        <v>20</v>
      </c>
      <c r="CRJ29" s="46">
        <v>21</v>
      </c>
      <c r="CRK29" s="46">
        <v>22</v>
      </c>
      <c r="CRL29" s="46">
        <v>23</v>
      </c>
      <c r="CRM29" s="46">
        <v>24</v>
      </c>
      <c r="CRN29" s="137" t="s">
        <v>22</v>
      </c>
      <c r="CRO29" s="138" t="s">
        <v>23</v>
      </c>
      <c r="CRP29" s="45">
        <v>25</v>
      </c>
      <c r="CRQ29" s="46">
        <v>26</v>
      </c>
      <c r="CRR29" s="46">
        <v>27</v>
      </c>
      <c r="CRS29" s="46">
        <v>28</v>
      </c>
      <c r="CRT29" s="46">
        <v>29</v>
      </c>
      <c r="CRU29" s="46">
        <v>30</v>
      </c>
      <c r="CRV29" s="165" t="s">
        <v>22</v>
      </c>
      <c r="CRW29" s="166" t="s">
        <v>23</v>
      </c>
      <c r="CRX29" s="324">
        <v>1</v>
      </c>
      <c r="CRY29" s="325">
        <v>3</v>
      </c>
      <c r="CRZ29" s="325">
        <v>4</v>
      </c>
      <c r="CSA29" s="325">
        <v>5</v>
      </c>
      <c r="CSB29" s="325">
        <v>6</v>
      </c>
      <c r="CSC29" s="325">
        <v>7</v>
      </c>
      <c r="CSD29" s="165" t="s">
        <v>22</v>
      </c>
      <c r="CSE29" s="166" t="s">
        <v>23</v>
      </c>
      <c r="CSF29" s="61">
        <v>8</v>
      </c>
      <c r="CSG29" s="62">
        <v>9</v>
      </c>
      <c r="CSH29" s="62">
        <v>10</v>
      </c>
      <c r="CSI29" s="62">
        <v>12</v>
      </c>
      <c r="CSJ29" s="62">
        <v>13</v>
      </c>
      <c r="CSK29" s="62">
        <v>14</v>
      </c>
      <c r="CSL29" s="165" t="s">
        <v>22</v>
      </c>
      <c r="CSM29" s="166" t="s">
        <v>23</v>
      </c>
      <c r="CSN29" s="45">
        <v>15</v>
      </c>
      <c r="CSO29" s="46">
        <v>16</v>
      </c>
      <c r="CSP29" s="46">
        <v>17</v>
      </c>
      <c r="CSQ29" s="46">
        <v>18</v>
      </c>
      <c r="CSR29" s="46">
        <v>19</v>
      </c>
      <c r="CSS29" s="46">
        <v>20</v>
      </c>
      <c r="CST29" s="165" t="s">
        <v>22</v>
      </c>
      <c r="CSU29" s="166" t="s">
        <v>23</v>
      </c>
      <c r="CSV29" s="45">
        <v>21</v>
      </c>
      <c r="CSW29" s="46">
        <v>22</v>
      </c>
      <c r="CSX29" s="46">
        <v>23</v>
      </c>
      <c r="CSY29" s="46">
        <v>24</v>
      </c>
      <c r="CSZ29" s="46">
        <v>25</v>
      </c>
      <c r="CTA29" s="46">
        <v>27</v>
      </c>
      <c r="CTB29" s="165" t="s">
        <v>22</v>
      </c>
      <c r="CTC29" s="166" t="s">
        <v>23</v>
      </c>
      <c r="CTD29" s="45">
        <v>27</v>
      </c>
      <c r="CTE29" s="46">
        <v>28</v>
      </c>
      <c r="CTF29" s="46">
        <v>29</v>
      </c>
      <c r="CTG29" s="46">
        <v>30</v>
      </c>
      <c r="CTH29" s="46">
        <v>1</v>
      </c>
      <c r="CTI29" s="46">
        <v>2</v>
      </c>
      <c r="CTJ29" s="137" t="s">
        <v>22</v>
      </c>
      <c r="CTK29" s="138" t="s">
        <v>23</v>
      </c>
      <c r="CTL29" s="45">
        <v>3</v>
      </c>
      <c r="CTM29" s="46">
        <v>4</v>
      </c>
      <c r="CTN29" s="46">
        <v>5</v>
      </c>
      <c r="CTO29" s="46">
        <v>6</v>
      </c>
      <c r="CTP29" s="46">
        <v>7</v>
      </c>
      <c r="CTQ29" s="46">
        <v>8</v>
      </c>
      <c r="CTR29" s="137" t="s">
        <v>22</v>
      </c>
      <c r="CTS29" s="138" t="s">
        <v>23</v>
      </c>
      <c r="CTT29" s="333">
        <v>9</v>
      </c>
      <c r="CTU29" s="334">
        <v>10</v>
      </c>
      <c r="CTV29" s="334">
        <v>11</v>
      </c>
      <c r="CTW29" s="334">
        <v>12</v>
      </c>
      <c r="CTX29" s="334">
        <v>13</v>
      </c>
      <c r="CTY29" s="334">
        <v>14</v>
      </c>
      <c r="CTZ29" s="137" t="s">
        <v>22</v>
      </c>
      <c r="CUA29" s="138" t="s">
        <v>23</v>
      </c>
      <c r="CUB29" s="324">
        <v>16</v>
      </c>
      <c r="CUC29" s="325">
        <v>17</v>
      </c>
      <c r="CUD29" s="325">
        <v>18</v>
      </c>
      <c r="CUE29" s="325">
        <v>19</v>
      </c>
      <c r="CUF29" s="325">
        <v>20</v>
      </c>
      <c r="CUG29" s="325">
        <v>21</v>
      </c>
      <c r="CUH29" s="137" t="s">
        <v>22</v>
      </c>
      <c r="CUI29" s="138" t="s">
        <v>23</v>
      </c>
      <c r="CUJ29" s="45">
        <v>22</v>
      </c>
      <c r="CUK29" s="46">
        <v>23</v>
      </c>
      <c r="CUL29" s="46">
        <v>24</v>
      </c>
      <c r="CUM29" s="46">
        <v>25</v>
      </c>
      <c r="CUN29" s="46">
        <v>26</v>
      </c>
      <c r="CUO29" s="46">
        <v>27</v>
      </c>
      <c r="CUP29" s="137" t="s">
        <v>22</v>
      </c>
      <c r="CUQ29" s="138" t="s">
        <v>23</v>
      </c>
      <c r="CUR29" s="45">
        <v>28</v>
      </c>
      <c r="CUS29" s="46">
        <v>29</v>
      </c>
      <c r="CUT29" s="46">
        <v>30</v>
      </c>
      <c r="CUU29" s="46">
        <v>31</v>
      </c>
      <c r="CUV29" s="46">
        <v>1</v>
      </c>
      <c r="CUW29" s="46">
        <v>2</v>
      </c>
      <c r="CUX29" s="137" t="s">
        <v>22</v>
      </c>
      <c r="CUY29" s="138" t="s">
        <v>23</v>
      </c>
      <c r="CUZ29" s="324">
        <v>3</v>
      </c>
      <c r="CVA29" s="325">
        <v>4</v>
      </c>
      <c r="CVB29" s="325">
        <v>5</v>
      </c>
      <c r="CVC29" s="325">
        <v>7</v>
      </c>
      <c r="CVD29" s="325">
        <v>8</v>
      </c>
      <c r="CVE29" s="325">
        <v>9</v>
      </c>
      <c r="CVF29" s="137" t="s">
        <v>22</v>
      </c>
      <c r="CVG29" s="138" t="s">
        <v>23</v>
      </c>
      <c r="CVH29" s="45">
        <v>10</v>
      </c>
      <c r="CVI29" s="46">
        <v>11</v>
      </c>
      <c r="CVJ29" s="46">
        <v>12</v>
      </c>
      <c r="CVK29" s="46">
        <v>14</v>
      </c>
      <c r="CVL29" s="46">
        <v>15</v>
      </c>
      <c r="CVM29" s="46">
        <v>16</v>
      </c>
      <c r="CVN29" s="137" t="s">
        <v>22</v>
      </c>
      <c r="CVO29" s="138" t="s">
        <v>23</v>
      </c>
      <c r="CVP29" s="45">
        <v>17</v>
      </c>
      <c r="CVQ29" s="46">
        <v>18</v>
      </c>
      <c r="CVR29" s="46">
        <v>19</v>
      </c>
      <c r="CVS29" s="46">
        <v>21</v>
      </c>
      <c r="CVT29" s="46">
        <v>22</v>
      </c>
      <c r="CVU29" s="46">
        <v>23</v>
      </c>
      <c r="CVV29" s="137" t="s">
        <v>22</v>
      </c>
      <c r="CVW29" s="138" t="s">
        <v>23</v>
      </c>
      <c r="CVX29" s="125">
        <v>24</v>
      </c>
      <c r="CVY29" s="126">
        <v>25</v>
      </c>
      <c r="CVZ29" s="126">
        <v>26</v>
      </c>
      <c r="CWA29" s="126">
        <v>28</v>
      </c>
      <c r="CWB29" s="126">
        <v>29</v>
      </c>
      <c r="CWC29" s="126">
        <v>30</v>
      </c>
      <c r="CWD29" s="137" t="s">
        <v>22</v>
      </c>
      <c r="CWE29" s="138" t="s">
        <v>23</v>
      </c>
      <c r="CWF29" s="324">
        <v>2</v>
      </c>
      <c r="CWG29" s="325">
        <v>3</v>
      </c>
      <c r="CWH29" s="325">
        <v>5</v>
      </c>
      <c r="CWI29" s="325">
        <v>6</v>
      </c>
      <c r="CWJ29" s="325">
        <v>7</v>
      </c>
      <c r="CWK29" s="325">
        <v>8</v>
      </c>
      <c r="CWL29" s="137" t="s">
        <v>22</v>
      </c>
      <c r="CWM29" s="138" t="s">
        <v>23</v>
      </c>
      <c r="CWN29" s="45">
        <v>10</v>
      </c>
      <c r="CWO29" s="46">
        <v>12</v>
      </c>
      <c r="CWP29" s="46">
        <v>13</v>
      </c>
      <c r="CWQ29" s="46">
        <v>14</v>
      </c>
      <c r="CWR29" s="46">
        <v>15</v>
      </c>
      <c r="CWS29" s="46">
        <v>16</v>
      </c>
      <c r="CWT29" s="137" t="s">
        <v>22</v>
      </c>
      <c r="CWU29" s="138" t="s">
        <v>23</v>
      </c>
      <c r="CWV29" s="45">
        <v>17</v>
      </c>
      <c r="CWW29" s="46">
        <v>19</v>
      </c>
      <c r="CWX29" s="46">
        <v>20</v>
      </c>
      <c r="CWY29" s="46">
        <v>21</v>
      </c>
      <c r="CWZ29" s="46">
        <v>22</v>
      </c>
      <c r="CXA29" s="46">
        <v>23</v>
      </c>
      <c r="CXB29" s="135" t="s">
        <v>22</v>
      </c>
      <c r="CXC29" s="282" t="s">
        <v>23</v>
      </c>
      <c r="CXD29" s="45">
        <v>24</v>
      </c>
      <c r="CXE29" s="46">
        <v>25</v>
      </c>
      <c r="CXF29" s="46">
        <v>26</v>
      </c>
      <c r="CXG29" s="46">
        <v>27</v>
      </c>
      <c r="CXH29" s="46">
        <v>28</v>
      </c>
      <c r="CXI29" s="46">
        <v>29</v>
      </c>
      <c r="CXJ29" s="135" t="s">
        <v>22</v>
      </c>
      <c r="CXK29" s="282" t="s">
        <v>23</v>
      </c>
      <c r="CXL29" s="45">
        <v>2</v>
      </c>
      <c r="CXM29" s="46">
        <v>3</v>
      </c>
      <c r="CXN29" s="46">
        <v>4</v>
      </c>
      <c r="CXO29" s="46">
        <v>5</v>
      </c>
      <c r="CXP29" s="46">
        <v>6</v>
      </c>
      <c r="CXQ29" s="46">
        <v>7</v>
      </c>
      <c r="CXR29" s="135" t="s">
        <v>22</v>
      </c>
      <c r="CXS29" s="282" t="s">
        <v>23</v>
      </c>
      <c r="CXT29" s="45">
        <v>9</v>
      </c>
      <c r="CXU29" s="46">
        <v>10</v>
      </c>
      <c r="CXV29" s="46">
        <v>11</v>
      </c>
      <c r="CXW29" s="46">
        <v>12</v>
      </c>
      <c r="CXX29" s="46">
        <v>13</v>
      </c>
      <c r="CXY29" s="46">
        <v>14</v>
      </c>
      <c r="CXZ29" s="135" t="s">
        <v>22</v>
      </c>
      <c r="CYA29" s="282" t="s">
        <v>23</v>
      </c>
      <c r="CYB29" s="45">
        <v>15</v>
      </c>
      <c r="CYC29" s="46">
        <v>16</v>
      </c>
      <c r="CYD29" s="46">
        <v>17</v>
      </c>
      <c r="CYE29" s="46">
        <v>18</v>
      </c>
      <c r="CYF29" s="46">
        <v>19</v>
      </c>
      <c r="CYG29" s="46">
        <v>25</v>
      </c>
      <c r="CYH29" s="135" t="s">
        <v>22</v>
      </c>
      <c r="CYI29" s="282" t="s">
        <v>23</v>
      </c>
      <c r="CYJ29" s="45">
        <v>26</v>
      </c>
      <c r="CYK29" s="46">
        <v>27</v>
      </c>
      <c r="CYL29" s="46">
        <v>28</v>
      </c>
      <c r="CYM29" s="46">
        <v>30</v>
      </c>
      <c r="CYN29" s="46">
        <v>31</v>
      </c>
      <c r="CYO29" s="46">
        <v>1</v>
      </c>
      <c r="CYP29" s="135" t="s">
        <v>22</v>
      </c>
      <c r="CYQ29" s="282" t="s">
        <v>23</v>
      </c>
      <c r="CYR29" s="45">
        <v>2</v>
      </c>
      <c r="CYS29" s="46">
        <v>3</v>
      </c>
      <c r="CYT29" s="46">
        <v>4</v>
      </c>
      <c r="CYU29" s="46">
        <v>6</v>
      </c>
      <c r="CYV29" s="46">
        <v>7</v>
      </c>
      <c r="CYW29" s="46">
        <v>8</v>
      </c>
      <c r="CYX29" s="135" t="s">
        <v>22</v>
      </c>
      <c r="CYY29" s="282" t="s">
        <v>23</v>
      </c>
      <c r="CYZ29" s="45">
        <v>9</v>
      </c>
      <c r="CZA29" s="46">
        <v>10</v>
      </c>
      <c r="CZB29" s="46">
        <v>11</v>
      </c>
      <c r="CZC29" s="46">
        <v>13</v>
      </c>
      <c r="CZD29" s="46">
        <v>14</v>
      </c>
      <c r="CZE29" s="46">
        <v>15</v>
      </c>
      <c r="CZF29" s="135" t="s">
        <v>22</v>
      </c>
      <c r="CZG29" s="282" t="s">
        <v>23</v>
      </c>
      <c r="CZH29" s="324">
        <v>16</v>
      </c>
      <c r="CZI29" s="325">
        <v>17</v>
      </c>
      <c r="CZJ29" s="325">
        <v>18</v>
      </c>
      <c r="CZK29" s="325">
        <v>20</v>
      </c>
      <c r="CZL29" s="325">
        <v>21</v>
      </c>
      <c r="CZM29" s="325">
        <v>22</v>
      </c>
      <c r="CZN29" s="135" t="s">
        <v>22</v>
      </c>
      <c r="CZO29" s="282" t="s">
        <v>23</v>
      </c>
      <c r="CZP29" s="324">
        <v>23</v>
      </c>
      <c r="CZQ29" s="325">
        <v>24</v>
      </c>
      <c r="CZR29" s="325">
        <v>25</v>
      </c>
      <c r="CZS29" s="325">
        <v>26</v>
      </c>
      <c r="CZT29" s="325">
        <v>27</v>
      </c>
      <c r="CZU29" s="325">
        <v>28</v>
      </c>
      <c r="CZV29" s="135" t="s">
        <v>22</v>
      </c>
      <c r="CZW29" s="282" t="s">
        <v>23</v>
      </c>
      <c r="CZX29" s="61">
        <v>1</v>
      </c>
      <c r="CZY29" s="62">
        <v>2</v>
      </c>
      <c r="CZZ29" s="62">
        <v>3</v>
      </c>
      <c r="DAA29" s="62">
        <v>4</v>
      </c>
      <c r="DAB29" s="62">
        <v>6</v>
      </c>
      <c r="DAC29" s="62">
        <v>7</v>
      </c>
      <c r="DAD29" s="137" t="s">
        <v>22</v>
      </c>
      <c r="DAE29" s="205" t="s">
        <v>23</v>
      </c>
      <c r="DAF29" s="324">
        <v>8</v>
      </c>
      <c r="DAG29" s="325">
        <v>9</v>
      </c>
      <c r="DAH29" s="325">
        <v>10</v>
      </c>
      <c r="DAI29" s="325">
        <v>11</v>
      </c>
      <c r="DAJ29" s="325">
        <v>12</v>
      </c>
      <c r="DAK29" s="325">
        <v>13</v>
      </c>
      <c r="DAL29" s="137" t="s">
        <v>22</v>
      </c>
      <c r="DAM29" s="205" t="s">
        <v>23</v>
      </c>
      <c r="DAN29" s="61">
        <v>14</v>
      </c>
      <c r="DAO29" s="62">
        <v>15</v>
      </c>
      <c r="DAP29" s="62">
        <v>16</v>
      </c>
      <c r="DAQ29" s="62">
        <v>17</v>
      </c>
      <c r="DAR29" s="62">
        <v>18</v>
      </c>
      <c r="DAS29" s="62">
        <v>19</v>
      </c>
      <c r="DAT29" s="137" t="s">
        <v>22</v>
      </c>
      <c r="DAU29" s="205" t="s">
        <v>23</v>
      </c>
      <c r="DAV29" s="324">
        <v>20</v>
      </c>
      <c r="DAW29" s="325">
        <v>21</v>
      </c>
      <c r="DAX29" s="325">
        <v>22</v>
      </c>
      <c r="DAY29" s="325">
        <v>23</v>
      </c>
      <c r="DAZ29" s="325">
        <v>24</v>
      </c>
      <c r="DBA29" s="325">
        <v>25</v>
      </c>
      <c r="DBB29" s="137" t="s">
        <v>22</v>
      </c>
      <c r="DBC29" s="205" t="s">
        <v>23</v>
      </c>
      <c r="DBD29" s="45">
        <v>26</v>
      </c>
      <c r="DBE29" s="46">
        <v>27</v>
      </c>
      <c r="DBF29" s="46">
        <v>28</v>
      </c>
      <c r="DBG29" s="46">
        <v>29</v>
      </c>
      <c r="DBH29" s="46">
        <v>30</v>
      </c>
      <c r="DBI29" s="46">
        <v>31</v>
      </c>
      <c r="DBJ29" s="137" t="s">
        <v>22</v>
      </c>
      <c r="DBK29" s="205" t="s">
        <v>23</v>
      </c>
      <c r="DBL29" s="45">
        <v>1</v>
      </c>
      <c r="DBM29" s="46">
        <v>2</v>
      </c>
      <c r="DBN29" s="46">
        <v>3</v>
      </c>
      <c r="DBO29" s="46">
        <v>4</v>
      </c>
      <c r="DBP29" s="46">
        <v>5</v>
      </c>
      <c r="DBQ29" s="46">
        <v>6</v>
      </c>
      <c r="DBR29" s="137" t="s">
        <v>22</v>
      </c>
      <c r="DBS29" s="205" t="s">
        <v>23</v>
      </c>
      <c r="DBT29" s="45">
        <v>8</v>
      </c>
      <c r="DBU29" s="46">
        <v>9</v>
      </c>
      <c r="DBV29" s="46">
        <v>10</v>
      </c>
      <c r="DBW29" s="46">
        <v>11</v>
      </c>
      <c r="DBX29" s="46">
        <v>12</v>
      </c>
      <c r="DBY29" s="46">
        <v>13</v>
      </c>
      <c r="DBZ29" s="137" t="s">
        <v>22</v>
      </c>
      <c r="DCA29" s="205" t="s">
        <v>23</v>
      </c>
      <c r="DCB29" s="45">
        <v>14</v>
      </c>
      <c r="DCC29" s="46">
        <v>15</v>
      </c>
      <c r="DCD29" s="46">
        <v>17</v>
      </c>
      <c r="DCE29" s="46">
        <v>18</v>
      </c>
      <c r="DCF29" s="46">
        <v>18</v>
      </c>
      <c r="DCG29" s="46">
        <v>20</v>
      </c>
      <c r="DCH29" s="137" t="s">
        <v>22</v>
      </c>
      <c r="DCI29" s="205" t="s">
        <v>23</v>
      </c>
      <c r="DCJ29" s="324">
        <v>21</v>
      </c>
      <c r="DCK29" s="325">
        <v>22</v>
      </c>
      <c r="DCL29" s="325">
        <v>23</v>
      </c>
      <c r="DCM29" s="325">
        <v>24</v>
      </c>
      <c r="DCN29" s="325">
        <v>25</v>
      </c>
      <c r="DCO29" s="325">
        <v>26</v>
      </c>
      <c r="DCP29" s="137" t="s">
        <v>22</v>
      </c>
      <c r="DCQ29" s="205" t="s">
        <v>23</v>
      </c>
      <c r="DCR29" s="45">
        <v>27</v>
      </c>
      <c r="DCS29" s="46">
        <v>28</v>
      </c>
      <c r="DCT29" s="46">
        <v>2</v>
      </c>
      <c r="DCU29" s="46">
        <v>3</v>
      </c>
      <c r="DCV29" s="46">
        <v>4</v>
      </c>
      <c r="DCW29" s="46">
        <v>5</v>
      </c>
      <c r="DCX29" s="137" t="s">
        <v>22</v>
      </c>
      <c r="DCY29" s="205" t="s">
        <v>23</v>
      </c>
      <c r="DCZ29" s="324">
        <v>6</v>
      </c>
      <c r="DDA29" s="325">
        <v>7</v>
      </c>
      <c r="DDB29" s="325">
        <v>8</v>
      </c>
      <c r="DDC29" s="325">
        <v>9</v>
      </c>
      <c r="DDD29" s="325">
        <v>10</v>
      </c>
      <c r="DDE29" s="325">
        <v>11</v>
      </c>
      <c r="DDF29" s="137" t="s">
        <v>22</v>
      </c>
      <c r="DDG29" s="205" t="s">
        <v>23</v>
      </c>
      <c r="DDH29" s="125">
        <v>12</v>
      </c>
      <c r="DDI29" s="126">
        <v>13</v>
      </c>
      <c r="DDJ29" s="126">
        <v>14</v>
      </c>
      <c r="DDK29" s="126">
        <v>15</v>
      </c>
      <c r="DDL29" s="126">
        <v>16</v>
      </c>
      <c r="DDM29" s="126">
        <v>17</v>
      </c>
      <c r="DDN29" s="135" t="s">
        <v>22</v>
      </c>
      <c r="DDO29" s="282" t="s">
        <v>23</v>
      </c>
      <c r="DDP29" s="45">
        <v>18</v>
      </c>
      <c r="DDQ29" s="46">
        <v>19</v>
      </c>
      <c r="DDR29" s="46">
        <v>20</v>
      </c>
      <c r="DDS29" s="46">
        <v>21</v>
      </c>
      <c r="DDT29" s="46">
        <v>22</v>
      </c>
      <c r="DDU29" s="46">
        <v>23</v>
      </c>
      <c r="DDV29" s="135" t="s">
        <v>22</v>
      </c>
      <c r="DDW29" s="282" t="s">
        <v>23</v>
      </c>
      <c r="DDX29" s="324">
        <v>24</v>
      </c>
      <c r="DDY29" s="325">
        <v>25</v>
      </c>
      <c r="DDZ29" s="325">
        <v>26</v>
      </c>
      <c r="DEA29" s="325">
        <v>27</v>
      </c>
      <c r="DEB29" s="325">
        <v>28</v>
      </c>
      <c r="DEC29" s="325">
        <v>29</v>
      </c>
      <c r="DED29" s="135" t="s">
        <v>22</v>
      </c>
      <c r="DEE29" s="282" t="s">
        <v>23</v>
      </c>
      <c r="DEF29" s="324">
        <v>30</v>
      </c>
      <c r="DEG29" s="325">
        <v>31</v>
      </c>
      <c r="DEH29" s="325">
        <v>1</v>
      </c>
      <c r="DEI29" s="325">
        <v>2</v>
      </c>
      <c r="DEJ29" s="325">
        <v>3</v>
      </c>
      <c r="DEK29" s="325">
        <v>4</v>
      </c>
      <c r="DEL29" s="135" t="s">
        <v>22</v>
      </c>
      <c r="DEM29" s="282" t="s">
        <v>23</v>
      </c>
      <c r="DEN29" s="324">
        <v>5</v>
      </c>
      <c r="DEO29" s="325">
        <v>6</v>
      </c>
      <c r="DEP29" s="325">
        <v>7</v>
      </c>
      <c r="DEQ29" s="325">
        <v>8</v>
      </c>
      <c r="DER29" s="325">
        <v>9</v>
      </c>
      <c r="DES29" s="325">
        <v>10</v>
      </c>
      <c r="DET29" s="135" t="s">
        <v>22</v>
      </c>
      <c r="DEU29" s="282" t="s">
        <v>23</v>
      </c>
      <c r="DEV29" s="45">
        <v>11</v>
      </c>
      <c r="DEW29" s="46">
        <v>12</v>
      </c>
      <c r="DEX29" s="46">
        <v>13</v>
      </c>
      <c r="DEY29" s="46">
        <v>14</v>
      </c>
      <c r="DEZ29" s="46">
        <v>15</v>
      </c>
      <c r="DFA29" s="46">
        <v>16</v>
      </c>
      <c r="DFB29" s="135" t="s">
        <v>22</v>
      </c>
      <c r="DFC29" s="282" t="s">
        <v>23</v>
      </c>
      <c r="DFD29" s="324">
        <v>17</v>
      </c>
      <c r="DFE29" s="325">
        <v>18</v>
      </c>
      <c r="DFF29" s="325">
        <v>19</v>
      </c>
      <c r="DFG29" s="325">
        <v>20</v>
      </c>
      <c r="DFH29" s="325">
        <v>21</v>
      </c>
      <c r="DFI29" s="325">
        <v>22</v>
      </c>
      <c r="DFJ29" s="135" t="s">
        <v>22</v>
      </c>
      <c r="DFK29" s="282" t="s">
        <v>23</v>
      </c>
      <c r="DFL29" s="324">
        <v>23</v>
      </c>
      <c r="DFM29" s="325">
        <v>24</v>
      </c>
      <c r="DFN29" s="325">
        <v>25</v>
      </c>
      <c r="DFO29" s="325">
        <v>26</v>
      </c>
      <c r="DFP29" s="325">
        <v>27</v>
      </c>
      <c r="DFQ29" s="325">
        <v>28</v>
      </c>
      <c r="DFR29" s="135" t="s">
        <v>22</v>
      </c>
      <c r="DFS29" s="282" t="s">
        <v>23</v>
      </c>
      <c r="DFT29" s="45">
        <v>29</v>
      </c>
      <c r="DFU29" s="46">
        <v>30</v>
      </c>
      <c r="DFV29" s="46">
        <v>1</v>
      </c>
      <c r="DFW29" s="46">
        <v>2</v>
      </c>
      <c r="DFX29" s="46">
        <v>3</v>
      </c>
      <c r="DFY29" s="46">
        <v>4</v>
      </c>
      <c r="DFZ29" s="135" t="s">
        <v>22</v>
      </c>
      <c r="DGA29" s="282" t="s">
        <v>23</v>
      </c>
      <c r="DGB29" s="45">
        <v>5</v>
      </c>
      <c r="DGC29" s="46">
        <v>6</v>
      </c>
      <c r="DGD29" s="46">
        <v>7</v>
      </c>
      <c r="DGE29" s="46">
        <v>8</v>
      </c>
      <c r="DGF29" s="46">
        <v>9</v>
      </c>
      <c r="DGG29" s="46">
        <v>10</v>
      </c>
      <c r="DGH29" s="135" t="s">
        <v>22</v>
      </c>
      <c r="DGI29" s="282" t="s">
        <v>23</v>
      </c>
      <c r="DGJ29" s="61">
        <v>11</v>
      </c>
      <c r="DGK29" s="61">
        <v>12</v>
      </c>
      <c r="DGL29" s="61">
        <v>13</v>
      </c>
      <c r="DGM29" s="61">
        <v>14</v>
      </c>
      <c r="DGN29" s="61">
        <v>15</v>
      </c>
      <c r="DGO29" s="61">
        <v>16</v>
      </c>
      <c r="DGP29" s="137" t="s">
        <v>22</v>
      </c>
      <c r="DGQ29" s="205" t="s">
        <v>23</v>
      </c>
      <c r="DGR29" s="45">
        <v>17</v>
      </c>
      <c r="DGS29" s="46">
        <v>18</v>
      </c>
      <c r="DGT29" s="46">
        <v>19</v>
      </c>
      <c r="DGU29" s="46">
        <v>20</v>
      </c>
      <c r="DGV29" s="46">
        <v>21</v>
      </c>
      <c r="DGW29" s="46">
        <v>22</v>
      </c>
      <c r="DGX29" s="137" t="s">
        <v>22</v>
      </c>
      <c r="DGY29" s="205" t="s">
        <v>23</v>
      </c>
      <c r="DGZ29" s="45">
        <v>24</v>
      </c>
      <c r="DHA29" s="46">
        <v>25</v>
      </c>
      <c r="DHB29" s="46">
        <v>26</v>
      </c>
      <c r="DHC29" s="46">
        <v>27</v>
      </c>
      <c r="DHD29" s="46">
        <v>28</v>
      </c>
      <c r="DHE29" s="46">
        <v>29</v>
      </c>
      <c r="DHF29" s="137" t="s">
        <v>22</v>
      </c>
      <c r="DHG29" s="205" t="s">
        <v>23</v>
      </c>
      <c r="DHH29" s="324">
        <v>30</v>
      </c>
      <c r="DHI29" s="325">
        <v>31</v>
      </c>
      <c r="DHJ29" s="325">
        <v>1</v>
      </c>
      <c r="DHK29" s="325">
        <v>2</v>
      </c>
      <c r="DHL29" s="325">
        <v>3</v>
      </c>
      <c r="DHM29" s="325">
        <v>4</v>
      </c>
      <c r="DHN29" s="137" t="s">
        <v>22</v>
      </c>
      <c r="DHO29" s="205" t="s">
        <v>23</v>
      </c>
      <c r="DHP29" s="324">
        <v>6</v>
      </c>
      <c r="DHQ29" s="325">
        <v>7</v>
      </c>
      <c r="DHR29" s="325">
        <v>8</v>
      </c>
      <c r="DHS29" s="325">
        <v>9</v>
      </c>
      <c r="DHT29" s="325">
        <v>10</v>
      </c>
      <c r="DHU29" s="325">
        <v>11</v>
      </c>
      <c r="DHV29" s="137" t="s">
        <v>22</v>
      </c>
      <c r="DHW29" s="205" t="s">
        <v>23</v>
      </c>
      <c r="DHX29" s="324">
        <v>12</v>
      </c>
      <c r="DHY29" s="325">
        <v>13</v>
      </c>
      <c r="DHZ29" s="325">
        <v>14</v>
      </c>
      <c r="DIA29" s="325">
        <v>15</v>
      </c>
      <c r="DIB29" s="325">
        <v>16</v>
      </c>
      <c r="DIC29" s="325">
        <v>17</v>
      </c>
      <c r="DID29" s="137" t="s">
        <v>22</v>
      </c>
      <c r="DIE29" s="205" t="s">
        <v>23</v>
      </c>
      <c r="DIF29" s="45">
        <v>18</v>
      </c>
      <c r="DIG29" s="46">
        <v>19</v>
      </c>
      <c r="DIH29" s="46">
        <v>20</v>
      </c>
      <c r="DII29" s="46">
        <v>21</v>
      </c>
      <c r="DIJ29" s="46">
        <v>22</v>
      </c>
      <c r="DIK29" s="46">
        <v>23</v>
      </c>
      <c r="DIL29" s="137" t="s">
        <v>22</v>
      </c>
      <c r="DIM29" s="205" t="s">
        <v>23</v>
      </c>
      <c r="DIN29" s="333">
        <v>23</v>
      </c>
      <c r="DIO29" s="334">
        <v>24</v>
      </c>
      <c r="DIP29" s="334">
        <v>25</v>
      </c>
      <c r="DIQ29" s="334">
        <v>26</v>
      </c>
      <c r="DIR29" s="334">
        <v>27</v>
      </c>
      <c r="DIS29" s="334">
        <v>28</v>
      </c>
      <c r="DIT29" s="137" t="s">
        <v>22</v>
      </c>
      <c r="DIU29" s="205" t="s">
        <v>23</v>
      </c>
      <c r="DIV29" s="324">
        <v>29</v>
      </c>
      <c r="DIW29" s="325">
        <v>30</v>
      </c>
      <c r="DIX29" s="325">
        <v>31</v>
      </c>
      <c r="DIY29" s="325">
        <v>1</v>
      </c>
      <c r="DIZ29" s="325">
        <v>3</v>
      </c>
      <c r="DJA29" s="325">
        <v>4</v>
      </c>
      <c r="DJB29" s="137" t="s">
        <v>22</v>
      </c>
      <c r="DJC29" s="205" t="s">
        <v>23</v>
      </c>
      <c r="DJD29" s="324">
        <v>5</v>
      </c>
      <c r="DJE29" s="325">
        <v>6</v>
      </c>
      <c r="DJF29" s="325">
        <v>7</v>
      </c>
      <c r="DJG29" s="325">
        <v>8</v>
      </c>
      <c r="DJH29" s="325">
        <v>9</v>
      </c>
      <c r="DJI29" s="325">
        <v>10</v>
      </c>
      <c r="DJJ29" s="137" t="s">
        <v>22</v>
      </c>
      <c r="DJK29" s="205" t="s">
        <v>23</v>
      </c>
      <c r="DJL29" s="45">
        <v>11</v>
      </c>
      <c r="DJM29" s="46">
        <v>12</v>
      </c>
      <c r="DJN29" s="46">
        <v>13</v>
      </c>
      <c r="DJO29" s="46">
        <v>14</v>
      </c>
      <c r="DJP29" s="46">
        <v>15</v>
      </c>
      <c r="DJQ29" s="46">
        <v>16</v>
      </c>
      <c r="DJR29" s="137" t="s">
        <v>22</v>
      </c>
      <c r="DJS29" s="205" t="s">
        <v>23</v>
      </c>
      <c r="DJT29" s="45">
        <v>18</v>
      </c>
      <c r="DJU29" s="45">
        <v>19</v>
      </c>
      <c r="DJV29" s="45">
        <v>20</v>
      </c>
      <c r="DJW29" s="45">
        <v>21</v>
      </c>
      <c r="DJX29" s="45">
        <v>22</v>
      </c>
      <c r="DJY29" s="45">
        <v>23</v>
      </c>
      <c r="DJZ29" s="137" t="s">
        <v>22</v>
      </c>
      <c r="DKA29" s="205" t="s">
        <v>23</v>
      </c>
      <c r="DKB29" s="45">
        <v>25</v>
      </c>
      <c r="DKC29" s="45">
        <v>26</v>
      </c>
      <c r="DKD29" s="45">
        <v>27</v>
      </c>
      <c r="DKE29" s="45">
        <v>28</v>
      </c>
      <c r="DKF29" s="45">
        <v>29</v>
      </c>
      <c r="DKG29" s="45">
        <v>30</v>
      </c>
      <c r="DKH29" s="137" t="s">
        <v>22</v>
      </c>
      <c r="DKI29" s="205" t="s">
        <v>23</v>
      </c>
      <c r="DKJ29" s="324">
        <v>2</v>
      </c>
      <c r="DKK29" s="325">
        <v>3</v>
      </c>
      <c r="DKL29" s="325">
        <v>4</v>
      </c>
      <c r="DKM29" s="325">
        <v>5</v>
      </c>
      <c r="DKN29" s="325">
        <v>6</v>
      </c>
      <c r="DKO29" s="325">
        <v>7</v>
      </c>
      <c r="DKP29" s="137" t="s">
        <v>22</v>
      </c>
      <c r="DKQ29" s="205" t="s">
        <v>23</v>
      </c>
      <c r="DKR29" s="45">
        <v>9</v>
      </c>
      <c r="DKS29" s="46">
        <v>10</v>
      </c>
      <c r="DKT29" s="46">
        <v>11</v>
      </c>
      <c r="DKU29" s="46">
        <v>12</v>
      </c>
      <c r="DKV29" s="46">
        <v>13</v>
      </c>
      <c r="DKW29" s="46">
        <v>14</v>
      </c>
      <c r="DKX29" s="137" t="s">
        <v>22</v>
      </c>
      <c r="DKY29" s="205" t="s">
        <v>23</v>
      </c>
      <c r="DKZ29" s="45">
        <v>16</v>
      </c>
      <c r="DLA29" s="46">
        <v>17</v>
      </c>
      <c r="DLB29" s="46">
        <v>18</v>
      </c>
      <c r="DLC29" s="46">
        <v>19</v>
      </c>
      <c r="DLD29" s="46">
        <v>20</v>
      </c>
      <c r="DLE29" s="46">
        <v>21</v>
      </c>
      <c r="DLF29" s="137" t="s">
        <v>22</v>
      </c>
      <c r="DLG29" s="205" t="s">
        <v>23</v>
      </c>
      <c r="DLH29" s="45">
        <v>22</v>
      </c>
      <c r="DLI29" s="46">
        <v>23</v>
      </c>
      <c r="DLJ29" s="46">
        <v>24</v>
      </c>
      <c r="DLK29" s="46">
        <v>25</v>
      </c>
      <c r="DLL29" s="46">
        <v>26</v>
      </c>
      <c r="DLM29" s="46">
        <v>27</v>
      </c>
      <c r="DLN29" s="137" t="s">
        <v>22</v>
      </c>
      <c r="DLO29" s="205" t="s">
        <v>23</v>
      </c>
      <c r="DLP29" s="324">
        <v>28</v>
      </c>
      <c r="DLQ29" s="325">
        <v>29</v>
      </c>
      <c r="DLR29" s="325">
        <v>30</v>
      </c>
      <c r="DLS29" s="325">
        <v>31</v>
      </c>
      <c r="DLT29" s="325">
        <v>1</v>
      </c>
      <c r="DLU29" s="325">
        <v>2</v>
      </c>
      <c r="DLV29" s="137" t="s">
        <v>22</v>
      </c>
      <c r="DLW29" s="205" t="s">
        <v>23</v>
      </c>
      <c r="DLX29" s="45">
        <v>3</v>
      </c>
      <c r="DLY29" s="46">
        <v>4</v>
      </c>
      <c r="DLZ29" s="46">
        <v>6</v>
      </c>
      <c r="DMA29" s="46">
        <v>7</v>
      </c>
      <c r="DMB29" s="46">
        <v>8</v>
      </c>
      <c r="DMC29" s="46">
        <v>9</v>
      </c>
      <c r="DMD29" s="137" t="s">
        <v>22</v>
      </c>
      <c r="DME29" s="205" t="s">
        <v>23</v>
      </c>
      <c r="DMF29" s="324">
        <v>10</v>
      </c>
      <c r="DMG29" s="325">
        <v>11</v>
      </c>
      <c r="DMH29" s="325">
        <v>12</v>
      </c>
      <c r="DMI29" s="325">
        <v>13</v>
      </c>
      <c r="DMJ29" s="325">
        <v>14</v>
      </c>
      <c r="DMK29" s="325">
        <v>15</v>
      </c>
      <c r="DML29" s="137" t="s">
        <v>22</v>
      </c>
      <c r="DMM29" s="205" t="s">
        <v>23</v>
      </c>
      <c r="DMN29" s="45">
        <v>16</v>
      </c>
      <c r="DMO29" s="46">
        <v>17</v>
      </c>
      <c r="DMP29" s="46">
        <v>18</v>
      </c>
      <c r="DMQ29" s="46">
        <v>20</v>
      </c>
      <c r="DMR29" s="46">
        <v>21</v>
      </c>
      <c r="DMS29" s="46">
        <v>22</v>
      </c>
      <c r="DMT29" s="137" t="s">
        <v>22</v>
      </c>
      <c r="DMU29" s="205" t="s">
        <v>23</v>
      </c>
      <c r="DMV29" s="324">
        <v>23</v>
      </c>
      <c r="DMW29" s="325">
        <v>24</v>
      </c>
      <c r="DMX29" s="325">
        <v>25</v>
      </c>
      <c r="DMY29" s="325">
        <v>27</v>
      </c>
      <c r="DMZ29" s="325">
        <v>28</v>
      </c>
      <c r="DNA29" s="325">
        <v>29</v>
      </c>
      <c r="DNB29" s="490" t="s">
        <v>22</v>
      </c>
      <c r="DNC29" s="138" t="s">
        <v>23</v>
      </c>
      <c r="DND29" s="45">
        <v>30</v>
      </c>
      <c r="DNE29" s="46">
        <v>1</v>
      </c>
      <c r="DNF29" s="46">
        <v>2</v>
      </c>
      <c r="DNG29" s="46">
        <v>4</v>
      </c>
      <c r="DNH29" s="46">
        <v>5</v>
      </c>
      <c r="DNI29" s="46">
        <v>6</v>
      </c>
      <c r="DNJ29" s="137" t="s">
        <v>22</v>
      </c>
      <c r="DNK29" s="205" t="s">
        <v>23</v>
      </c>
      <c r="DNL29" s="45">
        <v>7</v>
      </c>
      <c r="DNM29" s="46">
        <v>8</v>
      </c>
      <c r="DNN29" s="46">
        <v>9</v>
      </c>
      <c r="DNO29" s="46">
        <v>11</v>
      </c>
      <c r="DNP29" s="46">
        <v>12</v>
      </c>
      <c r="DNQ29" s="46">
        <v>13</v>
      </c>
      <c r="DNR29" s="137" t="s">
        <v>22</v>
      </c>
      <c r="DNS29" s="205" t="s">
        <v>23</v>
      </c>
      <c r="DNT29" s="324">
        <v>14</v>
      </c>
      <c r="DNU29" s="325">
        <v>15</v>
      </c>
      <c r="DNV29" s="325">
        <v>16</v>
      </c>
      <c r="DNW29" s="325">
        <v>17</v>
      </c>
      <c r="DNX29" s="325">
        <v>18</v>
      </c>
      <c r="DNY29" s="325">
        <v>19</v>
      </c>
      <c r="DNZ29" s="137" t="s">
        <v>22</v>
      </c>
      <c r="DOA29" s="205" t="s">
        <v>23</v>
      </c>
      <c r="DOB29" s="61">
        <v>20</v>
      </c>
      <c r="DOC29" s="62">
        <v>21</v>
      </c>
      <c r="DOD29" s="62">
        <v>22</v>
      </c>
      <c r="DOE29" s="62">
        <v>23</v>
      </c>
      <c r="DOF29" s="62">
        <v>24</v>
      </c>
      <c r="DOG29" s="62">
        <v>26</v>
      </c>
      <c r="DOH29" s="137" t="s">
        <v>22</v>
      </c>
      <c r="DOI29" s="205" t="s">
        <v>23</v>
      </c>
      <c r="DOJ29" s="324">
        <v>27</v>
      </c>
      <c r="DOK29" s="325">
        <v>28</v>
      </c>
      <c r="DOL29" s="325">
        <v>29</v>
      </c>
      <c r="DOM29" s="325">
        <v>30</v>
      </c>
      <c r="DON29" s="325">
        <v>31</v>
      </c>
      <c r="DOO29" s="325">
        <v>2</v>
      </c>
      <c r="DOP29" s="137" t="s">
        <v>22</v>
      </c>
      <c r="DOQ29" s="205" t="s">
        <v>23</v>
      </c>
      <c r="DOR29" s="324">
        <v>3</v>
      </c>
      <c r="DOS29" s="325">
        <v>4</v>
      </c>
      <c r="DOT29" s="325">
        <v>5</v>
      </c>
      <c r="DOU29" s="325">
        <v>6</v>
      </c>
      <c r="DOV29" s="325">
        <v>7</v>
      </c>
      <c r="DOW29" s="325">
        <v>8</v>
      </c>
      <c r="DOX29" s="137" t="s">
        <v>22</v>
      </c>
      <c r="DOY29" s="205" t="s">
        <v>23</v>
      </c>
      <c r="DOZ29" s="61">
        <v>9</v>
      </c>
      <c r="DPA29" s="62">
        <v>10</v>
      </c>
      <c r="DPB29" s="62">
        <v>11</v>
      </c>
      <c r="DPC29" s="62">
        <v>12</v>
      </c>
      <c r="DPD29" s="62">
        <v>13</v>
      </c>
      <c r="DPE29" s="62">
        <v>14</v>
      </c>
      <c r="DPF29" s="496" t="s">
        <v>22</v>
      </c>
      <c r="DPG29" s="497" t="s">
        <v>23</v>
      </c>
      <c r="DPH29" s="45">
        <v>16</v>
      </c>
      <c r="DPI29" s="46">
        <v>17</v>
      </c>
      <c r="DPJ29" s="46">
        <v>18</v>
      </c>
      <c r="DPK29" s="46">
        <v>19</v>
      </c>
      <c r="DPL29" s="46">
        <v>20</v>
      </c>
      <c r="DPM29" s="46">
        <v>21</v>
      </c>
      <c r="DPN29" s="137" t="s">
        <v>22</v>
      </c>
      <c r="DPO29" s="205" t="s">
        <v>23</v>
      </c>
      <c r="DPP29" s="45">
        <v>22</v>
      </c>
      <c r="DPQ29" s="46">
        <v>23</v>
      </c>
      <c r="DPR29" s="46">
        <v>24</v>
      </c>
      <c r="DPS29" s="46">
        <v>25</v>
      </c>
      <c r="DPT29" s="46">
        <v>26</v>
      </c>
      <c r="DPU29" s="46">
        <v>27</v>
      </c>
      <c r="DPV29" s="490" t="s">
        <v>22</v>
      </c>
      <c r="DPW29" s="138" t="s">
        <v>23</v>
      </c>
      <c r="DPX29" s="45">
        <v>28</v>
      </c>
      <c r="DPY29" s="46">
        <v>29</v>
      </c>
      <c r="DPZ29" s="46">
        <v>30</v>
      </c>
      <c r="DQA29" s="46">
        <v>31</v>
      </c>
      <c r="DQB29" s="46">
        <v>1</v>
      </c>
      <c r="DQC29" s="46">
        <v>2</v>
      </c>
      <c r="DQD29" s="490" t="s">
        <v>22</v>
      </c>
      <c r="DQE29" s="138" t="s">
        <v>23</v>
      </c>
      <c r="DQF29" s="324">
        <v>3</v>
      </c>
      <c r="DQG29" s="325">
        <v>4</v>
      </c>
      <c r="DQH29" s="325">
        <v>5</v>
      </c>
      <c r="DQI29" s="325">
        <v>6</v>
      </c>
      <c r="DQJ29" s="325">
        <v>7</v>
      </c>
      <c r="DQK29" s="325">
        <v>13</v>
      </c>
      <c r="DQL29" s="498" t="s">
        <v>22</v>
      </c>
      <c r="DQM29" s="138" t="s">
        <v>23</v>
      </c>
      <c r="DQN29" s="45">
        <v>14</v>
      </c>
      <c r="DQO29" s="46">
        <v>15</v>
      </c>
      <c r="DQP29" s="46">
        <v>16</v>
      </c>
      <c r="DQQ29" s="46">
        <v>17</v>
      </c>
      <c r="DQR29" s="46">
        <v>19</v>
      </c>
      <c r="DQS29" s="46">
        <v>20</v>
      </c>
      <c r="DQT29" s="500" t="s">
        <v>22</v>
      </c>
      <c r="DQU29" s="501" t="s">
        <v>23</v>
      </c>
      <c r="DQV29" s="45">
        <v>22</v>
      </c>
      <c r="DQW29" s="46">
        <v>23</v>
      </c>
      <c r="DQX29" s="46">
        <v>24</v>
      </c>
      <c r="DQY29" s="46">
        <v>26</v>
      </c>
      <c r="DQZ29" s="46">
        <v>27</v>
      </c>
      <c r="DRA29" s="46">
        <v>28</v>
      </c>
      <c r="DRB29" s="137" t="s">
        <v>22</v>
      </c>
      <c r="DRC29" s="205" t="s">
        <v>23</v>
      </c>
      <c r="DRD29" s="61">
        <v>2</v>
      </c>
      <c r="DRE29" s="62">
        <v>3</v>
      </c>
      <c r="DRF29" s="62">
        <v>4</v>
      </c>
      <c r="DRG29" s="62">
        <v>5</v>
      </c>
      <c r="DRH29" s="62">
        <v>6</v>
      </c>
      <c r="DRI29" s="62">
        <v>7</v>
      </c>
      <c r="DRJ29" s="137" t="s">
        <v>22</v>
      </c>
      <c r="DRK29" s="205" t="s">
        <v>23</v>
      </c>
      <c r="DRL29" s="45">
        <v>7</v>
      </c>
      <c r="DRM29" s="46">
        <v>8</v>
      </c>
      <c r="DRN29" s="46">
        <v>9</v>
      </c>
      <c r="DRO29" s="46">
        <v>11</v>
      </c>
      <c r="DRP29" s="46">
        <v>12</v>
      </c>
      <c r="DRQ29" s="46">
        <v>13</v>
      </c>
      <c r="DRR29" s="137" t="s">
        <v>22</v>
      </c>
      <c r="DRS29" s="205" t="s">
        <v>23</v>
      </c>
      <c r="DRT29" s="61">
        <v>14</v>
      </c>
      <c r="DRU29" s="62">
        <v>15</v>
      </c>
      <c r="DRV29" s="62">
        <v>16</v>
      </c>
      <c r="DRW29" s="62">
        <v>17</v>
      </c>
      <c r="DRX29" s="62">
        <v>19</v>
      </c>
      <c r="DRY29" s="62">
        <v>19</v>
      </c>
      <c r="DRZ29" s="137" t="s">
        <v>22</v>
      </c>
      <c r="DSA29" s="205" t="s">
        <v>23</v>
      </c>
      <c r="DSB29" s="80">
        <v>20</v>
      </c>
      <c r="DSC29" s="81">
        <v>21</v>
      </c>
      <c r="DSD29" s="81">
        <v>22</v>
      </c>
      <c r="DSE29" s="81">
        <v>23</v>
      </c>
      <c r="DSF29" s="81">
        <v>25</v>
      </c>
      <c r="DSG29" s="81">
        <v>26</v>
      </c>
      <c r="DSH29" s="137" t="s">
        <v>22</v>
      </c>
      <c r="DSI29" s="205" t="s">
        <v>23</v>
      </c>
      <c r="DSJ29" s="324">
        <v>27</v>
      </c>
      <c r="DSK29" s="325">
        <v>28</v>
      </c>
      <c r="DSL29" s="325">
        <v>29</v>
      </c>
      <c r="DSM29" s="325">
        <v>30</v>
      </c>
      <c r="DSN29" s="325">
        <v>1</v>
      </c>
      <c r="DSO29" s="325">
        <v>2</v>
      </c>
      <c r="DSP29" s="137" t="s">
        <v>22</v>
      </c>
      <c r="DSQ29" s="205" t="s">
        <v>23</v>
      </c>
      <c r="DSR29" s="45">
        <v>3</v>
      </c>
      <c r="DSS29" s="46">
        <v>4</v>
      </c>
      <c r="DST29" s="46">
        <v>5</v>
      </c>
      <c r="DSU29" s="46">
        <v>8</v>
      </c>
      <c r="DSV29" s="46">
        <v>9</v>
      </c>
      <c r="DSW29" s="46">
        <v>10</v>
      </c>
      <c r="DSX29" s="137" t="s">
        <v>22</v>
      </c>
      <c r="DSY29" s="205" t="s">
        <v>23</v>
      </c>
      <c r="DSZ29" s="45">
        <v>11</v>
      </c>
      <c r="DTA29" s="46">
        <v>12</v>
      </c>
      <c r="DTB29" s="46">
        <v>13</v>
      </c>
      <c r="DTC29" s="46">
        <v>15</v>
      </c>
      <c r="DTD29" s="46">
        <v>16</v>
      </c>
      <c r="DTE29" s="46">
        <v>17</v>
      </c>
      <c r="DTF29" s="137" t="s">
        <v>22</v>
      </c>
      <c r="DTG29" s="205" t="s">
        <v>23</v>
      </c>
      <c r="DTH29" s="45">
        <v>19</v>
      </c>
      <c r="DTI29" s="46">
        <v>20</v>
      </c>
      <c r="DTJ29" s="46">
        <v>22</v>
      </c>
      <c r="DTK29" s="46">
        <v>23</v>
      </c>
      <c r="DTL29" s="46">
        <v>24</v>
      </c>
      <c r="DTM29" s="46">
        <v>25</v>
      </c>
      <c r="DTN29" s="137" t="s">
        <v>22</v>
      </c>
      <c r="DTO29" s="205" t="s">
        <v>23</v>
      </c>
      <c r="DTP29" s="324">
        <v>26</v>
      </c>
      <c r="DTQ29" s="325">
        <v>27</v>
      </c>
      <c r="DTR29" s="325">
        <v>28</v>
      </c>
      <c r="DTS29" s="325">
        <v>29</v>
      </c>
      <c r="DTT29" s="325">
        <v>2</v>
      </c>
      <c r="DTU29" s="325">
        <v>3</v>
      </c>
      <c r="DTV29" s="137" t="s">
        <v>22</v>
      </c>
      <c r="DTW29" s="205" t="s">
        <v>23</v>
      </c>
      <c r="DTX29" s="45">
        <v>4</v>
      </c>
      <c r="DTY29" s="46">
        <v>6</v>
      </c>
      <c r="DTZ29" s="46">
        <v>7</v>
      </c>
      <c r="DUA29" s="46">
        <v>8</v>
      </c>
      <c r="DUB29" s="46">
        <v>9</v>
      </c>
      <c r="DUC29" s="46">
        <v>10</v>
      </c>
      <c r="DUD29" s="137" t="s">
        <v>22</v>
      </c>
      <c r="DUE29" s="205" t="s">
        <v>23</v>
      </c>
      <c r="DUF29" s="45">
        <v>11</v>
      </c>
      <c r="DUG29" s="46">
        <v>13</v>
      </c>
      <c r="DUH29" s="46">
        <v>14</v>
      </c>
      <c r="DUI29" s="46">
        <v>15</v>
      </c>
      <c r="DUJ29" s="46">
        <v>16</v>
      </c>
      <c r="DUK29" s="46">
        <v>17</v>
      </c>
      <c r="DUL29" s="137" t="s">
        <v>22</v>
      </c>
      <c r="DUM29" s="205" t="s">
        <v>23</v>
      </c>
      <c r="DUN29" s="324">
        <v>18</v>
      </c>
      <c r="DUO29" s="325">
        <v>20</v>
      </c>
      <c r="DUP29" s="325">
        <v>21</v>
      </c>
      <c r="DUQ29" s="325">
        <v>22</v>
      </c>
      <c r="DUR29" s="325">
        <v>23</v>
      </c>
      <c r="DUS29" s="325">
        <v>24</v>
      </c>
      <c r="DUT29" s="137" t="s">
        <v>22</v>
      </c>
      <c r="DUU29" s="205" t="s">
        <v>23</v>
      </c>
      <c r="DUV29" s="45">
        <v>25</v>
      </c>
      <c r="DUW29" s="46">
        <v>27</v>
      </c>
      <c r="DUX29" s="46">
        <v>28</v>
      </c>
      <c r="DUY29" s="46">
        <v>29</v>
      </c>
      <c r="DUZ29" s="46">
        <v>30</v>
      </c>
      <c r="DVA29" s="46">
        <v>31</v>
      </c>
      <c r="DVB29" s="137" t="s">
        <v>22</v>
      </c>
      <c r="DVC29" s="205" t="s">
        <v>23</v>
      </c>
      <c r="DVD29" s="61">
        <v>1</v>
      </c>
      <c r="DVE29" s="62">
        <v>3</v>
      </c>
      <c r="DVF29" s="62">
        <v>4</v>
      </c>
      <c r="DVG29" s="62">
        <v>5</v>
      </c>
      <c r="DVH29" s="62">
        <v>6</v>
      </c>
      <c r="DVI29" s="62">
        <v>7</v>
      </c>
      <c r="DVJ29" s="137" t="s">
        <v>22</v>
      </c>
      <c r="DVK29" s="205" t="s">
        <v>23</v>
      </c>
      <c r="DVL29" s="333">
        <v>8</v>
      </c>
      <c r="DVM29" s="334">
        <v>10</v>
      </c>
      <c r="DVN29" s="334">
        <v>11</v>
      </c>
      <c r="DVO29" s="334">
        <v>12</v>
      </c>
      <c r="DVP29" s="334">
        <v>13</v>
      </c>
      <c r="DVQ29" s="334">
        <v>14</v>
      </c>
      <c r="DVR29" s="137" t="s">
        <v>22</v>
      </c>
      <c r="DVS29" s="205" t="s">
        <v>23</v>
      </c>
      <c r="DVT29" s="45">
        <v>15</v>
      </c>
      <c r="DVU29" s="46">
        <v>17</v>
      </c>
      <c r="DVV29" s="46">
        <v>18</v>
      </c>
      <c r="DVW29" s="46">
        <v>19</v>
      </c>
      <c r="DVX29" s="46">
        <v>20</v>
      </c>
      <c r="DVY29" s="46">
        <v>21</v>
      </c>
      <c r="DVZ29" s="137" t="s">
        <v>22</v>
      </c>
      <c r="DWA29" s="205" t="s">
        <v>23</v>
      </c>
      <c r="DWB29" s="45">
        <v>22</v>
      </c>
      <c r="DWC29" s="46">
        <v>24</v>
      </c>
      <c r="DWD29" s="46">
        <v>25</v>
      </c>
      <c r="DWE29" s="46">
        <v>26</v>
      </c>
      <c r="DWF29" s="46">
        <v>27</v>
      </c>
      <c r="DWG29" s="46">
        <v>28</v>
      </c>
      <c r="DWH29" s="137" t="s">
        <v>22</v>
      </c>
      <c r="DWI29" s="205" t="s">
        <v>23</v>
      </c>
      <c r="DWJ29" s="45">
        <v>30</v>
      </c>
      <c r="DWK29" s="46">
        <v>1</v>
      </c>
      <c r="DWL29" s="46">
        <v>2</v>
      </c>
      <c r="DWM29" s="46">
        <v>3</v>
      </c>
      <c r="DWN29" s="46">
        <v>4</v>
      </c>
      <c r="DWO29" s="46">
        <v>5</v>
      </c>
      <c r="DWP29" s="137" t="s">
        <v>22</v>
      </c>
      <c r="DWQ29" s="205" t="s">
        <v>23</v>
      </c>
      <c r="DWR29" s="45">
        <v>6</v>
      </c>
      <c r="DWS29" s="46">
        <v>8</v>
      </c>
      <c r="DWT29" s="46">
        <v>9</v>
      </c>
      <c r="DWU29" s="46">
        <v>10</v>
      </c>
      <c r="DWV29" s="46">
        <v>11</v>
      </c>
      <c r="DWW29" s="46">
        <v>12</v>
      </c>
      <c r="DWX29" s="137" t="s">
        <v>22</v>
      </c>
      <c r="DWY29" s="205" t="s">
        <v>23</v>
      </c>
      <c r="DWZ29" s="324">
        <v>15</v>
      </c>
      <c r="DXA29" s="325">
        <v>16</v>
      </c>
      <c r="DXB29" s="325">
        <v>17</v>
      </c>
      <c r="DXC29" s="325">
        <v>18</v>
      </c>
      <c r="DXD29" s="325">
        <v>19</v>
      </c>
      <c r="DXE29" s="325">
        <v>20</v>
      </c>
      <c r="DXF29" s="137" t="s">
        <v>22</v>
      </c>
      <c r="DXG29" s="205" t="s">
        <v>23</v>
      </c>
      <c r="DXH29" s="324">
        <v>22</v>
      </c>
      <c r="DXI29" s="325">
        <v>23</v>
      </c>
      <c r="DXJ29" s="325">
        <v>24</v>
      </c>
      <c r="DXK29" s="325">
        <v>25</v>
      </c>
      <c r="DXL29" s="325">
        <v>26</v>
      </c>
      <c r="DXM29" s="325">
        <v>27</v>
      </c>
      <c r="DXN29" s="137" t="s">
        <v>22</v>
      </c>
      <c r="DXO29" s="205" t="s">
        <v>23</v>
      </c>
      <c r="DXP29" s="45">
        <v>29</v>
      </c>
      <c r="DXQ29" s="46">
        <v>30</v>
      </c>
      <c r="DXR29" s="46">
        <v>31</v>
      </c>
      <c r="DXS29" s="46">
        <v>1</v>
      </c>
      <c r="DXT29" s="46">
        <v>2</v>
      </c>
      <c r="DXU29" s="46">
        <v>3</v>
      </c>
      <c r="DXV29" s="606" t="s">
        <v>263</v>
      </c>
      <c r="DXW29" s="607" t="s">
        <v>264</v>
      </c>
      <c r="DXX29" s="45">
        <v>5</v>
      </c>
      <c r="DXY29" s="45">
        <v>6</v>
      </c>
      <c r="DXZ29" s="45">
        <v>7</v>
      </c>
      <c r="DYA29" s="45">
        <v>8</v>
      </c>
      <c r="DYB29" s="45">
        <v>9</v>
      </c>
      <c r="DYC29" s="45">
        <v>10</v>
      </c>
      <c r="DYD29" s="606" t="s">
        <v>263</v>
      </c>
      <c r="DYE29" s="607" t="s">
        <v>264</v>
      </c>
      <c r="DYF29" s="45">
        <v>13</v>
      </c>
      <c r="DYG29" s="46">
        <v>14</v>
      </c>
      <c r="DYH29" s="46">
        <v>15</v>
      </c>
      <c r="DYI29" s="46">
        <v>16</v>
      </c>
      <c r="DYJ29" s="46">
        <v>17</v>
      </c>
      <c r="DYK29" s="46">
        <v>18</v>
      </c>
      <c r="DYL29" s="606" t="s">
        <v>263</v>
      </c>
      <c r="DYM29" s="607" t="s">
        <v>264</v>
      </c>
      <c r="DYN29" s="324">
        <v>20</v>
      </c>
      <c r="DYO29" s="325">
        <v>21</v>
      </c>
      <c r="DYP29" s="325">
        <v>22</v>
      </c>
      <c r="DYQ29" s="325">
        <v>23</v>
      </c>
      <c r="DYR29" s="325">
        <v>24</v>
      </c>
      <c r="DYS29" s="325">
        <v>25</v>
      </c>
      <c r="DYT29" s="606" t="s">
        <v>263</v>
      </c>
      <c r="DYU29" s="607" t="s">
        <v>264</v>
      </c>
      <c r="DYV29" s="45">
        <v>26</v>
      </c>
      <c r="DYW29" s="46">
        <v>27</v>
      </c>
      <c r="DYX29" s="46">
        <v>28</v>
      </c>
      <c r="DYY29" s="46">
        <v>29</v>
      </c>
      <c r="DYZ29" s="46">
        <v>30</v>
      </c>
      <c r="DZA29" s="46">
        <v>31</v>
      </c>
      <c r="DZB29" s="606" t="s">
        <v>263</v>
      </c>
      <c r="DZC29" s="607" t="s">
        <v>264</v>
      </c>
      <c r="DZD29" s="45">
        <v>1</v>
      </c>
      <c r="DZE29" s="46">
        <v>4</v>
      </c>
      <c r="DZF29" s="46">
        <v>5</v>
      </c>
      <c r="DZG29" s="46">
        <v>6</v>
      </c>
      <c r="DZH29" s="46">
        <v>7</v>
      </c>
      <c r="DZI29" s="46">
        <v>8</v>
      </c>
      <c r="DZJ29" s="606" t="s">
        <v>263</v>
      </c>
      <c r="DZK29" s="607" t="s">
        <v>264</v>
      </c>
      <c r="DZL29" s="45">
        <v>9</v>
      </c>
      <c r="DZM29" s="46">
        <v>10</v>
      </c>
      <c r="DZN29" s="46">
        <v>11</v>
      </c>
      <c r="DZO29" s="46">
        <v>12</v>
      </c>
      <c r="DZP29" s="46">
        <v>13</v>
      </c>
      <c r="DZQ29" s="46">
        <v>14</v>
      </c>
      <c r="DZR29" s="606" t="s">
        <v>263</v>
      </c>
      <c r="DZS29" s="607" t="s">
        <v>264</v>
      </c>
      <c r="DZT29" s="45">
        <v>16</v>
      </c>
      <c r="DZU29" s="46">
        <v>17</v>
      </c>
      <c r="DZV29" s="46">
        <v>18</v>
      </c>
      <c r="DZW29" s="46">
        <v>19</v>
      </c>
      <c r="DZX29" s="46">
        <v>20</v>
      </c>
      <c r="DZY29" s="46">
        <v>21</v>
      </c>
      <c r="DZZ29" s="606" t="s">
        <v>263</v>
      </c>
      <c r="EAA29" s="607" t="s">
        <v>264</v>
      </c>
      <c r="EAB29" s="324">
        <v>22</v>
      </c>
      <c r="EAC29" s="325">
        <v>23</v>
      </c>
      <c r="EAD29" s="325">
        <v>24</v>
      </c>
      <c r="EAE29" s="325">
        <v>25</v>
      </c>
      <c r="EAF29" s="325">
        <v>26</v>
      </c>
      <c r="EAG29" s="325">
        <v>27</v>
      </c>
      <c r="EAH29" s="606" t="s">
        <v>263</v>
      </c>
      <c r="EAI29" s="607" t="s">
        <v>264</v>
      </c>
      <c r="EAJ29" s="45">
        <v>30</v>
      </c>
      <c r="EAK29" s="46">
        <v>1</v>
      </c>
      <c r="EAL29" s="46">
        <v>2</v>
      </c>
      <c r="EAM29" s="46">
        <v>3</v>
      </c>
      <c r="EAN29" s="46">
        <v>4</v>
      </c>
      <c r="EAO29" s="46">
        <v>5</v>
      </c>
      <c r="EAP29" s="606" t="s">
        <v>263</v>
      </c>
      <c r="EAQ29" s="607" t="s">
        <v>264</v>
      </c>
      <c r="EAR29" s="45">
        <v>7</v>
      </c>
      <c r="EAS29" s="46">
        <v>8</v>
      </c>
      <c r="EAT29" s="46">
        <v>9</v>
      </c>
      <c r="EAU29" s="46">
        <v>10</v>
      </c>
      <c r="EAV29" s="46">
        <v>11</v>
      </c>
      <c r="EAW29" s="46">
        <v>12</v>
      </c>
      <c r="EAX29" s="606" t="s">
        <v>263</v>
      </c>
      <c r="EAY29" s="607" t="s">
        <v>264</v>
      </c>
      <c r="EAZ29" s="45">
        <v>14</v>
      </c>
      <c r="EBA29" s="46">
        <v>15</v>
      </c>
      <c r="EBB29" s="46">
        <v>16</v>
      </c>
      <c r="EBC29" s="46">
        <v>17</v>
      </c>
      <c r="EBD29" s="46">
        <v>18</v>
      </c>
      <c r="EBE29" s="46">
        <v>19</v>
      </c>
      <c r="EBF29" s="606" t="s">
        <v>263</v>
      </c>
      <c r="EBG29" s="607" t="s">
        <v>264</v>
      </c>
      <c r="EBH29" s="337">
        <v>21</v>
      </c>
      <c r="EBI29" s="338">
        <v>22</v>
      </c>
      <c r="EBJ29" s="338">
        <v>23</v>
      </c>
      <c r="EBK29" s="338">
        <v>24</v>
      </c>
      <c r="EBL29" s="338">
        <v>25</v>
      </c>
      <c r="EBM29" s="338">
        <v>26</v>
      </c>
      <c r="EBN29" s="611" t="s">
        <v>263</v>
      </c>
      <c r="EBO29" s="618" t="s">
        <v>264</v>
      </c>
      <c r="EBP29" s="45">
        <v>28</v>
      </c>
      <c r="EBQ29" s="46">
        <v>29</v>
      </c>
      <c r="EBR29" s="46">
        <v>30</v>
      </c>
      <c r="EBS29" s="46">
        <v>31</v>
      </c>
      <c r="EBT29" s="46">
        <v>1</v>
      </c>
      <c r="EBU29" s="46">
        <v>2</v>
      </c>
      <c r="EBV29" s="606" t="s">
        <v>263</v>
      </c>
      <c r="EBW29" s="607" t="s">
        <v>264</v>
      </c>
      <c r="EBX29" s="45">
        <v>4</v>
      </c>
      <c r="EBY29" s="46">
        <v>5</v>
      </c>
      <c r="EBZ29" s="46">
        <v>6</v>
      </c>
      <c r="ECA29" s="46">
        <v>7</v>
      </c>
      <c r="ECB29" s="46">
        <v>8</v>
      </c>
      <c r="ECC29" s="46">
        <v>9</v>
      </c>
      <c r="ECD29" s="606" t="s">
        <v>263</v>
      </c>
      <c r="ECE29" s="607" t="s">
        <v>264</v>
      </c>
      <c r="ECF29" s="379">
        <v>11</v>
      </c>
      <c r="ECG29" s="380">
        <v>12</v>
      </c>
      <c r="ECH29" s="380">
        <v>13</v>
      </c>
      <c r="ECI29" s="380">
        <v>14</v>
      </c>
      <c r="ECJ29" s="380">
        <v>15</v>
      </c>
      <c r="ECK29" s="380">
        <v>18</v>
      </c>
      <c r="ECL29" s="606" t="s">
        <v>263</v>
      </c>
      <c r="ECM29" s="607" t="s">
        <v>264</v>
      </c>
      <c r="ECN29" s="45">
        <v>19</v>
      </c>
      <c r="ECO29" s="46">
        <v>20</v>
      </c>
      <c r="ECP29" s="46">
        <v>21</v>
      </c>
      <c r="ECQ29" s="46">
        <v>22</v>
      </c>
      <c r="ECR29" s="46">
        <v>23</v>
      </c>
      <c r="ECS29" s="46">
        <v>25</v>
      </c>
      <c r="ECT29" s="606" t="s">
        <v>263</v>
      </c>
      <c r="ECU29" s="607" t="s">
        <v>264</v>
      </c>
      <c r="ECV29" s="45">
        <v>26</v>
      </c>
      <c r="ECW29" s="46">
        <v>27</v>
      </c>
      <c r="ECX29" s="46">
        <v>28</v>
      </c>
      <c r="ECY29" s="46">
        <v>29</v>
      </c>
      <c r="ECZ29" s="46">
        <v>30</v>
      </c>
      <c r="EDA29" s="46">
        <v>2</v>
      </c>
      <c r="EDB29" s="606" t="s">
        <v>263</v>
      </c>
      <c r="EDC29" s="607" t="s">
        <v>264</v>
      </c>
      <c r="EDD29" s="324">
        <v>3</v>
      </c>
      <c r="EDE29" s="325">
        <v>4</v>
      </c>
      <c r="EDF29" s="325">
        <v>5</v>
      </c>
      <c r="EDG29" s="325">
        <v>6</v>
      </c>
      <c r="EDH29" s="325">
        <v>7</v>
      </c>
      <c r="EDI29" s="325">
        <v>9</v>
      </c>
      <c r="EDJ29" s="606" t="s">
        <v>263</v>
      </c>
      <c r="EDK29" s="607" t="s">
        <v>264</v>
      </c>
      <c r="EDL29" s="45">
        <v>10</v>
      </c>
      <c r="EDM29" s="46">
        <v>11</v>
      </c>
      <c r="EDN29" s="46">
        <v>12</v>
      </c>
      <c r="EDO29" s="46">
        <v>13</v>
      </c>
      <c r="EDP29" s="46">
        <v>14</v>
      </c>
      <c r="EDQ29" s="46">
        <v>16</v>
      </c>
      <c r="EDR29" s="606" t="s">
        <v>263</v>
      </c>
      <c r="EDS29" s="607" t="s">
        <v>264</v>
      </c>
      <c r="EDT29" s="324">
        <v>17</v>
      </c>
      <c r="EDU29" s="325">
        <v>18</v>
      </c>
      <c r="EDV29" s="325">
        <v>19</v>
      </c>
      <c r="EDW29" s="325">
        <v>20</v>
      </c>
      <c r="EDX29" s="325">
        <v>21</v>
      </c>
      <c r="EDY29" s="325">
        <v>22</v>
      </c>
      <c r="EDZ29" s="606" t="s">
        <v>263</v>
      </c>
      <c r="EEA29" s="607" t="s">
        <v>264</v>
      </c>
      <c r="EEB29" s="45">
        <v>24</v>
      </c>
      <c r="EEC29" s="46">
        <v>25</v>
      </c>
      <c r="EED29" s="46">
        <v>26</v>
      </c>
      <c r="EEE29" s="46">
        <v>27</v>
      </c>
      <c r="EEF29" s="46">
        <v>28</v>
      </c>
      <c r="EEG29" s="46">
        <v>29</v>
      </c>
      <c r="EEH29" s="606" t="s">
        <v>263</v>
      </c>
      <c r="EEI29" s="607" t="s">
        <v>264</v>
      </c>
      <c r="EEJ29" s="324">
        <v>30</v>
      </c>
      <c r="EEK29" s="325">
        <v>31</v>
      </c>
      <c r="EEL29" s="325">
        <v>2</v>
      </c>
      <c r="EEM29" s="325">
        <v>3</v>
      </c>
      <c r="EEN29" s="325">
        <v>4</v>
      </c>
      <c r="EEO29" s="325">
        <v>5</v>
      </c>
      <c r="EEP29" s="606" t="s">
        <v>263</v>
      </c>
      <c r="EEQ29" s="607" t="s">
        <v>264</v>
      </c>
      <c r="EER29" s="324">
        <v>7</v>
      </c>
      <c r="EES29" s="325">
        <v>8</v>
      </c>
      <c r="EET29" s="325">
        <v>9</v>
      </c>
      <c r="EEU29" s="325">
        <v>10</v>
      </c>
      <c r="EEV29" s="325">
        <v>11</v>
      </c>
      <c r="EEW29" s="325">
        <v>12</v>
      </c>
      <c r="EEX29" s="606" t="s">
        <v>263</v>
      </c>
      <c r="EEY29" s="607" t="s">
        <v>264</v>
      </c>
      <c r="EEZ29" s="45">
        <v>13</v>
      </c>
      <c r="EFA29" s="46">
        <v>14</v>
      </c>
      <c r="EFB29" s="46">
        <v>15</v>
      </c>
      <c r="EFC29" s="46">
        <v>16</v>
      </c>
      <c r="EFD29" s="46">
        <v>17</v>
      </c>
      <c r="EFE29" s="46">
        <v>18</v>
      </c>
      <c r="EFF29" s="606" t="s">
        <v>263</v>
      </c>
      <c r="EFG29" s="607" t="s">
        <v>264</v>
      </c>
      <c r="EFH29" s="324">
        <v>19</v>
      </c>
      <c r="EFI29" s="325">
        <v>20</v>
      </c>
      <c r="EFJ29" s="325">
        <v>21</v>
      </c>
      <c r="EFK29" s="325">
        <v>22</v>
      </c>
      <c r="EFL29" s="325">
        <v>23</v>
      </c>
      <c r="EFM29" s="325">
        <v>24</v>
      </c>
      <c r="EFN29" s="606" t="s">
        <v>263</v>
      </c>
      <c r="EFO29" s="607" t="s">
        <v>264</v>
      </c>
      <c r="EFP29" s="45">
        <v>25</v>
      </c>
      <c r="EFQ29" s="46">
        <v>26</v>
      </c>
      <c r="EFR29" s="46">
        <v>1</v>
      </c>
      <c r="EFS29" s="46">
        <v>3</v>
      </c>
      <c r="EFT29" s="46">
        <v>4</v>
      </c>
      <c r="EFU29" s="46">
        <v>5</v>
      </c>
      <c r="EFV29" s="606" t="s">
        <v>263</v>
      </c>
      <c r="EFW29" s="607" t="s">
        <v>264</v>
      </c>
      <c r="EFX29" s="71">
        <v>6</v>
      </c>
      <c r="EFY29" s="103">
        <v>7</v>
      </c>
      <c r="EFZ29" s="103">
        <v>8</v>
      </c>
      <c r="EGA29" s="103">
        <v>10</v>
      </c>
      <c r="EGB29" s="103">
        <v>11</v>
      </c>
      <c r="EGC29" s="103">
        <v>12</v>
      </c>
      <c r="EGD29" s="611" t="s">
        <v>263</v>
      </c>
      <c r="EGE29" s="618" t="s">
        <v>264</v>
      </c>
      <c r="EGF29" s="71">
        <v>13</v>
      </c>
      <c r="EGG29" s="103">
        <v>14</v>
      </c>
      <c r="EGH29" s="103">
        <v>15</v>
      </c>
      <c r="EGI29" s="103">
        <v>16</v>
      </c>
      <c r="EGJ29" s="103">
        <v>18</v>
      </c>
      <c r="EGK29" s="103">
        <v>19</v>
      </c>
      <c r="EGL29" s="611" t="s">
        <v>263</v>
      </c>
      <c r="EGM29" s="618" t="s">
        <v>264</v>
      </c>
      <c r="EGN29" s="45">
        <v>20</v>
      </c>
      <c r="EGO29" s="46">
        <v>21</v>
      </c>
      <c r="EGP29" s="46">
        <v>22</v>
      </c>
      <c r="EGQ29" s="46">
        <v>24</v>
      </c>
      <c r="EGR29" s="46">
        <v>25</v>
      </c>
      <c r="EGS29" s="46">
        <v>26</v>
      </c>
      <c r="EGT29" s="606" t="s">
        <v>263</v>
      </c>
      <c r="EGU29" s="607" t="s">
        <v>264</v>
      </c>
      <c r="EGV29" s="638">
        <v>27</v>
      </c>
      <c r="EGW29" s="639">
        <v>28</v>
      </c>
      <c r="EGX29" s="639">
        <v>1</v>
      </c>
      <c r="EGY29" s="639">
        <v>3</v>
      </c>
      <c r="EGZ29" s="639">
        <v>4</v>
      </c>
      <c r="EHA29" s="640">
        <v>5</v>
      </c>
      <c r="EHB29" s="637" t="s">
        <v>263</v>
      </c>
      <c r="EHC29" s="618" t="s">
        <v>264</v>
      </c>
      <c r="EHD29" s="324">
        <v>6</v>
      </c>
      <c r="EHE29" s="325">
        <v>7</v>
      </c>
      <c r="EHF29" s="325">
        <v>8</v>
      </c>
      <c r="EHG29" s="325">
        <v>10</v>
      </c>
      <c r="EHH29" s="325">
        <v>11</v>
      </c>
      <c r="EHI29" s="325">
        <v>12</v>
      </c>
      <c r="EHJ29" s="606" t="s">
        <v>263</v>
      </c>
      <c r="EHK29" s="607" t="s">
        <v>264</v>
      </c>
      <c r="EHL29" s="45">
        <v>13</v>
      </c>
      <c r="EHM29" s="46">
        <v>14</v>
      </c>
      <c r="EHN29" s="46">
        <v>15</v>
      </c>
      <c r="EHO29" s="46">
        <v>16</v>
      </c>
      <c r="EHP29" s="46">
        <v>18</v>
      </c>
      <c r="EHQ29" s="46">
        <v>19</v>
      </c>
      <c r="EHR29" s="606" t="s">
        <v>263</v>
      </c>
      <c r="EHS29" s="607" t="s">
        <v>264</v>
      </c>
      <c r="EHT29" s="337">
        <v>20</v>
      </c>
      <c r="EHU29" s="338">
        <v>21</v>
      </c>
      <c r="EHV29" s="338">
        <v>22</v>
      </c>
      <c r="EHW29" s="338">
        <v>24</v>
      </c>
      <c r="EHX29" s="338">
        <v>25</v>
      </c>
      <c r="EHY29" s="338">
        <v>26</v>
      </c>
      <c r="EHZ29" s="611" t="s">
        <v>263</v>
      </c>
      <c r="EIA29" s="618" t="s">
        <v>264</v>
      </c>
      <c r="EIB29" s="45">
        <v>27</v>
      </c>
      <c r="EIC29" s="46">
        <v>28</v>
      </c>
      <c r="EID29" s="46">
        <v>29</v>
      </c>
      <c r="EIE29" s="46">
        <v>31</v>
      </c>
      <c r="EIF29" s="46">
        <v>1</v>
      </c>
      <c r="EIG29" s="46">
        <v>2</v>
      </c>
      <c r="EIH29" s="643" t="s">
        <v>263</v>
      </c>
      <c r="EII29" s="607" t="s">
        <v>264</v>
      </c>
      <c r="EIJ29" s="324">
        <v>3</v>
      </c>
      <c r="EIK29" s="325">
        <v>4</v>
      </c>
      <c r="EIL29" s="325">
        <v>5</v>
      </c>
      <c r="EIM29" s="325">
        <v>8</v>
      </c>
      <c r="EIN29" s="325">
        <v>9</v>
      </c>
      <c r="EIO29" s="325">
        <v>10</v>
      </c>
      <c r="EIP29" s="606" t="s">
        <v>263</v>
      </c>
      <c r="EIQ29" s="607" t="s">
        <v>264</v>
      </c>
      <c r="EIR29" s="45">
        <v>11</v>
      </c>
      <c r="EIS29" s="46">
        <v>12</v>
      </c>
      <c r="EIT29" s="46">
        <v>14</v>
      </c>
      <c r="EIU29" s="46">
        <v>15</v>
      </c>
      <c r="EIV29" s="46">
        <v>16</v>
      </c>
      <c r="EIW29" s="46">
        <v>17</v>
      </c>
      <c r="EIX29" s="606" t="s">
        <v>263</v>
      </c>
      <c r="EIY29" s="607" t="s">
        <v>264</v>
      </c>
      <c r="EIZ29" s="71">
        <v>18</v>
      </c>
      <c r="EJA29" s="103">
        <v>19</v>
      </c>
      <c r="EJB29" s="103">
        <v>21</v>
      </c>
      <c r="EJC29" s="103">
        <v>22</v>
      </c>
      <c r="EJD29" s="103">
        <v>23</v>
      </c>
      <c r="EJE29" s="103">
        <v>24</v>
      </c>
      <c r="EJF29" s="611" t="s">
        <v>263</v>
      </c>
      <c r="EJG29" s="618" t="s">
        <v>264</v>
      </c>
      <c r="EJH29" s="337">
        <v>25</v>
      </c>
      <c r="EJI29" s="338">
        <v>26</v>
      </c>
      <c r="EJJ29" s="338">
        <v>27</v>
      </c>
      <c r="EJK29" s="338">
        <v>28</v>
      </c>
      <c r="EJL29" s="338">
        <v>29</v>
      </c>
      <c r="EJM29" s="338">
        <v>30</v>
      </c>
      <c r="EJN29" s="611" t="s">
        <v>263</v>
      </c>
      <c r="EJO29" s="618" t="s">
        <v>264</v>
      </c>
      <c r="EJP29" s="71">
        <v>5</v>
      </c>
      <c r="EJQ29" s="103">
        <v>6</v>
      </c>
      <c r="EJR29" s="103">
        <v>7</v>
      </c>
      <c r="EJS29" s="103">
        <v>8</v>
      </c>
      <c r="EJT29" s="103">
        <v>9</v>
      </c>
      <c r="EJU29" s="103">
        <v>10</v>
      </c>
      <c r="EJV29" s="611" t="s">
        <v>263</v>
      </c>
      <c r="EJW29" s="618" t="s">
        <v>264</v>
      </c>
      <c r="EJX29" s="337">
        <v>12</v>
      </c>
      <c r="EJY29" s="338">
        <v>13</v>
      </c>
      <c r="EJZ29" s="338">
        <v>14</v>
      </c>
      <c r="EKA29" s="338">
        <v>15</v>
      </c>
      <c r="EKB29" s="338">
        <v>16</v>
      </c>
      <c r="EKC29" s="338">
        <v>17</v>
      </c>
      <c r="EKD29" s="611" t="s">
        <v>263</v>
      </c>
      <c r="EKE29" s="618" t="s">
        <v>264</v>
      </c>
      <c r="EKF29" s="71">
        <v>19</v>
      </c>
      <c r="EKG29" s="103">
        <v>20</v>
      </c>
      <c r="EKH29" s="103">
        <v>21</v>
      </c>
      <c r="EKI29" s="103">
        <v>22</v>
      </c>
      <c r="EKJ29" s="103">
        <v>23</v>
      </c>
      <c r="EKK29" s="103">
        <v>24</v>
      </c>
      <c r="EKL29" s="611" t="s">
        <v>263</v>
      </c>
      <c r="EKM29" s="618" t="s">
        <v>264</v>
      </c>
      <c r="EKN29" s="71">
        <v>26</v>
      </c>
      <c r="EKO29" s="103">
        <v>27</v>
      </c>
      <c r="EKP29" s="103">
        <v>28</v>
      </c>
      <c r="EKQ29" s="103">
        <v>29</v>
      </c>
      <c r="EKR29" s="103">
        <v>30</v>
      </c>
      <c r="EKS29" s="103">
        <v>31</v>
      </c>
      <c r="EKT29" s="611" t="s">
        <v>263</v>
      </c>
      <c r="EKU29" s="613" t="s">
        <v>264</v>
      </c>
      <c r="EKV29" s="664"/>
      <c r="EKW29" s="191">
        <v>2</v>
      </c>
      <c r="EKX29" s="192">
        <v>3</v>
      </c>
      <c r="EKY29" s="192">
        <v>4</v>
      </c>
      <c r="EKZ29" s="192">
        <v>5</v>
      </c>
      <c r="ELA29" s="192">
        <v>6</v>
      </c>
      <c r="ELB29" s="192">
        <v>9</v>
      </c>
      <c r="ELC29" s="624" t="s">
        <v>263</v>
      </c>
      <c r="ELD29" s="666" t="s">
        <v>264</v>
      </c>
      <c r="ELE29" s="673">
        <v>10</v>
      </c>
      <c r="ELF29" s="674">
        <v>11</v>
      </c>
      <c r="ELG29" s="674">
        <v>12</v>
      </c>
      <c r="ELH29" s="674">
        <v>13</v>
      </c>
      <c r="ELI29" s="674">
        <v>14</v>
      </c>
      <c r="ELJ29" s="674">
        <v>15</v>
      </c>
      <c r="ELK29" s="675" t="s">
        <v>263</v>
      </c>
      <c r="ELL29" s="676" t="s">
        <v>264</v>
      </c>
      <c r="ELM29" s="680">
        <v>17</v>
      </c>
      <c r="ELN29" s="681">
        <v>18</v>
      </c>
      <c r="ELO29" s="681">
        <v>19</v>
      </c>
      <c r="ELP29" s="681">
        <v>20</v>
      </c>
      <c r="ELQ29" s="681">
        <v>21</v>
      </c>
      <c r="ELR29" s="681">
        <v>22</v>
      </c>
      <c r="ELS29" s="675" t="s">
        <v>263</v>
      </c>
      <c r="ELT29" s="676" t="s">
        <v>264</v>
      </c>
      <c r="ELU29" s="673">
        <v>24</v>
      </c>
      <c r="ELV29" s="674">
        <v>25</v>
      </c>
      <c r="ELW29" s="674">
        <v>26</v>
      </c>
      <c r="ELX29" s="674">
        <v>27</v>
      </c>
      <c r="ELY29" s="674">
        <v>28</v>
      </c>
      <c r="ELZ29" s="674">
        <v>29</v>
      </c>
      <c r="EMA29" s="675" t="s">
        <v>263</v>
      </c>
      <c r="EMB29" s="676" t="s">
        <v>264</v>
      </c>
      <c r="EMC29" s="673">
        <v>1</v>
      </c>
      <c r="EMD29" s="674">
        <v>2</v>
      </c>
      <c r="EME29" s="674">
        <v>3</v>
      </c>
      <c r="EMF29" s="674">
        <v>4</v>
      </c>
      <c r="EMG29" s="674">
        <v>5</v>
      </c>
      <c r="EMH29" s="674">
        <v>6</v>
      </c>
      <c r="EMI29" s="675" t="s">
        <v>263</v>
      </c>
      <c r="EMJ29" s="676" t="s">
        <v>264</v>
      </c>
      <c r="EMK29" s="191">
        <v>8</v>
      </c>
      <c r="EML29" s="192">
        <v>9</v>
      </c>
      <c r="EMM29" s="192">
        <v>10</v>
      </c>
      <c r="EMN29" s="192">
        <v>11</v>
      </c>
      <c r="EMO29" s="192">
        <v>12</v>
      </c>
      <c r="EMP29" s="192">
        <v>14</v>
      </c>
      <c r="EMQ29" s="624" t="s">
        <v>263</v>
      </c>
      <c r="EMR29" s="666" t="s">
        <v>264</v>
      </c>
      <c r="EMS29" s="673">
        <v>16</v>
      </c>
      <c r="EMT29" s="674">
        <v>17</v>
      </c>
      <c r="EMU29" s="674">
        <v>18</v>
      </c>
      <c r="EMV29" s="674">
        <v>19</v>
      </c>
      <c r="EMW29" s="674">
        <v>20</v>
      </c>
      <c r="EMX29" s="674">
        <v>21</v>
      </c>
      <c r="EMY29" s="675" t="s">
        <v>263</v>
      </c>
      <c r="EMZ29" s="676" t="s">
        <v>264</v>
      </c>
      <c r="ENA29" s="673">
        <v>25</v>
      </c>
      <c r="ENB29" s="674">
        <v>26</v>
      </c>
      <c r="ENC29" s="674">
        <v>27</v>
      </c>
      <c r="END29" s="674">
        <v>28</v>
      </c>
      <c r="ENE29" s="674">
        <v>29</v>
      </c>
      <c r="ENF29" s="674">
        <v>30</v>
      </c>
      <c r="ENG29" s="675" t="s">
        <v>263</v>
      </c>
      <c r="ENH29" s="676" t="s">
        <v>264</v>
      </c>
      <c r="ENI29" s="191">
        <v>1</v>
      </c>
      <c r="ENJ29" s="192">
        <v>2</v>
      </c>
      <c r="ENK29" s="192">
        <v>3</v>
      </c>
      <c r="ENL29" s="192">
        <v>4</v>
      </c>
      <c r="ENM29" s="192">
        <v>5</v>
      </c>
      <c r="ENN29" s="192">
        <v>6</v>
      </c>
      <c r="ENO29" s="624" t="s">
        <v>263</v>
      </c>
      <c r="ENP29" s="666" t="s">
        <v>264</v>
      </c>
      <c r="ENQ29" s="673">
        <v>8</v>
      </c>
      <c r="ENR29" s="674">
        <v>9</v>
      </c>
      <c r="ENS29" s="674">
        <v>11</v>
      </c>
      <c r="ENT29" s="674">
        <v>12</v>
      </c>
      <c r="ENU29" s="674">
        <v>13</v>
      </c>
      <c r="ENV29" s="674">
        <v>14</v>
      </c>
      <c r="ENW29" s="675" t="s">
        <v>263</v>
      </c>
      <c r="ENX29" s="676" t="s">
        <v>264</v>
      </c>
      <c r="ENY29" s="191">
        <v>15</v>
      </c>
      <c r="ENZ29" s="192">
        <v>16</v>
      </c>
      <c r="EOA29" s="192">
        <v>18</v>
      </c>
      <c r="EOB29" s="192">
        <v>19</v>
      </c>
      <c r="EOC29" s="192">
        <v>20</v>
      </c>
      <c r="EOD29" s="192">
        <v>21</v>
      </c>
      <c r="EOE29" s="624" t="s">
        <v>263</v>
      </c>
      <c r="EOF29" s="666" t="s">
        <v>264</v>
      </c>
      <c r="EOH29" s="673">
        <v>22</v>
      </c>
      <c r="EOI29" s="674">
        <v>23</v>
      </c>
      <c r="EOJ29" s="674">
        <v>24</v>
      </c>
      <c r="EOK29" s="674">
        <v>26</v>
      </c>
      <c r="EOL29" s="674">
        <v>27</v>
      </c>
      <c r="EOM29" s="674">
        <v>28</v>
      </c>
      <c r="EON29" s="690" t="s">
        <v>263</v>
      </c>
      <c r="EOO29" s="191">
        <v>29</v>
      </c>
      <c r="EOP29" s="192">
        <v>30</v>
      </c>
      <c r="EOQ29" s="192">
        <v>31</v>
      </c>
      <c r="EOR29" s="192">
        <v>3</v>
      </c>
      <c r="EOS29" s="192">
        <v>4</v>
      </c>
      <c r="EOT29" s="192">
        <v>5</v>
      </c>
      <c r="EOU29" s="624" t="s">
        <v>263</v>
      </c>
      <c r="EOV29" s="666" t="s">
        <v>264</v>
      </c>
      <c r="EOW29" s="673">
        <v>6</v>
      </c>
      <c r="EOX29" s="674">
        <v>8</v>
      </c>
      <c r="EOY29" s="674">
        <v>9</v>
      </c>
      <c r="EOZ29" s="674">
        <v>10</v>
      </c>
      <c r="EPA29" s="674">
        <v>11</v>
      </c>
      <c r="EPB29" s="674">
        <v>12</v>
      </c>
      <c r="EPC29" s="675" t="s">
        <v>263</v>
      </c>
      <c r="EPD29" s="676" t="s">
        <v>264</v>
      </c>
      <c r="EPE29" s="680">
        <v>13</v>
      </c>
      <c r="EPF29" s="681">
        <v>15</v>
      </c>
      <c r="EPG29" s="681">
        <v>16</v>
      </c>
      <c r="EPH29" s="681">
        <v>17</v>
      </c>
      <c r="EPI29" s="681">
        <v>18</v>
      </c>
      <c r="EPJ29" s="681">
        <v>19</v>
      </c>
      <c r="EPK29" s="675" t="s">
        <v>263</v>
      </c>
      <c r="EPL29" s="676" t="s">
        <v>264</v>
      </c>
      <c r="EPM29" s="673">
        <v>20</v>
      </c>
      <c r="EPN29" s="674">
        <v>21</v>
      </c>
      <c r="EPO29" s="674">
        <v>22</v>
      </c>
      <c r="EPP29" s="674">
        <v>23</v>
      </c>
      <c r="EPQ29" s="674">
        <v>24</v>
      </c>
      <c r="EPR29" s="674">
        <v>25</v>
      </c>
      <c r="EPS29" s="675" t="s">
        <v>263</v>
      </c>
      <c r="EPT29" s="676" t="s">
        <v>264</v>
      </c>
      <c r="EPU29" s="673">
        <v>27</v>
      </c>
      <c r="EPV29" s="674">
        <v>29</v>
      </c>
      <c r="EPW29" s="674">
        <v>30</v>
      </c>
      <c r="EPX29" s="674">
        <v>1</v>
      </c>
      <c r="EPY29" s="674">
        <v>2</v>
      </c>
      <c r="EPZ29" s="674">
        <v>3</v>
      </c>
      <c r="EQA29" s="675" t="s">
        <v>263</v>
      </c>
      <c r="EQB29" s="676" t="s">
        <v>264</v>
      </c>
      <c r="EQC29" s="673">
        <v>4</v>
      </c>
      <c r="EQD29" s="674">
        <v>6</v>
      </c>
      <c r="EQE29" s="674">
        <v>7</v>
      </c>
      <c r="EQF29" s="674">
        <v>8</v>
      </c>
      <c r="EQG29" s="674">
        <v>9</v>
      </c>
      <c r="EQH29" s="674">
        <v>10</v>
      </c>
      <c r="EQI29" s="675" t="s">
        <v>263</v>
      </c>
      <c r="EQJ29" s="676" t="s">
        <v>264</v>
      </c>
      <c r="EQK29" s="680">
        <v>11</v>
      </c>
      <c r="EQL29" s="681">
        <v>13</v>
      </c>
      <c r="EQM29" s="681">
        <v>14</v>
      </c>
      <c r="EQN29" s="681">
        <v>15</v>
      </c>
      <c r="EQO29" s="681">
        <v>16</v>
      </c>
      <c r="EQP29" s="681">
        <v>17</v>
      </c>
      <c r="EQQ29" s="675" t="s">
        <v>263</v>
      </c>
      <c r="EQR29" s="676" t="s">
        <v>264</v>
      </c>
      <c r="EQS29" s="680">
        <v>18</v>
      </c>
      <c r="EQT29" s="681">
        <v>20</v>
      </c>
      <c r="EQU29" s="681">
        <v>21</v>
      </c>
      <c r="EQV29" s="681">
        <v>22</v>
      </c>
      <c r="EQW29" s="681">
        <v>23</v>
      </c>
      <c r="EQX29" s="681">
        <v>24</v>
      </c>
      <c r="EQY29" s="675" t="s">
        <v>263</v>
      </c>
      <c r="EQZ29" s="676" t="s">
        <v>264</v>
      </c>
      <c r="ERA29" s="680">
        <v>25</v>
      </c>
      <c r="ERB29" s="681">
        <v>27</v>
      </c>
      <c r="ERC29" s="681">
        <v>28</v>
      </c>
      <c r="ERD29" s="681">
        <v>29</v>
      </c>
      <c r="ERE29" s="681">
        <v>30</v>
      </c>
      <c r="ERF29" s="681">
        <v>31</v>
      </c>
      <c r="ERG29" s="675" t="s">
        <v>263</v>
      </c>
      <c r="ERH29" s="676" t="s">
        <v>264</v>
      </c>
      <c r="ERI29" s="673">
        <v>1</v>
      </c>
      <c r="ERJ29" s="674">
        <v>3</v>
      </c>
      <c r="ERK29" s="674">
        <v>4</v>
      </c>
      <c r="ERL29" s="674">
        <v>5</v>
      </c>
      <c r="ERM29" s="674">
        <v>6</v>
      </c>
      <c r="ERN29" s="674">
        <v>7</v>
      </c>
      <c r="ERO29" s="675" t="s">
        <v>263</v>
      </c>
      <c r="ERP29" s="676" t="s">
        <v>264</v>
      </c>
      <c r="ERQ29" s="680">
        <v>8</v>
      </c>
      <c r="ERR29" s="681">
        <v>9</v>
      </c>
      <c r="ERS29" s="681">
        <v>10</v>
      </c>
      <c r="ERT29" s="681">
        <v>11</v>
      </c>
      <c r="ERU29" s="681">
        <v>12</v>
      </c>
      <c r="ERV29" s="681">
        <v>13</v>
      </c>
      <c r="ERW29" s="675" t="s">
        <v>263</v>
      </c>
      <c r="ERX29" s="676" t="s">
        <v>264</v>
      </c>
      <c r="ERY29" s="680">
        <v>15</v>
      </c>
      <c r="ERZ29" s="681">
        <v>17</v>
      </c>
      <c r="ESA29" s="681">
        <v>18</v>
      </c>
      <c r="ESB29" s="681">
        <v>19</v>
      </c>
      <c r="ESC29" s="681">
        <v>20</v>
      </c>
      <c r="ESD29" s="681">
        <v>21</v>
      </c>
      <c r="ESE29" s="675" t="s">
        <v>263</v>
      </c>
      <c r="ESF29" s="676" t="s">
        <v>264</v>
      </c>
      <c r="ESG29" s="339">
        <v>22</v>
      </c>
      <c r="ESH29" s="340">
        <v>23</v>
      </c>
      <c r="ESI29" s="340">
        <v>24</v>
      </c>
      <c r="ESJ29" s="340">
        <v>25</v>
      </c>
      <c r="ESK29" s="340">
        <v>26</v>
      </c>
      <c r="ESL29" s="340">
        <v>27</v>
      </c>
      <c r="ESM29" s="624" t="s">
        <v>263</v>
      </c>
      <c r="ESN29" s="666" t="s">
        <v>264</v>
      </c>
      <c r="ESO29" s="700">
        <v>28</v>
      </c>
      <c r="ESP29" s="701">
        <v>29</v>
      </c>
      <c r="ESQ29" s="701">
        <v>30</v>
      </c>
      <c r="ESR29" s="701">
        <v>1</v>
      </c>
      <c r="ESS29" s="701">
        <v>2</v>
      </c>
      <c r="EST29" s="701">
        <v>3</v>
      </c>
      <c r="ESU29" s="675" t="s">
        <v>263</v>
      </c>
      <c r="ESV29" s="676" t="s">
        <v>264</v>
      </c>
      <c r="ESW29" s="818">
        <v>4</v>
      </c>
      <c r="ESX29" s="819">
        <v>5</v>
      </c>
      <c r="ESY29" s="819">
        <v>6</v>
      </c>
      <c r="ESZ29" s="819">
        <v>8</v>
      </c>
      <c r="ETA29" s="819">
        <v>9</v>
      </c>
      <c r="ETB29" s="819">
        <v>10</v>
      </c>
      <c r="ETC29" s="733" t="s">
        <v>263</v>
      </c>
      <c r="ETD29" s="676" t="s">
        <v>264</v>
      </c>
      <c r="ETE29" s="680">
        <v>11</v>
      </c>
      <c r="ETF29" s="681">
        <v>12</v>
      </c>
      <c r="ETG29" s="681">
        <v>13</v>
      </c>
      <c r="ETH29" s="681">
        <v>15</v>
      </c>
      <c r="ETI29" s="681">
        <v>16</v>
      </c>
      <c r="ETJ29" s="681">
        <v>17</v>
      </c>
      <c r="ETK29" s="733" t="s">
        <v>263</v>
      </c>
      <c r="ETL29" s="676" t="s">
        <v>264</v>
      </c>
      <c r="ETM29" s="818">
        <v>18</v>
      </c>
      <c r="ETN29" s="819">
        <v>19</v>
      </c>
      <c r="ETO29" s="819">
        <v>20</v>
      </c>
      <c r="ETP29" s="819">
        <v>22</v>
      </c>
      <c r="ETQ29" s="819">
        <v>23</v>
      </c>
      <c r="ETR29" s="819">
        <v>24</v>
      </c>
      <c r="ETS29" s="733" t="s">
        <v>263</v>
      </c>
      <c r="ETT29" s="676" t="s">
        <v>264</v>
      </c>
      <c r="ETU29" s="753">
        <v>25</v>
      </c>
      <c r="ETV29" s="754">
        <v>26</v>
      </c>
      <c r="ETW29" s="754">
        <v>27</v>
      </c>
      <c r="ETX29" s="754">
        <v>28</v>
      </c>
      <c r="ETY29" s="754">
        <v>29</v>
      </c>
      <c r="ETZ29" s="754">
        <v>30</v>
      </c>
      <c r="EUA29" s="806" t="s">
        <v>263</v>
      </c>
      <c r="EUB29" s="666" t="s">
        <v>264</v>
      </c>
      <c r="EUC29" s="846">
        <v>2</v>
      </c>
      <c r="EUD29" s="847">
        <v>3</v>
      </c>
      <c r="EUE29" s="847">
        <v>4</v>
      </c>
      <c r="EUF29" s="847">
        <v>5</v>
      </c>
      <c r="EUG29" s="847">
        <v>6</v>
      </c>
      <c r="EUH29" s="847">
        <v>7</v>
      </c>
      <c r="EUI29" s="733" t="s">
        <v>263</v>
      </c>
      <c r="EUJ29" s="676" t="s">
        <v>264</v>
      </c>
      <c r="EUK29" s="680">
        <v>8</v>
      </c>
      <c r="EUL29" s="681">
        <v>9</v>
      </c>
      <c r="EUM29" s="681">
        <v>10</v>
      </c>
      <c r="EUN29" s="681">
        <v>12</v>
      </c>
      <c r="EUO29" s="681">
        <v>13</v>
      </c>
      <c r="EUP29" s="681">
        <v>14</v>
      </c>
      <c r="EUQ29" s="733" t="s">
        <v>263</v>
      </c>
      <c r="EUR29" s="676" t="s">
        <v>264</v>
      </c>
      <c r="EUS29" s="673">
        <v>15</v>
      </c>
      <c r="EUT29" s="674">
        <v>16</v>
      </c>
      <c r="EUU29" s="674">
        <v>17</v>
      </c>
      <c r="EUV29" s="674">
        <v>19</v>
      </c>
      <c r="EUW29" s="674">
        <v>20</v>
      </c>
      <c r="EUX29" s="674">
        <v>21</v>
      </c>
      <c r="EUY29" s="733" t="s">
        <v>263</v>
      </c>
      <c r="EUZ29" s="676" t="s">
        <v>264</v>
      </c>
      <c r="EVA29" s="673">
        <v>22</v>
      </c>
      <c r="EVB29" s="674">
        <v>23</v>
      </c>
      <c r="EVC29" s="674">
        <v>24</v>
      </c>
      <c r="EVD29" s="674">
        <v>25</v>
      </c>
      <c r="EVE29" s="674">
        <v>26</v>
      </c>
      <c r="EVF29" s="674">
        <v>27</v>
      </c>
      <c r="EVG29" s="733" t="s">
        <v>263</v>
      </c>
      <c r="EVH29" s="676" t="s">
        <v>264</v>
      </c>
      <c r="EVI29" s="673">
        <v>28</v>
      </c>
      <c r="EVJ29" s="674">
        <v>29</v>
      </c>
      <c r="EVK29" s="674">
        <v>30</v>
      </c>
      <c r="EVL29" s="674">
        <v>31</v>
      </c>
      <c r="EVM29" s="674">
        <v>1</v>
      </c>
      <c r="EVN29" s="674">
        <v>2</v>
      </c>
      <c r="EVO29" s="733" t="s">
        <v>263</v>
      </c>
      <c r="EVP29" s="676" t="s">
        <v>264</v>
      </c>
      <c r="EVQ29" s="680">
        <v>3</v>
      </c>
      <c r="EVR29" s="681">
        <v>4</v>
      </c>
      <c r="EVS29" s="681">
        <v>5</v>
      </c>
      <c r="EVT29" s="681">
        <v>6</v>
      </c>
      <c r="EVU29" s="681">
        <v>7</v>
      </c>
      <c r="EVV29" s="681">
        <v>8</v>
      </c>
      <c r="EVW29" s="733" t="s">
        <v>263</v>
      </c>
      <c r="EVX29" s="676" t="s">
        <v>264</v>
      </c>
      <c r="EVY29" s="673">
        <v>9</v>
      </c>
      <c r="EVZ29" s="674">
        <v>10</v>
      </c>
      <c r="EWA29" s="674">
        <v>11</v>
      </c>
      <c r="EWB29" s="674">
        <v>12</v>
      </c>
      <c r="EWC29" s="674">
        <v>13</v>
      </c>
      <c r="EWD29" s="674">
        <v>14</v>
      </c>
      <c r="EWE29" s="733" t="s">
        <v>263</v>
      </c>
      <c r="EWF29" s="676" t="s">
        <v>264</v>
      </c>
      <c r="EWG29" s="673">
        <v>20</v>
      </c>
      <c r="EWH29" s="674">
        <v>21</v>
      </c>
      <c r="EWI29" s="674">
        <v>22</v>
      </c>
      <c r="EWJ29" s="674">
        <v>23</v>
      </c>
      <c r="EWK29" s="674">
        <v>24</v>
      </c>
      <c r="EWL29" s="674">
        <v>25</v>
      </c>
      <c r="EWM29" s="733" t="s">
        <v>263</v>
      </c>
      <c r="EWN29" s="676" t="s">
        <v>264</v>
      </c>
      <c r="EWO29" s="673">
        <v>26</v>
      </c>
      <c r="EWP29" s="674">
        <v>27</v>
      </c>
      <c r="EWQ29" s="674">
        <v>28</v>
      </c>
      <c r="EWR29" s="674">
        <v>2</v>
      </c>
      <c r="EWS29" s="674">
        <v>3</v>
      </c>
      <c r="EWT29" s="674">
        <v>4</v>
      </c>
      <c r="EWU29" s="733" t="s">
        <v>263</v>
      </c>
      <c r="EWV29" s="676" t="s">
        <v>264</v>
      </c>
      <c r="EWW29" s="673">
        <v>6</v>
      </c>
      <c r="EWX29" s="674">
        <v>7</v>
      </c>
      <c r="EWY29" s="674">
        <v>9</v>
      </c>
      <c r="EWZ29" s="674">
        <v>10</v>
      </c>
      <c r="EXA29" s="674">
        <v>11</v>
      </c>
      <c r="EXB29" s="674">
        <v>12</v>
      </c>
      <c r="EXC29" s="733" t="s">
        <v>263</v>
      </c>
      <c r="EXD29" s="676" t="s">
        <v>264</v>
      </c>
      <c r="EXE29" s="680">
        <v>12</v>
      </c>
      <c r="EXF29" s="681">
        <v>13</v>
      </c>
      <c r="EXG29" s="681">
        <v>14</v>
      </c>
      <c r="EXH29" s="681">
        <v>15</v>
      </c>
      <c r="EXI29" s="681">
        <v>16</v>
      </c>
      <c r="EXJ29" s="681">
        <v>17</v>
      </c>
      <c r="EXK29" s="733" t="s">
        <v>263</v>
      </c>
      <c r="EXL29" s="676" t="s">
        <v>264</v>
      </c>
      <c r="EXM29" s="846">
        <v>18</v>
      </c>
      <c r="EXN29" s="847">
        <v>19</v>
      </c>
      <c r="EXO29" s="847">
        <v>20</v>
      </c>
      <c r="EXP29" s="847">
        <v>21</v>
      </c>
      <c r="EXQ29" s="847">
        <v>22</v>
      </c>
      <c r="EXR29" s="847">
        <v>23</v>
      </c>
      <c r="EXS29" s="733" t="s">
        <v>263</v>
      </c>
      <c r="EXT29" s="676" t="s">
        <v>264</v>
      </c>
      <c r="EXU29" s="680">
        <v>24</v>
      </c>
      <c r="EXV29" s="681">
        <v>25</v>
      </c>
      <c r="EXW29" s="681">
        <v>26</v>
      </c>
      <c r="EXX29" s="681">
        <v>27</v>
      </c>
      <c r="EXY29" s="681">
        <v>28</v>
      </c>
      <c r="EXZ29" s="681">
        <v>29</v>
      </c>
      <c r="EYA29" s="733" t="s">
        <v>263</v>
      </c>
      <c r="EYB29" s="676" t="s">
        <v>264</v>
      </c>
      <c r="EYC29" s="680">
        <v>31</v>
      </c>
      <c r="EYD29" s="681">
        <v>1</v>
      </c>
      <c r="EYE29" s="681">
        <v>2</v>
      </c>
      <c r="EYF29" s="681">
        <v>3</v>
      </c>
      <c r="EYG29" s="681">
        <v>4</v>
      </c>
      <c r="EYH29" s="681">
        <v>5</v>
      </c>
      <c r="EYI29" s="733" t="s">
        <v>263</v>
      </c>
      <c r="EYJ29" s="676" t="s">
        <v>264</v>
      </c>
      <c r="EYK29" s="680">
        <v>7</v>
      </c>
      <c r="EYL29" s="681">
        <v>8</v>
      </c>
      <c r="EYM29" s="681">
        <v>9</v>
      </c>
      <c r="EYN29" s="681">
        <v>10</v>
      </c>
      <c r="EYO29" s="681">
        <v>11</v>
      </c>
      <c r="EYP29" s="681">
        <v>13</v>
      </c>
      <c r="EYQ29" s="733" t="s">
        <v>263</v>
      </c>
      <c r="EYR29" s="676" t="s">
        <v>264</v>
      </c>
      <c r="EYS29" s="339">
        <v>14</v>
      </c>
      <c r="EYT29" s="340">
        <v>15</v>
      </c>
      <c r="EYU29" s="340">
        <v>16</v>
      </c>
      <c r="EYV29" s="340">
        <v>17</v>
      </c>
      <c r="EYW29" s="340">
        <v>18</v>
      </c>
      <c r="EYX29" s="340">
        <v>19</v>
      </c>
      <c r="EYY29" s="870" t="s">
        <v>263</v>
      </c>
      <c r="EYZ29" s="871" t="s">
        <v>264</v>
      </c>
      <c r="EZA29" s="673">
        <v>20</v>
      </c>
      <c r="EZB29" s="674">
        <v>21</v>
      </c>
      <c r="EZC29" s="674">
        <v>22</v>
      </c>
      <c r="EZD29" s="674">
        <v>23</v>
      </c>
      <c r="EZE29" s="674">
        <v>24</v>
      </c>
      <c r="EZF29" s="674">
        <v>25</v>
      </c>
      <c r="EZG29" s="874" t="s">
        <v>263</v>
      </c>
      <c r="EZH29" s="875" t="s">
        <v>264</v>
      </c>
      <c r="EZI29" s="673">
        <v>28</v>
      </c>
      <c r="EZJ29" s="674">
        <v>29</v>
      </c>
      <c r="EZK29" s="674">
        <v>2</v>
      </c>
      <c r="EZL29" s="674">
        <v>3</v>
      </c>
      <c r="EZM29" s="674">
        <v>4</v>
      </c>
      <c r="EZN29" s="674">
        <v>5</v>
      </c>
      <c r="EZO29" s="874" t="s">
        <v>263</v>
      </c>
      <c r="EZP29" s="875" t="s">
        <v>264</v>
      </c>
    </row>
    <row r="30" spans="1:4072" s="567" customFormat="1" ht="13.5" thickBot="1" x14ac:dyDescent="0.25">
      <c r="A30" s="21">
        <v>1</v>
      </c>
      <c r="B30" s="297" t="s">
        <v>225</v>
      </c>
      <c r="C30" s="725" t="s">
        <v>317</v>
      </c>
      <c r="D30" s="391">
        <v>25</v>
      </c>
      <c r="E30" s="726"/>
      <c r="F30" s="435">
        <v>1442</v>
      </c>
      <c r="G30" s="726"/>
      <c r="H30" s="435"/>
      <c r="I30" s="726"/>
      <c r="J30" s="360">
        <f>SUMIF(SUMPK!$B:$B,$B:$B,SUMPK!$O:$O)</f>
        <v>0</v>
      </c>
      <c r="K30" s="24">
        <f t="shared" ref="K30:K56" si="1220">E30+G30-I30</f>
        <v>0</v>
      </c>
      <c r="L30" s="24">
        <f t="shared" ref="L30:L31" si="1221">F30+H30-J30</f>
        <v>1442</v>
      </c>
      <c r="M30" s="15">
        <f t="shared" ref="M30:M31" si="1222">K30+L30</f>
        <v>1442</v>
      </c>
      <c r="N30" s="443">
        <v>58.166666666666664</v>
      </c>
      <c r="O30" s="276">
        <f t="shared" ref="O30:O54" si="1223">IF(N30=0,0,M30/N30)</f>
        <v>24.790830945558739</v>
      </c>
      <c r="P30" s="727">
        <v>0</v>
      </c>
      <c r="Q30" s="15">
        <f t="shared" ref="Q30:Q31" si="1224">IF(P30=0,0,M30/P30*6)</f>
        <v>0</v>
      </c>
      <c r="R30" s="15">
        <f t="shared" ref="R30:R31" si="1225">S30/$S$3</f>
        <v>98.461538461538467</v>
      </c>
      <c r="S30" s="222">
        <v>2560</v>
      </c>
      <c r="T30" s="15">
        <f t="shared" ref="T30:T31" si="1226">IF(R30=0,0,M30/R30)</f>
        <v>14.645312499999999</v>
      </c>
      <c r="U30" s="728"/>
      <c r="V30" s="276">
        <f t="shared" ref="V30:V56" si="1227">IF(R30=0,0,(M30+U30)/R30)</f>
        <v>14.645312499999999</v>
      </c>
      <c r="W30" s="279">
        <f t="shared" ref="W30:W47" si="1228">F30/(E30+F30)</f>
        <v>1</v>
      </c>
      <c r="X30" s="392"/>
      <c r="Y30" s="394"/>
      <c r="Z30" s="393"/>
      <c r="AA30" s="393"/>
      <c r="AB30" s="393"/>
      <c r="AC30" s="661">
        <v>18</v>
      </c>
      <c r="AD30" s="526"/>
      <c r="AE30" s="521"/>
      <c r="AF30" s="521"/>
      <c r="AG30" s="521"/>
      <c r="AH30" s="521"/>
      <c r="AI30" s="521"/>
      <c r="AJ30" s="568"/>
      <c r="AK30" s="569"/>
      <c r="AL30" s="524"/>
      <c r="AM30" s="525"/>
      <c r="AN30" s="525"/>
      <c r="AO30" s="525"/>
      <c r="AP30" s="525"/>
      <c r="AQ30" s="525"/>
      <c r="AR30" s="568"/>
      <c r="AS30" s="569"/>
      <c r="AT30" s="520"/>
      <c r="AU30" s="521"/>
      <c r="AV30" s="521"/>
      <c r="AW30" s="521"/>
      <c r="AX30" s="521"/>
      <c r="AY30" s="521"/>
      <c r="AZ30" s="568"/>
      <c r="BA30" s="569"/>
      <c r="BB30" s="520"/>
      <c r="BC30" s="521"/>
      <c r="BD30" s="521"/>
      <c r="BE30" s="521"/>
      <c r="BF30" s="521"/>
      <c r="BG30" s="521"/>
      <c r="BH30" s="568"/>
      <c r="BI30" s="569"/>
      <c r="BJ30" s="520"/>
      <c r="BK30" s="521"/>
      <c r="BL30" s="521"/>
      <c r="BM30" s="521"/>
      <c r="BN30" s="521"/>
      <c r="BO30" s="521"/>
      <c r="BP30" s="568"/>
      <c r="BQ30" s="569"/>
      <c r="BR30" s="520"/>
      <c r="BS30" s="521"/>
      <c r="BT30" s="521"/>
      <c r="BU30" s="521"/>
      <c r="BV30" s="521"/>
      <c r="BW30" s="521"/>
      <c r="BX30" s="568"/>
      <c r="BY30" s="569"/>
      <c r="BZ30" s="520"/>
      <c r="CA30" s="526"/>
      <c r="CB30" s="526"/>
      <c r="CC30" s="526"/>
      <c r="CD30" s="526"/>
      <c r="CE30" s="526"/>
      <c r="CF30" s="568"/>
      <c r="CG30" s="569"/>
      <c r="CH30" s="520"/>
      <c r="CI30" s="521"/>
      <c r="CJ30" s="521"/>
      <c r="CK30" s="521"/>
      <c r="CL30" s="521"/>
      <c r="CM30" s="521"/>
      <c r="CN30" s="568"/>
      <c r="CO30" s="569"/>
      <c r="CP30" s="520"/>
      <c r="CQ30" s="521"/>
      <c r="CR30" s="521"/>
      <c r="CS30" s="521"/>
      <c r="CT30" s="521"/>
      <c r="CU30" s="521"/>
      <c r="CV30" s="568"/>
      <c r="CW30" s="569"/>
      <c r="CX30" s="520"/>
      <c r="CY30" s="521"/>
      <c r="CZ30" s="521"/>
      <c r="DA30" s="521"/>
      <c r="DB30" s="521"/>
      <c r="DC30" s="521"/>
      <c r="DD30" s="568"/>
      <c r="DE30" s="569"/>
      <c r="DF30" s="520"/>
      <c r="DG30" s="521"/>
      <c r="DH30" s="521"/>
      <c r="DI30" s="521"/>
      <c r="DJ30" s="521"/>
      <c r="DK30" s="521"/>
      <c r="DL30" s="568"/>
      <c r="DM30" s="569"/>
      <c r="DN30" s="520"/>
      <c r="DO30" s="521"/>
      <c r="DP30" s="521"/>
      <c r="DQ30" s="521"/>
      <c r="DR30" s="521"/>
      <c r="DS30" s="521"/>
      <c r="DT30" s="568"/>
      <c r="DU30" s="569"/>
      <c r="DV30" s="520"/>
      <c r="DW30" s="521"/>
      <c r="DX30" s="521"/>
      <c r="DY30" s="521"/>
      <c r="DZ30" s="521"/>
      <c r="EA30" s="521"/>
      <c r="EB30" s="568"/>
      <c r="EC30" s="569"/>
      <c r="ED30" s="527"/>
      <c r="EE30" s="528"/>
      <c r="EF30" s="528"/>
      <c r="EG30" s="528"/>
      <c r="EH30" s="528"/>
      <c r="EI30" s="528"/>
      <c r="EJ30" s="570"/>
      <c r="EK30" s="571"/>
      <c r="EL30" s="520"/>
      <c r="EM30" s="521"/>
      <c r="EN30" s="521"/>
      <c r="EO30" s="521"/>
      <c r="EP30" s="521"/>
      <c r="EQ30" s="521"/>
      <c r="ER30" s="568"/>
      <c r="ES30" s="569"/>
      <c r="ET30" s="520"/>
      <c r="EU30" s="521"/>
      <c r="EV30" s="521"/>
      <c r="EW30" s="521"/>
      <c r="EX30" s="521"/>
      <c r="EY30" s="521"/>
      <c r="EZ30" s="568"/>
      <c r="FA30" s="569"/>
      <c r="FB30" s="520"/>
      <c r="FC30" s="521"/>
      <c r="FD30" s="521"/>
      <c r="FE30" s="521"/>
      <c r="FF30" s="521"/>
      <c r="FG30" s="521"/>
      <c r="FH30" s="568"/>
      <c r="FI30" s="569"/>
      <c r="FJ30" s="520"/>
      <c r="FK30" s="521"/>
      <c r="FL30" s="521"/>
      <c r="FM30" s="521"/>
      <c r="FN30" s="521"/>
      <c r="FO30" s="521"/>
      <c r="FP30" s="568"/>
      <c r="FQ30" s="569"/>
      <c r="FR30" s="520"/>
      <c r="FS30" s="521"/>
      <c r="FT30" s="521"/>
      <c r="FU30" s="521"/>
      <c r="FV30" s="521"/>
      <c r="FW30" s="521"/>
      <c r="FX30" s="568"/>
      <c r="FY30" s="569"/>
      <c r="FZ30" s="520"/>
      <c r="GA30" s="521"/>
      <c r="GB30" s="521"/>
      <c r="GC30" s="521"/>
      <c r="GD30" s="521"/>
      <c r="GE30" s="521"/>
      <c r="GF30" s="568"/>
      <c r="GG30" s="569"/>
      <c r="GH30" s="520"/>
      <c r="GI30" s="521"/>
      <c r="GJ30" s="521"/>
      <c r="GK30" s="521"/>
      <c r="GL30" s="521"/>
      <c r="GM30" s="521"/>
      <c r="GN30" s="568"/>
      <c r="GO30" s="569"/>
      <c r="GP30" s="520"/>
      <c r="GQ30" s="521"/>
      <c r="GR30" s="521"/>
      <c r="GS30" s="521"/>
      <c r="GT30" s="521"/>
      <c r="GU30" s="521"/>
      <c r="GV30" s="568"/>
      <c r="GW30" s="569"/>
      <c r="GX30" s="520"/>
      <c r="GY30" s="521"/>
      <c r="GZ30" s="521"/>
      <c r="HA30" s="521"/>
      <c r="HB30" s="521"/>
      <c r="HC30" s="521"/>
      <c r="HD30" s="568"/>
      <c r="HE30" s="569"/>
      <c r="HF30" s="520"/>
      <c r="HG30" s="521"/>
      <c r="HH30" s="521"/>
      <c r="HI30" s="521"/>
      <c r="HJ30" s="521"/>
      <c r="HK30" s="521"/>
      <c r="HL30" s="568"/>
      <c r="HM30" s="569"/>
      <c r="HN30" s="572"/>
      <c r="HO30" s="573"/>
      <c r="HP30" s="573"/>
      <c r="HQ30" s="573"/>
      <c r="HR30" s="573"/>
      <c r="HS30" s="573"/>
      <c r="HT30" s="568"/>
      <c r="HU30" s="569"/>
      <c r="HV30" s="520"/>
      <c r="HW30" s="521"/>
      <c r="HX30" s="521"/>
      <c r="HY30" s="521"/>
      <c r="HZ30" s="521"/>
      <c r="IA30" s="521"/>
      <c r="IB30" s="568"/>
      <c r="IC30" s="569"/>
      <c r="ID30" s="520"/>
      <c r="IE30" s="521"/>
      <c r="IF30" s="521"/>
      <c r="IG30" s="521"/>
      <c r="IH30" s="521"/>
      <c r="II30" s="521"/>
      <c r="IJ30" s="568"/>
      <c r="IK30" s="569"/>
      <c r="IL30" s="520"/>
      <c r="IM30" s="521"/>
      <c r="IN30" s="521"/>
      <c r="IO30" s="521"/>
      <c r="IP30" s="521"/>
      <c r="IQ30" s="521"/>
      <c r="IR30" s="568"/>
      <c r="IS30" s="569"/>
      <c r="IT30" s="520"/>
      <c r="IU30" s="521"/>
      <c r="IV30" s="521"/>
      <c r="IW30" s="521"/>
      <c r="IX30" s="521"/>
      <c r="IY30" s="521"/>
      <c r="IZ30" s="568"/>
      <c r="JA30" s="569"/>
      <c r="JB30" s="520"/>
      <c r="JC30" s="521"/>
      <c r="JD30" s="521"/>
      <c r="JE30" s="521"/>
      <c r="JF30" s="521"/>
      <c r="JG30" s="521"/>
      <c r="JH30" s="568"/>
      <c r="JI30" s="569"/>
      <c r="JJ30" s="520"/>
      <c r="JK30" s="521"/>
      <c r="JL30" s="521"/>
      <c r="JM30" s="521"/>
      <c r="JN30" s="521"/>
      <c r="JO30" s="521"/>
      <c r="JP30" s="568"/>
      <c r="JQ30" s="569"/>
      <c r="JR30" s="520"/>
      <c r="JS30" s="521"/>
      <c r="JT30" s="521"/>
      <c r="JU30" s="521"/>
      <c r="JV30" s="521"/>
      <c r="JW30" s="521"/>
      <c r="JX30" s="568"/>
      <c r="JY30" s="569"/>
      <c r="JZ30" s="531"/>
      <c r="KA30" s="532"/>
      <c r="KB30" s="532"/>
      <c r="KC30" s="532"/>
      <c r="KD30" s="532"/>
      <c r="KE30" s="532"/>
      <c r="KF30" s="574"/>
      <c r="KG30" s="575"/>
      <c r="KH30" s="520"/>
      <c r="KI30" s="521"/>
      <c r="KJ30" s="521"/>
      <c r="KK30" s="521"/>
      <c r="KL30" s="521"/>
      <c r="KM30" s="521"/>
      <c r="KN30" s="568"/>
      <c r="KO30" s="569"/>
      <c r="KP30" s="520"/>
      <c r="KQ30" s="521"/>
      <c r="KR30" s="521"/>
      <c r="KS30" s="521"/>
      <c r="KT30" s="521"/>
      <c r="KU30" s="521"/>
      <c r="KV30" s="568"/>
      <c r="KW30" s="569"/>
      <c r="KX30" s="520"/>
      <c r="KY30" s="521"/>
      <c r="KZ30" s="521"/>
      <c r="LA30" s="521"/>
      <c r="LB30" s="521"/>
      <c r="LC30" s="521"/>
      <c r="LD30" s="568"/>
      <c r="LE30" s="569"/>
      <c r="LF30" s="520"/>
      <c r="LG30" s="521"/>
      <c r="LH30" s="521"/>
      <c r="LI30" s="521"/>
      <c r="LJ30" s="521"/>
      <c r="LK30" s="521"/>
      <c r="LL30" s="568"/>
      <c r="LM30" s="569"/>
      <c r="LN30" s="520"/>
      <c r="LO30" s="521"/>
      <c r="LP30" s="521"/>
      <c r="LQ30" s="521"/>
      <c r="LR30" s="521"/>
      <c r="LS30" s="521"/>
      <c r="LT30" s="568"/>
      <c r="LU30" s="569"/>
      <c r="LV30" s="520"/>
      <c r="LW30" s="521"/>
      <c r="LX30" s="521"/>
      <c r="LY30" s="521"/>
      <c r="LZ30" s="521"/>
      <c r="MA30" s="521"/>
      <c r="MB30" s="568"/>
      <c r="MC30" s="569"/>
      <c r="MD30" s="520"/>
      <c r="ME30" s="521"/>
      <c r="MF30" s="521"/>
      <c r="MG30" s="521"/>
      <c r="MH30" s="521"/>
      <c r="MI30" s="521"/>
      <c r="MJ30" s="568"/>
      <c r="MK30" s="569"/>
      <c r="ML30" s="520"/>
      <c r="MM30" s="521"/>
      <c r="MN30" s="521"/>
      <c r="MO30" s="521"/>
      <c r="MP30" s="521"/>
      <c r="MQ30" s="521"/>
      <c r="MR30" s="568"/>
      <c r="MS30" s="569"/>
      <c r="MT30" s="520"/>
      <c r="MU30" s="521"/>
      <c r="MV30" s="521"/>
      <c r="MW30" s="521"/>
      <c r="MX30" s="521"/>
      <c r="MY30" s="521"/>
      <c r="MZ30" s="568"/>
      <c r="NA30" s="569"/>
      <c r="NB30" s="520"/>
      <c r="NC30" s="521"/>
      <c r="ND30" s="521"/>
      <c r="NE30" s="521"/>
      <c r="NF30" s="521"/>
      <c r="NG30" s="521"/>
      <c r="NH30" s="568"/>
      <c r="NI30" s="569"/>
      <c r="NJ30" s="520"/>
      <c r="NK30" s="521"/>
      <c r="NL30" s="521"/>
      <c r="NM30" s="521"/>
      <c r="NN30" s="521"/>
      <c r="NO30" s="521"/>
      <c r="NP30" s="568"/>
      <c r="NQ30" s="569"/>
      <c r="NR30" s="520"/>
      <c r="NS30" s="521"/>
      <c r="NT30" s="521"/>
      <c r="NU30" s="521"/>
      <c r="NV30" s="521"/>
      <c r="NW30" s="521"/>
      <c r="NX30" s="568"/>
      <c r="NY30" s="569"/>
      <c r="NZ30" s="520"/>
      <c r="OA30" s="521"/>
      <c r="OB30" s="521"/>
      <c r="OC30" s="521"/>
      <c r="OD30" s="521"/>
      <c r="OE30" s="521"/>
      <c r="OF30" s="568"/>
      <c r="OG30" s="569"/>
      <c r="OH30" s="520"/>
      <c r="OI30" s="521"/>
      <c r="OJ30" s="521"/>
      <c r="OK30" s="521"/>
      <c r="OL30" s="521"/>
      <c r="OM30" s="521"/>
      <c r="ON30" s="568"/>
      <c r="OO30" s="569"/>
      <c r="OP30" s="520"/>
      <c r="OQ30" s="526"/>
      <c r="OR30" s="526"/>
      <c r="OS30" s="526"/>
      <c r="OT30" s="526"/>
      <c r="OU30" s="526"/>
      <c r="OV30" s="568"/>
      <c r="OW30" s="569"/>
      <c r="OX30" s="520"/>
      <c r="OY30" s="521"/>
      <c r="OZ30" s="521"/>
      <c r="PA30" s="521"/>
      <c r="PB30" s="521"/>
      <c r="PC30" s="521"/>
      <c r="PD30" s="568"/>
      <c r="PE30" s="569"/>
      <c r="PF30" s="520"/>
      <c r="PG30" s="521"/>
      <c r="PH30" s="521"/>
      <c r="PI30" s="521"/>
      <c r="PJ30" s="521"/>
      <c r="PK30" s="521"/>
      <c r="PL30" s="568"/>
      <c r="PM30" s="569"/>
      <c r="PN30" s="535"/>
      <c r="PO30" s="536"/>
      <c r="PP30" s="536"/>
      <c r="PQ30" s="536"/>
      <c r="PR30" s="536"/>
      <c r="PS30" s="536"/>
      <c r="PT30" s="576"/>
      <c r="PU30" s="577"/>
      <c r="PV30" s="535"/>
      <c r="PW30" s="539"/>
      <c r="PX30" s="539"/>
      <c r="PY30" s="539"/>
      <c r="PZ30" s="539"/>
      <c r="QA30" s="539"/>
      <c r="QB30" s="576"/>
      <c r="QC30" s="577"/>
      <c r="QD30" s="535"/>
      <c r="QE30" s="536"/>
      <c r="QF30" s="536"/>
      <c r="QG30" s="536"/>
      <c r="QH30" s="536"/>
      <c r="QI30" s="536"/>
      <c r="QJ30" s="576"/>
      <c r="QK30" s="577"/>
      <c r="QL30" s="535"/>
      <c r="QM30" s="536"/>
      <c r="QN30" s="536"/>
      <c r="QO30" s="536"/>
      <c r="QP30" s="536"/>
      <c r="QQ30" s="536"/>
      <c r="QR30" s="576"/>
      <c r="QS30" s="577"/>
      <c r="QT30" s="535"/>
      <c r="QU30" s="536"/>
      <c r="QV30" s="536"/>
      <c r="QW30" s="536"/>
      <c r="QX30" s="536"/>
      <c r="QY30" s="536"/>
      <c r="QZ30" s="576"/>
      <c r="RA30" s="577"/>
      <c r="RB30" s="535"/>
      <c r="RC30" s="536"/>
      <c r="RD30" s="536"/>
      <c r="RE30" s="536"/>
      <c r="RF30" s="536"/>
      <c r="RG30" s="536"/>
      <c r="RH30" s="576"/>
      <c r="RI30" s="577"/>
      <c r="RJ30" s="535"/>
      <c r="RK30" s="536"/>
      <c r="RL30" s="536"/>
      <c r="RM30" s="536"/>
      <c r="RN30" s="536"/>
      <c r="RO30" s="536"/>
      <c r="RP30" s="576"/>
      <c r="RQ30" s="577"/>
      <c r="RR30" s="535"/>
      <c r="RS30" s="536"/>
      <c r="RT30" s="536"/>
      <c r="RU30" s="536"/>
      <c r="RV30" s="536"/>
      <c r="RW30" s="536"/>
      <c r="RX30" s="576"/>
      <c r="RY30" s="577"/>
      <c r="RZ30" s="535"/>
      <c r="SA30" s="536"/>
      <c r="SB30" s="536"/>
      <c r="SC30" s="536"/>
      <c r="SD30" s="536"/>
      <c r="SE30" s="536"/>
      <c r="SF30" s="576"/>
      <c r="SG30" s="577"/>
      <c r="SH30" s="535"/>
      <c r="SI30" s="536"/>
      <c r="SJ30" s="536"/>
      <c r="SK30" s="536"/>
      <c r="SL30" s="536"/>
      <c r="SM30" s="536"/>
      <c r="SN30" s="576"/>
      <c r="SO30" s="577"/>
      <c r="SP30" s="535"/>
      <c r="SQ30" s="536"/>
      <c r="SR30" s="536"/>
      <c r="SS30" s="536"/>
      <c r="ST30" s="536"/>
      <c r="SU30" s="536"/>
      <c r="SV30" s="576"/>
      <c r="SW30" s="577"/>
      <c r="SX30" s="535"/>
      <c r="SY30" s="536"/>
      <c r="SZ30" s="536"/>
      <c r="TA30" s="536"/>
      <c r="TB30" s="536"/>
      <c r="TC30" s="536"/>
      <c r="TD30" s="576"/>
      <c r="TE30" s="577"/>
      <c r="TF30" s="535"/>
      <c r="TG30" s="536"/>
      <c r="TH30" s="536"/>
      <c r="TI30" s="536"/>
      <c r="TJ30" s="536"/>
      <c r="TK30" s="536"/>
      <c r="TL30" s="576"/>
      <c r="TM30" s="577"/>
      <c r="TN30" s="535"/>
      <c r="TO30" s="536"/>
      <c r="TP30" s="536"/>
      <c r="TQ30" s="536"/>
      <c r="TR30" s="536"/>
      <c r="TS30" s="536"/>
      <c r="TT30" s="576"/>
      <c r="TU30" s="577"/>
      <c r="TV30" s="535"/>
      <c r="TW30" s="536"/>
      <c r="TX30" s="536"/>
      <c r="TY30" s="536"/>
      <c r="TZ30" s="536"/>
      <c r="UA30" s="536"/>
      <c r="UB30" s="576"/>
      <c r="UC30" s="577"/>
      <c r="UD30" s="535"/>
      <c r="UE30" s="536"/>
      <c r="UF30" s="536"/>
      <c r="UG30" s="536"/>
      <c r="UH30" s="536"/>
      <c r="UI30" s="536"/>
      <c r="UJ30" s="578"/>
      <c r="UK30" s="579"/>
      <c r="UL30" s="535"/>
      <c r="UM30" s="536"/>
      <c r="UN30" s="536"/>
      <c r="UO30" s="536"/>
      <c r="UP30" s="536"/>
      <c r="UQ30" s="536"/>
      <c r="UR30" s="536"/>
      <c r="US30" s="578"/>
      <c r="UT30" s="579"/>
      <c r="UU30" s="535"/>
      <c r="UV30" s="536"/>
      <c r="UW30" s="536"/>
      <c r="UX30" s="536"/>
      <c r="UY30" s="536"/>
      <c r="UZ30" s="536"/>
      <c r="VA30" s="578"/>
      <c r="VB30" s="579"/>
      <c r="VC30" s="535"/>
      <c r="VD30" s="536"/>
      <c r="VE30" s="536"/>
      <c r="VF30" s="536"/>
      <c r="VG30" s="536"/>
      <c r="VH30" s="536"/>
      <c r="VI30" s="578"/>
      <c r="VJ30" s="579"/>
      <c r="VK30" s="520"/>
      <c r="VL30" s="521"/>
      <c r="VM30" s="521"/>
      <c r="VN30" s="521"/>
      <c r="VO30" s="521"/>
      <c r="VP30" s="521"/>
      <c r="VQ30" s="580"/>
      <c r="VR30" s="581"/>
      <c r="VS30" s="535"/>
      <c r="VT30" s="536"/>
      <c r="VU30" s="536"/>
      <c r="VV30" s="536"/>
      <c r="VW30" s="536"/>
      <c r="VX30" s="536"/>
      <c r="VY30" s="578"/>
      <c r="VZ30" s="579"/>
      <c r="WA30" s="542"/>
      <c r="WB30" s="543"/>
      <c r="WC30" s="543"/>
      <c r="WD30" s="543"/>
      <c r="WE30" s="543"/>
      <c r="WF30" s="543"/>
      <c r="WG30" s="582"/>
      <c r="WH30" s="583"/>
      <c r="WI30" s="545"/>
      <c r="WJ30" s="546"/>
      <c r="WK30" s="546"/>
      <c r="WL30" s="546"/>
      <c r="WM30" s="546"/>
      <c r="WN30" s="546"/>
      <c r="WO30" s="584"/>
      <c r="WP30" s="585"/>
      <c r="WQ30" s="520"/>
      <c r="WR30" s="521"/>
      <c r="WS30" s="521"/>
      <c r="WT30" s="521"/>
      <c r="WU30" s="521"/>
      <c r="WV30" s="521"/>
      <c r="WW30" s="521"/>
      <c r="WX30" s="582"/>
      <c r="WY30" s="583"/>
      <c r="WZ30" s="520"/>
      <c r="XA30" s="521"/>
      <c r="XB30" s="521"/>
      <c r="XC30" s="521"/>
      <c r="XD30" s="521"/>
      <c r="XE30" s="521"/>
      <c r="XF30" s="521"/>
      <c r="XG30" s="582"/>
      <c r="XH30" s="583"/>
      <c r="XI30" s="520"/>
      <c r="XJ30" s="521"/>
      <c r="XK30" s="521"/>
      <c r="XL30" s="521"/>
      <c r="XM30" s="521"/>
      <c r="XN30" s="521"/>
      <c r="XO30" s="521"/>
      <c r="XP30" s="582"/>
      <c r="XQ30" s="583"/>
      <c r="XR30" s="520"/>
      <c r="XS30" s="521"/>
      <c r="XT30" s="521"/>
      <c r="XU30" s="521"/>
      <c r="XV30" s="521"/>
      <c r="XW30" s="521"/>
      <c r="XX30" s="521"/>
      <c r="XY30" s="582"/>
      <c r="XZ30" s="583"/>
      <c r="YA30" s="520"/>
      <c r="YB30" s="521"/>
      <c r="YC30" s="521"/>
      <c r="YD30" s="521"/>
      <c r="YE30" s="521"/>
      <c r="YF30" s="521"/>
      <c r="YG30" s="521"/>
      <c r="YH30" s="582"/>
      <c r="YI30" s="583"/>
      <c r="YJ30" s="524"/>
      <c r="YK30" s="525"/>
      <c r="YL30" s="525"/>
      <c r="YM30" s="525"/>
      <c r="YN30" s="525"/>
      <c r="YO30" s="525"/>
      <c r="YP30" s="525"/>
      <c r="YQ30" s="582"/>
      <c r="YR30" s="583"/>
      <c r="YS30" s="520"/>
      <c r="YT30" s="521"/>
      <c r="YU30" s="521"/>
      <c r="YV30" s="521"/>
      <c r="YW30" s="521"/>
      <c r="YX30" s="521"/>
      <c r="YY30" s="582"/>
      <c r="YZ30" s="583"/>
      <c r="ZA30" s="520"/>
      <c r="ZB30" s="521"/>
      <c r="ZC30" s="521"/>
      <c r="ZD30" s="521"/>
      <c r="ZE30" s="521"/>
      <c r="ZF30" s="521"/>
      <c r="ZG30" s="582"/>
      <c r="ZH30" s="583"/>
      <c r="ZI30" s="542"/>
      <c r="ZJ30" s="543"/>
      <c r="ZK30" s="543"/>
      <c r="ZL30" s="543"/>
      <c r="ZM30" s="543"/>
      <c r="ZN30" s="548"/>
      <c r="ZO30" s="582"/>
      <c r="ZP30" s="583"/>
      <c r="ZQ30" s="520"/>
      <c r="ZR30" s="521"/>
      <c r="ZS30" s="521"/>
      <c r="ZT30" s="521"/>
      <c r="ZU30" s="521"/>
      <c r="ZV30" s="521"/>
      <c r="ZW30" s="521"/>
      <c r="ZX30" s="582"/>
      <c r="ZY30" s="586"/>
      <c r="ZZ30" s="520"/>
      <c r="AAA30" s="521"/>
      <c r="AAB30" s="521"/>
      <c r="AAC30" s="521"/>
      <c r="AAD30" s="521"/>
      <c r="AAE30" s="521"/>
      <c r="AAF30" s="521"/>
      <c r="AAG30" s="582"/>
      <c r="AAH30" s="583"/>
      <c r="AAI30" s="520"/>
      <c r="AAJ30" s="521"/>
      <c r="AAK30" s="521"/>
      <c r="AAL30" s="521"/>
      <c r="AAM30" s="521"/>
      <c r="AAN30" s="521"/>
      <c r="AAO30" s="582"/>
      <c r="AAP30" s="583"/>
      <c r="AAQ30" s="520"/>
      <c r="AAR30" s="521"/>
      <c r="AAS30" s="521"/>
      <c r="AAT30" s="521"/>
      <c r="AAU30" s="521"/>
      <c r="AAV30" s="521"/>
      <c r="AAW30" s="582"/>
      <c r="AAX30" s="583"/>
      <c r="AAY30" s="520"/>
      <c r="AAZ30" s="521"/>
      <c r="ABA30" s="521"/>
      <c r="ABB30" s="521"/>
      <c r="ABC30" s="521"/>
      <c r="ABD30" s="521"/>
      <c r="ABE30" s="582"/>
      <c r="ABF30" s="583"/>
      <c r="ABG30" s="520"/>
      <c r="ABH30" s="521"/>
      <c r="ABI30" s="521"/>
      <c r="ABJ30" s="521"/>
      <c r="ABK30" s="521"/>
      <c r="ABL30" s="521"/>
      <c r="ABM30" s="582"/>
      <c r="ABN30" s="583"/>
      <c r="ABO30" s="520"/>
      <c r="ABP30" s="521"/>
      <c r="ABQ30" s="521"/>
      <c r="ABR30" s="521"/>
      <c r="ABS30" s="521"/>
      <c r="ABT30" s="521"/>
      <c r="ABU30" s="582"/>
      <c r="ABV30" s="583"/>
      <c r="ABW30" s="520"/>
      <c r="ABX30" s="521"/>
      <c r="ABY30" s="521"/>
      <c r="ABZ30" s="521"/>
      <c r="ACA30" s="521"/>
      <c r="ACB30" s="521"/>
      <c r="ACC30" s="582"/>
      <c r="ACD30" s="583"/>
      <c r="ACE30" s="453"/>
      <c r="ACF30" s="521"/>
      <c r="ACG30" s="521"/>
      <c r="ACH30" s="521"/>
      <c r="ACI30" s="521"/>
      <c r="ACJ30" s="521"/>
      <c r="ACK30" s="582"/>
      <c r="ACL30" s="583"/>
      <c r="ACM30" s="520"/>
      <c r="ACN30" s="521"/>
      <c r="ACO30" s="521"/>
      <c r="ACP30" s="521"/>
      <c r="ACQ30" s="521"/>
      <c r="ACR30" s="521"/>
      <c r="ACS30" s="582"/>
      <c r="ACT30" s="583"/>
      <c r="ACU30" s="520"/>
      <c r="ACV30" s="521"/>
      <c r="ACW30" s="521"/>
      <c r="ACX30" s="521"/>
      <c r="ACY30" s="521"/>
      <c r="ACZ30" s="521"/>
      <c r="ADA30" s="582"/>
      <c r="ADB30" s="583"/>
      <c r="ADC30" s="520"/>
      <c r="ADD30" s="521"/>
      <c r="ADE30" s="521"/>
      <c r="ADF30" s="521"/>
      <c r="ADG30" s="521"/>
      <c r="ADH30" s="521"/>
      <c r="ADI30" s="582"/>
      <c r="ADJ30" s="583"/>
      <c r="ADK30" s="520"/>
      <c r="ADL30" s="521"/>
      <c r="ADM30" s="521"/>
      <c r="ADN30" s="521"/>
      <c r="ADO30" s="521"/>
      <c r="ADP30" s="521"/>
      <c r="ADQ30" s="582"/>
      <c r="ADR30" s="583"/>
      <c r="ADS30" s="520"/>
      <c r="ADT30" s="521"/>
      <c r="ADU30" s="521"/>
      <c r="ADV30" s="521"/>
      <c r="ADW30" s="521"/>
      <c r="ADX30" s="521"/>
      <c r="ADY30" s="582"/>
      <c r="ADZ30" s="583"/>
      <c r="AEA30" s="520"/>
      <c r="AEB30" s="521"/>
      <c r="AEC30" s="521"/>
      <c r="AED30" s="521"/>
      <c r="AEE30" s="521"/>
      <c r="AEF30" s="521"/>
      <c r="AEG30" s="582"/>
      <c r="AEH30" s="583"/>
      <c r="AEI30" s="520"/>
      <c r="AEJ30" s="521"/>
      <c r="AEK30" s="521"/>
      <c r="AEL30" s="521"/>
      <c r="AEM30" s="521"/>
      <c r="AEN30" s="521"/>
      <c r="AEO30" s="582"/>
      <c r="AEP30" s="583"/>
      <c r="AEQ30" s="520"/>
      <c r="AER30" s="521"/>
      <c r="AES30" s="521"/>
      <c r="AET30" s="521"/>
      <c r="AEU30" s="521"/>
      <c r="AEV30" s="521"/>
      <c r="AEW30" s="582"/>
      <c r="AEX30" s="583"/>
      <c r="AEY30" s="520"/>
      <c r="AEZ30" s="521"/>
      <c r="AFA30" s="521"/>
      <c r="AFB30" s="521"/>
      <c r="AFC30" s="521"/>
      <c r="AFD30" s="521"/>
      <c r="AFE30" s="582"/>
      <c r="AFF30" s="583"/>
      <c r="AFG30" s="520"/>
      <c r="AFH30" s="521"/>
      <c r="AFI30" s="521"/>
      <c r="AFJ30" s="521"/>
      <c r="AFK30" s="521"/>
      <c r="AFL30" s="521"/>
      <c r="AFM30" s="582"/>
      <c r="AFN30" s="583"/>
      <c r="AFO30" s="520"/>
      <c r="AFP30" s="521"/>
      <c r="AFQ30" s="521"/>
      <c r="AFR30" s="521"/>
      <c r="AFS30" s="521"/>
      <c r="AFT30" s="521"/>
      <c r="AFU30" s="582"/>
      <c r="AFV30" s="583"/>
      <c r="AFW30" s="520"/>
      <c r="AFX30" s="521"/>
      <c r="AFY30" s="521"/>
      <c r="AFZ30" s="521"/>
      <c r="AGA30" s="521"/>
      <c r="AGB30" s="521"/>
      <c r="AGC30" s="582"/>
      <c r="AGD30" s="583"/>
      <c r="AGE30" s="520"/>
      <c r="AGF30" s="521"/>
      <c r="AGG30" s="521"/>
      <c r="AGH30" s="521"/>
      <c r="AGI30" s="521"/>
      <c r="AGJ30" s="521"/>
      <c r="AGK30" s="582"/>
      <c r="AGL30" s="583"/>
      <c r="AGM30" s="520"/>
      <c r="AGN30" s="521"/>
      <c r="AGO30" s="521"/>
      <c r="AGP30" s="521"/>
      <c r="AGQ30" s="521"/>
      <c r="AGR30" s="521"/>
      <c r="AGS30" s="521"/>
      <c r="AGT30" s="582"/>
      <c r="AGU30" s="583"/>
      <c r="AGV30" s="520"/>
      <c r="AGW30" s="521"/>
      <c r="AGX30" s="521"/>
      <c r="AGY30" s="521"/>
      <c r="AGZ30" s="521"/>
      <c r="AHA30" s="521"/>
      <c r="AHB30" s="582"/>
      <c r="AHC30" s="583"/>
      <c r="AHD30" s="520"/>
      <c r="AHE30" s="521"/>
      <c r="AHF30" s="521"/>
      <c r="AHG30" s="521"/>
      <c r="AHH30" s="521"/>
      <c r="AHI30" s="521"/>
      <c r="AHJ30" s="582"/>
      <c r="AHK30" s="583"/>
      <c r="AHL30" s="520"/>
      <c r="AHM30" s="521"/>
      <c r="AHN30" s="521"/>
      <c r="AHO30" s="521"/>
      <c r="AHP30" s="521"/>
      <c r="AHQ30" s="521"/>
      <c r="AHR30" s="582"/>
      <c r="AHS30" s="583"/>
      <c r="AHT30" s="520"/>
      <c r="AHU30" s="521"/>
      <c r="AHV30" s="521"/>
      <c r="AHW30" s="521"/>
      <c r="AHX30" s="521"/>
      <c r="AHY30" s="521"/>
      <c r="AHZ30" s="582"/>
      <c r="AIA30" s="583"/>
      <c r="AIB30" s="520"/>
      <c r="AIC30" s="521"/>
      <c r="AID30" s="521"/>
      <c r="AIE30" s="521"/>
      <c r="AIF30" s="521"/>
      <c r="AIG30" s="521"/>
      <c r="AIH30" s="582"/>
      <c r="AII30" s="583"/>
      <c r="AIJ30" s="520"/>
      <c r="AIK30" s="521"/>
      <c r="AIL30" s="521"/>
      <c r="AIM30" s="521"/>
      <c r="AIN30" s="521"/>
      <c r="AIO30" s="521"/>
      <c r="AIP30" s="582"/>
      <c r="AIQ30" s="583"/>
      <c r="AIR30" s="520"/>
      <c r="AIS30" s="521"/>
      <c r="AIT30" s="521"/>
      <c r="AIU30" s="521"/>
      <c r="AIV30" s="521"/>
      <c r="AIW30" s="521"/>
      <c r="AIX30" s="582"/>
      <c r="AIY30" s="583"/>
      <c r="AIZ30" s="550"/>
      <c r="AJA30" s="522"/>
      <c r="AJB30" s="522"/>
      <c r="AJC30" s="522"/>
      <c r="AJD30" s="522"/>
      <c r="AJE30" s="522"/>
      <c r="AJF30" s="568"/>
      <c r="AJG30" s="569"/>
      <c r="AJH30" s="520"/>
      <c r="AJI30" s="521"/>
      <c r="AJJ30" s="521"/>
      <c r="AJK30" s="521"/>
      <c r="AJL30" s="521"/>
      <c r="AJM30" s="521"/>
      <c r="AJN30" s="568"/>
      <c r="AJO30" s="569"/>
      <c r="AJP30" s="520"/>
      <c r="AJQ30" s="521"/>
      <c r="AJR30" s="521"/>
      <c r="AJS30" s="521"/>
      <c r="AJT30" s="521"/>
      <c r="AJU30" s="521"/>
      <c r="AJV30" s="568"/>
      <c r="AJW30" s="569"/>
      <c r="AJX30" s="520"/>
      <c r="AJY30" s="521"/>
      <c r="AJZ30" s="521"/>
      <c r="AKA30" s="521"/>
      <c r="AKB30" s="521"/>
      <c r="AKC30" s="521"/>
      <c r="AKD30" s="568"/>
      <c r="AKE30" s="569"/>
      <c r="AKF30" s="520"/>
      <c r="AKG30" s="521"/>
      <c r="AKH30" s="521"/>
      <c r="AKI30" s="521"/>
      <c r="AKJ30" s="521"/>
      <c r="AKK30" s="521"/>
      <c r="AKL30" s="568"/>
      <c r="AKM30" s="587"/>
      <c r="AKN30" s="552"/>
      <c r="AKO30" s="521"/>
      <c r="AKP30" s="521"/>
      <c r="AKQ30" s="521"/>
      <c r="AKR30" s="521"/>
      <c r="AKS30" s="521"/>
      <c r="AKT30" s="568"/>
      <c r="AKU30" s="587"/>
      <c r="AKV30" s="520"/>
      <c r="AKW30" s="521"/>
      <c r="AKX30" s="521"/>
      <c r="AKY30" s="521"/>
      <c r="AKZ30" s="521"/>
      <c r="ALA30" s="521"/>
      <c r="ALB30" s="568"/>
      <c r="ALC30" s="569"/>
      <c r="ALD30" s="550"/>
      <c r="ALE30" s="522"/>
      <c r="ALF30" s="522"/>
      <c r="ALG30" s="522"/>
      <c r="ALH30" s="522"/>
      <c r="ALI30" s="522"/>
      <c r="ALJ30" s="568"/>
      <c r="ALK30" s="569"/>
      <c r="ALL30" s="550"/>
      <c r="ALM30" s="522"/>
      <c r="ALN30" s="522"/>
      <c r="ALO30" s="522"/>
      <c r="ALP30" s="522"/>
      <c r="ALQ30" s="522"/>
      <c r="ALR30" s="568"/>
      <c r="ALS30" s="569"/>
      <c r="ALT30" s="520"/>
      <c r="ALU30" s="521"/>
      <c r="ALV30" s="521"/>
      <c r="ALW30" s="521"/>
      <c r="ALX30" s="521"/>
      <c r="ALY30" s="521"/>
      <c r="ALZ30" s="568"/>
      <c r="AMA30" s="569"/>
      <c r="AMB30" s="453"/>
      <c r="AMC30" s="521"/>
      <c r="AMD30" s="521"/>
      <c r="AME30" s="521"/>
      <c r="AMF30" s="521"/>
      <c r="AMG30" s="521"/>
      <c r="AMH30" s="568"/>
      <c r="AMI30" s="569"/>
      <c r="AMJ30" s="520"/>
      <c r="AMK30" s="521"/>
      <c r="AML30" s="521"/>
      <c r="AMM30" s="521"/>
      <c r="AMN30" s="521"/>
      <c r="AMO30" s="521"/>
      <c r="AMP30" s="580"/>
      <c r="AMQ30" s="581"/>
      <c r="AMR30" s="520"/>
      <c r="AMS30" s="521"/>
      <c r="AMT30" s="521"/>
      <c r="AMU30" s="521"/>
      <c r="AMV30" s="521"/>
      <c r="AMW30" s="521"/>
      <c r="AMX30" s="580"/>
      <c r="AMY30" s="581"/>
      <c r="AMZ30" s="520"/>
      <c r="ANA30" s="521"/>
      <c r="ANB30" s="521"/>
      <c r="ANC30" s="521"/>
      <c r="AND30" s="521"/>
      <c r="ANE30" s="521"/>
      <c r="ANF30" s="580"/>
      <c r="ANG30" s="581"/>
      <c r="ANH30" s="520"/>
      <c r="ANI30" s="521"/>
      <c r="ANJ30" s="521"/>
      <c r="ANK30" s="521"/>
      <c r="ANL30" s="521"/>
      <c r="ANM30" s="521"/>
      <c r="ANN30" s="580"/>
      <c r="ANO30" s="581"/>
      <c r="ANP30" s="520"/>
      <c r="ANQ30" s="521"/>
      <c r="ANR30" s="521"/>
      <c r="ANS30" s="521"/>
      <c r="ANT30" s="521"/>
      <c r="ANU30" s="521"/>
      <c r="ANV30" s="580"/>
      <c r="ANW30" s="581"/>
      <c r="ANX30" s="572"/>
      <c r="ANY30" s="573"/>
      <c r="ANZ30" s="573"/>
      <c r="AOA30" s="573"/>
      <c r="AOB30" s="573"/>
      <c r="AOC30" s="573"/>
      <c r="AOD30" s="580"/>
      <c r="AOE30" s="581"/>
      <c r="AOF30" s="520"/>
      <c r="AOG30" s="521"/>
      <c r="AOH30" s="521"/>
      <c r="AOI30" s="521"/>
      <c r="AOJ30" s="521"/>
      <c r="AOK30" s="521"/>
      <c r="AOL30" s="580"/>
      <c r="AOM30" s="581"/>
      <c r="AON30" s="520"/>
      <c r="AOO30" s="521"/>
      <c r="AOP30" s="521"/>
      <c r="AOQ30" s="521"/>
      <c r="AOR30" s="521"/>
      <c r="AOS30" s="521"/>
      <c r="AOT30" s="580"/>
      <c r="AOU30" s="581"/>
      <c r="AOV30" s="542"/>
      <c r="AOW30" s="543"/>
      <c r="AOX30" s="543"/>
      <c r="AOY30" s="543"/>
      <c r="AOZ30" s="543"/>
      <c r="APA30" s="543"/>
      <c r="APB30" s="582"/>
      <c r="APC30" s="583"/>
      <c r="APD30" s="520"/>
      <c r="APE30" s="521"/>
      <c r="APF30" s="521"/>
      <c r="APG30" s="521"/>
      <c r="APH30" s="521"/>
      <c r="API30" s="521"/>
      <c r="APJ30" s="582"/>
      <c r="APK30" s="583"/>
      <c r="APL30" s="520"/>
      <c r="APM30" s="521"/>
      <c r="APN30" s="521"/>
      <c r="APO30" s="521"/>
      <c r="APP30" s="521"/>
      <c r="APQ30" s="521"/>
      <c r="APR30" s="580"/>
      <c r="APS30" s="581"/>
      <c r="APT30" s="520"/>
      <c r="APU30" s="521"/>
      <c r="APV30" s="521"/>
      <c r="APW30" s="521"/>
      <c r="APX30" s="521"/>
      <c r="APY30" s="521"/>
      <c r="APZ30" s="580"/>
      <c r="AQA30" s="581"/>
      <c r="AQB30" s="520"/>
      <c r="AQC30" s="521"/>
      <c r="AQD30" s="521"/>
      <c r="AQE30" s="521"/>
      <c r="AQF30" s="521"/>
      <c r="AQG30" s="521"/>
      <c r="AQH30" s="580"/>
      <c r="AQI30" s="581"/>
      <c r="AQJ30" s="520"/>
      <c r="AQK30" s="521"/>
      <c r="AQL30" s="521"/>
      <c r="AQM30" s="521"/>
      <c r="AQN30" s="521"/>
      <c r="AQO30" s="521"/>
      <c r="AQP30" s="580"/>
      <c r="AQQ30" s="581"/>
      <c r="AQR30" s="520"/>
      <c r="AQS30" s="521"/>
      <c r="AQT30" s="521"/>
      <c r="AQU30" s="521"/>
      <c r="AQV30" s="521"/>
      <c r="AQW30" s="521"/>
      <c r="AQX30" s="580"/>
      <c r="AQY30" s="581"/>
      <c r="AQZ30" s="520"/>
      <c r="ARA30" s="521"/>
      <c r="ARB30" s="521"/>
      <c r="ARC30" s="521"/>
      <c r="ARD30" s="521"/>
      <c r="ARE30" s="521"/>
      <c r="ARF30" s="580"/>
      <c r="ARG30" s="581"/>
      <c r="ARH30" s="520"/>
      <c r="ARI30" s="521"/>
      <c r="ARJ30" s="521"/>
      <c r="ARK30" s="521"/>
      <c r="ARL30" s="521"/>
      <c r="ARM30" s="521"/>
      <c r="ARN30" s="580"/>
      <c r="ARO30" s="581"/>
      <c r="ARP30" s="520"/>
      <c r="ARQ30" s="521"/>
      <c r="ARR30" s="521"/>
      <c r="ARS30" s="521"/>
      <c r="ART30" s="521"/>
      <c r="ARU30" s="521"/>
      <c r="ARV30" s="580"/>
      <c r="ARW30" s="581"/>
      <c r="ARX30" s="520"/>
      <c r="ARY30" s="521"/>
      <c r="ARZ30" s="521"/>
      <c r="ASA30" s="521"/>
      <c r="ASB30" s="521"/>
      <c r="ASC30" s="521"/>
      <c r="ASD30" s="580"/>
      <c r="ASE30" s="581"/>
      <c r="ASF30" s="520"/>
      <c r="ASG30" s="521"/>
      <c r="ASH30" s="521"/>
      <c r="ASI30" s="521"/>
      <c r="ASJ30" s="521"/>
      <c r="ASK30" s="521"/>
      <c r="ASL30" s="580"/>
      <c r="ASM30" s="581"/>
      <c r="ASN30" s="520"/>
      <c r="ASO30" s="521"/>
      <c r="ASP30" s="521"/>
      <c r="ASQ30" s="521"/>
      <c r="ASR30" s="521"/>
      <c r="ASS30" s="521"/>
      <c r="AST30" s="580"/>
      <c r="ASU30" s="581"/>
      <c r="ASV30" s="520"/>
      <c r="ASW30" s="521"/>
      <c r="ASX30" s="521"/>
      <c r="ASY30" s="521"/>
      <c r="ASZ30" s="521"/>
      <c r="ATA30" s="521"/>
      <c r="ATB30" s="588"/>
      <c r="ATC30" s="589"/>
      <c r="ATD30" s="520"/>
      <c r="ATE30" s="521"/>
      <c r="ATF30" s="521"/>
      <c r="ATG30" s="521"/>
      <c r="ATH30" s="521"/>
      <c r="ATI30" s="521"/>
      <c r="ATJ30" s="580"/>
      <c r="ATK30" s="581"/>
      <c r="ATL30" s="520"/>
      <c r="ATM30" s="521"/>
      <c r="ATN30" s="521"/>
      <c r="ATO30" s="521"/>
      <c r="ATP30" s="521"/>
      <c r="ATQ30" s="521"/>
      <c r="ATR30" s="580"/>
      <c r="ATS30" s="581"/>
      <c r="ATT30" s="520"/>
      <c r="ATU30" s="521"/>
      <c r="ATV30" s="521"/>
      <c r="ATW30" s="521"/>
      <c r="ATX30" s="521"/>
      <c r="ATY30" s="521"/>
      <c r="ATZ30" s="580"/>
      <c r="AUA30" s="581"/>
      <c r="AUB30" s="520"/>
      <c r="AUC30" s="521"/>
      <c r="AUD30" s="521"/>
      <c r="AUE30" s="521"/>
      <c r="AUF30" s="521"/>
      <c r="AUG30" s="521"/>
      <c r="AUH30" s="580"/>
      <c r="AUI30" s="581"/>
      <c r="AUJ30" s="550"/>
      <c r="AUK30" s="522"/>
      <c r="AUL30" s="522"/>
      <c r="AUM30" s="522"/>
      <c r="AUN30" s="522"/>
      <c r="AUO30" s="522"/>
      <c r="AUP30" s="580"/>
      <c r="AUQ30" s="581"/>
      <c r="AUR30" s="520"/>
      <c r="AUS30" s="521"/>
      <c r="AUT30" s="521"/>
      <c r="AUU30" s="521"/>
      <c r="AUV30" s="521"/>
      <c r="AUW30" s="521"/>
      <c r="AUX30" s="580"/>
      <c r="AUY30" s="581"/>
      <c r="AUZ30" s="520"/>
      <c r="AVA30" s="521"/>
      <c r="AVB30" s="521"/>
      <c r="AVC30" s="521"/>
      <c r="AVD30" s="521"/>
      <c r="AVE30" s="521"/>
      <c r="AVF30" s="580"/>
      <c r="AVG30" s="581"/>
      <c r="AVH30" s="520"/>
      <c r="AVI30" s="521"/>
      <c r="AVJ30" s="521"/>
      <c r="AVK30" s="521"/>
      <c r="AVL30" s="521"/>
      <c r="AVM30" s="521"/>
      <c r="AVN30" s="580"/>
      <c r="AVO30" s="581"/>
      <c r="AVP30" s="520"/>
      <c r="AVQ30" s="521"/>
      <c r="AVR30" s="521"/>
      <c r="AVS30" s="521"/>
      <c r="AVT30" s="521"/>
      <c r="AVU30" s="521"/>
      <c r="AVV30" s="580"/>
      <c r="AVW30" s="581"/>
      <c r="AVX30" s="520"/>
      <c r="AVY30" s="521"/>
      <c r="AVZ30" s="521"/>
      <c r="AWA30" s="521"/>
      <c r="AWB30" s="521"/>
      <c r="AWC30" s="521"/>
      <c r="AWD30" s="568"/>
      <c r="AWE30" s="569"/>
      <c r="AWF30" s="520"/>
      <c r="AWG30" s="521"/>
      <c r="AWH30" s="521"/>
      <c r="AWI30" s="521"/>
      <c r="AWJ30" s="521"/>
      <c r="AWK30" s="521"/>
      <c r="AWL30" s="568"/>
      <c r="AWM30" s="587"/>
      <c r="AWN30" s="520"/>
      <c r="AWO30" s="521"/>
      <c r="AWP30" s="521"/>
      <c r="AWQ30" s="521"/>
      <c r="AWR30" s="521"/>
      <c r="AWS30" s="521"/>
      <c r="AWT30" s="568"/>
      <c r="AWU30" s="569"/>
      <c r="AWV30" s="520"/>
      <c r="AWW30" s="521"/>
      <c r="AWX30" s="521"/>
      <c r="AWY30" s="521"/>
      <c r="AWZ30" s="521"/>
      <c r="AXA30" s="521"/>
      <c r="AXB30" s="568"/>
      <c r="AXC30" s="569"/>
      <c r="AXD30" s="520"/>
      <c r="AXE30" s="521"/>
      <c r="AXF30" s="521"/>
      <c r="AXG30" s="521"/>
      <c r="AXH30" s="521"/>
      <c r="AXI30" s="521"/>
      <c r="AXJ30" s="568"/>
      <c r="AXK30" s="569"/>
      <c r="AXL30" s="520"/>
      <c r="AXM30" s="521"/>
      <c r="AXN30" s="521"/>
      <c r="AXO30" s="521"/>
      <c r="AXP30" s="521"/>
      <c r="AXQ30" s="521"/>
      <c r="AXR30" s="568"/>
      <c r="AXS30" s="569"/>
      <c r="AXT30" s="520"/>
      <c r="AXU30" s="526"/>
      <c r="AXV30" s="526"/>
      <c r="AXW30" s="526"/>
      <c r="AXX30" s="526"/>
      <c r="AXY30" s="526"/>
      <c r="AXZ30" s="568"/>
      <c r="AYA30" s="569"/>
      <c r="AYB30" s="520"/>
      <c r="AYC30" s="521"/>
      <c r="AYD30" s="521"/>
      <c r="AYE30" s="521"/>
      <c r="AYF30" s="521"/>
      <c r="AYG30" s="521"/>
      <c r="AYH30" s="568"/>
      <c r="AYI30" s="569"/>
      <c r="AYJ30" s="520"/>
      <c r="AYK30" s="521"/>
      <c r="AYL30" s="521"/>
      <c r="AYM30" s="521"/>
      <c r="AYN30" s="521"/>
      <c r="AYO30" s="521"/>
      <c r="AYP30" s="568"/>
      <c r="AYQ30" s="569"/>
      <c r="AYR30" s="520"/>
      <c r="AYS30" s="521"/>
      <c r="AYT30" s="521"/>
      <c r="AYU30" s="521"/>
      <c r="AYV30" s="521"/>
      <c r="AYW30" s="521"/>
      <c r="AYX30" s="568"/>
      <c r="AYY30" s="569"/>
      <c r="AYZ30" s="520"/>
      <c r="AZA30" s="521"/>
      <c r="AZB30" s="521"/>
      <c r="AZC30" s="521"/>
      <c r="AZD30" s="521"/>
      <c r="AZE30" s="521"/>
      <c r="AZF30" s="568"/>
      <c r="AZG30" s="569"/>
      <c r="AZH30" s="520"/>
      <c r="AZI30" s="521"/>
      <c r="AZJ30" s="521"/>
      <c r="AZK30" s="521"/>
      <c r="AZL30" s="521"/>
      <c r="AZM30" s="521"/>
      <c r="AZN30" s="568"/>
      <c r="AZO30" s="569"/>
      <c r="AZP30" s="520"/>
      <c r="AZQ30" s="521"/>
      <c r="AZR30" s="521"/>
      <c r="AZS30" s="521"/>
      <c r="AZT30" s="521"/>
      <c r="AZU30" s="521"/>
      <c r="AZV30" s="568"/>
      <c r="AZW30" s="569"/>
      <c r="AZX30" s="572"/>
      <c r="AZY30" s="573"/>
      <c r="AZZ30" s="573"/>
      <c r="BAA30" s="573"/>
      <c r="BAB30" s="573"/>
      <c r="BAC30" s="573"/>
      <c r="BAD30" s="568"/>
      <c r="BAE30" s="569"/>
      <c r="BAF30" s="520"/>
      <c r="BAG30" s="521"/>
      <c r="BAH30" s="521"/>
      <c r="BAI30" s="521"/>
      <c r="BAJ30" s="521"/>
      <c r="BAK30" s="521"/>
      <c r="BAL30" s="568"/>
      <c r="BAM30" s="569"/>
      <c r="BAN30" s="520"/>
      <c r="BAO30" s="521"/>
      <c r="BAP30" s="521"/>
      <c r="BAQ30" s="521"/>
      <c r="BAR30" s="521"/>
      <c r="BAS30" s="521"/>
      <c r="BAT30" s="568"/>
      <c r="BAU30" s="569"/>
      <c r="BAV30" s="520"/>
      <c r="BAW30" s="521"/>
      <c r="BAX30" s="521"/>
      <c r="BAY30" s="521"/>
      <c r="BAZ30" s="521"/>
      <c r="BBA30" s="521"/>
      <c r="BBB30" s="568"/>
      <c r="BBC30" s="569"/>
      <c r="BBD30" s="520"/>
      <c r="BBE30" s="521"/>
      <c r="BBF30" s="521"/>
      <c r="BBG30" s="521"/>
      <c r="BBH30" s="521"/>
      <c r="BBI30" s="521"/>
      <c r="BBJ30" s="568"/>
      <c r="BBK30" s="569"/>
      <c r="BBL30" s="520"/>
      <c r="BBM30" s="521"/>
      <c r="BBN30" s="521"/>
      <c r="BBO30" s="521"/>
      <c r="BBP30" s="521"/>
      <c r="BBQ30" s="521"/>
      <c r="BBR30" s="568"/>
      <c r="BBS30" s="569"/>
      <c r="BBT30" s="520"/>
      <c r="BBU30" s="521"/>
      <c r="BBV30" s="521"/>
      <c r="BBW30" s="521"/>
      <c r="BBX30" s="521"/>
      <c r="BBY30" s="521"/>
      <c r="BBZ30" s="568"/>
      <c r="BCA30" s="569"/>
      <c r="BCB30" s="520"/>
      <c r="BCC30" s="521"/>
      <c r="BCD30" s="521"/>
      <c r="BCE30" s="521"/>
      <c r="BCF30" s="521"/>
      <c r="BCG30" s="521"/>
      <c r="BCH30" s="568"/>
      <c r="BCI30" s="569"/>
      <c r="BCJ30" s="520"/>
      <c r="BCK30" s="521"/>
      <c r="BCL30" s="521"/>
      <c r="BCM30" s="521"/>
      <c r="BCN30" s="521"/>
      <c r="BCO30" s="521"/>
      <c r="BCP30" s="568"/>
      <c r="BCQ30" s="569"/>
      <c r="BCR30" s="520"/>
      <c r="BCS30" s="521"/>
      <c r="BCT30" s="521"/>
      <c r="BCU30" s="521"/>
      <c r="BCV30" s="521"/>
      <c r="BCW30" s="521"/>
      <c r="BCX30" s="568"/>
      <c r="BCY30" s="569"/>
      <c r="BCZ30" s="520"/>
      <c r="BDA30" s="521"/>
      <c r="BDB30" s="521"/>
      <c r="BDC30" s="521"/>
      <c r="BDD30" s="521"/>
      <c r="BDE30" s="521"/>
      <c r="BDF30" s="568"/>
      <c r="BDG30" s="569"/>
      <c r="BDH30" s="520"/>
      <c r="BDI30" s="521"/>
      <c r="BDJ30" s="521"/>
      <c r="BDK30" s="521"/>
      <c r="BDL30" s="521"/>
      <c r="BDM30" s="521"/>
      <c r="BDN30" s="568"/>
      <c r="BDO30" s="569"/>
      <c r="BDP30" s="520"/>
      <c r="BDQ30" s="521"/>
      <c r="BDR30" s="521"/>
      <c r="BDS30" s="521"/>
      <c r="BDT30" s="521"/>
      <c r="BDU30" s="521"/>
      <c r="BDV30" s="568"/>
      <c r="BDW30" s="569"/>
      <c r="BDX30" s="520"/>
      <c r="BDY30" s="521"/>
      <c r="BDZ30" s="521"/>
      <c r="BEA30" s="521"/>
      <c r="BEB30" s="521"/>
      <c r="BEC30" s="521"/>
      <c r="BED30" s="568"/>
      <c r="BEE30" s="569"/>
      <c r="BEF30" s="520"/>
      <c r="BEG30" s="521"/>
      <c r="BEH30" s="521"/>
      <c r="BEI30" s="521"/>
      <c r="BEJ30" s="521"/>
      <c r="BEK30" s="521"/>
      <c r="BEL30" s="568"/>
      <c r="BEM30" s="569"/>
      <c r="BEN30" s="520"/>
      <c r="BEO30" s="521"/>
      <c r="BEP30" s="521"/>
      <c r="BEQ30" s="521"/>
      <c r="BER30" s="521"/>
      <c r="BES30" s="521"/>
      <c r="BET30" s="568"/>
      <c r="BEU30" s="569"/>
      <c r="BEV30" s="572"/>
      <c r="BEW30" s="573"/>
      <c r="BEX30" s="573"/>
      <c r="BEY30" s="573"/>
      <c r="BEZ30" s="573"/>
      <c r="BFA30" s="573"/>
      <c r="BFB30" s="568"/>
      <c r="BFC30" s="569"/>
      <c r="BFD30" s="520"/>
      <c r="BFE30" s="521"/>
      <c r="BFF30" s="521"/>
      <c r="BFG30" s="521"/>
      <c r="BFH30" s="521"/>
      <c r="BFI30" s="521"/>
      <c r="BFJ30" s="568"/>
      <c r="BFK30" s="569"/>
      <c r="BFL30" s="520"/>
      <c r="BFM30" s="521"/>
      <c r="BFN30" s="521"/>
      <c r="BFO30" s="521"/>
      <c r="BFP30" s="521"/>
      <c r="BFQ30" s="521"/>
      <c r="BFR30" s="568"/>
      <c r="BFS30" s="569"/>
      <c r="BFT30" s="520"/>
      <c r="BFU30" s="521"/>
      <c r="BFV30" s="521"/>
      <c r="BFW30" s="521"/>
      <c r="BFX30" s="521"/>
      <c r="BFY30" s="521"/>
      <c r="BFZ30" s="568"/>
      <c r="BGA30" s="569"/>
      <c r="BGB30" s="520"/>
      <c r="BGC30" s="521"/>
      <c r="BGD30" s="521"/>
      <c r="BGE30" s="521"/>
      <c r="BGF30" s="521"/>
      <c r="BGG30" s="521"/>
      <c r="BGH30" s="568"/>
      <c r="BGI30" s="569"/>
      <c r="BGJ30" s="520"/>
      <c r="BGK30" s="521"/>
      <c r="BGL30" s="521"/>
      <c r="BGM30" s="521"/>
      <c r="BGN30" s="521"/>
      <c r="BGO30" s="521"/>
      <c r="BGP30" s="568"/>
      <c r="BGQ30" s="569"/>
      <c r="BGR30" s="520"/>
      <c r="BGS30" s="521"/>
      <c r="BGT30" s="521"/>
      <c r="BGU30" s="521"/>
      <c r="BGV30" s="521"/>
      <c r="BGW30" s="521"/>
      <c r="BGX30" s="568"/>
      <c r="BGY30" s="569"/>
      <c r="BGZ30" s="520"/>
      <c r="BHA30" s="521"/>
      <c r="BHB30" s="521"/>
      <c r="BHC30" s="521"/>
      <c r="BHD30" s="521"/>
      <c r="BHE30" s="521"/>
      <c r="BHF30" s="568"/>
      <c r="BHG30" s="569"/>
      <c r="BHH30" s="520"/>
      <c r="BHI30" s="521"/>
      <c r="BHJ30" s="521"/>
      <c r="BHK30" s="521"/>
      <c r="BHL30" s="521"/>
      <c r="BHM30" s="521"/>
      <c r="BHN30" s="568"/>
      <c r="BHO30" s="569"/>
      <c r="BHP30" s="520"/>
      <c r="BHQ30" s="521"/>
      <c r="BHR30" s="521"/>
      <c r="BHS30" s="521"/>
      <c r="BHT30" s="521"/>
      <c r="BHU30" s="521"/>
      <c r="BHV30" s="568"/>
      <c r="BHW30" s="569"/>
      <c r="BHX30" s="520"/>
      <c r="BHY30" s="521"/>
      <c r="BHZ30" s="521"/>
      <c r="BIA30" s="521"/>
      <c r="BIB30" s="521"/>
      <c r="BIC30" s="521"/>
      <c r="BID30" s="568"/>
      <c r="BIE30" s="569"/>
      <c r="BIF30" s="520"/>
      <c r="BIG30" s="521"/>
      <c r="BIH30" s="521"/>
      <c r="BII30" s="521"/>
      <c r="BIJ30" s="521"/>
      <c r="BIK30" s="521"/>
      <c r="BIL30" s="568"/>
      <c r="BIM30" s="569"/>
      <c r="BIN30" s="520"/>
      <c r="BIO30" s="521"/>
      <c r="BIP30" s="521"/>
      <c r="BIQ30" s="521"/>
      <c r="BIR30" s="521"/>
      <c r="BIS30" s="521"/>
      <c r="BIT30" s="568"/>
      <c r="BIU30" s="587"/>
      <c r="BIV30" s="552"/>
      <c r="BIW30" s="521"/>
      <c r="BIX30" s="521"/>
      <c r="BIY30" s="521"/>
      <c r="BIZ30" s="521"/>
      <c r="BJA30" s="521"/>
      <c r="BJB30" s="568"/>
      <c r="BJC30" s="587"/>
      <c r="BJD30" s="520"/>
      <c r="BJE30" s="521"/>
      <c r="BJF30" s="521"/>
      <c r="BJG30" s="521"/>
      <c r="BJH30" s="521"/>
      <c r="BJI30" s="521"/>
      <c r="BJJ30" s="568"/>
      <c r="BJK30" s="569"/>
      <c r="BJL30" s="520"/>
      <c r="BJM30" s="521"/>
      <c r="BJN30" s="521"/>
      <c r="BJO30" s="521"/>
      <c r="BJP30" s="521"/>
      <c r="BJQ30" s="521"/>
      <c r="BJR30" s="568"/>
      <c r="BJS30" s="569"/>
      <c r="BJT30" s="520"/>
      <c r="BJU30" s="521"/>
      <c r="BJV30" s="521"/>
      <c r="BJW30" s="521"/>
      <c r="BJX30" s="521"/>
      <c r="BJY30" s="521"/>
      <c r="BJZ30" s="568"/>
      <c r="BKA30" s="569"/>
      <c r="BKB30" s="520"/>
      <c r="BKC30" s="521"/>
      <c r="BKD30" s="521"/>
      <c r="BKE30" s="521"/>
      <c r="BKF30" s="521"/>
      <c r="BKG30" s="521"/>
      <c r="BKH30" s="568"/>
      <c r="BKI30" s="569"/>
      <c r="BKJ30" s="520"/>
      <c r="BKK30" s="521"/>
      <c r="BKL30" s="521"/>
      <c r="BKM30" s="521"/>
      <c r="BKN30" s="521"/>
      <c r="BKO30" s="521"/>
      <c r="BKP30" s="568"/>
      <c r="BKQ30" s="569"/>
      <c r="BKR30" s="520"/>
      <c r="BKS30" s="526"/>
      <c r="BKT30" s="526"/>
      <c r="BKU30" s="526"/>
      <c r="BKV30" s="526"/>
      <c r="BKW30" s="526"/>
      <c r="BKX30" s="568"/>
      <c r="BKY30" s="569"/>
      <c r="BKZ30" s="520"/>
      <c r="BLA30" s="521"/>
      <c r="BLB30" s="521"/>
      <c r="BLC30" s="521"/>
      <c r="BLD30" s="521"/>
      <c r="BLE30" s="521"/>
      <c r="BLF30" s="568"/>
      <c r="BLG30" s="569"/>
      <c r="BLH30" s="520"/>
      <c r="BLI30" s="521"/>
      <c r="BLJ30" s="521"/>
      <c r="BLK30" s="521"/>
      <c r="BLL30" s="521"/>
      <c r="BLM30" s="521"/>
      <c r="BLN30" s="568"/>
      <c r="BLO30" s="569"/>
      <c r="BLP30" s="520"/>
      <c r="BLQ30" s="521"/>
      <c r="BLR30" s="521"/>
      <c r="BLS30" s="521"/>
      <c r="BLT30" s="521"/>
      <c r="BLU30" s="521"/>
      <c r="BLV30" s="568"/>
      <c r="BLW30" s="569"/>
      <c r="BLX30" s="520"/>
      <c r="BLY30" s="521"/>
      <c r="BLZ30" s="521"/>
      <c r="BMA30" s="521"/>
      <c r="BMB30" s="521"/>
      <c r="BMC30" s="521"/>
      <c r="BMD30" s="568"/>
      <c r="BME30" s="569"/>
      <c r="BMF30" s="520"/>
      <c r="BMG30" s="526"/>
      <c r="BMH30" s="526"/>
      <c r="BMI30" s="526"/>
      <c r="BMJ30" s="526"/>
      <c r="BMK30" s="526"/>
      <c r="BML30" s="568"/>
      <c r="BMM30" s="569"/>
      <c r="BMN30" s="520"/>
      <c r="BMO30" s="521"/>
      <c r="BMP30" s="521"/>
      <c r="BMQ30" s="521"/>
      <c r="BMR30" s="521"/>
      <c r="BMS30" s="521"/>
      <c r="BMT30" s="568"/>
      <c r="BMU30" s="569"/>
      <c r="BMV30" s="520"/>
      <c r="BMW30" s="521"/>
      <c r="BMX30" s="521"/>
      <c r="BMY30" s="521"/>
      <c r="BMZ30" s="521"/>
      <c r="BNA30" s="521"/>
      <c r="BNB30" s="568"/>
      <c r="BNC30" s="569"/>
      <c r="BND30" s="520"/>
      <c r="BNE30" s="521"/>
      <c r="BNF30" s="521"/>
      <c r="BNG30" s="521"/>
      <c r="BNH30" s="521"/>
      <c r="BNI30" s="521"/>
      <c r="BNJ30" s="568"/>
      <c r="BNK30" s="569"/>
      <c r="BNL30" s="520"/>
      <c r="BNM30" s="521"/>
      <c r="BNN30" s="521"/>
      <c r="BNO30" s="521"/>
      <c r="BNP30" s="521"/>
      <c r="BNQ30" s="521"/>
      <c r="BNR30" s="568"/>
      <c r="BNS30" s="569"/>
      <c r="BNT30" s="520"/>
      <c r="BNU30" s="521"/>
      <c r="BNV30" s="521"/>
      <c r="BNW30" s="521"/>
      <c r="BNX30" s="521"/>
      <c r="BNY30" s="521"/>
      <c r="BNZ30" s="568"/>
      <c r="BOA30" s="569"/>
      <c r="BOB30" s="520"/>
      <c r="BOC30" s="526"/>
      <c r="BOD30" s="526"/>
      <c r="BOE30" s="526"/>
      <c r="BOF30" s="526"/>
      <c r="BOG30" s="526"/>
      <c r="BOH30" s="568"/>
      <c r="BOI30" s="569"/>
      <c r="BOJ30" s="520"/>
      <c r="BOK30" s="521"/>
      <c r="BOL30" s="521"/>
      <c r="BOM30" s="521"/>
      <c r="BON30" s="521"/>
      <c r="BOO30" s="521"/>
      <c r="BOP30" s="568"/>
      <c r="BOQ30" s="569"/>
      <c r="BOR30" s="520"/>
      <c r="BOS30" s="521"/>
      <c r="BOT30" s="521"/>
      <c r="BOU30" s="521"/>
      <c r="BOV30" s="521"/>
      <c r="BOW30" s="521"/>
      <c r="BOX30" s="568"/>
      <c r="BOY30" s="569"/>
      <c r="BOZ30" s="520"/>
      <c r="BPA30" s="521"/>
      <c r="BPB30" s="521"/>
      <c r="BPC30" s="521"/>
      <c r="BPD30" s="521"/>
      <c r="BPE30" s="521"/>
      <c r="BPF30" s="568"/>
      <c r="BPG30" s="569"/>
      <c r="BPH30" s="520"/>
      <c r="BPI30" s="521"/>
      <c r="BPJ30" s="521"/>
      <c r="BPK30" s="521"/>
      <c r="BPL30" s="521"/>
      <c r="BPM30" s="521"/>
      <c r="BPN30" s="568"/>
      <c r="BPO30" s="569"/>
      <c r="BPP30" s="520"/>
      <c r="BPQ30" s="521"/>
      <c r="BPR30" s="521"/>
      <c r="BPS30" s="521"/>
      <c r="BPT30" s="521"/>
      <c r="BPU30" s="521"/>
      <c r="BPV30" s="568"/>
      <c r="BPW30" s="569"/>
      <c r="BPX30" s="520"/>
      <c r="BPY30" s="521"/>
      <c r="BPZ30" s="521"/>
      <c r="BQA30" s="521"/>
      <c r="BQB30" s="521"/>
      <c r="BQC30" s="521"/>
      <c r="BQD30" s="568"/>
      <c r="BQE30" s="569"/>
      <c r="BQF30" s="520"/>
      <c r="BQG30" s="521"/>
      <c r="BQH30" s="521"/>
      <c r="BQI30" s="521"/>
      <c r="BQJ30" s="521"/>
      <c r="BQK30" s="521"/>
      <c r="BQL30" s="568"/>
      <c r="BQM30" s="569"/>
      <c r="BQN30" s="520"/>
      <c r="BQO30" s="521"/>
      <c r="BQP30" s="521"/>
      <c r="BQQ30" s="521"/>
      <c r="BQR30" s="521"/>
      <c r="BQS30" s="521"/>
      <c r="BQT30" s="568"/>
      <c r="BQU30" s="569"/>
      <c r="BQV30" s="520"/>
      <c r="BQW30" s="521"/>
      <c r="BQX30" s="521"/>
      <c r="BQY30" s="521"/>
      <c r="BQZ30" s="521"/>
      <c r="BRA30" s="521"/>
      <c r="BRB30" s="568"/>
      <c r="BRC30" s="569"/>
      <c r="BRD30" s="520"/>
      <c r="BRE30" s="521"/>
      <c r="BRF30" s="521"/>
      <c r="BRG30" s="521"/>
      <c r="BRH30" s="521"/>
      <c r="BRI30" s="521"/>
      <c r="BRJ30" s="568"/>
      <c r="BRK30" s="569"/>
      <c r="BRL30" s="542"/>
      <c r="BRM30" s="543"/>
      <c r="BRN30" s="543"/>
      <c r="BRO30" s="543"/>
      <c r="BRP30" s="543"/>
      <c r="BRQ30" s="543"/>
      <c r="BRR30" s="582"/>
      <c r="BRS30" s="583"/>
      <c r="BRT30" s="520"/>
      <c r="BRU30" s="521"/>
      <c r="BRV30" s="521"/>
      <c r="BRW30" s="521"/>
      <c r="BRX30" s="521"/>
      <c r="BRY30" s="521"/>
      <c r="BRZ30" s="568"/>
      <c r="BSA30" s="569"/>
      <c r="BSB30" s="520"/>
      <c r="BSC30" s="521"/>
      <c r="BSD30" s="521"/>
      <c r="BSE30" s="521"/>
      <c r="BSF30" s="521"/>
      <c r="BSG30" s="521"/>
      <c r="BSH30" s="568"/>
      <c r="BSI30" s="569"/>
      <c r="BSJ30" s="520"/>
      <c r="BSK30" s="521"/>
      <c r="BSL30" s="521"/>
      <c r="BSM30" s="521"/>
      <c r="BSN30" s="521"/>
      <c r="BSO30" s="521"/>
      <c r="BSP30" s="568"/>
      <c r="BSQ30" s="569"/>
      <c r="BSR30" s="520"/>
      <c r="BSS30" s="521"/>
      <c r="BST30" s="521"/>
      <c r="BSU30" s="521"/>
      <c r="BSV30" s="521"/>
      <c r="BSW30" s="521"/>
      <c r="BSX30" s="568"/>
      <c r="BSY30" s="569"/>
      <c r="BSZ30" s="520"/>
      <c r="BTA30" s="521"/>
      <c r="BTB30" s="521"/>
      <c r="BTC30" s="521"/>
      <c r="BTD30" s="521"/>
      <c r="BTE30" s="521"/>
      <c r="BTF30" s="568"/>
      <c r="BTG30" s="569"/>
      <c r="BTH30" s="520"/>
      <c r="BTI30" s="521"/>
      <c r="BTJ30" s="521"/>
      <c r="BTK30" s="521"/>
      <c r="BTL30" s="521"/>
      <c r="BTM30" s="521"/>
      <c r="BTN30" s="582"/>
      <c r="BTO30" s="583"/>
      <c r="BTP30" s="520"/>
      <c r="BTQ30" s="521"/>
      <c r="BTR30" s="521"/>
      <c r="BTS30" s="521"/>
      <c r="BTT30" s="521"/>
      <c r="BTU30" s="521"/>
      <c r="BTV30" s="568"/>
      <c r="BTW30" s="569"/>
      <c r="BTX30" s="520"/>
      <c r="BTY30" s="521"/>
      <c r="BTZ30" s="521"/>
      <c r="BUA30" s="521"/>
      <c r="BUB30" s="521"/>
      <c r="BUC30" s="521"/>
      <c r="BUD30" s="582"/>
      <c r="BUE30" s="583"/>
      <c r="BUF30" s="520"/>
      <c r="BUG30" s="521"/>
      <c r="BUH30" s="521"/>
      <c r="BUI30" s="521"/>
      <c r="BUJ30" s="521"/>
      <c r="BUK30" s="521"/>
      <c r="BUL30" s="582"/>
      <c r="BUM30" s="583"/>
      <c r="BUN30" s="520"/>
      <c r="BUO30" s="521"/>
      <c r="BUP30" s="521"/>
      <c r="BUQ30" s="521"/>
      <c r="BUR30" s="521"/>
      <c r="BUS30" s="521"/>
      <c r="BUT30" s="582"/>
      <c r="BUU30" s="583"/>
      <c r="BUV30" s="520"/>
      <c r="BUW30" s="521"/>
      <c r="BUX30" s="521"/>
      <c r="BUY30" s="521"/>
      <c r="BUZ30" s="521"/>
      <c r="BVA30" s="521"/>
      <c r="BVB30" s="582"/>
      <c r="BVC30" s="583"/>
      <c r="BVD30" s="520"/>
      <c r="BVE30" s="521"/>
      <c r="BVF30" s="521"/>
      <c r="BVG30" s="521"/>
      <c r="BVH30" s="521"/>
      <c r="BVI30" s="521"/>
      <c r="BVJ30" s="582"/>
      <c r="BVK30" s="583"/>
      <c r="BVL30" s="520"/>
      <c r="BVM30" s="521"/>
      <c r="BVN30" s="521"/>
      <c r="BVO30" s="521"/>
      <c r="BVP30" s="521"/>
      <c r="BVQ30" s="521"/>
      <c r="BVR30" s="582"/>
      <c r="BVS30" s="583"/>
      <c r="BVT30" s="520"/>
      <c r="BVU30" s="521"/>
      <c r="BVV30" s="521"/>
      <c r="BVW30" s="521"/>
      <c r="BVX30" s="521"/>
      <c r="BVY30" s="521"/>
      <c r="BVZ30" s="582"/>
      <c r="BWA30" s="583"/>
      <c r="BWB30" s="520"/>
      <c r="BWC30" s="521"/>
      <c r="BWD30" s="521"/>
      <c r="BWE30" s="521"/>
      <c r="BWF30" s="521"/>
      <c r="BWG30" s="521"/>
      <c r="BWH30" s="582"/>
      <c r="BWI30" s="583"/>
      <c r="BWJ30" s="520"/>
      <c r="BWK30" s="521"/>
      <c r="BWL30" s="521"/>
      <c r="BWM30" s="521"/>
      <c r="BWN30" s="521"/>
      <c r="BWO30" s="521"/>
      <c r="BWP30" s="582"/>
      <c r="BWQ30" s="583"/>
      <c r="BWR30" s="520"/>
      <c r="BWS30" s="521"/>
      <c r="BWT30" s="521"/>
      <c r="BWU30" s="521"/>
      <c r="BWV30" s="521"/>
      <c r="BWW30" s="521"/>
      <c r="BWX30" s="582"/>
      <c r="BWY30" s="583"/>
      <c r="BWZ30" s="520"/>
      <c r="BXA30" s="521"/>
      <c r="BXB30" s="521"/>
      <c r="BXC30" s="521"/>
      <c r="BXD30" s="521"/>
      <c r="BXE30" s="521"/>
      <c r="BXF30" s="582"/>
      <c r="BXG30" s="583"/>
      <c r="BXH30" s="520"/>
      <c r="BXI30" s="521"/>
      <c r="BXJ30" s="521"/>
      <c r="BXK30" s="521"/>
      <c r="BXL30" s="521"/>
      <c r="BXM30" s="521"/>
      <c r="BXN30" s="582"/>
      <c r="BXO30" s="583"/>
      <c r="BXP30" s="520"/>
      <c r="BXQ30" s="521"/>
      <c r="BXR30" s="521"/>
      <c r="BXS30" s="521"/>
      <c r="BXT30" s="521"/>
      <c r="BXU30" s="521"/>
      <c r="BXV30" s="582"/>
      <c r="BXW30" s="583"/>
      <c r="BXX30" s="520"/>
      <c r="BXY30" s="521"/>
      <c r="BXZ30" s="521"/>
      <c r="BYA30" s="521"/>
      <c r="BYB30" s="521"/>
      <c r="BYC30" s="521"/>
      <c r="BYD30" s="582"/>
      <c r="BYE30" s="583"/>
      <c r="BYF30" s="520"/>
      <c r="BYG30" s="521"/>
      <c r="BYH30" s="521"/>
      <c r="BYI30" s="521"/>
      <c r="BYJ30" s="521"/>
      <c r="BYK30" s="521"/>
      <c r="BYL30" s="582"/>
      <c r="BYM30" s="583"/>
      <c r="BYN30" s="520"/>
      <c r="BYO30" s="521"/>
      <c r="BYP30" s="521"/>
      <c r="BYQ30" s="521"/>
      <c r="BYR30" s="521"/>
      <c r="BYS30" s="521"/>
      <c r="BYT30" s="582"/>
      <c r="BYU30" s="583"/>
      <c r="BYV30" s="520"/>
      <c r="BYW30" s="521"/>
      <c r="BYX30" s="521"/>
      <c r="BYY30" s="521"/>
      <c r="BYZ30" s="521"/>
      <c r="BZA30" s="521"/>
      <c r="BZB30" s="582"/>
      <c r="BZC30" s="583"/>
      <c r="BZD30" s="520"/>
      <c r="BZE30" s="521"/>
      <c r="BZF30" s="521"/>
      <c r="BZG30" s="521"/>
      <c r="BZH30" s="521"/>
      <c r="BZI30" s="521"/>
      <c r="BZJ30" s="582"/>
      <c r="BZK30" s="583"/>
      <c r="BZL30" s="520"/>
      <c r="BZM30" s="521"/>
      <c r="BZN30" s="521"/>
      <c r="BZO30" s="521"/>
      <c r="BZP30" s="521"/>
      <c r="BZQ30" s="521"/>
      <c r="BZR30" s="582"/>
      <c r="BZS30" s="583"/>
      <c r="BZT30" s="520"/>
      <c r="BZU30" s="521"/>
      <c r="BZV30" s="521"/>
      <c r="BZW30" s="521"/>
      <c r="BZX30" s="521"/>
      <c r="BZY30" s="521"/>
      <c r="BZZ30" s="582"/>
      <c r="CAA30" s="583"/>
      <c r="CAB30" s="520"/>
      <c r="CAC30" s="521"/>
      <c r="CAD30" s="521"/>
      <c r="CAE30" s="521"/>
      <c r="CAF30" s="521"/>
      <c r="CAG30" s="521"/>
      <c r="CAH30" s="582"/>
      <c r="CAI30" s="583"/>
      <c r="CAJ30" s="520"/>
      <c r="CAK30" s="521"/>
      <c r="CAL30" s="521"/>
      <c r="CAM30" s="521"/>
      <c r="CAN30" s="521"/>
      <c r="CAO30" s="521"/>
      <c r="CAP30" s="582"/>
      <c r="CAQ30" s="583"/>
      <c r="CAR30" s="520"/>
      <c r="CAS30" s="521"/>
      <c r="CAT30" s="521"/>
      <c r="CAU30" s="521"/>
      <c r="CAV30" s="521"/>
      <c r="CAW30" s="521"/>
      <c r="CAX30" s="582"/>
      <c r="CAY30" s="583"/>
      <c r="CAZ30" s="520"/>
      <c r="CBA30" s="521"/>
      <c r="CBB30" s="521"/>
      <c r="CBC30" s="521"/>
      <c r="CBD30" s="521"/>
      <c r="CBE30" s="521"/>
      <c r="CBF30" s="582"/>
      <c r="CBG30" s="583"/>
      <c r="CBH30" s="520"/>
      <c r="CBI30" s="521"/>
      <c r="CBJ30" s="521"/>
      <c r="CBK30" s="521"/>
      <c r="CBL30" s="521"/>
      <c r="CBM30" s="521"/>
      <c r="CBN30" s="582"/>
      <c r="CBO30" s="583"/>
      <c r="CBP30" s="520"/>
      <c r="CBQ30" s="521"/>
      <c r="CBR30" s="521"/>
      <c r="CBS30" s="521"/>
      <c r="CBT30" s="521"/>
      <c r="CBU30" s="521"/>
      <c r="CBV30" s="582"/>
      <c r="CBW30" s="583"/>
      <c r="CBX30" s="520"/>
      <c r="CBY30" s="521"/>
      <c r="CBZ30" s="521"/>
      <c r="CCA30" s="521"/>
      <c r="CCB30" s="521"/>
      <c r="CCC30" s="521"/>
      <c r="CCD30" s="582"/>
      <c r="CCE30" s="583"/>
      <c r="CCF30" s="520"/>
      <c r="CCG30" s="521"/>
      <c r="CCH30" s="521"/>
      <c r="CCI30" s="521"/>
      <c r="CCJ30" s="521"/>
      <c r="CCK30" s="521"/>
      <c r="CCL30" s="582"/>
      <c r="CCM30" s="583"/>
      <c r="CCN30" s="520"/>
      <c r="CCO30" s="521"/>
      <c r="CCP30" s="521"/>
      <c r="CCQ30" s="521"/>
      <c r="CCR30" s="521"/>
      <c r="CCS30" s="521"/>
      <c r="CCT30" s="582"/>
      <c r="CCU30" s="583"/>
      <c r="CCV30" s="520"/>
      <c r="CCW30" s="521"/>
      <c r="CCX30" s="521"/>
      <c r="CCY30" s="521"/>
      <c r="CCZ30" s="521"/>
      <c r="CDA30" s="521"/>
      <c r="CDB30" s="582"/>
      <c r="CDC30" s="583"/>
      <c r="CDD30" s="520"/>
      <c r="CDE30" s="521"/>
      <c r="CDF30" s="521"/>
      <c r="CDG30" s="521"/>
      <c r="CDH30" s="521"/>
      <c r="CDI30" s="521"/>
      <c r="CDJ30" s="582"/>
      <c r="CDK30" s="583"/>
      <c r="CDL30" s="520"/>
      <c r="CDM30" s="521"/>
      <c r="CDN30" s="521"/>
      <c r="CDO30" s="521"/>
      <c r="CDP30" s="521"/>
      <c r="CDQ30" s="521"/>
      <c r="CDR30" s="582"/>
      <c r="CDS30" s="583"/>
      <c r="CDT30" s="542"/>
      <c r="CDU30" s="543"/>
      <c r="CDV30" s="543"/>
      <c r="CDW30" s="543"/>
      <c r="CDX30" s="543"/>
      <c r="CDY30" s="543"/>
      <c r="CDZ30" s="582"/>
      <c r="CEA30" s="583"/>
      <c r="CEB30" s="520"/>
      <c r="CEC30" s="521"/>
      <c r="CED30" s="521"/>
      <c r="CEE30" s="521"/>
      <c r="CEF30" s="521"/>
      <c r="CEG30" s="521"/>
      <c r="CEH30" s="582"/>
      <c r="CEI30" s="583"/>
      <c r="CEJ30" s="542"/>
      <c r="CEK30" s="543"/>
      <c r="CEL30" s="543"/>
      <c r="CEM30" s="543"/>
      <c r="CEN30" s="543"/>
      <c r="CEO30" s="543"/>
      <c r="CEP30" s="582"/>
      <c r="CEQ30" s="583"/>
      <c r="CER30" s="520"/>
      <c r="CES30" s="521"/>
      <c r="CET30" s="521"/>
      <c r="CEU30" s="521"/>
      <c r="CEV30" s="521"/>
      <c r="CEW30" s="521"/>
      <c r="CEX30" s="582"/>
      <c r="CEY30" s="583"/>
      <c r="CEZ30" s="520"/>
      <c r="CFA30" s="521"/>
      <c r="CFB30" s="521"/>
      <c r="CFC30" s="521"/>
      <c r="CFD30" s="521"/>
      <c r="CFE30" s="521"/>
      <c r="CFF30" s="582"/>
      <c r="CFG30" s="583"/>
      <c r="CFH30" s="520"/>
      <c r="CFI30" s="521"/>
      <c r="CFJ30" s="521"/>
      <c r="CFK30" s="521"/>
      <c r="CFL30" s="521"/>
      <c r="CFM30" s="521"/>
      <c r="CFN30" s="582"/>
      <c r="CFO30" s="583"/>
      <c r="CFP30" s="520"/>
      <c r="CFQ30" s="521"/>
      <c r="CFR30" s="521"/>
      <c r="CFS30" s="521"/>
      <c r="CFT30" s="521"/>
      <c r="CFU30" s="521"/>
      <c r="CFV30" s="582"/>
      <c r="CFW30" s="583"/>
      <c r="CFX30" s="520"/>
      <c r="CFY30" s="521"/>
      <c r="CFZ30" s="521"/>
      <c r="CGA30" s="521"/>
      <c r="CGB30" s="521"/>
      <c r="CGC30" s="521"/>
      <c r="CGD30" s="582"/>
      <c r="CGE30" s="583"/>
      <c r="CGF30" s="520"/>
      <c r="CGG30" s="526"/>
      <c r="CGH30" s="526"/>
      <c r="CGI30" s="526"/>
      <c r="CGJ30" s="526"/>
      <c r="CGK30" s="526"/>
      <c r="CGL30" s="582"/>
      <c r="CGM30" s="583"/>
      <c r="CGN30" s="527"/>
      <c r="CGO30" s="555"/>
      <c r="CGP30" s="555"/>
      <c r="CGQ30" s="555"/>
      <c r="CGR30" s="555"/>
      <c r="CGS30" s="555"/>
      <c r="CGT30" s="590"/>
      <c r="CGU30" s="591"/>
      <c r="CGV30" s="542"/>
      <c r="CGW30" s="543"/>
      <c r="CGX30" s="543"/>
      <c r="CGY30" s="543"/>
      <c r="CGZ30" s="543"/>
      <c r="CHA30" s="543"/>
      <c r="CHB30" s="582"/>
      <c r="CHC30" s="583"/>
      <c r="CHD30" s="520"/>
      <c r="CHE30" s="521"/>
      <c r="CHF30" s="521"/>
      <c r="CHG30" s="521"/>
      <c r="CHH30" s="521"/>
      <c r="CHI30" s="521"/>
      <c r="CHJ30" s="582"/>
      <c r="CHK30" s="583"/>
      <c r="CHL30" s="520"/>
      <c r="CHM30" s="521"/>
      <c r="CHN30" s="521"/>
      <c r="CHO30" s="521"/>
      <c r="CHP30" s="521"/>
      <c r="CHQ30" s="521"/>
      <c r="CHR30" s="582"/>
      <c r="CHS30" s="583"/>
      <c r="CHT30" s="520"/>
      <c r="CHU30" s="526"/>
      <c r="CHV30" s="526"/>
      <c r="CHW30" s="526"/>
      <c r="CHX30" s="526"/>
      <c r="CHY30" s="526"/>
      <c r="CHZ30" s="582"/>
      <c r="CIA30" s="583"/>
      <c r="CIB30" s="542"/>
      <c r="CIC30" s="543"/>
      <c r="CID30" s="543"/>
      <c r="CIE30" s="543"/>
      <c r="CIF30" s="543"/>
      <c r="CIG30" s="543"/>
      <c r="CIH30" s="582"/>
      <c r="CII30" s="583"/>
      <c r="CIJ30" s="520"/>
      <c r="CIK30" s="521"/>
      <c r="CIL30" s="521"/>
      <c r="CIM30" s="521"/>
      <c r="CIN30" s="521"/>
      <c r="CIO30" s="521"/>
      <c r="CIP30" s="582"/>
      <c r="CIQ30" s="583"/>
      <c r="CIR30" s="520"/>
      <c r="CIS30" s="521"/>
      <c r="CIT30" s="521"/>
      <c r="CIU30" s="521"/>
      <c r="CIV30" s="521"/>
      <c r="CIW30" s="521"/>
      <c r="CIX30" s="582"/>
      <c r="CIY30" s="583"/>
      <c r="CIZ30" s="520"/>
      <c r="CJA30" s="521"/>
      <c r="CJB30" s="521"/>
      <c r="CJC30" s="521"/>
      <c r="CJD30" s="521"/>
      <c r="CJE30" s="521"/>
      <c r="CJF30" s="582"/>
      <c r="CJG30" s="583"/>
      <c r="CJH30" s="520"/>
      <c r="CJI30" s="521"/>
      <c r="CJJ30" s="521"/>
      <c r="CJK30" s="521"/>
      <c r="CJL30" s="521"/>
      <c r="CJM30" s="521"/>
      <c r="CJN30" s="582"/>
      <c r="CJO30" s="592"/>
      <c r="CJP30" s="542"/>
      <c r="CJQ30" s="543"/>
      <c r="CJR30" s="543"/>
      <c r="CJS30" s="543"/>
      <c r="CJT30" s="543"/>
      <c r="CJU30" s="543"/>
      <c r="CJV30" s="582"/>
      <c r="CJW30" s="583"/>
      <c r="CJX30" s="542"/>
      <c r="CJY30" s="543"/>
      <c r="CJZ30" s="543"/>
      <c r="CKA30" s="543"/>
      <c r="CKB30" s="543"/>
      <c r="CKC30" s="543"/>
      <c r="CKD30" s="582"/>
      <c r="CKE30" s="583"/>
      <c r="CKF30" s="542"/>
      <c r="CKG30" s="559"/>
      <c r="CKH30" s="559"/>
      <c r="CKI30" s="559"/>
      <c r="CKJ30" s="559"/>
      <c r="CKK30" s="559"/>
      <c r="CKL30" s="582"/>
      <c r="CKM30" s="583"/>
      <c r="CKN30" s="520"/>
      <c r="CKO30" s="521"/>
      <c r="CKP30" s="521"/>
      <c r="CKQ30" s="521"/>
      <c r="CKR30" s="521"/>
      <c r="CKS30" s="521"/>
      <c r="CKT30" s="582"/>
      <c r="CKU30" s="583"/>
      <c r="CKV30" s="520"/>
      <c r="CKW30" s="521"/>
      <c r="CKX30" s="521"/>
      <c r="CKY30" s="521"/>
      <c r="CKZ30" s="521"/>
      <c r="CLA30" s="521"/>
      <c r="CLB30" s="582"/>
      <c r="CLC30" s="583"/>
      <c r="CLD30" s="520"/>
      <c r="CLE30" s="521"/>
      <c r="CLF30" s="521"/>
      <c r="CLG30" s="521"/>
      <c r="CLH30" s="521"/>
      <c r="CLI30" s="521"/>
      <c r="CLJ30" s="582"/>
      <c r="CLK30" s="583"/>
      <c r="CLL30" s="520"/>
      <c r="CLM30" s="521"/>
      <c r="CLN30" s="521"/>
      <c r="CLO30" s="521"/>
      <c r="CLP30" s="521"/>
      <c r="CLQ30" s="521"/>
      <c r="CLR30" s="582"/>
      <c r="CLS30" s="583"/>
      <c r="CLT30" s="520"/>
      <c r="CLU30" s="521"/>
      <c r="CLV30" s="521"/>
      <c r="CLW30" s="521"/>
      <c r="CLX30" s="521"/>
      <c r="CLY30" s="521"/>
      <c r="CLZ30" s="582"/>
      <c r="CMA30" s="583"/>
      <c r="CMB30" s="520"/>
      <c r="CMC30" s="521"/>
      <c r="CMD30" s="521"/>
      <c r="CME30" s="521"/>
      <c r="CMF30" s="521"/>
      <c r="CMG30" s="521"/>
      <c r="CMH30" s="582"/>
      <c r="CMI30" s="583"/>
      <c r="CMJ30" s="520"/>
      <c r="CMK30" s="521"/>
      <c r="CML30" s="521"/>
      <c r="CMM30" s="521"/>
      <c r="CMN30" s="521"/>
      <c r="CMO30" s="521"/>
      <c r="CMP30" s="582"/>
      <c r="CMQ30" s="583"/>
      <c r="CMR30" s="520"/>
      <c r="CMS30" s="521"/>
      <c r="CMT30" s="521"/>
      <c r="CMU30" s="521"/>
      <c r="CMV30" s="521"/>
      <c r="CMW30" s="521"/>
      <c r="CMX30" s="582"/>
      <c r="CMY30" s="583"/>
      <c r="CMZ30" s="520"/>
      <c r="CNA30" s="521"/>
      <c r="CNB30" s="521"/>
      <c r="CNC30" s="521"/>
      <c r="CND30" s="521"/>
      <c r="CNE30" s="521"/>
      <c r="CNF30" s="582"/>
      <c r="CNG30" s="583"/>
      <c r="CNH30" s="520"/>
      <c r="CNI30" s="521"/>
      <c r="CNJ30" s="521"/>
      <c r="CNK30" s="521"/>
      <c r="CNL30" s="521"/>
      <c r="CNM30" s="521"/>
      <c r="CNN30" s="582"/>
      <c r="CNO30" s="583"/>
      <c r="CNP30" s="520"/>
      <c r="CNQ30" s="521"/>
      <c r="CNR30" s="521"/>
      <c r="CNS30" s="521"/>
      <c r="CNT30" s="521"/>
      <c r="CNU30" s="521"/>
      <c r="CNV30" s="582"/>
      <c r="CNW30" s="583"/>
      <c r="CNX30" s="520"/>
      <c r="CNY30" s="521"/>
      <c r="CNZ30" s="521"/>
      <c r="COA30" s="521"/>
      <c r="COB30" s="521"/>
      <c r="COC30" s="521"/>
      <c r="COD30" s="582"/>
      <c r="COE30" s="583"/>
      <c r="COF30" s="560"/>
      <c r="COG30" s="561"/>
      <c r="COH30" s="561"/>
      <c r="COI30" s="561"/>
      <c r="COJ30" s="561"/>
      <c r="COK30" s="561"/>
      <c r="COL30" s="582"/>
      <c r="COM30" s="583"/>
      <c r="CON30" s="520"/>
      <c r="COO30" s="521"/>
      <c r="COP30" s="521"/>
      <c r="COQ30" s="521"/>
      <c r="COR30" s="521"/>
      <c r="COS30" s="521"/>
      <c r="COT30" s="582"/>
      <c r="COU30" s="583"/>
      <c r="COV30" s="520"/>
      <c r="COW30" s="521"/>
      <c r="COX30" s="521"/>
      <c r="COY30" s="521"/>
      <c r="COZ30" s="521"/>
      <c r="CPA30" s="521"/>
      <c r="CPB30" s="582"/>
      <c r="CPC30" s="583"/>
      <c r="CPD30" s="560"/>
      <c r="CPE30" s="561"/>
      <c r="CPF30" s="561"/>
      <c r="CPG30" s="561"/>
      <c r="CPH30" s="561"/>
      <c r="CPI30" s="561"/>
      <c r="CPJ30" s="582"/>
      <c r="CPK30" s="583"/>
      <c r="CPL30" s="520"/>
      <c r="CPM30" s="521"/>
      <c r="CPN30" s="521"/>
      <c r="CPO30" s="521"/>
      <c r="CPP30" s="521"/>
      <c r="CPQ30" s="521"/>
      <c r="CPR30" s="582"/>
      <c r="CPS30" s="583"/>
      <c r="CPT30" s="520"/>
      <c r="CPU30" s="521"/>
      <c r="CPV30" s="521"/>
      <c r="CPW30" s="521"/>
      <c r="CPX30" s="521"/>
      <c r="CPY30" s="521"/>
      <c r="CPZ30" s="582"/>
      <c r="CQA30" s="583"/>
      <c r="CQB30" s="560"/>
      <c r="CQC30" s="561"/>
      <c r="CQD30" s="561"/>
      <c r="CQE30" s="561"/>
      <c r="CQF30" s="561"/>
      <c r="CQG30" s="561"/>
      <c r="CQH30" s="582"/>
      <c r="CQI30" s="583"/>
      <c r="CQJ30" s="593"/>
      <c r="CQK30" s="594"/>
      <c r="CQL30" s="594"/>
      <c r="CQM30" s="594"/>
      <c r="CQN30" s="594"/>
      <c r="CQO30" s="594"/>
      <c r="CQP30" s="582"/>
      <c r="CQQ30" s="583"/>
      <c r="CQR30" s="562"/>
      <c r="CQS30" s="563"/>
      <c r="CQT30" s="563"/>
      <c r="CQU30" s="563"/>
      <c r="CQV30" s="563"/>
      <c r="CQW30" s="563"/>
      <c r="CQX30" s="582"/>
      <c r="CQY30" s="583"/>
      <c r="CQZ30" s="542"/>
      <c r="CRA30" s="543"/>
      <c r="CRB30" s="543"/>
      <c r="CRC30" s="543"/>
      <c r="CRD30" s="543"/>
      <c r="CRE30" s="543"/>
      <c r="CRF30" s="582"/>
      <c r="CRG30" s="583"/>
      <c r="CRH30" s="520"/>
      <c r="CRI30" s="521"/>
      <c r="CRJ30" s="521"/>
      <c r="CRK30" s="521"/>
      <c r="CRL30" s="521"/>
      <c r="CRM30" s="521"/>
      <c r="CRN30" s="582"/>
      <c r="CRO30" s="583"/>
      <c r="CRP30" s="520"/>
      <c r="CRQ30" s="521"/>
      <c r="CRR30" s="521"/>
      <c r="CRS30" s="521"/>
      <c r="CRT30" s="521"/>
      <c r="CRU30" s="521"/>
      <c r="CRV30" s="580"/>
      <c r="CRW30" s="581"/>
      <c r="CRX30" s="560"/>
      <c r="CRY30" s="561"/>
      <c r="CRZ30" s="561"/>
      <c r="CSA30" s="561"/>
      <c r="CSB30" s="561"/>
      <c r="CSC30" s="561"/>
      <c r="CSD30" s="580"/>
      <c r="CSE30" s="581"/>
      <c r="CSF30" s="542"/>
      <c r="CSG30" s="543"/>
      <c r="CSH30" s="543"/>
      <c r="CSI30" s="543"/>
      <c r="CSJ30" s="543"/>
      <c r="CSK30" s="548"/>
      <c r="CSL30" s="580"/>
      <c r="CSM30" s="581"/>
      <c r="CSN30" s="520"/>
      <c r="CSO30" s="521"/>
      <c r="CSP30" s="521"/>
      <c r="CSQ30" s="521"/>
      <c r="CSR30" s="521"/>
      <c r="CSS30" s="521"/>
      <c r="CST30" s="580"/>
      <c r="CSU30" s="581"/>
      <c r="CSV30" s="520"/>
      <c r="CSW30" s="521"/>
      <c r="CSX30" s="521"/>
      <c r="CSY30" s="521"/>
      <c r="CSZ30" s="521"/>
      <c r="CTA30" s="521"/>
      <c r="CTB30" s="580"/>
      <c r="CTC30" s="581"/>
      <c r="CTD30" s="520"/>
      <c r="CTE30" s="521"/>
      <c r="CTF30" s="521"/>
      <c r="CTG30" s="521"/>
      <c r="CTH30" s="521"/>
      <c r="CTI30" s="521"/>
      <c r="CTJ30" s="582"/>
      <c r="CTK30" s="583"/>
      <c r="CTL30" s="520"/>
      <c r="CTM30" s="521"/>
      <c r="CTN30" s="521"/>
      <c r="CTO30" s="521"/>
      <c r="CTP30" s="521"/>
      <c r="CTQ30" s="521"/>
      <c r="CTR30" s="582"/>
      <c r="CTS30" s="583"/>
      <c r="CTT30" s="562"/>
      <c r="CTU30" s="563"/>
      <c r="CTV30" s="563"/>
      <c r="CTW30" s="563"/>
      <c r="CTX30" s="563"/>
      <c r="CTY30" s="563"/>
      <c r="CTZ30" s="582"/>
      <c r="CUA30" s="583"/>
      <c r="CUB30" s="560"/>
      <c r="CUC30" s="561"/>
      <c r="CUD30" s="561"/>
      <c r="CUE30" s="561"/>
      <c r="CUF30" s="561"/>
      <c r="CUG30" s="561"/>
      <c r="CUH30" s="582"/>
      <c r="CUI30" s="583"/>
      <c r="CUJ30" s="520"/>
      <c r="CUK30" s="521"/>
      <c r="CUL30" s="521"/>
      <c r="CUM30" s="521"/>
      <c r="CUN30" s="521"/>
      <c r="CUO30" s="521"/>
      <c r="CUP30" s="582"/>
      <c r="CUQ30" s="583"/>
      <c r="CUR30" s="520"/>
      <c r="CUS30" s="521"/>
      <c r="CUT30" s="521"/>
      <c r="CUU30" s="521"/>
      <c r="CUV30" s="521"/>
      <c r="CUW30" s="521"/>
      <c r="CUX30" s="582"/>
      <c r="CUY30" s="583"/>
      <c r="CUZ30" s="560"/>
      <c r="CVA30" s="561"/>
      <c r="CVB30" s="561"/>
      <c r="CVC30" s="561"/>
      <c r="CVD30" s="561"/>
      <c r="CVE30" s="561"/>
      <c r="CVF30" s="582"/>
      <c r="CVG30" s="583"/>
      <c r="CVH30" s="520"/>
      <c r="CVI30" s="521"/>
      <c r="CVJ30" s="521"/>
      <c r="CVK30" s="521"/>
      <c r="CVL30" s="521"/>
      <c r="CVM30" s="521"/>
      <c r="CVN30" s="582"/>
      <c r="CVO30" s="583"/>
      <c r="CVP30" s="520"/>
      <c r="CVQ30" s="521"/>
      <c r="CVR30" s="521"/>
      <c r="CVS30" s="521"/>
      <c r="CVT30" s="521"/>
      <c r="CVU30" s="521"/>
      <c r="CVV30" s="582"/>
      <c r="CVW30" s="583"/>
      <c r="CVX30" s="550"/>
      <c r="CVY30" s="522"/>
      <c r="CVZ30" s="522"/>
      <c r="CWA30" s="522"/>
      <c r="CWB30" s="522"/>
      <c r="CWC30" s="522"/>
      <c r="CWD30" s="582"/>
      <c r="CWE30" s="583"/>
      <c r="CWF30" s="560"/>
      <c r="CWG30" s="561"/>
      <c r="CWH30" s="561"/>
      <c r="CWI30" s="561"/>
      <c r="CWJ30" s="561"/>
      <c r="CWK30" s="561"/>
      <c r="CWL30" s="582"/>
      <c r="CWM30" s="583"/>
      <c r="CWN30" s="520"/>
      <c r="CWO30" s="521"/>
      <c r="CWP30" s="521"/>
      <c r="CWQ30" s="521"/>
      <c r="CWR30" s="521"/>
      <c r="CWS30" s="521"/>
      <c r="CWT30" s="582"/>
      <c r="CWU30" s="583"/>
      <c r="CWV30" s="520"/>
      <c r="CWW30" s="521"/>
      <c r="CWX30" s="521"/>
      <c r="CWY30" s="521"/>
      <c r="CWZ30" s="521"/>
      <c r="CXA30" s="521"/>
      <c r="CXB30" s="568"/>
      <c r="CXC30" s="595"/>
      <c r="CXD30" s="520"/>
      <c r="CXE30" s="521"/>
      <c r="CXF30" s="521"/>
      <c r="CXG30" s="521"/>
      <c r="CXH30" s="521"/>
      <c r="CXI30" s="521"/>
      <c r="CXJ30" s="568"/>
      <c r="CXK30" s="595"/>
      <c r="CXL30" s="520"/>
      <c r="CXM30" s="521"/>
      <c r="CXN30" s="521"/>
      <c r="CXO30" s="521"/>
      <c r="CXP30" s="521"/>
      <c r="CXQ30" s="521"/>
      <c r="CXR30" s="568"/>
      <c r="CXS30" s="595"/>
      <c r="CXT30" s="520"/>
      <c r="CXU30" s="521"/>
      <c r="CXV30" s="521"/>
      <c r="CXW30" s="521"/>
      <c r="CXX30" s="521"/>
      <c r="CXY30" s="521"/>
      <c r="CXZ30" s="568"/>
      <c r="CYA30" s="595"/>
      <c r="CYB30" s="520"/>
      <c r="CYC30" s="521"/>
      <c r="CYD30" s="521"/>
      <c r="CYE30" s="521"/>
      <c r="CYF30" s="521"/>
      <c r="CYG30" s="521"/>
      <c r="CYH30" s="568"/>
      <c r="CYI30" s="595"/>
      <c r="CYJ30" s="520"/>
      <c r="CYK30" s="521"/>
      <c r="CYL30" s="521"/>
      <c r="CYM30" s="521"/>
      <c r="CYN30" s="521"/>
      <c r="CYO30" s="521"/>
      <c r="CYP30" s="568"/>
      <c r="CYQ30" s="595"/>
      <c r="CYR30" s="520"/>
      <c r="CYS30" s="521"/>
      <c r="CYT30" s="521"/>
      <c r="CYU30" s="521"/>
      <c r="CYV30" s="521"/>
      <c r="CYW30" s="521"/>
      <c r="CYX30" s="568"/>
      <c r="CYY30" s="595"/>
      <c r="CYZ30" s="520"/>
      <c r="CZA30" s="521"/>
      <c r="CZB30" s="521"/>
      <c r="CZC30" s="521"/>
      <c r="CZD30" s="521"/>
      <c r="CZE30" s="521"/>
      <c r="CZF30" s="568"/>
      <c r="CZG30" s="595"/>
      <c r="CZH30" s="560"/>
      <c r="CZI30" s="561"/>
      <c r="CZJ30" s="561"/>
      <c r="CZK30" s="561"/>
      <c r="CZL30" s="561"/>
      <c r="CZM30" s="561"/>
      <c r="CZN30" s="568"/>
      <c r="CZO30" s="595"/>
      <c r="CZP30" s="560"/>
      <c r="CZQ30" s="561"/>
      <c r="CZR30" s="561"/>
      <c r="CZS30" s="561"/>
      <c r="CZT30" s="561"/>
      <c r="CZU30" s="561"/>
      <c r="CZV30" s="568"/>
      <c r="CZW30" s="595"/>
      <c r="CZX30" s="542"/>
      <c r="CZY30" s="543"/>
      <c r="CZZ30" s="543"/>
      <c r="DAA30" s="543"/>
      <c r="DAB30" s="543"/>
      <c r="DAC30" s="543"/>
      <c r="DAD30" s="582"/>
      <c r="DAE30" s="596"/>
      <c r="DAF30" s="560"/>
      <c r="DAG30" s="561"/>
      <c r="DAH30" s="561"/>
      <c r="DAI30" s="561"/>
      <c r="DAJ30" s="561"/>
      <c r="DAK30" s="561"/>
      <c r="DAL30" s="582"/>
      <c r="DAM30" s="596"/>
      <c r="DAN30" s="542"/>
      <c r="DAO30" s="543"/>
      <c r="DAP30" s="543"/>
      <c r="DAQ30" s="543"/>
      <c r="DAR30" s="543"/>
      <c r="DAS30" s="543"/>
      <c r="DAT30" s="582"/>
      <c r="DAU30" s="596"/>
      <c r="DAV30" s="560"/>
      <c r="DAW30" s="561"/>
      <c r="DAX30" s="561"/>
      <c r="DAY30" s="561"/>
      <c r="DAZ30" s="561"/>
      <c r="DBA30" s="561"/>
      <c r="DBB30" s="582"/>
      <c r="DBC30" s="596"/>
      <c r="DBD30" s="520"/>
      <c r="DBE30" s="521"/>
      <c r="DBF30" s="521"/>
      <c r="DBG30" s="521"/>
      <c r="DBH30" s="521"/>
      <c r="DBI30" s="521"/>
      <c r="DBJ30" s="582"/>
      <c r="DBK30" s="596"/>
      <c r="DBL30" s="520"/>
      <c r="DBM30" s="521"/>
      <c r="DBN30" s="521"/>
      <c r="DBO30" s="521"/>
      <c r="DBP30" s="521"/>
      <c r="DBQ30" s="521"/>
      <c r="DBR30" s="582"/>
      <c r="DBS30" s="596"/>
      <c r="DBT30" s="520"/>
      <c r="DBU30" s="521"/>
      <c r="DBV30" s="521"/>
      <c r="DBW30" s="521"/>
      <c r="DBX30" s="521"/>
      <c r="DBY30" s="521"/>
      <c r="DBZ30" s="582"/>
      <c r="DCA30" s="596"/>
      <c r="DCB30" s="520"/>
      <c r="DCC30" s="521"/>
      <c r="DCD30" s="521"/>
      <c r="DCE30" s="521"/>
      <c r="DCF30" s="521"/>
      <c r="DCG30" s="521"/>
      <c r="DCH30" s="582"/>
      <c r="DCI30" s="596"/>
      <c r="DCJ30" s="560"/>
      <c r="DCK30" s="561"/>
      <c r="DCL30" s="561"/>
      <c r="DCM30" s="561"/>
      <c r="DCN30" s="561"/>
      <c r="DCO30" s="561"/>
      <c r="DCP30" s="582"/>
      <c r="DCQ30" s="596"/>
      <c r="DCR30" s="520"/>
      <c r="DCS30" s="521"/>
      <c r="DCT30" s="521"/>
      <c r="DCU30" s="521"/>
      <c r="DCV30" s="521"/>
      <c r="DCW30" s="521"/>
      <c r="DCX30" s="582"/>
      <c r="DCY30" s="596"/>
      <c r="DCZ30" s="560"/>
      <c r="DDA30" s="561"/>
      <c r="DDB30" s="561"/>
      <c r="DDC30" s="561"/>
      <c r="DDD30" s="561"/>
      <c r="DDE30" s="561"/>
      <c r="DDF30" s="582"/>
      <c r="DDG30" s="596"/>
      <c r="DDH30" s="550"/>
      <c r="DDI30" s="522"/>
      <c r="DDJ30" s="522"/>
      <c r="DDK30" s="522"/>
      <c r="DDL30" s="522"/>
      <c r="DDM30" s="522"/>
      <c r="DDN30" s="568"/>
      <c r="DDO30" s="595"/>
      <c r="DDP30" s="520"/>
      <c r="DDQ30" s="521"/>
      <c r="DDR30" s="521"/>
      <c r="DDS30" s="521"/>
      <c r="DDT30" s="521"/>
      <c r="DDU30" s="521"/>
      <c r="DDV30" s="568"/>
      <c r="DDW30" s="595"/>
      <c r="DDX30" s="560"/>
      <c r="DDY30" s="561"/>
      <c r="DDZ30" s="561"/>
      <c r="DEA30" s="561"/>
      <c r="DEB30" s="561"/>
      <c r="DEC30" s="561"/>
      <c r="DED30" s="568"/>
      <c r="DEE30" s="595"/>
      <c r="DEF30" s="560"/>
      <c r="DEG30" s="561"/>
      <c r="DEH30" s="561"/>
      <c r="DEI30" s="561"/>
      <c r="DEJ30" s="561"/>
      <c r="DEK30" s="561"/>
      <c r="DEL30" s="568"/>
      <c r="DEM30" s="595"/>
      <c r="DEN30" s="560"/>
      <c r="DEO30" s="561"/>
      <c r="DEP30" s="561"/>
      <c r="DEQ30" s="561"/>
      <c r="DER30" s="561"/>
      <c r="DES30" s="561"/>
      <c r="DET30" s="568"/>
      <c r="DEU30" s="595"/>
      <c r="DEV30" s="520"/>
      <c r="DEW30" s="521"/>
      <c r="DEX30" s="521"/>
      <c r="DEY30" s="521"/>
      <c r="DEZ30" s="521"/>
      <c r="DFA30" s="521"/>
      <c r="DFB30" s="568"/>
      <c r="DFC30" s="595"/>
      <c r="DFD30" s="560"/>
      <c r="DFE30" s="561"/>
      <c r="DFF30" s="561"/>
      <c r="DFG30" s="561"/>
      <c r="DFH30" s="561"/>
      <c r="DFI30" s="561"/>
      <c r="DFJ30" s="568"/>
      <c r="DFK30" s="595"/>
      <c r="DFL30" s="560"/>
      <c r="DFM30" s="561"/>
      <c r="DFN30" s="561"/>
      <c r="DFO30" s="561"/>
      <c r="DFP30" s="561"/>
      <c r="DFQ30" s="561"/>
      <c r="DFR30" s="568"/>
      <c r="DFS30" s="595"/>
      <c r="DFT30" s="520"/>
      <c r="DFU30" s="521"/>
      <c r="DFV30" s="521"/>
      <c r="DFW30" s="521"/>
      <c r="DFX30" s="521"/>
      <c r="DFY30" s="521"/>
      <c r="DFZ30" s="568"/>
      <c r="DGA30" s="595"/>
      <c r="DGB30" s="520"/>
      <c r="DGC30" s="521"/>
      <c r="DGD30" s="521"/>
      <c r="DGE30" s="521"/>
      <c r="DGF30" s="521"/>
      <c r="DGG30" s="521"/>
      <c r="DGH30" s="568"/>
      <c r="DGI30" s="595"/>
      <c r="DGJ30" s="542"/>
      <c r="DGK30" s="559"/>
      <c r="DGL30" s="559"/>
      <c r="DGM30" s="559"/>
      <c r="DGN30" s="559"/>
      <c r="DGO30" s="559"/>
      <c r="DGP30" s="582"/>
      <c r="DGQ30" s="596"/>
      <c r="DGR30" s="520"/>
      <c r="DGS30" s="521"/>
      <c r="DGT30" s="521"/>
      <c r="DGU30" s="521"/>
      <c r="DGV30" s="521"/>
      <c r="DGW30" s="521"/>
      <c r="DGX30" s="582"/>
      <c r="DGY30" s="596"/>
      <c r="DGZ30" s="520"/>
      <c r="DHA30" s="521"/>
      <c r="DHB30" s="521"/>
      <c r="DHC30" s="521"/>
      <c r="DHD30" s="521"/>
      <c r="DHE30" s="521"/>
      <c r="DHF30" s="582"/>
      <c r="DHG30" s="596"/>
      <c r="DHH30" s="560"/>
      <c r="DHI30" s="561"/>
      <c r="DHJ30" s="561"/>
      <c r="DHK30" s="561"/>
      <c r="DHL30" s="561"/>
      <c r="DHM30" s="561"/>
      <c r="DHN30" s="582"/>
      <c r="DHO30" s="596"/>
      <c r="DHP30" s="560"/>
      <c r="DHQ30" s="561"/>
      <c r="DHR30" s="561"/>
      <c r="DHS30" s="561"/>
      <c r="DHT30" s="561"/>
      <c r="DHU30" s="561"/>
      <c r="DHV30" s="582"/>
      <c r="DHW30" s="596"/>
      <c r="DHX30" s="560"/>
      <c r="DHY30" s="561"/>
      <c r="DHZ30" s="561"/>
      <c r="DIA30" s="561"/>
      <c r="DIB30" s="561"/>
      <c r="DIC30" s="561"/>
      <c r="DID30" s="582"/>
      <c r="DIE30" s="596"/>
      <c r="DIF30" s="520"/>
      <c r="DIG30" s="521"/>
      <c r="DIH30" s="521"/>
      <c r="DII30" s="521"/>
      <c r="DIJ30" s="521"/>
      <c r="DIK30" s="521"/>
      <c r="DIL30" s="582"/>
      <c r="DIM30" s="596"/>
      <c r="DIN30" s="562"/>
      <c r="DIO30" s="563"/>
      <c r="DIP30" s="563"/>
      <c r="DIQ30" s="563"/>
      <c r="DIR30" s="563"/>
      <c r="DIS30" s="563"/>
      <c r="DIT30" s="582"/>
      <c r="DIU30" s="596"/>
      <c r="DIV30" s="560"/>
      <c r="DIW30" s="561"/>
      <c r="DIX30" s="561"/>
      <c r="DIY30" s="561"/>
      <c r="DIZ30" s="561"/>
      <c r="DJA30" s="561"/>
      <c r="DJB30" s="582"/>
      <c r="DJC30" s="596"/>
      <c r="DJD30" s="560"/>
      <c r="DJE30" s="561"/>
      <c r="DJF30" s="561"/>
      <c r="DJG30" s="561"/>
      <c r="DJH30" s="561"/>
      <c r="DJI30" s="561"/>
      <c r="DJJ30" s="582"/>
      <c r="DJK30" s="596"/>
      <c r="DJL30" s="520"/>
      <c r="DJM30" s="521"/>
      <c r="DJN30" s="521"/>
      <c r="DJO30" s="521"/>
      <c r="DJP30" s="521"/>
      <c r="DJQ30" s="521"/>
      <c r="DJR30" s="582"/>
      <c r="DJS30" s="596"/>
      <c r="DJT30" s="520"/>
      <c r="DJU30" s="526"/>
      <c r="DJV30" s="526"/>
      <c r="DJW30" s="526"/>
      <c r="DJX30" s="526"/>
      <c r="DJY30" s="526"/>
      <c r="DJZ30" s="582"/>
      <c r="DKA30" s="596"/>
      <c r="DKB30" s="520"/>
      <c r="DKC30" s="526"/>
      <c r="DKD30" s="526"/>
      <c r="DKE30" s="526"/>
      <c r="DKF30" s="526"/>
      <c r="DKG30" s="526"/>
      <c r="DKH30" s="582"/>
      <c r="DKI30" s="596"/>
      <c r="DKJ30" s="560"/>
      <c r="DKK30" s="561"/>
      <c r="DKL30" s="561"/>
      <c r="DKM30" s="561"/>
      <c r="DKN30" s="561"/>
      <c r="DKO30" s="561"/>
      <c r="DKP30" s="582"/>
      <c r="DKQ30" s="596"/>
      <c r="DKR30" s="520"/>
      <c r="DKS30" s="521"/>
      <c r="DKT30" s="521"/>
      <c r="DKU30" s="521"/>
      <c r="DKV30" s="521"/>
      <c r="DKW30" s="521"/>
      <c r="DKX30" s="582"/>
      <c r="DKY30" s="596"/>
      <c r="DKZ30" s="520"/>
      <c r="DLA30" s="521"/>
      <c r="DLB30" s="521"/>
      <c r="DLC30" s="521"/>
      <c r="DLD30" s="521"/>
      <c r="DLE30" s="521"/>
      <c r="DLF30" s="582"/>
      <c r="DLG30" s="596"/>
      <c r="DLH30" s="520"/>
      <c r="DLI30" s="521"/>
      <c r="DLJ30" s="521"/>
      <c r="DLK30" s="521"/>
      <c r="DLL30" s="521"/>
      <c r="DLM30" s="521"/>
      <c r="DLN30" s="582"/>
      <c r="DLO30" s="596"/>
      <c r="DLP30" s="560"/>
      <c r="DLQ30" s="561"/>
      <c r="DLR30" s="561"/>
      <c r="DLS30" s="561"/>
      <c r="DLT30" s="561"/>
      <c r="DLU30" s="561"/>
      <c r="DLV30" s="582"/>
      <c r="DLW30" s="596"/>
      <c r="DLX30" s="520"/>
      <c r="DLY30" s="521"/>
      <c r="DLZ30" s="521"/>
      <c r="DMA30" s="521"/>
      <c r="DMB30" s="521"/>
      <c r="DMC30" s="521"/>
      <c r="DMD30" s="582"/>
      <c r="DME30" s="596"/>
      <c r="DMF30" s="560"/>
      <c r="DMG30" s="561"/>
      <c r="DMH30" s="561"/>
      <c r="DMI30" s="561"/>
      <c r="DMJ30" s="561"/>
      <c r="DMK30" s="561"/>
      <c r="DML30" s="582"/>
      <c r="DMM30" s="596"/>
      <c r="DMN30" s="520"/>
      <c r="DMO30" s="521"/>
      <c r="DMP30" s="521"/>
      <c r="DMQ30" s="521"/>
      <c r="DMR30" s="521"/>
      <c r="DMS30" s="521"/>
      <c r="DMT30" s="582"/>
      <c r="DMU30" s="596"/>
      <c r="DMV30" s="560"/>
      <c r="DMW30" s="561"/>
      <c r="DMX30" s="561"/>
      <c r="DMY30" s="561"/>
      <c r="DMZ30" s="561"/>
      <c r="DNA30" s="561"/>
      <c r="DNB30" s="597"/>
      <c r="DNC30" s="583"/>
      <c r="DND30" s="520"/>
      <c r="DNE30" s="521"/>
      <c r="DNF30" s="521"/>
      <c r="DNG30" s="521"/>
      <c r="DNH30" s="521"/>
      <c r="DNI30" s="521"/>
      <c r="DNJ30" s="582"/>
      <c r="DNK30" s="596"/>
      <c r="DNL30" s="520"/>
      <c r="DNM30" s="521"/>
      <c r="DNN30" s="521"/>
      <c r="DNO30" s="521"/>
      <c r="DNP30" s="521"/>
      <c r="DNQ30" s="521"/>
      <c r="DNR30" s="582"/>
      <c r="DNS30" s="596"/>
      <c r="DNT30" s="560"/>
      <c r="DNU30" s="561"/>
      <c r="DNV30" s="561"/>
      <c r="DNW30" s="561"/>
      <c r="DNX30" s="561"/>
      <c r="DNY30" s="561"/>
      <c r="DNZ30" s="582"/>
      <c r="DOA30" s="596"/>
      <c r="DOB30" s="542"/>
      <c r="DOC30" s="543"/>
      <c r="DOD30" s="543"/>
      <c r="DOE30" s="543"/>
      <c r="DOF30" s="543"/>
      <c r="DOG30" s="543"/>
      <c r="DOH30" s="582"/>
      <c r="DOI30" s="596"/>
      <c r="DOJ30" s="560"/>
      <c r="DOK30" s="561"/>
      <c r="DOL30" s="561"/>
      <c r="DOM30" s="561"/>
      <c r="DON30" s="561"/>
      <c r="DOO30" s="561"/>
      <c r="DOP30" s="582"/>
      <c r="DOQ30" s="596"/>
      <c r="DOR30" s="560"/>
      <c r="DOS30" s="561"/>
      <c r="DOT30" s="561"/>
      <c r="DOU30" s="561"/>
      <c r="DOV30" s="561"/>
      <c r="DOW30" s="561"/>
      <c r="DOX30" s="582"/>
      <c r="DOY30" s="596"/>
      <c r="DOZ30" s="542"/>
      <c r="DPA30" s="543"/>
      <c r="DPB30" s="543"/>
      <c r="DPC30" s="543"/>
      <c r="DPD30" s="543"/>
      <c r="DPE30" s="543"/>
      <c r="DPF30" s="543"/>
      <c r="DPG30" s="565"/>
      <c r="DPH30" s="520"/>
      <c r="DPI30" s="521"/>
      <c r="DPJ30" s="521"/>
      <c r="DPK30" s="521"/>
      <c r="DPL30" s="521"/>
      <c r="DPM30" s="521"/>
      <c r="DPN30" s="582"/>
      <c r="DPO30" s="596"/>
      <c r="DPP30" s="520"/>
      <c r="DPQ30" s="521"/>
      <c r="DPR30" s="521"/>
      <c r="DPS30" s="521"/>
      <c r="DPT30" s="521"/>
      <c r="DPU30" s="521"/>
      <c r="DPV30" s="597"/>
      <c r="DPW30" s="583"/>
      <c r="DPX30" s="520"/>
      <c r="DPY30" s="521"/>
      <c r="DPZ30" s="521"/>
      <c r="DQA30" s="521"/>
      <c r="DQB30" s="521"/>
      <c r="DQC30" s="521"/>
      <c r="DQD30" s="597"/>
      <c r="DQE30" s="583"/>
      <c r="DQF30" s="560"/>
      <c r="DQG30" s="561"/>
      <c r="DQH30" s="561"/>
      <c r="DQI30" s="561"/>
      <c r="DQJ30" s="561"/>
      <c r="DQK30" s="561"/>
      <c r="DQL30" s="598"/>
      <c r="DQM30" s="583"/>
      <c r="DQN30" s="520"/>
      <c r="DQO30" s="521"/>
      <c r="DQP30" s="521"/>
      <c r="DQQ30" s="521"/>
      <c r="DQR30" s="521"/>
      <c r="DQS30" s="521"/>
      <c r="DQT30" s="566"/>
      <c r="DQU30" s="544"/>
      <c r="DQV30" s="520"/>
      <c r="DQW30" s="521"/>
      <c r="DQX30" s="521"/>
      <c r="DQY30" s="521"/>
      <c r="DQZ30" s="521"/>
      <c r="DRA30" s="521"/>
      <c r="DRB30" s="582"/>
      <c r="DRC30" s="596"/>
      <c r="DRD30" s="542"/>
      <c r="DRE30" s="543"/>
      <c r="DRF30" s="543"/>
      <c r="DRG30" s="543"/>
      <c r="DRH30" s="543"/>
      <c r="DRI30" s="543"/>
      <c r="DRJ30" s="582"/>
      <c r="DRK30" s="596"/>
      <c r="DRL30" s="520"/>
      <c r="DRM30" s="521"/>
      <c r="DRN30" s="521"/>
      <c r="DRO30" s="521"/>
      <c r="DRP30" s="521"/>
      <c r="DRQ30" s="521"/>
      <c r="DRR30" s="582"/>
      <c r="DRS30" s="596"/>
      <c r="DRT30" s="542"/>
      <c r="DRU30" s="543"/>
      <c r="DRV30" s="543"/>
      <c r="DRW30" s="543"/>
      <c r="DRX30" s="543"/>
      <c r="DRY30" s="543"/>
      <c r="DRZ30" s="582"/>
      <c r="DSA30" s="596"/>
      <c r="DSB30" s="572"/>
      <c r="DSC30" s="573"/>
      <c r="DSD30" s="573"/>
      <c r="DSE30" s="573"/>
      <c r="DSF30" s="573"/>
      <c r="DSG30" s="573"/>
      <c r="DSH30" s="582"/>
      <c r="DSI30" s="596"/>
      <c r="DSJ30" s="560"/>
      <c r="DSK30" s="561"/>
      <c r="DSL30" s="561"/>
      <c r="DSM30" s="561"/>
      <c r="DSN30" s="561"/>
      <c r="DSO30" s="561"/>
      <c r="DSP30" s="582"/>
      <c r="DSQ30" s="596"/>
      <c r="DSR30" s="520"/>
      <c r="DSS30" s="521"/>
      <c r="DST30" s="521"/>
      <c r="DSU30" s="521"/>
      <c r="DSV30" s="521"/>
      <c r="DSW30" s="521"/>
      <c r="DSX30" s="582"/>
      <c r="DSY30" s="596"/>
      <c r="DSZ30" s="520"/>
      <c r="DTA30" s="521"/>
      <c r="DTB30" s="521"/>
      <c r="DTC30" s="521"/>
      <c r="DTD30" s="521"/>
      <c r="DTE30" s="521"/>
      <c r="DTF30" s="582"/>
      <c r="DTG30" s="596"/>
      <c r="DTH30" s="520"/>
      <c r="DTI30" s="521"/>
      <c r="DTJ30" s="521"/>
      <c r="DTK30" s="521"/>
      <c r="DTL30" s="521"/>
      <c r="DTM30" s="521"/>
      <c r="DTN30" s="582"/>
      <c r="DTO30" s="596"/>
      <c r="DTP30" s="560"/>
      <c r="DTQ30" s="561"/>
      <c r="DTR30" s="561"/>
      <c r="DTS30" s="561"/>
      <c r="DTT30" s="561"/>
      <c r="DTU30" s="561"/>
      <c r="DTV30" s="582"/>
      <c r="DTW30" s="596"/>
      <c r="DTX30" s="520"/>
      <c r="DTY30" s="521"/>
      <c r="DTZ30" s="521"/>
      <c r="DUA30" s="521"/>
      <c r="DUB30" s="521"/>
      <c r="DUC30" s="521"/>
      <c r="DUD30" s="582"/>
      <c r="DUE30" s="596"/>
      <c r="DUF30" s="520"/>
      <c r="DUG30" s="521"/>
      <c r="DUH30" s="521"/>
      <c r="DUI30" s="521"/>
      <c r="DUJ30" s="521"/>
      <c r="DUK30" s="521"/>
      <c r="DUL30" s="582"/>
      <c r="DUM30" s="596"/>
      <c r="DUN30" s="560"/>
      <c r="DUO30" s="561"/>
      <c r="DUP30" s="561"/>
      <c r="DUQ30" s="561"/>
      <c r="DUR30" s="561"/>
      <c r="DUS30" s="561"/>
      <c r="DUT30" s="582"/>
      <c r="DUU30" s="596"/>
      <c r="DUV30" s="520"/>
      <c r="DUW30" s="521"/>
      <c r="DUX30" s="521"/>
      <c r="DUY30" s="521"/>
      <c r="DUZ30" s="521"/>
      <c r="DVA30" s="521"/>
      <c r="DVB30" s="582"/>
      <c r="DVC30" s="596"/>
      <c r="DVD30" s="542"/>
      <c r="DVE30" s="543"/>
      <c r="DVF30" s="543"/>
      <c r="DVG30" s="543"/>
      <c r="DVH30" s="543"/>
      <c r="DVI30" s="543"/>
      <c r="DVJ30" s="582"/>
      <c r="DVK30" s="596"/>
      <c r="DVL30" s="562"/>
      <c r="DVM30" s="563"/>
      <c r="DVN30" s="563"/>
      <c r="DVO30" s="563"/>
      <c r="DVP30" s="563"/>
      <c r="DVQ30" s="563"/>
      <c r="DVR30" s="582"/>
      <c r="DVS30" s="596"/>
      <c r="DVT30" s="520"/>
      <c r="DVU30" s="521"/>
      <c r="DVV30" s="521"/>
      <c r="DVW30" s="521"/>
      <c r="DVX30" s="521"/>
      <c r="DVY30" s="521"/>
      <c r="DVZ30" s="582"/>
      <c r="DWA30" s="596"/>
      <c r="DWB30" s="520"/>
      <c r="DWC30" s="521"/>
      <c r="DWD30" s="521"/>
      <c r="DWE30" s="521"/>
      <c r="DWF30" s="521"/>
      <c r="DWG30" s="521"/>
      <c r="DWH30" s="582"/>
      <c r="DWI30" s="596"/>
      <c r="DWJ30" s="520"/>
      <c r="DWK30" s="521"/>
      <c r="DWL30" s="521"/>
      <c r="DWM30" s="521"/>
      <c r="DWN30" s="521"/>
      <c r="DWO30" s="521"/>
      <c r="DWP30" s="582"/>
      <c r="DWQ30" s="596"/>
      <c r="DWR30" s="520"/>
      <c r="DWS30" s="521"/>
      <c r="DWT30" s="521"/>
      <c r="DWU30" s="521"/>
      <c r="DWV30" s="521"/>
      <c r="DWW30" s="521"/>
      <c r="DWX30" s="582"/>
      <c r="DWY30" s="596"/>
      <c r="DWZ30" s="560"/>
      <c r="DXA30" s="561"/>
      <c r="DXB30" s="561"/>
      <c r="DXC30" s="561"/>
      <c r="DXD30" s="561"/>
      <c r="DXE30" s="561"/>
      <c r="DXF30" s="582"/>
      <c r="DXG30" s="596"/>
      <c r="DXH30" s="560"/>
      <c r="DXI30" s="561"/>
      <c r="DXJ30" s="561"/>
      <c r="DXK30" s="561"/>
      <c r="DXL30" s="561"/>
      <c r="DXM30" s="561">
        <v>0</v>
      </c>
      <c r="DXN30" s="582"/>
      <c r="DXO30" s="596"/>
      <c r="DXP30" s="48">
        <v>0</v>
      </c>
      <c r="DXQ30" s="49">
        <v>0</v>
      </c>
      <c r="DXR30" s="49">
        <v>0</v>
      </c>
      <c r="DXS30" s="49">
        <v>0</v>
      </c>
      <c r="DXT30" s="49">
        <v>70</v>
      </c>
      <c r="DXU30" s="49">
        <v>0</v>
      </c>
      <c r="DXV30" s="64">
        <f t="shared" ref="DXV30" si="1229">SUM(DXP30:DXU30)</f>
        <v>70</v>
      </c>
      <c r="DXW30" s="68">
        <f>DXV30/$DXW$5</f>
        <v>11.666666666666666</v>
      </c>
      <c r="DXX30" s="48">
        <v>0</v>
      </c>
      <c r="DXY30" s="49">
        <v>0</v>
      </c>
      <c r="DXZ30" s="49">
        <v>0</v>
      </c>
      <c r="DYA30" s="49">
        <v>49</v>
      </c>
      <c r="DYB30" s="49">
        <v>0</v>
      </c>
      <c r="DYC30" s="49">
        <v>0</v>
      </c>
      <c r="DYD30" s="64">
        <f t="shared" ref="DYD30" si="1230">SUM(DXX30:DYC30)</f>
        <v>49</v>
      </c>
      <c r="DYE30" s="68">
        <f>DYD30/$DYE$5</f>
        <v>8.1666666666666661</v>
      </c>
      <c r="DYF30" s="48">
        <v>0</v>
      </c>
      <c r="DYG30" s="49">
        <v>164</v>
      </c>
      <c r="DYH30" s="49">
        <v>0</v>
      </c>
      <c r="DYI30" s="49">
        <v>203</v>
      </c>
      <c r="DYJ30" s="49">
        <v>0</v>
      </c>
      <c r="DYK30" s="49"/>
      <c r="DYL30" s="64">
        <f t="shared" ref="DYL30" si="1231">SUM(DYF30:DYK30)</f>
        <v>367</v>
      </c>
      <c r="DYM30" s="68">
        <f>DYL30/$DYM$5</f>
        <v>61.166666666666664</v>
      </c>
      <c r="DYN30" s="342">
        <v>0</v>
      </c>
      <c r="DYO30" s="343">
        <v>84</v>
      </c>
      <c r="DYP30" s="343">
        <v>0</v>
      </c>
      <c r="DYQ30" s="343">
        <v>0</v>
      </c>
      <c r="DYR30" s="343"/>
      <c r="DYS30" s="343"/>
      <c r="DYT30" s="64">
        <f t="shared" ref="DYT30" si="1232">SUM(DYN30:DYS30)</f>
        <v>84</v>
      </c>
      <c r="DYU30" s="68">
        <f>DYT30/$DYU$5</f>
        <v>14</v>
      </c>
      <c r="DYV30" s="48">
        <v>0</v>
      </c>
      <c r="DYW30" s="49">
        <v>0</v>
      </c>
      <c r="DYX30" s="49">
        <v>320</v>
      </c>
      <c r="DYY30" s="49">
        <v>0</v>
      </c>
      <c r="DYZ30" s="49">
        <v>0</v>
      </c>
      <c r="DZA30" s="49">
        <v>0</v>
      </c>
      <c r="DZB30" s="64">
        <f t="shared" ref="DZB30" si="1233">SUM(DYV30:DZA30)</f>
        <v>320</v>
      </c>
      <c r="DZC30" s="68">
        <f>DZB30/$DZC$5</f>
        <v>53.333333333333336</v>
      </c>
      <c r="DZD30" s="436">
        <v>0</v>
      </c>
      <c r="DZE30" s="437">
        <v>304</v>
      </c>
      <c r="DZF30" s="437">
        <v>301</v>
      </c>
      <c r="DZG30" s="437">
        <v>0</v>
      </c>
      <c r="DZH30" s="437">
        <v>0</v>
      </c>
      <c r="DZI30" s="437">
        <v>0</v>
      </c>
      <c r="DZJ30" s="64">
        <f t="shared" ref="DZJ30" si="1234">SUM(DZD30:DZI30)</f>
        <v>605</v>
      </c>
      <c r="DZK30" s="68">
        <f>DZJ30/$DZK$5</f>
        <v>100.83333333333333</v>
      </c>
      <c r="DZL30" s="48">
        <v>0</v>
      </c>
      <c r="DZM30" s="49">
        <v>0</v>
      </c>
      <c r="DZN30" s="49"/>
      <c r="DZO30" s="49">
        <v>336</v>
      </c>
      <c r="DZP30" s="49">
        <v>0</v>
      </c>
      <c r="DZQ30" s="49">
        <v>0</v>
      </c>
      <c r="DZR30" s="64">
        <f t="shared" ref="DZR30" si="1235">SUM(DZL30:DZQ30)</f>
        <v>336</v>
      </c>
      <c r="DZS30" s="68">
        <f>DZR30/$DZS$5</f>
        <v>56</v>
      </c>
      <c r="DZT30" s="48">
        <v>0</v>
      </c>
      <c r="DZU30" s="49">
        <v>678</v>
      </c>
      <c r="DZV30" s="49"/>
      <c r="DZW30" s="49">
        <v>0</v>
      </c>
      <c r="DZX30" s="49">
        <v>0</v>
      </c>
      <c r="DZY30" s="49">
        <v>0</v>
      </c>
      <c r="DZZ30" s="64">
        <f t="shared" ref="DZZ30" si="1236">SUM(DZT30:DZY30)</f>
        <v>678</v>
      </c>
      <c r="EAA30" s="68">
        <f>DZZ30/$EAA$5</f>
        <v>113</v>
      </c>
      <c r="EAB30" s="342"/>
      <c r="EAC30" s="343">
        <v>0</v>
      </c>
      <c r="EAD30" s="343">
        <v>0</v>
      </c>
      <c r="EAE30" s="343">
        <v>666</v>
      </c>
      <c r="EAF30" s="343">
        <v>0</v>
      </c>
      <c r="EAG30" s="343">
        <v>0</v>
      </c>
      <c r="EAH30" s="64">
        <f t="shared" ref="EAH30" si="1237">SUM(EAB30:EAG30)</f>
        <v>666</v>
      </c>
      <c r="EAI30" s="68">
        <f>EAH30/$EAI$5</f>
        <v>111</v>
      </c>
      <c r="EAJ30" s="436">
        <v>0</v>
      </c>
      <c r="EAK30" s="437">
        <v>680</v>
      </c>
      <c r="EAL30" s="437">
        <v>0</v>
      </c>
      <c r="EAM30" s="437">
        <v>4</v>
      </c>
      <c r="EAN30" s="437">
        <v>0</v>
      </c>
      <c r="EAO30" s="437">
        <v>0</v>
      </c>
      <c r="EAP30" s="64">
        <f t="shared" ref="EAP30" si="1238">SUM(EAJ30:EAO30)</f>
        <v>684</v>
      </c>
      <c r="EAQ30" s="68">
        <f>EAP30/$EAQ$28</f>
        <v>114</v>
      </c>
      <c r="EAR30" s="48">
        <v>677</v>
      </c>
      <c r="EAS30" s="49">
        <v>0</v>
      </c>
      <c r="EAT30" s="49">
        <v>0</v>
      </c>
      <c r="EAU30" s="49">
        <v>0</v>
      </c>
      <c r="EAV30" s="49">
        <v>0</v>
      </c>
      <c r="EAW30" s="49">
        <v>0</v>
      </c>
      <c r="EAX30" s="64">
        <f t="shared" ref="EAX30" si="1239">SUM(EAR30:EAW30)</f>
        <v>677</v>
      </c>
      <c r="EAY30" s="68">
        <f>EAX30/$EAY$5</f>
        <v>112.83333333333333</v>
      </c>
      <c r="EAZ30" s="48">
        <v>0</v>
      </c>
      <c r="EBA30" s="49"/>
      <c r="EBB30" s="49">
        <v>0</v>
      </c>
      <c r="EBC30" s="49">
        <v>685</v>
      </c>
      <c r="EBD30" s="49">
        <v>0</v>
      </c>
      <c r="EBE30" s="49">
        <v>0</v>
      </c>
      <c r="EBF30" s="64">
        <f t="shared" ref="EBF30" si="1240">SUM(EAZ30:EBE30)</f>
        <v>685</v>
      </c>
      <c r="EBG30" s="68">
        <f>EBF30/$EBG$5</f>
        <v>114.16666666666667</v>
      </c>
      <c r="EBH30" s="619">
        <v>0</v>
      </c>
      <c r="EBI30" s="620">
        <v>0</v>
      </c>
      <c r="EBJ30" s="620">
        <v>0</v>
      </c>
      <c r="EBK30" s="620">
        <v>669</v>
      </c>
      <c r="EBL30" s="620">
        <v>0</v>
      </c>
      <c r="EBM30" s="620">
        <v>0</v>
      </c>
      <c r="EBN30" s="258">
        <f t="shared" ref="EBN30" si="1241">SUM(EBH30:EBM30)</f>
        <v>669</v>
      </c>
      <c r="EBO30" s="100">
        <f>EBN30/6</f>
        <v>111.5</v>
      </c>
      <c r="EBP30" s="48">
        <v>0</v>
      </c>
      <c r="EBQ30" s="49">
        <v>0</v>
      </c>
      <c r="EBR30" s="49"/>
      <c r="EBS30" s="49">
        <v>0</v>
      </c>
      <c r="EBT30" s="49"/>
      <c r="EBU30" s="49"/>
      <c r="EBV30" s="64">
        <f t="shared" ref="EBV30" si="1242">SUM(EBP30:EBU30)</f>
        <v>0</v>
      </c>
      <c r="EBW30" s="68">
        <f>EBV30/$EBW$5</f>
        <v>0</v>
      </c>
      <c r="EBX30" s="48">
        <v>0</v>
      </c>
      <c r="EBY30" s="49">
        <v>620</v>
      </c>
      <c r="EBZ30" s="49">
        <v>0</v>
      </c>
      <c r="ECA30" s="49"/>
      <c r="ECB30" s="49">
        <v>0</v>
      </c>
      <c r="ECC30" s="49">
        <v>0</v>
      </c>
      <c r="ECD30" s="64">
        <f t="shared" ref="ECD30" si="1243">SUM(EBX30:ECC30)</f>
        <v>620</v>
      </c>
      <c r="ECE30" s="68">
        <f>ECD30/$ECE$5</f>
        <v>103.33333333333333</v>
      </c>
      <c r="ECF30" s="48">
        <v>0</v>
      </c>
      <c r="ECG30" s="49">
        <v>676</v>
      </c>
      <c r="ECH30" s="49">
        <v>0</v>
      </c>
      <c r="ECI30" s="49">
        <v>0</v>
      </c>
      <c r="ECJ30" s="49">
        <v>0</v>
      </c>
      <c r="ECK30" s="49"/>
      <c r="ECL30" s="64">
        <f t="shared" ref="ECL30" si="1244">SUM(ECF30:ECK30)</f>
        <v>676</v>
      </c>
      <c r="ECM30" s="68">
        <f>ECL30/$ECM$5</f>
        <v>112.66666666666667</v>
      </c>
      <c r="ECN30" s="48">
        <v>684</v>
      </c>
      <c r="ECO30" s="49">
        <v>0</v>
      </c>
      <c r="ECP30" s="49">
        <v>0</v>
      </c>
      <c r="ECQ30" s="49"/>
      <c r="ECR30" s="49">
        <v>0</v>
      </c>
      <c r="ECS30" s="49">
        <v>0</v>
      </c>
      <c r="ECT30" s="64">
        <f t="shared" ref="ECT30" si="1245">SUM(ECN30:ECS30)</f>
        <v>684</v>
      </c>
      <c r="ECU30" s="68">
        <f>ECT30/$ECU$5</f>
        <v>114</v>
      </c>
      <c r="ECV30" s="48">
        <v>0</v>
      </c>
      <c r="ECW30" s="49">
        <v>99</v>
      </c>
      <c r="ECX30" s="49">
        <v>675</v>
      </c>
      <c r="ECY30" s="49">
        <v>0</v>
      </c>
      <c r="ECZ30" s="49"/>
      <c r="EDA30" s="49"/>
      <c r="EDB30" s="64">
        <f t="shared" ref="EDB30" si="1246">SUM(ECV30:EDA30)</f>
        <v>774</v>
      </c>
      <c r="EDC30" s="68">
        <f>EDB30/$EDC$5</f>
        <v>129</v>
      </c>
      <c r="EDD30" s="342"/>
      <c r="EDE30" s="343">
        <v>0</v>
      </c>
      <c r="EDF30" s="343">
        <v>0</v>
      </c>
      <c r="EDG30" s="343">
        <v>669</v>
      </c>
      <c r="EDH30" s="343"/>
      <c r="EDI30" s="343"/>
      <c r="EDJ30" s="64">
        <f t="shared" ref="EDJ30" si="1247">SUM(EDD30:EDI30)</f>
        <v>669</v>
      </c>
      <c r="EDK30" s="68">
        <f>EDJ30/$EDK$5</f>
        <v>111.5</v>
      </c>
      <c r="EDL30" s="48">
        <v>0</v>
      </c>
      <c r="EDM30" s="49">
        <v>0</v>
      </c>
      <c r="EDN30" s="49"/>
      <c r="EDO30" s="49">
        <v>0</v>
      </c>
      <c r="EDP30" s="49">
        <v>651</v>
      </c>
      <c r="EDQ30" s="49">
        <v>0</v>
      </c>
      <c r="EDR30" s="64">
        <f t="shared" ref="EDR30" si="1248">SUM(EDL30:EDQ30)</f>
        <v>651</v>
      </c>
      <c r="EDS30" s="68">
        <f>EDR30/$EDS$5</f>
        <v>108.5</v>
      </c>
      <c r="EDT30" s="342">
        <v>0</v>
      </c>
      <c r="EDU30" s="343">
        <v>0</v>
      </c>
      <c r="EDV30" s="343">
        <v>0</v>
      </c>
      <c r="EDW30" s="343">
        <v>0</v>
      </c>
      <c r="EDX30" s="343">
        <v>0</v>
      </c>
      <c r="EDY30" s="343"/>
      <c r="EDZ30" s="64">
        <f t="shared" ref="EDZ30" si="1249">SUM(EDT30:EDY30)</f>
        <v>0</v>
      </c>
      <c r="EEA30" s="68">
        <f>EDZ30/$EEA$5</f>
        <v>0</v>
      </c>
      <c r="EEB30" s="48">
        <v>0</v>
      </c>
      <c r="EEC30" s="49">
        <v>0</v>
      </c>
      <c r="EED30" s="49">
        <v>683</v>
      </c>
      <c r="EEE30" s="49">
        <v>0</v>
      </c>
      <c r="EEF30" s="49">
        <v>0</v>
      </c>
      <c r="EEG30" s="49"/>
      <c r="EEH30" s="64">
        <f t="shared" ref="EEH30" si="1250">SUM(EEB30:EEG30)</f>
        <v>683</v>
      </c>
      <c r="EEI30" s="68">
        <f>EEH30/$EEI$5</f>
        <v>113.83333333333333</v>
      </c>
      <c r="EEJ30" s="342">
        <v>0</v>
      </c>
      <c r="EEK30" s="343">
        <v>0</v>
      </c>
      <c r="EEL30" s="343">
        <v>0</v>
      </c>
      <c r="EEM30" s="343">
        <v>590</v>
      </c>
      <c r="EEN30" s="343">
        <v>0</v>
      </c>
      <c r="EEO30" s="343">
        <v>0</v>
      </c>
      <c r="EEP30" s="64">
        <f t="shared" ref="EEP30" si="1251">SUM(EEJ30:EEO30)</f>
        <v>590</v>
      </c>
      <c r="EEQ30" s="68">
        <f>EEP30/$EEQ$5</f>
        <v>98.333333333333329</v>
      </c>
      <c r="EER30" s="342">
        <v>0</v>
      </c>
      <c r="EES30" s="343">
        <v>0</v>
      </c>
      <c r="EET30" s="343">
        <v>0</v>
      </c>
      <c r="EEU30" s="343">
        <v>0</v>
      </c>
      <c r="EEV30" s="343">
        <v>683</v>
      </c>
      <c r="EEW30" s="343"/>
      <c r="EEX30" s="64">
        <f t="shared" ref="EEX30" si="1252">SUM(EER30:EEW30)</f>
        <v>683</v>
      </c>
      <c r="EEY30" s="68">
        <f>EEX30/$EEY$5</f>
        <v>113.83333333333333</v>
      </c>
      <c r="EEZ30" s="445">
        <v>0</v>
      </c>
      <c r="EFA30" s="446"/>
      <c r="EFB30" s="446">
        <v>0</v>
      </c>
      <c r="EFC30" s="446">
        <v>0</v>
      </c>
      <c r="EFD30" s="446">
        <v>0</v>
      </c>
      <c r="EFE30" s="446">
        <v>992</v>
      </c>
      <c r="EFF30" s="64">
        <f t="shared" ref="EFF30" si="1253">SUM(EEZ30:EFE30)</f>
        <v>992</v>
      </c>
      <c r="EFG30" s="68">
        <f>EFF30/$EFG$5</f>
        <v>165.33333333333334</v>
      </c>
      <c r="EFH30" s="342">
        <v>0</v>
      </c>
      <c r="EFI30" s="343">
        <v>0</v>
      </c>
      <c r="EFJ30" s="343">
        <v>0</v>
      </c>
      <c r="EFK30" s="343">
        <v>0</v>
      </c>
      <c r="EFL30" s="343">
        <v>0</v>
      </c>
      <c r="EFM30" s="343">
        <v>0</v>
      </c>
      <c r="EFN30" s="64">
        <f t="shared" ref="EFN30" si="1254">SUM(EFH30:EFM30)</f>
        <v>0</v>
      </c>
      <c r="EFO30" s="68">
        <f>EFN30/$EFO$5</f>
        <v>0</v>
      </c>
      <c r="EFP30" s="48">
        <v>0</v>
      </c>
      <c r="EFQ30" s="49"/>
      <c r="EFR30" s="49"/>
      <c r="EFS30" s="49">
        <v>0</v>
      </c>
      <c r="EFT30" s="49">
        <v>668</v>
      </c>
      <c r="EFU30" s="49">
        <v>0</v>
      </c>
      <c r="EFV30" s="64">
        <f t="shared" ref="EFV30" si="1255">SUM(EFP30:EFU30)</f>
        <v>668</v>
      </c>
      <c r="EFW30" s="68">
        <f>EFV30/$EFW$5</f>
        <v>111.33333333333333</v>
      </c>
      <c r="EFX30" s="72">
        <v>0</v>
      </c>
      <c r="EFY30" s="73">
        <v>0</v>
      </c>
      <c r="EFZ30" s="73"/>
      <c r="EGA30" s="73">
        <v>0</v>
      </c>
      <c r="EGB30" s="73">
        <v>0</v>
      </c>
      <c r="EGC30" s="73">
        <v>0</v>
      </c>
      <c r="EGD30" s="258">
        <f t="shared" ref="EGD30" si="1256">SUM(EFX30:EGC30)</f>
        <v>0</v>
      </c>
      <c r="EGE30" s="100">
        <f>EGD30/$EGE$5</f>
        <v>0</v>
      </c>
      <c r="EGF30" s="72">
        <v>0</v>
      </c>
      <c r="EGG30" s="73">
        <v>688</v>
      </c>
      <c r="EGH30" s="73"/>
      <c r="EGI30" s="73">
        <v>0</v>
      </c>
      <c r="EGJ30" s="73">
        <v>0</v>
      </c>
      <c r="EGK30" s="73">
        <v>0</v>
      </c>
      <c r="EGL30" s="258">
        <f t="shared" ref="EGL30" si="1257">SUM(EGF30:EGK30)</f>
        <v>688</v>
      </c>
      <c r="EGM30" s="100">
        <f>EGL30/$EGM$5</f>
        <v>114.66666666666667</v>
      </c>
      <c r="EGN30" s="48">
        <v>0</v>
      </c>
      <c r="EGO30" s="49">
        <v>0</v>
      </c>
      <c r="EGP30" s="49"/>
      <c r="EGQ30" s="49">
        <v>681</v>
      </c>
      <c r="EGR30" s="49">
        <v>0</v>
      </c>
      <c r="EGS30" s="49">
        <v>0</v>
      </c>
      <c r="EGT30" s="64">
        <f t="shared" ref="EGT30" si="1258">SUM(EGN30:EGS30)</f>
        <v>681</v>
      </c>
      <c r="EGU30" s="68">
        <f>EGT30/$EGU$28</f>
        <v>113.5</v>
      </c>
      <c r="EGV30" s="619">
        <v>0</v>
      </c>
      <c r="EGW30" s="620">
        <v>0</v>
      </c>
      <c r="EGX30" s="620">
        <v>0</v>
      </c>
      <c r="EGY30" s="620">
        <v>681</v>
      </c>
      <c r="EGZ30" s="620">
        <v>0</v>
      </c>
      <c r="EHA30" s="620">
        <v>0</v>
      </c>
      <c r="EHB30" s="258">
        <f t="shared" ref="EHB30" si="1259">SUM(EGV30:EHA30)</f>
        <v>681</v>
      </c>
      <c r="EHC30" s="100">
        <f>EHB30/$EHC$5</f>
        <v>113.5</v>
      </c>
      <c r="EHD30" s="342">
        <v>0</v>
      </c>
      <c r="EHE30" s="343">
        <v>0</v>
      </c>
      <c r="EHF30" s="343"/>
      <c r="EHG30" s="343">
        <v>0</v>
      </c>
      <c r="EHH30" s="343">
        <v>0</v>
      </c>
      <c r="EHI30" s="343">
        <v>0</v>
      </c>
      <c r="EHJ30" s="64">
        <f t="shared" ref="EHJ30" si="1260">SUM(EHD30:EHI30)</f>
        <v>0</v>
      </c>
      <c r="EHK30" s="68">
        <f>EHJ30/$EHK$5</f>
        <v>0</v>
      </c>
      <c r="EHL30" s="48">
        <v>669</v>
      </c>
      <c r="EHM30" s="49">
        <v>0</v>
      </c>
      <c r="EHN30" s="49"/>
      <c r="EHO30" s="49">
        <v>0</v>
      </c>
      <c r="EHP30" s="49"/>
      <c r="EHQ30" s="49">
        <v>682</v>
      </c>
      <c r="EHR30" s="64">
        <f t="shared" ref="EHR30" si="1261">SUM(EHL30:EHQ30)</f>
        <v>1351</v>
      </c>
      <c r="EHS30" s="68">
        <f>EHR30/$EHS$5</f>
        <v>225.16666666666666</v>
      </c>
      <c r="EHT30" s="619">
        <v>0</v>
      </c>
      <c r="EHU30" s="620">
        <v>0</v>
      </c>
      <c r="EHV30" s="620"/>
      <c r="EHW30" s="620">
        <v>0</v>
      </c>
      <c r="EHX30" s="620">
        <v>0</v>
      </c>
      <c r="EHY30" s="620">
        <v>0</v>
      </c>
      <c r="EHZ30" s="258">
        <f t="shared" ref="EHZ30" si="1262">SUM(EHT30:EHY30)</f>
        <v>0</v>
      </c>
      <c r="EIA30" s="100">
        <f>EHZ30/$EIA$5</f>
        <v>0</v>
      </c>
      <c r="EIB30" s="48">
        <v>0</v>
      </c>
      <c r="EIC30" s="49">
        <v>0</v>
      </c>
      <c r="EID30" s="49">
        <v>0</v>
      </c>
      <c r="EIE30" s="49">
        <v>0</v>
      </c>
      <c r="EIF30" s="49">
        <v>0</v>
      </c>
      <c r="EIG30" s="49">
        <v>0</v>
      </c>
      <c r="EIH30" s="64">
        <f t="shared" ref="EIH30" si="1263">SUM(EIB30:EIG30)</f>
        <v>0</v>
      </c>
      <c r="EII30" s="68">
        <f>EIH30/$EII$5</f>
        <v>0</v>
      </c>
      <c r="EIJ30" s="342">
        <v>680</v>
      </c>
      <c r="EIK30" s="343">
        <v>0</v>
      </c>
      <c r="EIL30" s="343">
        <v>0</v>
      </c>
      <c r="EIM30" s="343">
        <v>0</v>
      </c>
      <c r="EIN30" s="343">
        <v>0</v>
      </c>
      <c r="EIO30" s="343">
        <v>683</v>
      </c>
      <c r="EIP30" s="64">
        <f t="shared" ref="EIP30" si="1264">SUM(EIJ30:EIO30)</f>
        <v>1363</v>
      </c>
      <c r="EIQ30" s="68">
        <f>EIP30/$EIQ$5</f>
        <v>227.16666666666666</v>
      </c>
      <c r="EIR30" s="48">
        <v>0</v>
      </c>
      <c r="EIS30" s="49">
        <v>0</v>
      </c>
      <c r="EIT30" s="49">
        <v>0</v>
      </c>
      <c r="EIU30" s="49">
        <v>0</v>
      </c>
      <c r="EIV30" s="49">
        <v>0</v>
      </c>
      <c r="EIW30" s="49">
        <v>0</v>
      </c>
      <c r="EIX30" s="64">
        <f t="shared" ref="EIX30" si="1265">SUM(EIR30:EIW30)</f>
        <v>0</v>
      </c>
      <c r="EIY30" s="68">
        <f>EIX30/$EIY$5</f>
        <v>0</v>
      </c>
      <c r="EIZ30" s="72">
        <v>0</v>
      </c>
      <c r="EJA30" s="73">
        <v>0</v>
      </c>
      <c r="EJB30" s="73">
        <v>0</v>
      </c>
      <c r="EJC30" s="73">
        <v>0</v>
      </c>
      <c r="EJD30" s="73">
        <v>350</v>
      </c>
      <c r="EJE30" s="73">
        <v>0</v>
      </c>
      <c r="EJF30" s="258">
        <f t="shared" ref="EJF30" si="1266">SUM(EIZ30:EJE30)</f>
        <v>350</v>
      </c>
      <c r="EJG30" s="100">
        <f>EJF30/$EJG$5</f>
        <v>58.333333333333336</v>
      </c>
      <c r="EJH30" s="619">
        <v>0</v>
      </c>
      <c r="EJI30" s="620">
        <v>0</v>
      </c>
      <c r="EJJ30" s="620"/>
      <c r="EJK30" s="620">
        <v>0</v>
      </c>
      <c r="EJL30" s="620"/>
      <c r="EJM30" s="620"/>
      <c r="EJN30" s="258">
        <f t="shared" ref="EJN30" si="1267">SUM(EJH30:EJM30)</f>
        <v>0</v>
      </c>
      <c r="EJO30" s="100">
        <f>EJN30/$EJO$5</f>
        <v>0</v>
      </c>
      <c r="EJP30" s="72">
        <v>343</v>
      </c>
      <c r="EJQ30" s="73">
        <v>0</v>
      </c>
      <c r="EJR30" s="73">
        <v>0</v>
      </c>
      <c r="EJS30" s="73">
        <v>0</v>
      </c>
      <c r="EJT30" s="73">
        <v>337</v>
      </c>
      <c r="EJU30" s="73">
        <v>0</v>
      </c>
      <c r="EJV30" s="258">
        <f t="shared" ref="EJV30" si="1268">SUM(EJP30:EJU30)</f>
        <v>680</v>
      </c>
      <c r="EJW30" s="100">
        <f>EJV30/$EJW$5</f>
        <v>113.33333333333333</v>
      </c>
      <c r="EJX30" s="619">
        <v>0</v>
      </c>
      <c r="EJY30" s="620">
        <v>0</v>
      </c>
      <c r="EJZ30" s="620">
        <v>0</v>
      </c>
      <c r="EKA30" s="620"/>
      <c r="EKB30" s="620">
        <v>0</v>
      </c>
      <c r="EKC30" s="620"/>
      <c r="EKD30" s="258">
        <f t="shared" ref="EKD30" si="1269">SUM(EJX30:EKC30)</f>
        <v>0</v>
      </c>
      <c r="EKE30" s="100">
        <f>EKD30/$EKE$5</f>
        <v>0</v>
      </c>
      <c r="EKF30" s="72">
        <v>0</v>
      </c>
      <c r="EKG30" s="73">
        <v>689</v>
      </c>
      <c r="EKH30" s="73">
        <v>0</v>
      </c>
      <c r="EKI30" s="73"/>
      <c r="EKJ30" s="73">
        <v>0</v>
      </c>
      <c r="EKK30" s="73">
        <v>0</v>
      </c>
      <c r="EKL30" s="258">
        <f t="shared" ref="EKL30" si="1270">SUM(EKF30:EKK30)</f>
        <v>689</v>
      </c>
      <c r="EKM30" s="100">
        <f>EKL30/$EKM$5</f>
        <v>114.83333333333333</v>
      </c>
      <c r="EKN30" s="72">
        <v>0</v>
      </c>
      <c r="EKO30" s="73">
        <v>0</v>
      </c>
      <c r="EKP30" s="73">
        <v>0</v>
      </c>
      <c r="EKQ30" s="73">
        <v>0</v>
      </c>
      <c r="EKR30" s="73">
        <v>0</v>
      </c>
      <c r="EKS30" s="73">
        <v>0</v>
      </c>
      <c r="EKT30" s="258">
        <f t="shared" ref="EKT30" si="1271">SUM(EKN30:EKS30)</f>
        <v>0</v>
      </c>
      <c r="EKU30" s="667">
        <f>EKT30/$EKU$5</f>
        <v>0</v>
      </c>
      <c r="EKV30" s="665"/>
      <c r="EKW30" s="195">
        <v>0</v>
      </c>
      <c r="EKX30" s="49">
        <v>0</v>
      </c>
      <c r="EKY30" s="49">
        <v>0</v>
      </c>
      <c r="EKZ30" s="49">
        <v>0</v>
      </c>
      <c r="ELA30" s="49">
        <v>0</v>
      </c>
      <c r="ELB30" s="49">
        <v>328</v>
      </c>
      <c r="ELC30" s="64">
        <f t="shared" ref="ELC30" si="1272">SUM(EKW30:ELB30)</f>
        <v>328</v>
      </c>
      <c r="ELD30" s="211">
        <f>ELC30/$ELD$5</f>
        <v>54.666666666666664</v>
      </c>
      <c r="ELE30" s="251">
        <v>0</v>
      </c>
      <c r="ELF30" s="252">
        <v>0</v>
      </c>
      <c r="ELG30" s="252">
        <v>0</v>
      </c>
      <c r="ELH30" s="252">
        <v>0</v>
      </c>
      <c r="ELI30" s="252">
        <v>0</v>
      </c>
      <c r="ELJ30" s="252">
        <v>0</v>
      </c>
      <c r="ELK30" s="260">
        <f t="shared" ref="ELK30" si="1273">SUM(ELE30:ELJ30)</f>
        <v>0</v>
      </c>
      <c r="ELL30" s="271">
        <f>ELK30/$ELL$5</f>
        <v>0</v>
      </c>
      <c r="ELM30" s="683">
        <v>333</v>
      </c>
      <c r="ELN30" s="684">
        <v>0</v>
      </c>
      <c r="ELO30" s="684">
        <v>0</v>
      </c>
      <c r="ELP30" s="684">
        <v>0</v>
      </c>
      <c r="ELQ30" s="684">
        <v>0</v>
      </c>
      <c r="ELR30" s="684">
        <v>333</v>
      </c>
      <c r="ELS30" s="260">
        <f t="shared" ref="ELS30" si="1274">SUM(ELM30:ELR30)</f>
        <v>666</v>
      </c>
      <c r="ELT30" s="271">
        <f>ELS30/$ELT$5</f>
        <v>111</v>
      </c>
      <c r="ELU30" s="251">
        <v>0</v>
      </c>
      <c r="ELV30" s="252">
        <v>0</v>
      </c>
      <c r="ELW30" s="252">
        <v>0</v>
      </c>
      <c r="ELX30" s="252">
        <v>0</v>
      </c>
      <c r="ELY30" s="252">
        <v>0</v>
      </c>
      <c r="ELZ30" s="252">
        <v>335</v>
      </c>
      <c r="EMA30" s="260">
        <f t="shared" ref="EMA30" si="1275">SUM(ELU30:ELZ30)</f>
        <v>335</v>
      </c>
      <c r="EMB30" s="271">
        <f>EMA30/$EMB$5</f>
        <v>55.833333333333336</v>
      </c>
      <c r="EMC30" s="251">
        <v>0</v>
      </c>
      <c r="EMD30" s="252">
        <v>0</v>
      </c>
      <c r="EME30" s="252">
        <v>0</v>
      </c>
      <c r="EMF30" s="252">
        <v>0</v>
      </c>
      <c r="EMG30" s="252"/>
      <c r="EMH30" s="252">
        <v>341</v>
      </c>
      <c r="EMI30" s="260">
        <f t="shared" ref="EMI30" si="1276">SUM(EMC30:EMH30)</f>
        <v>341</v>
      </c>
      <c r="EMJ30" s="271">
        <f>EMI30/$EMJ$5</f>
        <v>56.833333333333336</v>
      </c>
      <c r="EMK30" s="195">
        <v>0</v>
      </c>
      <c r="EML30" s="49">
        <v>0</v>
      </c>
      <c r="EMM30" s="49">
        <v>0</v>
      </c>
      <c r="EMN30" s="49">
        <v>0</v>
      </c>
      <c r="EMO30" s="49">
        <v>0</v>
      </c>
      <c r="EMP30" s="49">
        <v>324</v>
      </c>
      <c r="EMQ30" s="64">
        <f t="shared" ref="EMQ30" si="1277">SUM(EMK30:EMP30)</f>
        <v>324</v>
      </c>
      <c r="EMR30" s="211">
        <f>EMQ30/$EMR$5</f>
        <v>54</v>
      </c>
      <c r="EMS30" s="251">
        <v>0</v>
      </c>
      <c r="EMT30" s="252">
        <v>0</v>
      </c>
      <c r="EMU30" s="252">
        <v>0</v>
      </c>
      <c r="EMV30" s="252">
        <v>0</v>
      </c>
      <c r="EMW30" s="252">
        <v>0</v>
      </c>
      <c r="EMX30" s="252">
        <v>334</v>
      </c>
      <c r="EMY30" s="260">
        <f t="shared" ref="EMY30" si="1278">SUM(EMS30:EMX30)</f>
        <v>334</v>
      </c>
      <c r="EMZ30" s="271">
        <f>EMY30/$EMZ$5</f>
        <v>55.666666666666664</v>
      </c>
      <c r="ENA30" s="251">
        <v>0</v>
      </c>
      <c r="ENB30" s="252">
        <v>0</v>
      </c>
      <c r="ENC30" s="252">
        <v>333</v>
      </c>
      <c r="END30" s="252">
        <v>0</v>
      </c>
      <c r="ENE30" s="252">
        <v>0</v>
      </c>
      <c r="ENF30" s="252">
        <v>0</v>
      </c>
      <c r="ENG30" s="260">
        <f t="shared" ref="ENG30" si="1279">SUM(ENA30:ENF30)</f>
        <v>333</v>
      </c>
      <c r="ENH30" s="271">
        <f>ENG30/$ENH$5</f>
        <v>55.5</v>
      </c>
      <c r="ENI30" s="195">
        <v>0</v>
      </c>
      <c r="ENJ30" s="49"/>
      <c r="ENK30" s="49">
        <v>0</v>
      </c>
      <c r="ENL30" s="49">
        <v>0</v>
      </c>
      <c r="ENM30" s="49">
        <v>0</v>
      </c>
      <c r="ENN30" s="49">
        <v>342</v>
      </c>
      <c r="ENO30" s="64">
        <f t="shared" ref="ENO30" si="1280">SUM(ENI30:ENN30)</f>
        <v>342</v>
      </c>
      <c r="ENP30" s="211">
        <f>ENO30/$ENP$5</f>
        <v>57</v>
      </c>
      <c r="ENQ30" s="251">
        <v>0</v>
      </c>
      <c r="ENR30" s="252"/>
      <c r="ENS30" s="252">
        <v>330</v>
      </c>
      <c r="ENT30" s="252">
        <v>0</v>
      </c>
      <c r="ENU30" s="252">
        <v>0</v>
      </c>
      <c r="ENV30" s="252">
        <v>0</v>
      </c>
      <c r="ENW30" s="260">
        <f t="shared" ref="ENW30" si="1281">SUM(ENQ30:ENV30)</f>
        <v>330</v>
      </c>
      <c r="ENX30" s="271">
        <f>ENW30/$ENX$5</f>
        <v>55</v>
      </c>
      <c r="ENY30" s="687">
        <v>0</v>
      </c>
      <c r="ENZ30" s="437"/>
      <c r="EOA30" s="437">
        <v>0</v>
      </c>
      <c r="EOB30" s="437">
        <v>333</v>
      </c>
      <c r="EOC30" s="437">
        <v>0</v>
      </c>
      <c r="EOD30" s="437">
        <v>0</v>
      </c>
      <c r="EOE30" s="64">
        <f t="shared" ref="EOE30" si="1282">SUM(ENY30:EOD30)</f>
        <v>333</v>
      </c>
      <c r="EOF30" s="211">
        <f>EOE30/$EOF$5</f>
        <v>55.5</v>
      </c>
      <c r="EOH30" s="251"/>
      <c r="EOI30" s="252">
        <v>0</v>
      </c>
      <c r="EOJ30" s="252">
        <v>0</v>
      </c>
      <c r="EOK30" s="252">
        <v>338</v>
      </c>
      <c r="EOL30" s="252">
        <v>0</v>
      </c>
      <c r="EOM30" s="252">
        <v>0</v>
      </c>
      <c r="EON30" s="263">
        <f t="shared" ref="EON30" si="1283">SUM(EOH30:EOM30)</f>
        <v>338</v>
      </c>
      <c r="EOO30" s="195">
        <v>0</v>
      </c>
      <c r="EOP30" s="49">
        <v>9</v>
      </c>
      <c r="EOQ30" s="49">
        <v>0</v>
      </c>
      <c r="EOR30" s="49">
        <v>238</v>
      </c>
      <c r="EOS30" s="49">
        <v>0</v>
      </c>
      <c r="EOT30" s="49">
        <v>0</v>
      </c>
      <c r="EOU30" s="64">
        <f t="shared" ref="EOU30" si="1284">SUM(EOO30:EOT30)</f>
        <v>247</v>
      </c>
      <c r="EOV30" s="211">
        <f>EOU30/$EOV$5</f>
        <v>41.166666666666664</v>
      </c>
      <c r="EOW30" s="251">
        <v>0</v>
      </c>
      <c r="EOX30" s="252">
        <v>0</v>
      </c>
      <c r="EOY30" s="252">
        <v>0</v>
      </c>
      <c r="EOZ30" s="252"/>
      <c r="EPA30" s="252">
        <v>0</v>
      </c>
      <c r="EPB30" s="252">
        <v>343</v>
      </c>
      <c r="EPC30" s="260">
        <f t="shared" ref="EPC30" si="1285">SUM(EOW30:EPB30)</f>
        <v>343</v>
      </c>
      <c r="EPD30" s="271">
        <f>EPC30/$EPD$5</f>
        <v>57.166666666666664</v>
      </c>
      <c r="EPE30" s="683">
        <v>0</v>
      </c>
      <c r="EPF30" s="684">
        <v>0</v>
      </c>
      <c r="EPG30" s="684">
        <v>0</v>
      </c>
      <c r="EPH30" s="684">
        <v>0</v>
      </c>
      <c r="EPI30" s="684">
        <v>0</v>
      </c>
      <c r="EPJ30" s="684">
        <v>342</v>
      </c>
      <c r="EPK30" s="260">
        <f t="shared" ref="EPK30" si="1286">SUM(EPE30:EPJ30)</f>
        <v>342</v>
      </c>
      <c r="EPL30" s="271">
        <f>EPK30/$EPL$5</f>
        <v>57</v>
      </c>
      <c r="EPM30" s="251">
        <v>0</v>
      </c>
      <c r="EPN30" s="252">
        <v>0</v>
      </c>
      <c r="EPO30" s="252">
        <v>339</v>
      </c>
      <c r="EPP30" s="252">
        <v>0</v>
      </c>
      <c r="EPQ30" s="252">
        <v>0</v>
      </c>
      <c r="EPR30" s="252">
        <v>0</v>
      </c>
      <c r="EPS30" s="260">
        <f t="shared" ref="EPS30" si="1287">SUM(EPM30:EPR30)</f>
        <v>339</v>
      </c>
      <c r="EPT30" s="271">
        <f>EPS30/$EPT$5</f>
        <v>56.5</v>
      </c>
      <c r="EPU30" s="251">
        <v>0</v>
      </c>
      <c r="EPV30" s="252">
        <v>0</v>
      </c>
      <c r="EPW30" s="252">
        <v>0</v>
      </c>
      <c r="EPX30" s="252">
        <v>359</v>
      </c>
      <c r="EPY30" s="252">
        <f>SUMIF(SUMPK!$B:$B,$B:$B,SUMPK!$O:$O)</f>
        <v>0</v>
      </c>
      <c r="EPZ30" s="252">
        <v>0</v>
      </c>
      <c r="EQA30" s="260">
        <f t="shared" ref="EQA30" si="1288">SUM(EPU30:EPZ30)</f>
        <v>359</v>
      </c>
      <c r="EQB30" s="271">
        <f>EQA30/$EQB$5</f>
        <v>59.833333333333336</v>
      </c>
      <c r="EQC30" s="251">
        <v>345</v>
      </c>
      <c r="EQD30" s="252">
        <v>0</v>
      </c>
      <c r="EQE30" s="252">
        <v>0</v>
      </c>
      <c r="EQF30" s="252">
        <v>200</v>
      </c>
      <c r="EQG30" s="252">
        <v>505</v>
      </c>
      <c r="EQH30" s="252"/>
      <c r="EQI30" s="260">
        <f t="shared" ref="EQI30" si="1289">SUM(EQC30:EQH30)</f>
        <v>1050</v>
      </c>
      <c r="EQJ30" s="271">
        <f>EQI30/$EQJ$5</f>
        <v>175</v>
      </c>
      <c r="EQK30" s="683">
        <v>0</v>
      </c>
      <c r="EQL30" s="684">
        <v>0</v>
      </c>
      <c r="EQM30" s="684">
        <v>0</v>
      </c>
      <c r="EQN30" s="684"/>
      <c r="EQO30" s="684">
        <v>0</v>
      </c>
      <c r="EQP30" s="684">
        <v>0</v>
      </c>
      <c r="EQQ30" s="260">
        <f t="shared" ref="EQQ30" si="1290">SUM(EQK30:EQP30)</f>
        <v>0</v>
      </c>
      <c r="EQR30" s="271">
        <f>EQQ30/$EQR$5</f>
        <v>0</v>
      </c>
      <c r="EQS30" s="683">
        <v>0</v>
      </c>
      <c r="EQT30" s="684">
        <v>315</v>
      </c>
      <c r="EQU30" s="684">
        <v>0</v>
      </c>
      <c r="EQV30" s="684">
        <v>0</v>
      </c>
      <c r="EQW30" s="684"/>
      <c r="EQX30" s="684">
        <v>0</v>
      </c>
      <c r="EQY30" s="260">
        <f t="shared" ref="EQY30" si="1291">SUM(EQS30:EQX30)</f>
        <v>315</v>
      </c>
      <c r="EQZ30" s="271">
        <f>EQY30/$EQZ$5</f>
        <v>52.5</v>
      </c>
      <c r="ERA30" s="683">
        <v>0</v>
      </c>
      <c r="ERB30" s="684">
        <v>0</v>
      </c>
      <c r="ERC30" s="684">
        <v>0</v>
      </c>
      <c r="ERD30" s="684">
        <v>347</v>
      </c>
      <c r="ERE30" s="684">
        <v>0</v>
      </c>
      <c r="ERF30" s="684"/>
      <c r="ERG30" s="260">
        <f t="shared" ref="ERG30" si="1292">SUM(ERA30:ERF30)</f>
        <v>347</v>
      </c>
      <c r="ERH30" s="271">
        <f>ERG30/$ERH$5</f>
        <v>57.833333333333336</v>
      </c>
      <c r="ERI30" s="251"/>
      <c r="ERJ30" s="252">
        <v>0</v>
      </c>
      <c r="ERK30" s="252">
        <v>0</v>
      </c>
      <c r="ERL30" s="252">
        <v>0</v>
      </c>
      <c r="ERM30" s="252">
        <v>0</v>
      </c>
      <c r="ERN30" s="252">
        <v>347</v>
      </c>
      <c r="ERO30" s="260">
        <f t="shared" ref="ERO30" si="1293">SUM(ERI30:ERN30)</f>
        <v>347</v>
      </c>
      <c r="ERP30" s="271">
        <f>ERO30/$ERP$5</f>
        <v>57.833333333333336</v>
      </c>
      <c r="ERQ30" s="683"/>
      <c r="ERR30" s="684">
        <v>345</v>
      </c>
      <c r="ERS30" s="684"/>
      <c r="ERT30" s="684">
        <v>0</v>
      </c>
      <c r="ERU30" s="684">
        <v>0</v>
      </c>
      <c r="ERV30" s="684">
        <v>0</v>
      </c>
      <c r="ERW30" s="260">
        <f t="shared" ref="ERW30" si="1294">SUM(ERQ30:ERV30)</f>
        <v>345</v>
      </c>
      <c r="ERX30" s="271">
        <f>ERW30/$ERX$5</f>
        <v>57.5</v>
      </c>
      <c r="ERY30" s="683">
        <v>0</v>
      </c>
      <c r="ERZ30" s="684">
        <v>0</v>
      </c>
      <c r="ESA30" s="684">
        <v>337</v>
      </c>
      <c r="ESB30" s="684">
        <v>0</v>
      </c>
      <c r="ESC30" s="684">
        <v>0</v>
      </c>
      <c r="ESD30" s="684">
        <v>0</v>
      </c>
      <c r="ESE30" s="260">
        <f t="shared" ref="ESE30" si="1295">SUM(ERY30:ESD30)</f>
        <v>337</v>
      </c>
      <c r="ESF30" s="271">
        <f>ESE30/$ESF$5</f>
        <v>56.166666666666664</v>
      </c>
      <c r="ESG30" s="346">
        <v>0</v>
      </c>
      <c r="ESH30" s="343">
        <v>0</v>
      </c>
      <c r="ESI30" s="343">
        <v>0</v>
      </c>
      <c r="ESJ30" s="343">
        <v>340</v>
      </c>
      <c r="ESK30" s="343"/>
      <c r="ESL30" s="343">
        <v>0</v>
      </c>
      <c r="ESM30" s="64">
        <f t="shared" ref="ESM30" si="1296">SUM(ESG30:ESL30)</f>
        <v>340</v>
      </c>
      <c r="ESN30" s="211">
        <f>ESM30/$ESN$5</f>
        <v>56.666666666666664</v>
      </c>
      <c r="ESO30" s="702">
        <v>0</v>
      </c>
      <c r="ESP30" s="703">
        <v>0</v>
      </c>
      <c r="ESQ30" s="703">
        <v>0</v>
      </c>
      <c r="ESR30" s="703">
        <v>0</v>
      </c>
      <c r="ESS30" s="703">
        <v>353</v>
      </c>
      <c r="EST30" s="703"/>
      <c r="ESU30" s="260">
        <f t="shared" ref="ESU30" si="1297">SUM(ESO30:EST30)</f>
        <v>353</v>
      </c>
      <c r="ESV30" s="271">
        <f>ESU30/$ESV$5</f>
        <v>58.833333333333336</v>
      </c>
      <c r="ESW30" s="821"/>
      <c r="ESX30" s="822">
        <v>0</v>
      </c>
      <c r="ESY30" s="822">
        <v>0</v>
      </c>
      <c r="ESZ30" s="822">
        <v>350</v>
      </c>
      <c r="ETA30" s="822">
        <v>0</v>
      </c>
      <c r="ETB30" s="822">
        <v>0</v>
      </c>
      <c r="ETC30" s="820">
        <f t="shared" ref="ETC30" si="1298">SUM(ESW30:ETB30)</f>
        <v>350</v>
      </c>
      <c r="ETD30" s="271">
        <f>ETC30/$ETD$5</f>
        <v>58.333333333333336</v>
      </c>
      <c r="ETE30" s="683">
        <v>0</v>
      </c>
      <c r="ETF30" s="684">
        <v>0</v>
      </c>
      <c r="ETG30" s="684">
        <v>360</v>
      </c>
      <c r="ETH30" s="684">
        <v>0</v>
      </c>
      <c r="ETI30" s="684">
        <v>0</v>
      </c>
      <c r="ETJ30" s="684">
        <v>0</v>
      </c>
      <c r="ETK30" s="820">
        <f t="shared" ref="ETK30" si="1299">SUM(ETE30:ETJ30)</f>
        <v>360</v>
      </c>
      <c r="ETL30" s="271">
        <f>ETK30/$ETL$5</f>
        <v>60</v>
      </c>
      <c r="ETM30" s="821">
        <v>0</v>
      </c>
      <c r="ETN30" s="822">
        <v>665</v>
      </c>
      <c r="ETO30" s="822">
        <v>0</v>
      </c>
      <c r="ETP30" s="822">
        <v>353</v>
      </c>
      <c r="ETQ30" s="822">
        <v>0</v>
      </c>
      <c r="ETR30" s="822">
        <v>0</v>
      </c>
      <c r="ETS30" s="820">
        <f t="shared" ref="ETS30" si="1300">SUM(ETM30:ETR30)</f>
        <v>1018</v>
      </c>
      <c r="ETT30" s="271">
        <f>ETS30/$ETT$5</f>
        <v>169.66666666666666</v>
      </c>
      <c r="ETU30" s="755">
        <v>0</v>
      </c>
      <c r="ETV30" s="345">
        <v>0</v>
      </c>
      <c r="ETW30" s="345">
        <v>0</v>
      </c>
      <c r="ETX30" s="345">
        <v>0</v>
      </c>
      <c r="ETY30" s="345">
        <v>0</v>
      </c>
      <c r="ETZ30" s="345">
        <v>341</v>
      </c>
      <c r="EUA30" s="808">
        <f t="shared" ref="EUA30" si="1301">SUM(ETU30:ETZ30)</f>
        <v>341</v>
      </c>
      <c r="EUB30" s="211">
        <f>EUA30/$EUB$5</f>
        <v>56.833333333333336</v>
      </c>
      <c r="EUC30" s="848"/>
      <c r="EUD30" s="849">
        <v>0</v>
      </c>
      <c r="EUE30" s="849"/>
      <c r="EUF30" s="849">
        <v>325</v>
      </c>
      <c r="EUG30" s="849">
        <v>0</v>
      </c>
      <c r="EUH30" s="849">
        <v>0</v>
      </c>
      <c r="EUI30" s="820">
        <f t="shared" ref="EUI30" si="1302">SUM(EUC30:EUH30)</f>
        <v>325</v>
      </c>
      <c r="EUJ30" s="271">
        <f>EUI30/$EUJ$5</f>
        <v>54.166666666666664</v>
      </c>
      <c r="EUK30" s="683"/>
      <c r="EUL30" s="684">
        <v>0</v>
      </c>
      <c r="EUM30" s="684">
        <v>0</v>
      </c>
      <c r="EUN30" s="684">
        <v>0</v>
      </c>
      <c r="EUO30" s="684">
        <v>360</v>
      </c>
      <c r="EUP30" s="684">
        <v>0</v>
      </c>
      <c r="EUQ30" s="820">
        <f t="shared" ref="EUQ30" si="1303">SUM(EUK30:EUP30)</f>
        <v>360</v>
      </c>
      <c r="EUR30" s="271">
        <f>EUQ30/$EUR$5</f>
        <v>60</v>
      </c>
      <c r="EUS30" s="251">
        <v>0</v>
      </c>
      <c r="EUT30" s="252">
        <v>0</v>
      </c>
      <c r="EUU30" s="252">
        <v>0</v>
      </c>
      <c r="EUV30" s="252">
        <v>0</v>
      </c>
      <c r="EUW30" s="252">
        <v>0</v>
      </c>
      <c r="EUX30" s="252"/>
      <c r="EUY30" s="820">
        <f t="shared" ref="EUY30" si="1304">SUM(EUS30:EUX30)</f>
        <v>0</v>
      </c>
      <c r="EUZ30" s="271">
        <f>EUY30/$EUZ$5</f>
        <v>0</v>
      </c>
      <c r="EVA30" s="251">
        <v>0</v>
      </c>
      <c r="EVB30" s="252">
        <v>0</v>
      </c>
      <c r="EVC30" s="252">
        <v>0</v>
      </c>
      <c r="EVD30" s="252"/>
      <c r="EVE30" s="252">
        <v>0</v>
      </c>
      <c r="EVF30" s="252"/>
      <c r="EVG30" s="820">
        <f t="shared" ref="EVG30" si="1305">SUM(EVA30:EVF30)</f>
        <v>0</v>
      </c>
      <c r="EVH30" s="271">
        <f>EVG30/$EVH$5</f>
        <v>0</v>
      </c>
      <c r="EVI30" s="251">
        <v>338</v>
      </c>
      <c r="EVJ30" s="252">
        <v>0</v>
      </c>
      <c r="EVK30" s="252">
        <f>SUMIF(SUMPK!$B:$B,$B:$B,SUMPK!$O:$O)</f>
        <v>0</v>
      </c>
      <c r="EVL30" s="252"/>
      <c r="EVM30" s="252"/>
      <c r="EVN30" s="252">
        <v>348</v>
      </c>
      <c r="EVO30" s="820">
        <f t="shared" ref="EVO30" si="1306">SUM(EVI30:EVN30)</f>
        <v>686</v>
      </c>
      <c r="EVP30" s="271">
        <f>EVO30/$EVP$5</f>
        <v>114.33333333333333</v>
      </c>
      <c r="EVQ30" s="683">
        <v>0</v>
      </c>
      <c r="EVR30" s="684">
        <v>0</v>
      </c>
      <c r="EVS30" s="684">
        <v>0</v>
      </c>
      <c r="EVT30" s="684"/>
      <c r="EVU30" s="684">
        <v>0</v>
      </c>
      <c r="EVV30" s="684">
        <v>1020</v>
      </c>
      <c r="EVW30" s="820">
        <f t="shared" ref="EVW30" si="1307">SUM(EVQ30:EVV30)</f>
        <v>1020</v>
      </c>
      <c r="EVX30" s="271">
        <f>EVW30/$EVX$5</f>
        <v>170</v>
      </c>
      <c r="EVY30" s="251">
        <v>0</v>
      </c>
      <c r="EVZ30" s="252">
        <v>0</v>
      </c>
      <c r="EWA30" s="252">
        <v>0</v>
      </c>
      <c r="EWB30" s="252">
        <v>0</v>
      </c>
      <c r="EWC30" s="252">
        <v>0</v>
      </c>
      <c r="EWD30" s="252"/>
      <c r="EWE30" s="820">
        <f t="shared" ref="EWE30" si="1308">SUM(EVY30:EWD30)</f>
        <v>0</v>
      </c>
      <c r="EWF30" s="271">
        <f>EWE30/$EWF$5</f>
        <v>0</v>
      </c>
      <c r="EWG30" s="251">
        <v>0</v>
      </c>
      <c r="EWH30" s="252">
        <v>0</v>
      </c>
      <c r="EWI30" s="252"/>
      <c r="EWJ30" s="252">
        <v>685</v>
      </c>
      <c r="EWK30" s="252">
        <v>0</v>
      </c>
      <c r="EWL30" s="252"/>
      <c r="EWM30" s="820">
        <f t="shared" ref="EWM30" si="1309">SUM(EWG30:EWL30)</f>
        <v>685</v>
      </c>
      <c r="EWN30" s="271">
        <f>EWM30/$EWN$28</f>
        <v>114.16666666666667</v>
      </c>
      <c r="EWO30" s="251">
        <v>0</v>
      </c>
      <c r="EWP30" s="252"/>
      <c r="EWQ30" s="252"/>
      <c r="EWR30" s="252">
        <v>0</v>
      </c>
      <c r="EWS30" s="252">
        <v>0</v>
      </c>
      <c r="EWT30" s="252">
        <v>0</v>
      </c>
      <c r="EWU30" s="820">
        <f t="shared" ref="EWU30" si="1310">SUM(EWO30:EWT30)</f>
        <v>0</v>
      </c>
      <c r="EWV30" s="271">
        <f>EWU30/$EWV$5</f>
        <v>0</v>
      </c>
      <c r="EWW30" s="251"/>
      <c r="EWX30" s="252"/>
      <c r="EWY30" s="252">
        <v>0</v>
      </c>
      <c r="EWZ30" s="252">
        <v>0</v>
      </c>
      <c r="EXA30" s="252">
        <v>677</v>
      </c>
      <c r="EXB30" s="252"/>
      <c r="EXC30" s="820">
        <f t="shared" ref="EXC30" si="1311">SUM(EWW30:EXB30)</f>
        <v>677</v>
      </c>
      <c r="EXD30" s="271">
        <f>EXC30/$EXD$5</f>
        <v>112.83333333333333</v>
      </c>
      <c r="EXE30" s="683"/>
      <c r="EXF30" s="684">
        <v>0</v>
      </c>
      <c r="EXG30" s="684">
        <v>0</v>
      </c>
      <c r="EXH30" s="684"/>
      <c r="EXI30" s="684">
        <v>0</v>
      </c>
      <c r="EXJ30" s="684">
        <v>0</v>
      </c>
      <c r="EXK30" s="820">
        <f t="shared" ref="EXK30" si="1312">SUM(EXE30:EXJ30)</f>
        <v>0</v>
      </c>
      <c r="EXL30" s="271">
        <f>EXK30/$EXL$5</f>
        <v>0</v>
      </c>
      <c r="EXM30" s="848">
        <v>0</v>
      </c>
      <c r="EXN30" s="849">
        <v>0</v>
      </c>
      <c r="EXO30" s="849">
        <v>0</v>
      </c>
      <c r="EXP30" s="849">
        <v>0</v>
      </c>
      <c r="EXQ30" s="849"/>
      <c r="EXR30" s="849">
        <v>0</v>
      </c>
      <c r="EXS30" s="820">
        <f t="shared" ref="EXS30" si="1313">SUM(EXM30:EXR30)</f>
        <v>0</v>
      </c>
      <c r="EXT30" s="271">
        <f>EXS30/$EXT$5</f>
        <v>0</v>
      </c>
      <c r="EXU30" s="683">
        <v>0</v>
      </c>
      <c r="EXV30" s="684">
        <v>0</v>
      </c>
      <c r="EXW30" s="684">
        <v>0</v>
      </c>
      <c r="EXX30" s="684">
        <v>352</v>
      </c>
      <c r="EXY30" s="684">
        <v>0</v>
      </c>
      <c r="EXZ30" s="684">
        <v>0</v>
      </c>
      <c r="EYA30" s="820">
        <f t="shared" ref="EYA30" si="1314">SUM(EXU30:EXZ30)</f>
        <v>352</v>
      </c>
      <c r="EYB30" s="271">
        <f>EYA30/$EYB$5</f>
        <v>58.666666666666664</v>
      </c>
      <c r="EYC30" s="683">
        <v>0</v>
      </c>
      <c r="EYD30" s="684"/>
      <c r="EYE30" s="684">
        <v>341</v>
      </c>
      <c r="EYF30" s="684"/>
      <c r="EYG30" s="684">
        <v>0</v>
      </c>
      <c r="EYH30" s="684">
        <v>0</v>
      </c>
      <c r="EYI30" s="820">
        <f t="shared" ref="EYI30" si="1315">SUM(EYC30:EYH30)</f>
        <v>341</v>
      </c>
      <c r="EYJ30" s="271">
        <f>EYI30/$EYJ$5</f>
        <v>56.833333333333336</v>
      </c>
      <c r="EYK30" s="683">
        <v>0</v>
      </c>
      <c r="EYL30" s="684">
        <v>0</v>
      </c>
      <c r="EYM30" s="684">
        <v>0</v>
      </c>
      <c r="EYN30" s="684">
        <v>683</v>
      </c>
      <c r="EYO30" s="684">
        <v>0</v>
      </c>
      <c r="EYP30" s="684">
        <v>0</v>
      </c>
      <c r="EYQ30" s="820">
        <f t="shared" ref="EYQ30" si="1316">SUM(EYK30:EYP30)</f>
        <v>683</v>
      </c>
      <c r="EYR30" s="271">
        <f>EYQ30/$EYR$5</f>
        <v>113.83333333333333</v>
      </c>
      <c r="EYS30" s="346">
        <v>0</v>
      </c>
      <c r="EYT30" s="343">
        <v>0</v>
      </c>
      <c r="EYU30" s="343">
        <v>286</v>
      </c>
      <c r="EYV30" s="343">
        <v>0</v>
      </c>
      <c r="EYW30" s="343"/>
      <c r="EYX30" s="343"/>
      <c r="EYY30" s="872">
        <f t="shared" ref="EYY30" si="1317">SUM(EYS30:EYX30)</f>
        <v>286</v>
      </c>
      <c r="EYZ30" s="873">
        <f>EYY30/$EYZ$28</f>
        <v>47.666666666666664</v>
      </c>
      <c r="EZA30" s="251">
        <v>0</v>
      </c>
      <c r="EZB30" s="252">
        <v>0</v>
      </c>
      <c r="EZC30" s="252">
        <v>0</v>
      </c>
      <c r="EZD30" s="252"/>
      <c r="EZE30" s="252">
        <v>0</v>
      </c>
      <c r="EZF30" s="252">
        <v>349</v>
      </c>
      <c r="EZG30" s="876">
        <f t="shared" ref="EZG30" si="1318">SUM(EZA30:EZF30)</f>
        <v>349</v>
      </c>
      <c r="EZH30" s="877">
        <f>EZG30/$EZH$5</f>
        <v>58.166666666666664</v>
      </c>
      <c r="EZI30" s="251">
        <v>0</v>
      </c>
      <c r="EZJ30" s="252">
        <v>0</v>
      </c>
      <c r="EZK30" s="252"/>
      <c r="EZL30" s="252"/>
      <c r="EZM30" s="252"/>
      <c r="EZN30" s="252"/>
      <c r="EZO30" s="876">
        <f t="shared" ref="EZO30" si="1319">SUM(EZI30:EZN30)</f>
        <v>0</v>
      </c>
      <c r="EZP30" s="877">
        <f>EZO30/$EZP$5</f>
        <v>0</v>
      </c>
    </row>
    <row r="31" spans="1:4072" s="567" customFormat="1" ht="13.5" thickBot="1" x14ac:dyDescent="0.25">
      <c r="A31" s="21">
        <v>2</v>
      </c>
      <c r="B31" s="297" t="s">
        <v>226</v>
      </c>
      <c r="C31" s="725" t="s">
        <v>316</v>
      </c>
      <c r="D31" s="391">
        <v>25</v>
      </c>
      <c r="E31" s="726"/>
      <c r="F31" s="435">
        <v>1945</v>
      </c>
      <c r="G31" s="726"/>
      <c r="H31" s="435"/>
      <c r="I31" s="726"/>
      <c r="J31" s="360">
        <f>SUMIF(SUMPK!$B:$B,$B:$B,SUMPK!$O:$O)</f>
        <v>0</v>
      </c>
      <c r="K31" s="24">
        <f t="shared" si="1220"/>
        <v>0</v>
      </c>
      <c r="L31" s="24">
        <f t="shared" si="1221"/>
        <v>1945</v>
      </c>
      <c r="M31" s="15">
        <f t="shared" si="1222"/>
        <v>1945</v>
      </c>
      <c r="N31" s="443">
        <v>153.33333333333334</v>
      </c>
      <c r="O31" s="276">
        <f t="shared" si="1223"/>
        <v>12.684782608695651</v>
      </c>
      <c r="P31" s="727">
        <v>0</v>
      </c>
      <c r="Q31" s="15">
        <f t="shared" si="1224"/>
        <v>0</v>
      </c>
      <c r="R31" s="15">
        <f t="shared" si="1225"/>
        <v>147.69230769230768</v>
      </c>
      <c r="S31" s="222">
        <v>3840</v>
      </c>
      <c r="T31" s="15">
        <f t="shared" si="1226"/>
        <v>13.169270833333334</v>
      </c>
      <c r="U31" s="729"/>
      <c r="V31" s="276">
        <f t="shared" si="1227"/>
        <v>13.169270833333334</v>
      </c>
      <c r="W31" s="279">
        <f t="shared" si="1228"/>
        <v>1</v>
      </c>
      <c r="X31" s="392"/>
      <c r="Y31" s="394"/>
      <c r="Z31" s="393"/>
      <c r="AA31" s="393"/>
      <c r="AB31" s="393"/>
      <c r="AC31" s="661">
        <v>17</v>
      </c>
      <c r="AD31" s="526"/>
      <c r="AE31" s="521"/>
      <c r="AF31" s="521"/>
      <c r="AG31" s="521"/>
      <c r="AH31" s="521"/>
      <c r="AI31" s="521"/>
      <c r="AJ31" s="522"/>
      <c r="AK31" s="523"/>
      <c r="AL31" s="524"/>
      <c r="AM31" s="525"/>
      <c r="AN31" s="525"/>
      <c r="AO31" s="525"/>
      <c r="AP31" s="525"/>
      <c r="AQ31" s="525"/>
      <c r="AR31" s="522"/>
      <c r="AS31" s="523"/>
      <c r="AT31" s="520"/>
      <c r="AU31" s="521"/>
      <c r="AV31" s="521"/>
      <c r="AW31" s="521"/>
      <c r="AX31" s="521"/>
      <c r="AY31" s="521"/>
      <c r="AZ31" s="522"/>
      <c r="BA31" s="523"/>
      <c r="BB31" s="520"/>
      <c r="BC31" s="521"/>
      <c r="BD31" s="521"/>
      <c r="BE31" s="521"/>
      <c r="BF31" s="521"/>
      <c r="BG31" s="521"/>
      <c r="BH31" s="522"/>
      <c r="BI31" s="523"/>
      <c r="BJ31" s="520"/>
      <c r="BK31" s="521"/>
      <c r="BL31" s="521"/>
      <c r="BM31" s="521"/>
      <c r="BN31" s="521"/>
      <c r="BO31" s="521"/>
      <c r="BP31" s="522"/>
      <c r="BQ31" s="523"/>
      <c r="BR31" s="520"/>
      <c r="BS31" s="521"/>
      <c r="BT31" s="521"/>
      <c r="BU31" s="521"/>
      <c r="BV31" s="521"/>
      <c r="BW31" s="521"/>
      <c r="BX31" s="522"/>
      <c r="BY31" s="523"/>
      <c r="BZ31" s="520"/>
      <c r="CA31" s="526"/>
      <c r="CB31" s="526"/>
      <c r="CC31" s="526"/>
      <c r="CD31" s="526"/>
      <c r="CE31" s="526"/>
      <c r="CF31" s="522"/>
      <c r="CG31" s="523"/>
      <c r="CH31" s="520"/>
      <c r="CI31" s="521"/>
      <c r="CJ31" s="521"/>
      <c r="CK31" s="521"/>
      <c r="CL31" s="521"/>
      <c r="CM31" s="521"/>
      <c r="CN31" s="522"/>
      <c r="CO31" s="523"/>
      <c r="CP31" s="520"/>
      <c r="CQ31" s="521"/>
      <c r="CR31" s="521"/>
      <c r="CS31" s="521"/>
      <c r="CT31" s="521"/>
      <c r="CU31" s="521"/>
      <c r="CV31" s="522"/>
      <c r="CW31" s="523"/>
      <c r="CX31" s="520"/>
      <c r="CY31" s="521"/>
      <c r="CZ31" s="521"/>
      <c r="DA31" s="521"/>
      <c r="DB31" s="521"/>
      <c r="DC31" s="521"/>
      <c r="DD31" s="522"/>
      <c r="DE31" s="523"/>
      <c r="DF31" s="520"/>
      <c r="DG31" s="521"/>
      <c r="DH31" s="521"/>
      <c r="DI31" s="521"/>
      <c r="DJ31" s="521"/>
      <c r="DK31" s="521"/>
      <c r="DL31" s="522"/>
      <c r="DM31" s="523"/>
      <c r="DN31" s="520"/>
      <c r="DO31" s="521"/>
      <c r="DP31" s="521"/>
      <c r="DQ31" s="521"/>
      <c r="DR31" s="521"/>
      <c r="DS31" s="521"/>
      <c r="DT31" s="522"/>
      <c r="DU31" s="523"/>
      <c r="DV31" s="520"/>
      <c r="DW31" s="521"/>
      <c r="DX31" s="521"/>
      <c r="DY31" s="521"/>
      <c r="DZ31" s="521"/>
      <c r="EA31" s="521"/>
      <c r="EB31" s="522"/>
      <c r="EC31" s="523"/>
      <c r="ED31" s="527"/>
      <c r="EE31" s="528"/>
      <c r="EF31" s="528"/>
      <c r="EG31" s="528"/>
      <c r="EH31" s="528"/>
      <c r="EI31" s="528"/>
      <c r="EJ31" s="529"/>
      <c r="EK31" s="530"/>
      <c r="EL31" s="520"/>
      <c r="EM31" s="521"/>
      <c r="EN31" s="521"/>
      <c r="EO31" s="521"/>
      <c r="EP31" s="521"/>
      <c r="EQ31" s="521"/>
      <c r="ER31" s="522"/>
      <c r="ES31" s="523"/>
      <c r="ET31" s="520"/>
      <c r="EU31" s="521"/>
      <c r="EV31" s="521"/>
      <c r="EW31" s="521"/>
      <c r="EX31" s="521"/>
      <c r="EY31" s="521"/>
      <c r="EZ31" s="522"/>
      <c r="FA31" s="523"/>
      <c r="FB31" s="520"/>
      <c r="FC31" s="521"/>
      <c r="FD31" s="521"/>
      <c r="FE31" s="521"/>
      <c r="FF31" s="521"/>
      <c r="FG31" s="521"/>
      <c r="FH31" s="522"/>
      <c r="FI31" s="523"/>
      <c r="FJ31" s="520"/>
      <c r="FK31" s="521"/>
      <c r="FL31" s="521"/>
      <c r="FM31" s="521"/>
      <c r="FN31" s="521"/>
      <c r="FO31" s="521"/>
      <c r="FP31" s="522"/>
      <c r="FQ31" s="523"/>
      <c r="FR31" s="520"/>
      <c r="FS31" s="521"/>
      <c r="FT31" s="521"/>
      <c r="FU31" s="521"/>
      <c r="FV31" s="521"/>
      <c r="FW31" s="521"/>
      <c r="FX31" s="522"/>
      <c r="FY31" s="523"/>
      <c r="FZ31" s="520"/>
      <c r="GA31" s="521"/>
      <c r="GB31" s="521"/>
      <c r="GC31" s="521"/>
      <c r="GD31" s="521"/>
      <c r="GE31" s="521"/>
      <c r="GF31" s="522"/>
      <c r="GG31" s="523"/>
      <c r="GH31" s="520"/>
      <c r="GI31" s="521"/>
      <c r="GJ31" s="521"/>
      <c r="GK31" s="521"/>
      <c r="GL31" s="521"/>
      <c r="GM31" s="521"/>
      <c r="GN31" s="522"/>
      <c r="GO31" s="523"/>
      <c r="GP31" s="520"/>
      <c r="GQ31" s="521"/>
      <c r="GR31" s="521"/>
      <c r="GS31" s="521"/>
      <c r="GT31" s="521"/>
      <c r="GU31" s="521"/>
      <c r="GV31" s="522"/>
      <c r="GW31" s="523"/>
      <c r="GX31" s="520"/>
      <c r="GY31" s="521"/>
      <c r="GZ31" s="521"/>
      <c r="HA31" s="521"/>
      <c r="HB31" s="521"/>
      <c r="HC31" s="521"/>
      <c r="HD31" s="522"/>
      <c r="HE31" s="523"/>
      <c r="HF31" s="520"/>
      <c r="HG31" s="521"/>
      <c r="HH31" s="521"/>
      <c r="HI31" s="521"/>
      <c r="HJ31" s="521"/>
      <c r="HK31" s="521"/>
      <c r="HL31" s="522"/>
      <c r="HM31" s="523"/>
      <c r="HN31" s="520"/>
      <c r="HO31" s="521"/>
      <c r="HP31" s="521"/>
      <c r="HQ31" s="521"/>
      <c r="HR31" s="521"/>
      <c r="HS31" s="521"/>
      <c r="HT31" s="522"/>
      <c r="HU31" s="523"/>
      <c r="HV31" s="520"/>
      <c r="HW31" s="521"/>
      <c r="HX31" s="521"/>
      <c r="HY31" s="521"/>
      <c r="HZ31" s="521"/>
      <c r="IA31" s="521"/>
      <c r="IB31" s="522"/>
      <c r="IC31" s="523"/>
      <c r="ID31" s="520"/>
      <c r="IE31" s="521"/>
      <c r="IF31" s="521"/>
      <c r="IG31" s="521"/>
      <c r="IH31" s="521"/>
      <c r="II31" s="521"/>
      <c r="IJ31" s="522"/>
      <c r="IK31" s="523"/>
      <c r="IL31" s="520"/>
      <c r="IM31" s="521"/>
      <c r="IN31" s="521"/>
      <c r="IO31" s="521"/>
      <c r="IP31" s="521"/>
      <c r="IQ31" s="521"/>
      <c r="IR31" s="522"/>
      <c r="IS31" s="523"/>
      <c r="IT31" s="520"/>
      <c r="IU31" s="521"/>
      <c r="IV31" s="521"/>
      <c r="IW31" s="521"/>
      <c r="IX31" s="521"/>
      <c r="IY31" s="521"/>
      <c r="IZ31" s="522"/>
      <c r="JA31" s="523"/>
      <c r="JB31" s="520"/>
      <c r="JC31" s="521"/>
      <c r="JD31" s="521"/>
      <c r="JE31" s="521"/>
      <c r="JF31" s="521"/>
      <c r="JG31" s="521"/>
      <c r="JH31" s="522"/>
      <c r="JI31" s="523"/>
      <c r="JJ31" s="520"/>
      <c r="JK31" s="521"/>
      <c r="JL31" s="521"/>
      <c r="JM31" s="521"/>
      <c r="JN31" s="521"/>
      <c r="JO31" s="521"/>
      <c r="JP31" s="522"/>
      <c r="JQ31" s="523"/>
      <c r="JR31" s="520"/>
      <c r="JS31" s="521"/>
      <c r="JT31" s="521"/>
      <c r="JU31" s="521"/>
      <c r="JV31" s="521"/>
      <c r="JW31" s="521"/>
      <c r="JX31" s="522"/>
      <c r="JY31" s="523"/>
      <c r="JZ31" s="531"/>
      <c r="KA31" s="532"/>
      <c r="KB31" s="532"/>
      <c r="KC31" s="532"/>
      <c r="KD31" s="532"/>
      <c r="KE31" s="532"/>
      <c r="KF31" s="533"/>
      <c r="KG31" s="534"/>
      <c r="KH31" s="520"/>
      <c r="KI31" s="521"/>
      <c r="KJ31" s="521"/>
      <c r="KK31" s="521"/>
      <c r="KL31" s="521"/>
      <c r="KM31" s="521"/>
      <c r="KN31" s="522"/>
      <c r="KO31" s="523"/>
      <c r="KP31" s="520"/>
      <c r="KQ31" s="521"/>
      <c r="KR31" s="521"/>
      <c r="KS31" s="521"/>
      <c r="KT31" s="521"/>
      <c r="KU31" s="521"/>
      <c r="KV31" s="522"/>
      <c r="KW31" s="523"/>
      <c r="KX31" s="520"/>
      <c r="KY31" s="521"/>
      <c r="KZ31" s="521"/>
      <c r="LA31" s="521"/>
      <c r="LB31" s="521"/>
      <c r="LC31" s="521"/>
      <c r="LD31" s="522"/>
      <c r="LE31" s="523"/>
      <c r="LF31" s="520"/>
      <c r="LG31" s="521"/>
      <c r="LH31" s="521"/>
      <c r="LI31" s="521"/>
      <c r="LJ31" s="521"/>
      <c r="LK31" s="521"/>
      <c r="LL31" s="522"/>
      <c r="LM31" s="523"/>
      <c r="LN31" s="520"/>
      <c r="LO31" s="521"/>
      <c r="LP31" s="521"/>
      <c r="LQ31" s="521"/>
      <c r="LR31" s="521"/>
      <c r="LS31" s="521"/>
      <c r="LT31" s="522"/>
      <c r="LU31" s="523"/>
      <c r="LV31" s="520"/>
      <c r="LW31" s="521"/>
      <c r="LX31" s="521"/>
      <c r="LY31" s="521"/>
      <c r="LZ31" s="521"/>
      <c r="MA31" s="521"/>
      <c r="MB31" s="522"/>
      <c r="MC31" s="523"/>
      <c r="MD31" s="520"/>
      <c r="ME31" s="521"/>
      <c r="MF31" s="521"/>
      <c r="MG31" s="521"/>
      <c r="MH31" s="521"/>
      <c r="MI31" s="521"/>
      <c r="MJ31" s="522"/>
      <c r="MK31" s="523"/>
      <c r="ML31" s="520"/>
      <c r="MM31" s="521"/>
      <c r="MN31" s="521"/>
      <c r="MO31" s="521"/>
      <c r="MP31" s="521"/>
      <c r="MQ31" s="521"/>
      <c r="MR31" s="522"/>
      <c r="MS31" s="523"/>
      <c r="MT31" s="520"/>
      <c r="MU31" s="521"/>
      <c r="MV31" s="521"/>
      <c r="MW31" s="521"/>
      <c r="MX31" s="521"/>
      <c r="MY31" s="521"/>
      <c r="MZ31" s="522"/>
      <c r="NA31" s="523"/>
      <c r="NB31" s="520"/>
      <c r="NC31" s="521"/>
      <c r="ND31" s="521"/>
      <c r="NE31" s="521"/>
      <c r="NF31" s="521"/>
      <c r="NG31" s="521"/>
      <c r="NH31" s="522"/>
      <c r="NI31" s="523"/>
      <c r="NJ31" s="520"/>
      <c r="NK31" s="521"/>
      <c r="NL31" s="521"/>
      <c r="NM31" s="521"/>
      <c r="NN31" s="521"/>
      <c r="NO31" s="521"/>
      <c r="NP31" s="522"/>
      <c r="NQ31" s="523"/>
      <c r="NR31" s="520"/>
      <c r="NS31" s="521"/>
      <c r="NT31" s="521"/>
      <c r="NU31" s="521"/>
      <c r="NV31" s="521"/>
      <c r="NW31" s="521"/>
      <c r="NX31" s="522"/>
      <c r="NY31" s="523"/>
      <c r="NZ31" s="520"/>
      <c r="OA31" s="521"/>
      <c r="OB31" s="521"/>
      <c r="OC31" s="521"/>
      <c r="OD31" s="521"/>
      <c r="OE31" s="521"/>
      <c r="OF31" s="522"/>
      <c r="OG31" s="523"/>
      <c r="OH31" s="520"/>
      <c r="OI31" s="521"/>
      <c r="OJ31" s="521"/>
      <c r="OK31" s="521"/>
      <c r="OL31" s="521"/>
      <c r="OM31" s="521"/>
      <c r="ON31" s="522"/>
      <c r="OO31" s="523"/>
      <c r="OP31" s="520"/>
      <c r="OQ31" s="526"/>
      <c r="OR31" s="526"/>
      <c r="OS31" s="526"/>
      <c r="OT31" s="526"/>
      <c r="OU31" s="526"/>
      <c r="OV31" s="522"/>
      <c r="OW31" s="523"/>
      <c r="OX31" s="520"/>
      <c r="OY31" s="521"/>
      <c r="OZ31" s="521"/>
      <c r="PA31" s="521"/>
      <c r="PB31" s="521"/>
      <c r="PC31" s="521"/>
      <c r="PD31" s="522"/>
      <c r="PE31" s="523"/>
      <c r="PF31" s="520"/>
      <c r="PG31" s="521"/>
      <c r="PH31" s="521"/>
      <c r="PI31" s="521"/>
      <c r="PJ31" s="521"/>
      <c r="PK31" s="521"/>
      <c r="PL31" s="522"/>
      <c r="PM31" s="523"/>
      <c r="PN31" s="535"/>
      <c r="PO31" s="536"/>
      <c r="PP31" s="536"/>
      <c r="PQ31" s="536"/>
      <c r="PR31" s="536"/>
      <c r="PS31" s="536"/>
      <c r="PT31" s="537"/>
      <c r="PU31" s="538"/>
      <c r="PV31" s="535"/>
      <c r="PW31" s="539"/>
      <c r="PX31" s="539"/>
      <c r="PY31" s="539"/>
      <c r="PZ31" s="539"/>
      <c r="QA31" s="539"/>
      <c r="QB31" s="537"/>
      <c r="QC31" s="538"/>
      <c r="QD31" s="535"/>
      <c r="QE31" s="536"/>
      <c r="QF31" s="536"/>
      <c r="QG31" s="536"/>
      <c r="QH31" s="536"/>
      <c r="QI31" s="536"/>
      <c r="QJ31" s="537"/>
      <c r="QK31" s="538"/>
      <c r="QL31" s="535"/>
      <c r="QM31" s="536"/>
      <c r="QN31" s="536"/>
      <c r="QO31" s="536"/>
      <c r="QP31" s="536"/>
      <c r="QQ31" s="536"/>
      <c r="QR31" s="537"/>
      <c r="QS31" s="538"/>
      <c r="QT31" s="535"/>
      <c r="QU31" s="536"/>
      <c r="QV31" s="536"/>
      <c r="QW31" s="536"/>
      <c r="QX31" s="536"/>
      <c r="QY31" s="536"/>
      <c r="QZ31" s="537"/>
      <c r="RA31" s="538"/>
      <c r="RB31" s="535"/>
      <c r="RC31" s="536"/>
      <c r="RD31" s="536"/>
      <c r="RE31" s="536"/>
      <c r="RF31" s="536"/>
      <c r="RG31" s="536"/>
      <c r="RH31" s="537"/>
      <c r="RI31" s="538"/>
      <c r="RJ31" s="535"/>
      <c r="RK31" s="536"/>
      <c r="RL31" s="536"/>
      <c r="RM31" s="536"/>
      <c r="RN31" s="536"/>
      <c r="RO31" s="536"/>
      <c r="RP31" s="537"/>
      <c r="RQ31" s="538"/>
      <c r="RR31" s="535"/>
      <c r="RS31" s="536"/>
      <c r="RT31" s="536"/>
      <c r="RU31" s="536"/>
      <c r="RV31" s="536"/>
      <c r="RW31" s="536"/>
      <c r="RX31" s="537"/>
      <c r="RY31" s="538"/>
      <c r="RZ31" s="535"/>
      <c r="SA31" s="536"/>
      <c r="SB31" s="536"/>
      <c r="SC31" s="536"/>
      <c r="SD31" s="536"/>
      <c r="SE31" s="536"/>
      <c r="SF31" s="537"/>
      <c r="SG31" s="538"/>
      <c r="SH31" s="535"/>
      <c r="SI31" s="536"/>
      <c r="SJ31" s="536"/>
      <c r="SK31" s="536"/>
      <c r="SL31" s="536"/>
      <c r="SM31" s="536"/>
      <c r="SN31" s="537"/>
      <c r="SO31" s="538"/>
      <c r="SP31" s="535"/>
      <c r="SQ31" s="536"/>
      <c r="SR31" s="536"/>
      <c r="SS31" s="536"/>
      <c r="ST31" s="536"/>
      <c r="SU31" s="536"/>
      <c r="SV31" s="537"/>
      <c r="SW31" s="538"/>
      <c r="SX31" s="535"/>
      <c r="SY31" s="536"/>
      <c r="SZ31" s="536"/>
      <c r="TA31" s="536"/>
      <c r="TB31" s="536"/>
      <c r="TC31" s="536"/>
      <c r="TD31" s="537"/>
      <c r="TE31" s="538"/>
      <c r="TF31" s="535"/>
      <c r="TG31" s="536"/>
      <c r="TH31" s="536"/>
      <c r="TI31" s="536"/>
      <c r="TJ31" s="536"/>
      <c r="TK31" s="536"/>
      <c r="TL31" s="537"/>
      <c r="TM31" s="538"/>
      <c r="TN31" s="535"/>
      <c r="TO31" s="536"/>
      <c r="TP31" s="536"/>
      <c r="TQ31" s="536"/>
      <c r="TR31" s="536"/>
      <c r="TS31" s="536"/>
      <c r="TT31" s="537"/>
      <c r="TU31" s="538"/>
      <c r="TV31" s="535"/>
      <c r="TW31" s="536"/>
      <c r="TX31" s="536"/>
      <c r="TY31" s="536"/>
      <c r="TZ31" s="536"/>
      <c r="UA31" s="536"/>
      <c r="UB31" s="537"/>
      <c r="UC31" s="538"/>
      <c r="UD31" s="535"/>
      <c r="UE31" s="536"/>
      <c r="UF31" s="536"/>
      <c r="UG31" s="536"/>
      <c r="UH31" s="536"/>
      <c r="UI31" s="536"/>
      <c r="UJ31" s="536"/>
      <c r="UK31" s="540"/>
      <c r="UL31" s="535"/>
      <c r="UM31" s="536"/>
      <c r="UN31" s="536"/>
      <c r="UO31" s="536"/>
      <c r="UP31" s="536"/>
      <c r="UQ31" s="536"/>
      <c r="UR31" s="536"/>
      <c r="US31" s="536"/>
      <c r="UT31" s="540"/>
      <c r="UU31" s="535"/>
      <c r="UV31" s="536"/>
      <c r="UW31" s="536"/>
      <c r="UX31" s="536"/>
      <c r="UY31" s="536"/>
      <c r="UZ31" s="536"/>
      <c r="VA31" s="536"/>
      <c r="VB31" s="540"/>
      <c r="VC31" s="535"/>
      <c r="VD31" s="536"/>
      <c r="VE31" s="536"/>
      <c r="VF31" s="536"/>
      <c r="VG31" s="536"/>
      <c r="VH31" s="536"/>
      <c r="VI31" s="536"/>
      <c r="VJ31" s="540"/>
      <c r="VK31" s="520"/>
      <c r="VL31" s="521"/>
      <c r="VM31" s="521"/>
      <c r="VN31" s="521"/>
      <c r="VO31" s="521"/>
      <c r="VP31" s="521"/>
      <c r="VQ31" s="521"/>
      <c r="VR31" s="541"/>
      <c r="VS31" s="535"/>
      <c r="VT31" s="536"/>
      <c r="VU31" s="536"/>
      <c r="VV31" s="536"/>
      <c r="VW31" s="536"/>
      <c r="VX31" s="536"/>
      <c r="VY31" s="536"/>
      <c r="VZ31" s="540"/>
      <c r="WA31" s="542"/>
      <c r="WB31" s="543"/>
      <c r="WC31" s="543"/>
      <c r="WD31" s="543"/>
      <c r="WE31" s="543"/>
      <c r="WF31" s="543"/>
      <c r="WG31" s="543"/>
      <c r="WH31" s="544"/>
      <c r="WI31" s="545"/>
      <c r="WJ31" s="546"/>
      <c r="WK31" s="546"/>
      <c r="WL31" s="546"/>
      <c r="WM31" s="546"/>
      <c r="WN31" s="546"/>
      <c r="WO31" s="546"/>
      <c r="WP31" s="547"/>
      <c r="WQ31" s="520"/>
      <c r="WR31" s="521"/>
      <c r="WS31" s="521"/>
      <c r="WT31" s="521"/>
      <c r="WU31" s="521"/>
      <c r="WV31" s="521"/>
      <c r="WW31" s="521"/>
      <c r="WX31" s="543"/>
      <c r="WY31" s="544"/>
      <c r="WZ31" s="520"/>
      <c r="XA31" s="521"/>
      <c r="XB31" s="521"/>
      <c r="XC31" s="521"/>
      <c r="XD31" s="521"/>
      <c r="XE31" s="521"/>
      <c r="XF31" s="521"/>
      <c r="XG31" s="543"/>
      <c r="XH31" s="544"/>
      <c r="XI31" s="520"/>
      <c r="XJ31" s="521"/>
      <c r="XK31" s="521"/>
      <c r="XL31" s="521"/>
      <c r="XM31" s="521"/>
      <c r="XN31" s="521"/>
      <c r="XO31" s="521"/>
      <c r="XP31" s="543"/>
      <c r="XQ31" s="544"/>
      <c r="XR31" s="520"/>
      <c r="XS31" s="521"/>
      <c r="XT31" s="521"/>
      <c r="XU31" s="521"/>
      <c r="XV31" s="521"/>
      <c r="XW31" s="521"/>
      <c r="XX31" s="521"/>
      <c r="XY31" s="543"/>
      <c r="XZ31" s="544"/>
      <c r="YA31" s="520"/>
      <c r="YB31" s="521"/>
      <c r="YC31" s="521"/>
      <c r="YD31" s="521"/>
      <c r="YE31" s="521"/>
      <c r="YF31" s="521"/>
      <c r="YG31" s="521"/>
      <c r="YH31" s="543"/>
      <c r="YI31" s="544"/>
      <c r="YJ31" s="524"/>
      <c r="YK31" s="525"/>
      <c r="YL31" s="525"/>
      <c r="YM31" s="525"/>
      <c r="YN31" s="525"/>
      <c r="YO31" s="525"/>
      <c r="YP31" s="525"/>
      <c r="YQ31" s="543"/>
      <c r="YR31" s="544"/>
      <c r="YS31" s="520"/>
      <c r="YT31" s="521"/>
      <c r="YU31" s="521"/>
      <c r="YV31" s="521"/>
      <c r="YW31" s="521"/>
      <c r="YX31" s="521"/>
      <c r="YY31" s="543"/>
      <c r="YZ31" s="544"/>
      <c r="ZA31" s="520"/>
      <c r="ZB31" s="521"/>
      <c r="ZC31" s="521"/>
      <c r="ZD31" s="521"/>
      <c r="ZE31" s="521"/>
      <c r="ZF31" s="521"/>
      <c r="ZG31" s="543"/>
      <c r="ZH31" s="544"/>
      <c r="ZI31" s="542"/>
      <c r="ZJ31" s="543"/>
      <c r="ZK31" s="543"/>
      <c r="ZL31" s="543"/>
      <c r="ZM31" s="543"/>
      <c r="ZN31" s="548"/>
      <c r="ZO31" s="543"/>
      <c r="ZP31" s="544"/>
      <c r="ZQ31" s="520"/>
      <c r="ZR31" s="521"/>
      <c r="ZS31" s="521"/>
      <c r="ZT31" s="521"/>
      <c r="ZU31" s="521"/>
      <c r="ZV31" s="521"/>
      <c r="ZW31" s="521"/>
      <c r="ZX31" s="543"/>
      <c r="ZY31" s="549"/>
      <c r="ZZ31" s="520"/>
      <c r="AAA31" s="521"/>
      <c r="AAB31" s="521"/>
      <c r="AAC31" s="521"/>
      <c r="AAD31" s="521"/>
      <c r="AAE31" s="521"/>
      <c r="AAF31" s="521"/>
      <c r="AAG31" s="543"/>
      <c r="AAH31" s="544"/>
      <c r="AAI31" s="520"/>
      <c r="AAJ31" s="521"/>
      <c r="AAK31" s="521"/>
      <c r="AAL31" s="521"/>
      <c r="AAM31" s="521"/>
      <c r="AAN31" s="521"/>
      <c r="AAO31" s="543"/>
      <c r="AAP31" s="544"/>
      <c r="AAQ31" s="520"/>
      <c r="AAR31" s="521"/>
      <c r="AAS31" s="521"/>
      <c r="AAT31" s="521"/>
      <c r="AAU31" s="521"/>
      <c r="AAV31" s="521"/>
      <c r="AAW31" s="543"/>
      <c r="AAX31" s="544"/>
      <c r="AAY31" s="520"/>
      <c r="AAZ31" s="521"/>
      <c r="ABA31" s="521"/>
      <c r="ABB31" s="521"/>
      <c r="ABC31" s="521"/>
      <c r="ABD31" s="521"/>
      <c r="ABE31" s="543"/>
      <c r="ABF31" s="544"/>
      <c r="ABG31" s="520"/>
      <c r="ABH31" s="521"/>
      <c r="ABI31" s="521"/>
      <c r="ABJ31" s="521"/>
      <c r="ABK31" s="521"/>
      <c r="ABL31" s="521"/>
      <c r="ABM31" s="543"/>
      <c r="ABN31" s="544"/>
      <c r="ABO31" s="520"/>
      <c r="ABP31" s="521"/>
      <c r="ABQ31" s="521"/>
      <c r="ABR31" s="521"/>
      <c r="ABS31" s="521"/>
      <c r="ABT31" s="521"/>
      <c r="ABU31" s="543"/>
      <c r="ABV31" s="544"/>
      <c r="ABW31" s="520"/>
      <c r="ABX31" s="521"/>
      <c r="ABY31" s="521"/>
      <c r="ABZ31" s="521"/>
      <c r="ACA31" s="521"/>
      <c r="ACB31" s="521"/>
      <c r="ACC31" s="543"/>
      <c r="ACD31" s="544"/>
      <c r="ACE31" s="453"/>
      <c r="ACF31" s="521"/>
      <c r="ACG31" s="521"/>
      <c r="ACH31" s="521"/>
      <c r="ACI31" s="521"/>
      <c r="ACJ31" s="521"/>
      <c r="ACK31" s="543"/>
      <c r="ACL31" s="544"/>
      <c r="ACM31" s="520"/>
      <c r="ACN31" s="521"/>
      <c r="ACO31" s="521"/>
      <c r="ACP31" s="521"/>
      <c r="ACQ31" s="521"/>
      <c r="ACR31" s="521"/>
      <c r="ACS31" s="543"/>
      <c r="ACT31" s="544"/>
      <c r="ACU31" s="520"/>
      <c r="ACV31" s="521"/>
      <c r="ACW31" s="521"/>
      <c r="ACX31" s="521"/>
      <c r="ACY31" s="521"/>
      <c r="ACZ31" s="521"/>
      <c r="ADA31" s="543"/>
      <c r="ADB31" s="544"/>
      <c r="ADC31" s="520"/>
      <c r="ADD31" s="521"/>
      <c r="ADE31" s="521"/>
      <c r="ADF31" s="521"/>
      <c r="ADG31" s="521"/>
      <c r="ADH31" s="521"/>
      <c r="ADI31" s="543"/>
      <c r="ADJ31" s="544"/>
      <c r="ADK31" s="520"/>
      <c r="ADL31" s="521"/>
      <c r="ADM31" s="521"/>
      <c r="ADN31" s="521"/>
      <c r="ADO31" s="521"/>
      <c r="ADP31" s="521"/>
      <c r="ADQ31" s="543"/>
      <c r="ADR31" s="544"/>
      <c r="ADS31" s="520"/>
      <c r="ADT31" s="521"/>
      <c r="ADU31" s="521"/>
      <c r="ADV31" s="521"/>
      <c r="ADW31" s="521"/>
      <c r="ADX31" s="521"/>
      <c r="ADY31" s="543"/>
      <c r="ADZ31" s="544"/>
      <c r="AEA31" s="520"/>
      <c r="AEB31" s="521"/>
      <c r="AEC31" s="521"/>
      <c r="AED31" s="521"/>
      <c r="AEE31" s="521"/>
      <c r="AEF31" s="521"/>
      <c r="AEG31" s="543"/>
      <c r="AEH31" s="544"/>
      <c r="AEI31" s="520"/>
      <c r="AEJ31" s="521"/>
      <c r="AEK31" s="521"/>
      <c r="AEL31" s="521"/>
      <c r="AEM31" s="521"/>
      <c r="AEN31" s="521"/>
      <c r="AEO31" s="543"/>
      <c r="AEP31" s="544"/>
      <c r="AEQ31" s="520"/>
      <c r="AER31" s="521"/>
      <c r="AES31" s="521"/>
      <c r="AET31" s="521"/>
      <c r="AEU31" s="521"/>
      <c r="AEV31" s="521"/>
      <c r="AEW31" s="543"/>
      <c r="AEX31" s="544"/>
      <c r="AEY31" s="520"/>
      <c r="AEZ31" s="521"/>
      <c r="AFA31" s="521"/>
      <c r="AFB31" s="521"/>
      <c r="AFC31" s="521"/>
      <c r="AFD31" s="521"/>
      <c r="AFE31" s="543"/>
      <c r="AFF31" s="544"/>
      <c r="AFG31" s="520"/>
      <c r="AFH31" s="521"/>
      <c r="AFI31" s="521"/>
      <c r="AFJ31" s="521"/>
      <c r="AFK31" s="521"/>
      <c r="AFL31" s="521"/>
      <c r="AFM31" s="543"/>
      <c r="AFN31" s="544"/>
      <c r="AFO31" s="520"/>
      <c r="AFP31" s="521"/>
      <c r="AFQ31" s="521"/>
      <c r="AFR31" s="521"/>
      <c r="AFS31" s="521"/>
      <c r="AFT31" s="521"/>
      <c r="AFU31" s="543"/>
      <c r="AFV31" s="544"/>
      <c r="AFW31" s="520"/>
      <c r="AFX31" s="521"/>
      <c r="AFY31" s="521"/>
      <c r="AFZ31" s="521"/>
      <c r="AGA31" s="521"/>
      <c r="AGB31" s="521"/>
      <c r="AGC31" s="543"/>
      <c r="AGD31" s="544"/>
      <c r="AGE31" s="520"/>
      <c r="AGF31" s="521"/>
      <c r="AGG31" s="521"/>
      <c r="AGH31" s="521"/>
      <c r="AGI31" s="521"/>
      <c r="AGJ31" s="521"/>
      <c r="AGK31" s="543"/>
      <c r="AGL31" s="544"/>
      <c r="AGM31" s="520"/>
      <c r="AGN31" s="521"/>
      <c r="AGO31" s="521"/>
      <c r="AGP31" s="521"/>
      <c r="AGQ31" s="521"/>
      <c r="AGR31" s="521"/>
      <c r="AGS31" s="521"/>
      <c r="AGT31" s="543"/>
      <c r="AGU31" s="544"/>
      <c r="AGV31" s="520"/>
      <c r="AGW31" s="521"/>
      <c r="AGX31" s="521"/>
      <c r="AGY31" s="521"/>
      <c r="AGZ31" s="521"/>
      <c r="AHA31" s="521"/>
      <c r="AHB31" s="543"/>
      <c r="AHC31" s="544"/>
      <c r="AHD31" s="520"/>
      <c r="AHE31" s="521"/>
      <c r="AHF31" s="521"/>
      <c r="AHG31" s="521"/>
      <c r="AHH31" s="521"/>
      <c r="AHI31" s="521"/>
      <c r="AHJ31" s="543"/>
      <c r="AHK31" s="544"/>
      <c r="AHL31" s="520"/>
      <c r="AHM31" s="521"/>
      <c r="AHN31" s="521"/>
      <c r="AHO31" s="521"/>
      <c r="AHP31" s="521"/>
      <c r="AHQ31" s="521"/>
      <c r="AHR31" s="543"/>
      <c r="AHS31" s="544"/>
      <c r="AHT31" s="520"/>
      <c r="AHU31" s="521"/>
      <c r="AHV31" s="521"/>
      <c r="AHW31" s="521"/>
      <c r="AHX31" s="521"/>
      <c r="AHY31" s="521"/>
      <c r="AHZ31" s="543"/>
      <c r="AIA31" s="544"/>
      <c r="AIB31" s="520"/>
      <c r="AIC31" s="521"/>
      <c r="AID31" s="521"/>
      <c r="AIE31" s="521"/>
      <c r="AIF31" s="521"/>
      <c r="AIG31" s="521"/>
      <c r="AIH31" s="543"/>
      <c r="AII31" s="544"/>
      <c r="AIJ31" s="520"/>
      <c r="AIK31" s="521"/>
      <c r="AIL31" s="521"/>
      <c r="AIM31" s="521"/>
      <c r="AIN31" s="521"/>
      <c r="AIO31" s="521"/>
      <c r="AIP31" s="543"/>
      <c r="AIQ31" s="544"/>
      <c r="AIR31" s="520"/>
      <c r="AIS31" s="521"/>
      <c r="AIT31" s="521"/>
      <c r="AIU31" s="521"/>
      <c r="AIV31" s="521"/>
      <c r="AIW31" s="521"/>
      <c r="AIX31" s="543"/>
      <c r="AIY31" s="544"/>
      <c r="AIZ31" s="550"/>
      <c r="AJA31" s="522"/>
      <c r="AJB31" s="522"/>
      <c r="AJC31" s="522"/>
      <c r="AJD31" s="522"/>
      <c r="AJE31" s="522"/>
      <c r="AJF31" s="522"/>
      <c r="AJG31" s="523"/>
      <c r="AJH31" s="520"/>
      <c r="AJI31" s="521"/>
      <c r="AJJ31" s="521"/>
      <c r="AJK31" s="521"/>
      <c r="AJL31" s="521"/>
      <c r="AJM31" s="521"/>
      <c r="AJN31" s="522"/>
      <c r="AJO31" s="523"/>
      <c r="AJP31" s="520"/>
      <c r="AJQ31" s="521"/>
      <c r="AJR31" s="521"/>
      <c r="AJS31" s="521"/>
      <c r="AJT31" s="521"/>
      <c r="AJU31" s="521"/>
      <c r="AJV31" s="522"/>
      <c r="AJW31" s="523"/>
      <c r="AJX31" s="520"/>
      <c r="AJY31" s="521"/>
      <c r="AJZ31" s="521"/>
      <c r="AKA31" s="521"/>
      <c r="AKB31" s="521"/>
      <c r="AKC31" s="521"/>
      <c r="AKD31" s="522"/>
      <c r="AKE31" s="523"/>
      <c r="AKF31" s="520"/>
      <c r="AKG31" s="521"/>
      <c r="AKH31" s="521"/>
      <c r="AKI31" s="521"/>
      <c r="AKJ31" s="521"/>
      <c r="AKK31" s="521"/>
      <c r="AKL31" s="522"/>
      <c r="AKM31" s="551"/>
      <c r="AKN31" s="552"/>
      <c r="AKO31" s="521"/>
      <c r="AKP31" s="521"/>
      <c r="AKQ31" s="521"/>
      <c r="AKR31" s="521"/>
      <c r="AKS31" s="521"/>
      <c r="AKT31" s="522"/>
      <c r="AKU31" s="551"/>
      <c r="AKV31" s="520"/>
      <c r="AKW31" s="521"/>
      <c r="AKX31" s="521"/>
      <c r="AKY31" s="521"/>
      <c r="AKZ31" s="521"/>
      <c r="ALA31" s="521"/>
      <c r="ALB31" s="522"/>
      <c r="ALC31" s="523"/>
      <c r="ALD31" s="550"/>
      <c r="ALE31" s="522"/>
      <c r="ALF31" s="522"/>
      <c r="ALG31" s="522"/>
      <c r="ALH31" s="522"/>
      <c r="ALI31" s="522"/>
      <c r="ALJ31" s="522"/>
      <c r="ALK31" s="523"/>
      <c r="ALL31" s="550"/>
      <c r="ALM31" s="522"/>
      <c r="ALN31" s="522"/>
      <c r="ALO31" s="522"/>
      <c r="ALP31" s="522"/>
      <c r="ALQ31" s="522"/>
      <c r="ALR31" s="522"/>
      <c r="ALS31" s="523"/>
      <c r="ALT31" s="520"/>
      <c r="ALU31" s="521"/>
      <c r="ALV31" s="521"/>
      <c r="ALW31" s="521"/>
      <c r="ALX31" s="521"/>
      <c r="ALY31" s="521"/>
      <c r="ALZ31" s="522"/>
      <c r="AMA31" s="523"/>
      <c r="AMB31" s="453"/>
      <c r="AMC31" s="521"/>
      <c r="AMD31" s="521"/>
      <c r="AME31" s="521"/>
      <c r="AMF31" s="521"/>
      <c r="AMG31" s="521"/>
      <c r="AMH31" s="522"/>
      <c r="AMI31" s="523"/>
      <c r="AMJ31" s="520"/>
      <c r="AMK31" s="521"/>
      <c r="AML31" s="521"/>
      <c r="AMM31" s="521"/>
      <c r="AMN31" s="521"/>
      <c r="AMO31" s="521"/>
      <c r="AMP31" s="521"/>
      <c r="AMQ31" s="541"/>
      <c r="AMR31" s="520"/>
      <c r="AMS31" s="521"/>
      <c r="AMT31" s="521"/>
      <c r="AMU31" s="521"/>
      <c r="AMV31" s="521"/>
      <c r="AMW31" s="521"/>
      <c r="AMX31" s="521"/>
      <c r="AMY31" s="541"/>
      <c r="AMZ31" s="520"/>
      <c r="ANA31" s="521"/>
      <c r="ANB31" s="521"/>
      <c r="ANC31" s="521"/>
      <c r="AND31" s="521"/>
      <c r="ANE31" s="521"/>
      <c r="ANF31" s="521"/>
      <c r="ANG31" s="541"/>
      <c r="ANH31" s="520"/>
      <c r="ANI31" s="521"/>
      <c r="ANJ31" s="521"/>
      <c r="ANK31" s="521"/>
      <c r="ANL31" s="521"/>
      <c r="ANM31" s="521"/>
      <c r="ANN31" s="521"/>
      <c r="ANO31" s="541"/>
      <c r="ANP31" s="520"/>
      <c r="ANQ31" s="521"/>
      <c r="ANR31" s="521"/>
      <c r="ANS31" s="521"/>
      <c r="ANT31" s="521"/>
      <c r="ANU31" s="521"/>
      <c r="ANV31" s="521"/>
      <c r="ANW31" s="541"/>
      <c r="ANX31" s="520"/>
      <c r="ANY31" s="521"/>
      <c r="ANZ31" s="521"/>
      <c r="AOA31" s="521"/>
      <c r="AOB31" s="521"/>
      <c r="AOC31" s="521"/>
      <c r="AOD31" s="521"/>
      <c r="AOE31" s="541"/>
      <c r="AOF31" s="520"/>
      <c r="AOG31" s="521"/>
      <c r="AOH31" s="521"/>
      <c r="AOI31" s="521"/>
      <c r="AOJ31" s="521"/>
      <c r="AOK31" s="521"/>
      <c r="AOL31" s="521"/>
      <c r="AOM31" s="541"/>
      <c r="AON31" s="520"/>
      <c r="AOO31" s="521"/>
      <c r="AOP31" s="521"/>
      <c r="AOQ31" s="521"/>
      <c r="AOR31" s="521"/>
      <c r="AOS31" s="521"/>
      <c r="AOT31" s="521"/>
      <c r="AOU31" s="541"/>
      <c r="AOV31" s="542"/>
      <c r="AOW31" s="543"/>
      <c r="AOX31" s="543"/>
      <c r="AOY31" s="543"/>
      <c r="AOZ31" s="543"/>
      <c r="APA31" s="543"/>
      <c r="APB31" s="543"/>
      <c r="APC31" s="544"/>
      <c r="APD31" s="520"/>
      <c r="APE31" s="521"/>
      <c r="APF31" s="521"/>
      <c r="APG31" s="521"/>
      <c r="APH31" s="521"/>
      <c r="API31" s="521"/>
      <c r="APJ31" s="543"/>
      <c r="APK31" s="544"/>
      <c r="APL31" s="520"/>
      <c r="APM31" s="521"/>
      <c r="APN31" s="521"/>
      <c r="APO31" s="521"/>
      <c r="APP31" s="521"/>
      <c r="APQ31" s="521"/>
      <c r="APR31" s="521"/>
      <c r="APS31" s="541"/>
      <c r="APT31" s="520"/>
      <c r="APU31" s="521"/>
      <c r="APV31" s="521"/>
      <c r="APW31" s="521"/>
      <c r="APX31" s="521"/>
      <c r="APY31" s="521"/>
      <c r="APZ31" s="521"/>
      <c r="AQA31" s="541"/>
      <c r="AQB31" s="520"/>
      <c r="AQC31" s="521"/>
      <c r="AQD31" s="521"/>
      <c r="AQE31" s="521"/>
      <c r="AQF31" s="521"/>
      <c r="AQG31" s="521"/>
      <c r="AQH31" s="521"/>
      <c r="AQI31" s="541"/>
      <c r="AQJ31" s="520"/>
      <c r="AQK31" s="521"/>
      <c r="AQL31" s="521"/>
      <c r="AQM31" s="521"/>
      <c r="AQN31" s="521"/>
      <c r="AQO31" s="521"/>
      <c r="AQP31" s="521"/>
      <c r="AQQ31" s="541"/>
      <c r="AQR31" s="520"/>
      <c r="AQS31" s="521"/>
      <c r="AQT31" s="521"/>
      <c r="AQU31" s="521"/>
      <c r="AQV31" s="521"/>
      <c r="AQW31" s="521"/>
      <c r="AQX31" s="521"/>
      <c r="AQY31" s="541"/>
      <c r="AQZ31" s="520"/>
      <c r="ARA31" s="521"/>
      <c r="ARB31" s="521"/>
      <c r="ARC31" s="521"/>
      <c r="ARD31" s="521"/>
      <c r="ARE31" s="521"/>
      <c r="ARF31" s="521"/>
      <c r="ARG31" s="541"/>
      <c r="ARH31" s="520"/>
      <c r="ARI31" s="521"/>
      <c r="ARJ31" s="521"/>
      <c r="ARK31" s="521"/>
      <c r="ARL31" s="521"/>
      <c r="ARM31" s="521"/>
      <c r="ARN31" s="521"/>
      <c r="ARO31" s="541"/>
      <c r="ARP31" s="520"/>
      <c r="ARQ31" s="521"/>
      <c r="ARR31" s="521"/>
      <c r="ARS31" s="521"/>
      <c r="ART31" s="521"/>
      <c r="ARU31" s="521"/>
      <c r="ARV31" s="521"/>
      <c r="ARW31" s="541"/>
      <c r="ARX31" s="520"/>
      <c r="ARY31" s="521"/>
      <c r="ARZ31" s="521"/>
      <c r="ASA31" s="521"/>
      <c r="ASB31" s="521"/>
      <c r="ASC31" s="521"/>
      <c r="ASD31" s="521"/>
      <c r="ASE31" s="541"/>
      <c r="ASF31" s="520"/>
      <c r="ASG31" s="521"/>
      <c r="ASH31" s="521"/>
      <c r="ASI31" s="521"/>
      <c r="ASJ31" s="521"/>
      <c r="ASK31" s="521"/>
      <c r="ASL31" s="521"/>
      <c r="ASM31" s="541"/>
      <c r="ASN31" s="520"/>
      <c r="ASO31" s="521"/>
      <c r="ASP31" s="521"/>
      <c r="ASQ31" s="521"/>
      <c r="ASR31" s="521"/>
      <c r="ASS31" s="521"/>
      <c r="AST31" s="521"/>
      <c r="ASU31" s="541"/>
      <c r="ASV31" s="520"/>
      <c r="ASW31" s="521"/>
      <c r="ASX31" s="521"/>
      <c r="ASY31" s="521"/>
      <c r="ASZ31" s="521"/>
      <c r="ATA31" s="521"/>
      <c r="ATB31" s="553"/>
      <c r="ATC31" s="554"/>
      <c r="ATD31" s="520"/>
      <c r="ATE31" s="521"/>
      <c r="ATF31" s="521"/>
      <c r="ATG31" s="521"/>
      <c r="ATH31" s="521"/>
      <c r="ATI31" s="521"/>
      <c r="ATJ31" s="521"/>
      <c r="ATK31" s="541"/>
      <c r="ATL31" s="520"/>
      <c r="ATM31" s="521"/>
      <c r="ATN31" s="521"/>
      <c r="ATO31" s="521"/>
      <c r="ATP31" s="521"/>
      <c r="ATQ31" s="521"/>
      <c r="ATR31" s="521"/>
      <c r="ATS31" s="541"/>
      <c r="ATT31" s="520"/>
      <c r="ATU31" s="521"/>
      <c r="ATV31" s="521"/>
      <c r="ATW31" s="521"/>
      <c r="ATX31" s="521"/>
      <c r="ATY31" s="521"/>
      <c r="ATZ31" s="521"/>
      <c r="AUA31" s="541"/>
      <c r="AUB31" s="520"/>
      <c r="AUC31" s="521"/>
      <c r="AUD31" s="521"/>
      <c r="AUE31" s="521"/>
      <c r="AUF31" s="521"/>
      <c r="AUG31" s="521"/>
      <c r="AUH31" s="521"/>
      <c r="AUI31" s="541"/>
      <c r="AUJ31" s="550"/>
      <c r="AUK31" s="522"/>
      <c r="AUL31" s="522"/>
      <c r="AUM31" s="522"/>
      <c r="AUN31" s="522"/>
      <c r="AUO31" s="522"/>
      <c r="AUP31" s="521"/>
      <c r="AUQ31" s="541"/>
      <c r="AUR31" s="520"/>
      <c r="AUS31" s="521"/>
      <c r="AUT31" s="521"/>
      <c r="AUU31" s="521"/>
      <c r="AUV31" s="521"/>
      <c r="AUW31" s="521"/>
      <c r="AUX31" s="521"/>
      <c r="AUY31" s="541"/>
      <c r="AUZ31" s="520"/>
      <c r="AVA31" s="521"/>
      <c r="AVB31" s="521"/>
      <c r="AVC31" s="521"/>
      <c r="AVD31" s="521"/>
      <c r="AVE31" s="521"/>
      <c r="AVF31" s="521"/>
      <c r="AVG31" s="541"/>
      <c r="AVH31" s="520"/>
      <c r="AVI31" s="521"/>
      <c r="AVJ31" s="521"/>
      <c r="AVK31" s="521"/>
      <c r="AVL31" s="521"/>
      <c r="AVM31" s="521"/>
      <c r="AVN31" s="521"/>
      <c r="AVO31" s="541"/>
      <c r="AVP31" s="520"/>
      <c r="AVQ31" s="521"/>
      <c r="AVR31" s="521"/>
      <c r="AVS31" s="521"/>
      <c r="AVT31" s="521"/>
      <c r="AVU31" s="521"/>
      <c r="AVV31" s="521"/>
      <c r="AVW31" s="541"/>
      <c r="AVX31" s="520"/>
      <c r="AVY31" s="521"/>
      <c r="AVZ31" s="521"/>
      <c r="AWA31" s="521"/>
      <c r="AWB31" s="521"/>
      <c r="AWC31" s="521"/>
      <c r="AWD31" s="522"/>
      <c r="AWE31" s="523"/>
      <c r="AWF31" s="520"/>
      <c r="AWG31" s="521"/>
      <c r="AWH31" s="521"/>
      <c r="AWI31" s="521"/>
      <c r="AWJ31" s="521"/>
      <c r="AWK31" s="521"/>
      <c r="AWL31" s="522"/>
      <c r="AWM31" s="551"/>
      <c r="AWN31" s="520"/>
      <c r="AWO31" s="521"/>
      <c r="AWP31" s="521"/>
      <c r="AWQ31" s="521"/>
      <c r="AWR31" s="521"/>
      <c r="AWS31" s="521"/>
      <c r="AWT31" s="522"/>
      <c r="AWU31" s="523"/>
      <c r="AWV31" s="520"/>
      <c r="AWW31" s="521"/>
      <c r="AWX31" s="521"/>
      <c r="AWY31" s="521"/>
      <c r="AWZ31" s="521"/>
      <c r="AXA31" s="521"/>
      <c r="AXB31" s="522"/>
      <c r="AXC31" s="523"/>
      <c r="AXD31" s="520"/>
      <c r="AXE31" s="521"/>
      <c r="AXF31" s="521"/>
      <c r="AXG31" s="521"/>
      <c r="AXH31" s="521"/>
      <c r="AXI31" s="521"/>
      <c r="AXJ31" s="522"/>
      <c r="AXK31" s="523"/>
      <c r="AXL31" s="520"/>
      <c r="AXM31" s="521"/>
      <c r="AXN31" s="521"/>
      <c r="AXO31" s="521"/>
      <c r="AXP31" s="521"/>
      <c r="AXQ31" s="521"/>
      <c r="AXR31" s="522"/>
      <c r="AXS31" s="523"/>
      <c r="AXT31" s="520"/>
      <c r="AXU31" s="526"/>
      <c r="AXV31" s="526"/>
      <c r="AXW31" s="526"/>
      <c r="AXX31" s="526"/>
      <c r="AXY31" s="526"/>
      <c r="AXZ31" s="522"/>
      <c r="AYA31" s="523"/>
      <c r="AYB31" s="520"/>
      <c r="AYC31" s="521"/>
      <c r="AYD31" s="521"/>
      <c r="AYE31" s="521"/>
      <c r="AYF31" s="521"/>
      <c r="AYG31" s="521"/>
      <c r="AYH31" s="522"/>
      <c r="AYI31" s="523"/>
      <c r="AYJ31" s="520"/>
      <c r="AYK31" s="521"/>
      <c r="AYL31" s="521"/>
      <c r="AYM31" s="521"/>
      <c r="AYN31" s="521"/>
      <c r="AYO31" s="521"/>
      <c r="AYP31" s="522"/>
      <c r="AYQ31" s="523"/>
      <c r="AYR31" s="520"/>
      <c r="AYS31" s="521"/>
      <c r="AYT31" s="521"/>
      <c r="AYU31" s="521"/>
      <c r="AYV31" s="521"/>
      <c r="AYW31" s="521"/>
      <c r="AYX31" s="522"/>
      <c r="AYY31" s="523"/>
      <c r="AYZ31" s="520"/>
      <c r="AZA31" s="521"/>
      <c r="AZB31" s="521"/>
      <c r="AZC31" s="521"/>
      <c r="AZD31" s="521"/>
      <c r="AZE31" s="521"/>
      <c r="AZF31" s="522"/>
      <c r="AZG31" s="523"/>
      <c r="AZH31" s="520"/>
      <c r="AZI31" s="521"/>
      <c r="AZJ31" s="521"/>
      <c r="AZK31" s="521"/>
      <c r="AZL31" s="521"/>
      <c r="AZM31" s="521"/>
      <c r="AZN31" s="522"/>
      <c r="AZO31" s="523"/>
      <c r="AZP31" s="520"/>
      <c r="AZQ31" s="521"/>
      <c r="AZR31" s="521"/>
      <c r="AZS31" s="521"/>
      <c r="AZT31" s="521"/>
      <c r="AZU31" s="521"/>
      <c r="AZV31" s="522"/>
      <c r="AZW31" s="523"/>
      <c r="AZX31" s="520"/>
      <c r="AZY31" s="521"/>
      <c r="AZZ31" s="521"/>
      <c r="BAA31" s="521"/>
      <c r="BAB31" s="521"/>
      <c r="BAC31" s="521"/>
      <c r="BAD31" s="522"/>
      <c r="BAE31" s="523"/>
      <c r="BAF31" s="520"/>
      <c r="BAG31" s="521"/>
      <c r="BAH31" s="521"/>
      <c r="BAI31" s="521"/>
      <c r="BAJ31" s="521"/>
      <c r="BAK31" s="521"/>
      <c r="BAL31" s="522"/>
      <c r="BAM31" s="523"/>
      <c r="BAN31" s="520"/>
      <c r="BAO31" s="521"/>
      <c r="BAP31" s="521"/>
      <c r="BAQ31" s="521"/>
      <c r="BAR31" s="521"/>
      <c r="BAS31" s="521"/>
      <c r="BAT31" s="522"/>
      <c r="BAU31" s="523"/>
      <c r="BAV31" s="520"/>
      <c r="BAW31" s="521"/>
      <c r="BAX31" s="521"/>
      <c r="BAY31" s="521"/>
      <c r="BAZ31" s="521"/>
      <c r="BBA31" s="521"/>
      <c r="BBB31" s="522"/>
      <c r="BBC31" s="523"/>
      <c r="BBD31" s="520"/>
      <c r="BBE31" s="521"/>
      <c r="BBF31" s="521"/>
      <c r="BBG31" s="521"/>
      <c r="BBH31" s="521"/>
      <c r="BBI31" s="521"/>
      <c r="BBJ31" s="522"/>
      <c r="BBK31" s="523"/>
      <c r="BBL31" s="520"/>
      <c r="BBM31" s="521"/>
      <c r="BBN31" s="521"/>
      <c r="BBO31" s="521"/>
      <c r="BBP31" s="521"/>
      <c r="BBQ31" s="521"/>
      <c r="BBR31" s="522"/>
      <c r="BBS31" s="523"/>
      <c r="BBT31" s="520"/>
      <c r="BBU31" s="521"/>
      <c r="BBV31" s="521"/>
      <c r="BBW31" s="521"/>
      <c r="BBX31" s="521"/>
      <c r="BBY31" s="521"/>
      <c r="BBZ31" s="522"/>
      <c r="BCA31" s="523"/>
      <c r="BCB31" s="520"/>
      <c r="BCC31" s="521"/>
      <c r="BCD31" s="521"/>
      <c r="BCE31" s="521"/>
      <c r="BCF31" s="521"/>
      <c r="BCG31" s="521"/>
      <c r="BCH31" s="522"/>
      <c r="BCI31" s="523"/>
      <c r="BCJ31" s="520"/>
      <c r="BCK31" s="521"/>
      <c r="BCL31" s="521"/>
      <c r="BCM31" s="521"/>
      <c r="BCN31" s="521"/>
      <c r="BCO31" s="521"/>
      <c r="BCP31" s="522"/>
      <c r="BCQ31" s="523"/>
      <c r="BCR31" s="520"/>
      <c r="BCS31" s="521"/>
      <c r="BCT31" s="521"/>
      <c r="BCU31" s="521"/>
      <c r="BCV31" s="521"/>
      <c r="BCW31" s="521"/>
      <c r="BCX31" s="522"/>
      <c r="BCY31" s="523"/>
      <c r="BCZ31" s="520"/>
      <c r="BDA31" s="521"/>
      <c r="BDB31" s="521"/>
      <c r="BDC31" s="521"/>
      <c r="BDD31" s="521"/>
      <c r="BDE31" s="521"/>
      <c r="BDF31" s="522"/>
      <c r="BDG31" s="523"/>
      <c r="BDH31" s="520"/>
      <c r="BDI31" s="521"/>
      <c r="BDJ31" s="521"/>
      <c r="BDK31" s="521"/>
      <c r="BDL31" s="521"/>
      <c r="BDM31" s="521"/>
      <c r="BDN31" s="522"/>
      <c r="BDO31" s="523"/>
      <c r="BDP31" s="520"/>
      <c r="BDQ31" s="521"/>
      <c r="BDR31" s="521"/>
      <c r="BDS31" s="521"/>
      <c r="BDT31" s="521"/>
      <c r="BDU31" s="521"/>
      <c r="BDV31" s="522"/>
      <c r="BDW31" s="523"/>
      <c r="BDX31" s="520"/>
      <c r="BDY31" s="521"/>
      <c r="BDZ31" s="521"/>
      <c r="BEA31" s="521"/>
      <c r="BEB31" s="521"/>
      <c r="BEC31" s="521"/>
      <c r="BED31" s="522"/>
      <c r="BEE31" s="523"/>
      <c r="BEF31" s="520"/>
      <c r="BEG31" s="521"/>
      <c r="BEH31" s="521"/>
      <c r="BEI31" s="521"/>
      <c r="BEJ31" s="521"/>
      <c r="BEK31" s="521"/>
      <c r="BEL31" s="522"/>
      <c r="BEM31" s="523"/>
      <c r="BEN31" s="520"/>
      <c r="BEO31" s="521"/>
      <c r="BEP31" s="521"/>
      <c r="BEQ31" s="521"/>
      <c r="BER31" s="521"/>
      <c r="BES31" s="521"/>
      <c r="BET31" s="522"/>
      <c r="BEU31" s="523"/>
      <c r="BEV31" s="520"/>
      <c r="BEW31" s="521"/>
      <c r="BEX31" s="521"/>
      <c r="BEY31" s="521"/>
      <c r="BEZ31" s="521"/>
      <c r="BFA31" s="521"/>
      <c r="BFB31" s="522"/>
      <c r="BFC31" s="523"/>
      <c r="BFD31" s="520"/>
      <c r="BFE31" s="521"/>
      <c r="BFF31" s="521"/>
      <c r="BFG31" s="521"/>
      <c r="BFH31" s="521"/>
      <c r="BFI31" s="521"/>
      <c r="BFJ31" s="522"/>
      <c r="BFK31" s="523"/>
      <c r="BFL31" s="520"/>
      <c r="BFM31" s="521"/>
      <c r="BFN31" s="521"/>
      <c r="BFO31" s="521"/>
      <c r="BFP31" s="521"/>
      <c r="BFQ31" s="521"/>
      <c r="BFR31" s="522"/>
      <c r="BFS31" s="523"/>
      <c r="BFT31" s="520"/>
      <c r="BFU31" s="521"/>
      <c r="BFV31" s="521"/>
      <c r="BFW31" s="521"/>
      <c r="BFX31" s="521"/>
      <c r="BFY31" s="521"/>
      <c r="BFZ31" s="522"/>
      <c r="BGA31" s="523"/>
      <c r="BGB31" s="520"/>
      <c r="BGC31" s="521"/>
      <c r="BGD31" s="521"/>
      <c r="BGE31" s="521"/>
      <c r="BGF31" s="521"/>
      <c r="BGG31" s="521"/>
      <c r="BGH31" s="522"/>
      <c r="BGI31" s="523"/>
      <c r="BGJ31" s="520"/>
      <c r="BGK31" s="521"/>
      <c r="BGL31" s="521"/>
      <c r="BGM31" s="521"/>
      <c r="BGN31" s="521"/>
      <c r="BGO31" s="521"/>
      <c r="BGP31" s="522"/>
      <c r="BGQ31" s="523"/>
      <c r="BGR31" s="520"/>
      <c r="BGS31" s="521"/>
      <c r="BGT31" s="521"/>
      <c r="BGU31" s="521"/>
      <c r="BGV31" s="521"/>
      <c r="BGW31" s="521"/>
      <c r="BGX31" s="522"/>
      <c r="BGY31" s="523"/>
      <c r="BGZ31" s="520"/>
      <c r="BHA31" s="521"/>
      <c r="BHB31" s="521"/>
      <c r="BHC31" s="521"/>
      <c r="BHD31" s="521"/>
      <c r="BHE31" s="521"/>
      <c r="BHF31" s="522"/>
      <c r="BHG31" s="523"/>
      <c r="BHH31" s="520"/>
      <c r="BHI31" s="521"/>
      <c r="BHJ31" s="521"/>
      <c r="BHK31" s="521"/>
      <c r="BHL31" s="521"/>
      <c r="BHM31" s="521"/>
      <c r="BHN31" s="522"/>
      <c r="BHO31" s="523"/>
      <c r="BHP31" s="520"/>
      <c r="BHQ31" s="521"/>
      <c r="BHR31" s="521"/>
      <c r="BHS31" s="521"/>
      <c r="BHT31" s="521"/>
      <c r="BHU31" s="521"/>
      <c r="BHV31" s="522"/>
      <c r="BHW31" s="523"/>
      <c r="BHX31" s="520"/>
      <c r="BHY31" s="521"/>
      <c r="BHZ31" s="521"/>
      <c r="BIA31" s="521"/>
      <c r="BIB31" s="521"/>
      <c r="BIC31" s="521"/>
      <c r="BID31" s="522"/>
      <c r="BIE31" s="523"/>
      <c r="BIF31" s="520"/>
      <c r="BIG31" s="521"/>
      <c r="BIH31" s="521"/>
      <c r="BII31" s="521"/>
      <c r="BIJ31" s="521"/>
      <c r="BIK31" s="521"/>
      <c r="BIL31" s="522"/>
      <c r="BIM31" s="523"/>
      <c r="BIN31" s="520"/>
      <c r="BIO31" s="521"/>
      <c r="BIP31" s="521"/>
      <c r="BIQ31" s="521"/>
      <c r="BIR31" s="521"/>
      <c r="BIS31" s="521"/>
      <c r="BIT31" s="522"/>
      <c r="BIU31" s="551"/>
      <c r="BIV31" s="552"/>
      <c r="BIW31" s="521"/>
      <c r="BIX31" s="521"/>
      <c r="BIY31" s="521"/>
      <c r="BIZ31" s="521"/>
      <c r="BJA31" s="521"/>
      <c r="BJB31" s="522"/>
      <c r="BJC31" s="551"/>
      <c r="BJD31" s="520"/>
      <c r="BJE31" s="521"/>
      <c r="BJF31" s="521"/>
      <c r="BJG31" s="521"/>
      <c r="BJH31" s="521"/>
      <c r="BJI31" s="521"/>
      <c r="BJJ31" s="522"/>
      <c r="BJK31" s="523"/>
      <c r="BJL31" s="520"/>
      <c r="BJM31" s="521"/>
      <c r="BJN31" s="521"/>
      <c r="BJO31" s="521"/>
      <c r="BJP31" s="521"/>
      <c r="BJQ31" s="521"/>
      <c r="BJR31" s="522"/>
      <c r="BJS31" s="523"/>
      <c r="BJT31" s="520"/>
      <c r="BJU31" s="521"/>
      <c r="BJV31" s="521"/>
      <c r="BJW31" s="521"/>
      <c r="BJX31" s="521"/>
      <c r="BJY31" s="521"/>
      <c r="BJZ31" s="522"/>
      <c r="BKA31" s="523"/>
      <c r="BKB31" s="520"/>
      <c r="BKC31" s="521"/>
      <c r="BKD31" s="521"/>
      <c r="BKE31" s="521"/>
      <c r="BKF31" s="521"/>
      <c r="BKG31" s="521"/>
      <c r="BKH31" s="522"/>
      <c r="BKI31" s="523"/>
      <c r="BKJ31" s="520"/>
      <c r="BKK31" s="521"/>
      <c r="BKL31" s="521"/>
      <c r="BKM31" s="521"/>
      <c r="BKN31" s="521"/>
      <c r="BKO31" s="521"/>
      <c r="BKP31" s="522"/>
      <c r="BKQ31" s="523"/>
      <c r="BKR31" s="520"/>
      <c r="BKS31" s="526"/>
      <c r="BKT31" s="526"/>
      <c r="BKU31" s="526"/>
      <c r="BKV31" s="526"/>
      <c r="BKW31" s="526"/>
      <c r="BKX31" s="522"/>
      <c r="BKY31" s="523"/>
      <c r="BKZ31" s="520"/>
      <c r="BLA31" s="521"/>
      <c r="BLB31" s="521"/>
      <c r="BLC31" s="521"/>
      <c r="BLD31" s="521"/>
      <c r="BLE31" s="521"/>
      <c r="BLF31" s="522"/>
      <c r="BLG31" s="523"/>
      <c r="BLH31" s="520"/>
      <c r="BLI31" s="521"/>
      <c r="BLJ31" s="521"/>
      <c r="BLK31" s="521"/>
      <c r="BLL31" s="521"/>
      <c r="BLM31" s="521"/>
      <c r="BLN31" s="522"/>
      <c r="BLO31" s="523"/>
      <c r="BLP31" s="520"/>
      <c r="BLQ31" s="521"/>
      <c r="BLR31" s="521"/>
      <c r="BLS31" s="521"/>
      <c r="BLT31" s="521"/>
      <c r="BLU31" s="521"/>
      <c r="BLV31" s="522"/>
      <c r="BLW31" s="523"/>
      <c r="BLX31" s="520"/>
      <c r="BLY31" s="521"/>
      <c r="BLZ31" s="521"/>
      <c r="BMA31" s="521"/>
      <c r="BMB31" s="521"/>
      <c r="BMC31" s="521"/>
      <c r="BMD31" s="522"/>
      <c r="BME31" s="523"/>
      <c r="BMF31" s="520"/>
      <c r="BMG31" s="526"/>
      <c r="BMH31" s="526"/>
      <c r="BMI31" s="526"/>
      <c r="BMJ31" s="526"/>
      <c r="BMK31" s="526"/>
      <c r="BML31" s="522"/>
      <c r="BMM31" s="523"/>
      <c r="BMN31" s="520"/>
      <c r="BMO31" s="521"/>
      <c r="BMP31" s="521"/>
      <c r="BMQ31" s="521"/>
      <c r="BMR31" s="521"/>
      <c r="BMS31" s="521"/>
      <c r="BMT31" s="522"/>
      <c r="BMU31" s="523"/>
      <c r="BMV31" s="520"/>
      <c r="BMW31" s="521"/>
      <c r="BMX31" s="521"/>
      <c r="BMY31" s="521"/>
      <c r="BMZ31" s="521"/>
      <c r="BNA31" s="521"/>
      <c r="BNB31" s="522"/>
      <c r="BNC31" s="523"/>
      <c r="BND31" s="520"/>
      <c r="BNE31" s="521"/>
      <c r="BNF31" s="521"/>
      <c r="BNG31" s="521"/>
      <c r="BNH31" s="521"/>
      <c r="BNI31" s="521"/>
      <c r="BNJ31" s="522"/>
      <c r="BNK31" s="523"/>
      <c r="BNL31" s="520"/>
      <c r="BNM31" s="521"/>
      <c r="BNN31" s="521"/>
      <c r="BNO31" s="521"/>
      <c r="BNP31" s="521"/>
      <c r="BNQ31" s="521"/>
      <c r="BNR31" s="522"/>
      <c r="BNS31" s="523"/>
      <c r="BNT31" s="520"/>
      <c r="BNU31" s="521"/>
      <c r="BNV31" s="521"/>
      <c r="BNW31" s="521"/>
      <c r="BNX31" s="521"/>
      <c r="BNY31" s="521"/>
      <c r="BNZ31" s="522"/>
      <c r="BOA31" s="523"/>
      <c r="BOB31" s="520"/>
      <c r="BOC31" s="526"/>
      <c r="BOD31" s="526"/>
      <c r="BOE31" s="526"/>
      <c r="BOF31" s="526"/>
      <c r="BOG31" s="526"/>
      <c r="BOH31" s="522"/>
      <c r="BOI31" s="523"/>
      <c r="BOJ31" s="520"/>
      <c r="BOK31" s="521"/>
      <c r="BOL31" s="521"/>
      <c r="BOM31" s="521"/>
      <c r="BON31" s="521"/>
      <c r="BOO31" s="521"/>
      <c r="BOP31" s="522"/>
      <c r="BOQ31" s="523"/>
      <c r="BOR31" s="520"/>
      <c r="BOS31" s="521"/>
      <c r="BOT31" s="521"/>
      <c r="BOU31" s="521"/>
      <c r="BOV31" s="521"/>
      <c r="BOW31" s="521"/>
      <c r="BOX31" s="522"/>
      <c r="BOY31" s="523"/>
      <c r="BOZ31" s="520"/>
      <c r="BPA31" s="521"/>
      <c r="BPB31" s="521"/>
      <c r="BPC31" s="521"/>
      <c r="BPD31" s="521"/>
      <c r="BPE31" s="521"/>
      <c r="BPF31" s="522"/>
      <c r="BPG31" s="523"/>
      <c r="BPH31" s="520"/>
      <c r="BPI31" s="521"/>
      <c r="BPJ31" s="521"/>
      <c r="BPK31" s="521"/>
      <c r="BPL31" s="521"/>
      <c r="BPM31" s="521"/>
      <c r="BPN31" s="522"/>
      <c r="BPO31" s="523"/>
      <c r="BPP31" s="520"/>
      <c r="BPQ31" s="521"/>
      <c r="BPR31" s="521"/>
      <c r="BPS31" s="521"/>
      <c r="BPT31" s="521"/>
      <c r="BPU31" s="521"/>
      <c r="BPV31" s="522"/>
      <c r="BPW31" s="523"/>
      <c r="BPX31" s="520"/>
      <c r="BPY31" s="521"/>
      <c r="BPZ31" s="521"/>
      <c r="BQA31" s="521"/>
      <c r="BQB31" s="521"/>
      <c r="BQC31" s="521"/>
      <c r="BQD31" s="522"/>
      <c r="BQE31" s="523"/>
      <c r="BQF31" s="520"/>
      <c r="BQG31" s="521"/>
      <c r="BQH31" s="521"/>
      <c r="BQI31" s="521"/>
      <c r="BQJ31" s="521"/>
      <c r="BQK31" s="521"/>
      <c r="BQL31" s="522"/>
      <c r="BQM31" s="523"/>
      <c r="BQN31" s="520"/>
      <c r="BQO31" s="521"/>
      <c r="BQP31" s="521"/>
      <c r="BQQ31" s="521"/>
      <c r="BQR31" s="521"/>
      <c r="BQS31" s="521"/>
      <c r="BQT31" s="522"/>
      <c r="BQU31" s="523"/>
      <c r="BQV31" s="520"/>
      <c r="BQW31" s="521"/>
      <c r="BQX31" s="521"/>
      <c r="BQY31" s="521"/>
      <c r="BQZ31" s="521"/>
      <c r="BRA31" s="521"/>
      <c r="BRB31" s="522"/>
      <c r="BRC31" s="523"/>
      <c r="BRD31" s="520"/>
      <c r="BRE31" s="521"/>
      <c r="BRF31" s="521"/>
      <c r="BRG31" s="521"/>
      <c r="BRH31" s="521"/>
      <c r="BRI31" s="521"/>
      <c r="BRJ31" s="522"/>
      <c r="BRK31" s="523"/>
      <c r="BRL31" s="542"/>
      <c r="BRM31" s="543"/>
      <c r="BRN31" s="543"/>
      <c r="BRO31" s="543"/>
      <c r="BRP31" s="543"/>
      <c r="BRQ31" s="543"/>
      <c r="BRR31" s="543"/>
      <c r="BRS31" s="544"/>
      <c r="BRT31" s="520"/>
      <c r="BRU31" s="521"/>
      <c r="BRV31" s="521"/>
      <c r="BRW31" s="521"/>
      <c r="BRX31" s="521"/>
      <c r="BRY31" s="521"/>
      <c r="BRZ31" s="522"/>
      <c r="BSA31" s="523"/>
      <c r="BSB31" s="520"/>
      <c r="BSC31" s="521"/>
      <c r="BSD31" s="521"/>
      <c r="BSE31" s="521"/>
      <c r="BSF31" s="521"/>
      <c r="BSG31" s="521"/>
      <c r="BSH31" s="522"/>
      <c r="BSI31" s="523"/>
      <c r="BSJ31" s="520"/>
      <c r="BSK31" s="521"/>
      <c r="BSL31" s="521"/>
      <c r="BSM31" s="521"/>
      <c r="BSN31" s="521"/>
      <c r="BSO31" s="521"/>
      <c r="BSP31" s="522"/>
      <c r="BSQ31" s="523"/>
      <c r="BSR31" s="520"/>
      <c r="BSS31" s="521"/>
      <c r="BST31" s="521"/>
      <c r="BSU31" s="521"/>
      <c r="BSV31" s="521"/>
      <c r="BSW31" s="521"/>
      <c r="BSX31" s="522"/>
      <c r="BSY31" s="523"/>
      <c r="BSZ31" s="520"/>
      <c r="BTA31" s="521"/>
      <c r="BTB31" s="521"/>
      <c r="BTC31" s="521"/>
      <c r="BTD31" s="521"/>
      <c r="BTE31" s="521"/>
      <c r="BTF31" s="522"/>
      <c r="BTG31" s="523"/>
      <c r="BTH31" s="520"/>
      <c r="BTI31" s="521"/>
      <c r="BTJ31" s="521"/>
      <c r="BTK31" s="521"/>
      <c r="BTL31" s="521"/>
      <c r="BTM31" s="521"/>
      <c r="BTN31" s="543"/>
      <c r="BTO31" s="544"/>
      <c r="BTP31" s="520"/>
      <c r="BTQ31" s="521"/>
      <c r="BTR31" s="521"/>
      <c r="BTS31" s="521"/>
      <c r="BTT31" s="521"/>
      <c r="BTU31" s="521"/>
      <c r="BTV31" s="522"/>
      <c r="BTW31" s="523"/>
      <c r="BTX31" s="520"/>
      <c r="BTY31" s="521"/>
      <c r="BTZ31" s="521"/>
      <c r="BUA31" s="521"/>
      <c r="BUB31" s="521"/>
      <c r="BUC31" s="521"/>
      <c r="BUD31" s="543"/>
      <c r="BUE31" s="544"/>
      <c r="BUF31" s="520"/>
      <c r="BUG31" s="521"/>
      <c r="BUH31" s="521"/>
      <c r="BUI31" s="521"/>
      <c r="BUJ31" s="521"/>
      <c r="BUK31" s="521"/>
      <c r="BUL31" s="543"/>
      <c r="BUM31" s="544"/>
      <c r="BUN31" s="520"/>
      <c r="BUO31" s="521"/>
      <c r="BUP31" s="521"/>
      <c r="BUQ31" s="521"/>
      <c r="BUR31" s="521"/>
      <c r="BUS31" s="521"/>
      <c r="BUT31" s="543"/>
      <c r="BUU31" s="544"/>
      <c r="BUV31" s="520"/>
      <c r="BUW31" s="521"/>
      <c r="BUX31" s="521"/>
      <c r="BUY31" s="521"/>
      <c r="BUZ31" s="521"/>
      <c r="BVA31" s="521"/>
      <c r="BVB31" s="543"/>
      <c r="BVC31" s="544"/>
      <c r="BVD31" s="520"/>
      <c r="BVE31" s="521"/>
      <c r="BVF31" s="521"/>
      <c r="BVG31" s="521"/>
      <c r="BVH31" s="521"/>
      <c r="BVI31" s="521"/>
      <c r="BVJ31" s="543"/>
      <c r="BVK31" s="544"/>
      <c r="BVL31" s="520"/>
      <c r="BVM31" s="521"/>
      <c r="BVN31" s="521"/>
      <c r="BVO31" s="521"/>
      <c r="BVP31" s="521"/>
      <c r="BVQ31" s="521"/>
      <c r="BVR31" s="543"/>
      <c r="BVS31" s="544"/>
      <c r="BVT31" s="520"/>
      <c r="BVU31" s="521"/>
      <c r="BVV31" s="521"/>
      <c r="BVW31" s="521"/>
      <c r="BVX31" s="521"/>
      <c r="BVY31" s="521"/>
      <c r="BVZ31" s="543"/>
      <c r="BWA31" s="544"/>
      <c r="BWB31" s="520"/>
      <c r="BWC31" s="521"/>
      <c r="BWD31" s="521"/>
      <c r="BWE31" s="521"/>
      <c r="BWF31" s="521"/>
      <c r="BWG31" s="521"/>
      <c r="BWH31" s="543"/>
      <c r="BWI31" s="544"/>
      <c r="BWJ31" s="520"/>
      <c r="BWK31" s="521"/>
      <c r="BWL31" s="521"/>
      <c r="BWM31" s="521"/>
      <c r="BWN31" s="521"/>
      <c r="BWO31" s="521"/>
      <c r="BWP31" s="543"/>
      <c r="BWQ31" s="544"/>
      <c r="BWR31" s="520"/>
      <c r="BWS31" s="521"/>
      <c r="BWT31" s="521"/>
      <c r="BWU31" s="521"/>
      <c r="BWV31" s="521"/>
      <c r="BWW31" s="521"/>
      <c r="BWX31" s="543"/>
      <c r="BWY31" s="544"/>
      <c r="BWZ31" s="520"/>
      <c r="BXA31" s="521"/>
      <c r="BXB31" s="521"/>
      <c r="BXC31" s="521"/>
      <c r="BXD31" s="521"/>
      <c r="BXE31" s="521"/>
      <c r="BXF31" s="543"/>
      <c r="BXG31" s="544"/>
      <c r="BXH31" s="520"/>
      <c r="BXI31" s="521"/>
      <c r="BXJ31" s="521"/>
      <c r="BXK31" s="521"/>
      <c r="BXL31" s="521"/>
      <c r="BXM31" s="521"/>
      <c r="BXN31" s="543"/>
      <c r="BXO31" s="544"/>
      <c r="BXP31" s="520"/>
      <c r="BXQ31" s="521"/>
      <c r="BXR31" s="521"/>
      <c r="BXS31" s="521"/>
      <c r="BXT31" s="521"/>
      <c r="BXU31" s="521"/>
      <c r="BXV31" s="543"/>
      <c r="BXW31" s="544"/>
      <c r="BXX31" s="520"/>
      <c r="BXY31" s="521"/>
      <c r="BXZ31" s="521"/>
      <c r="BYA31" s="521"/>
      <c r="BYB31" s="521"/>
      <c r="BYC31" s="521"/>
      <c r="BYD31" s="543"/>
      <c r="BYE31" s="544"/>
      <c r="BYF31" s="520"/>
      <c r="BYG31" s="521"/>
      <c r="BYH31" s="521"/>
      <c r="BYI31" s="521"/>
      <c r="BYJ31" s="521"/>
      <c r="BYK31" s="521"/>
      <c r="BYL31" s="543"/>
      <c r="BYM31" s="544"/>
      <c r="BYN31" s="520"/>
      <c r="BYO31" s="521"/>
      <c r="BYP31" s="521"/>
      <c r="BYQ31" s="521"/>
      <c r="BYR31" s="521"/>
      <c r="BYS31" s="521"/>
      <c r="BYT31" s="543"/>
      <c r="BYU31" s="544"/>
      <c r="BYV31" s="520"/>
      <c r="BYW31" s="521"/>
      <c r="BYX31" s="521"/>
      <c r="BYY31" s="521"/>
      <c r="BYZ31" s="521"/>
      <c r="BZA31" s="521"/>
      <c r="BZB31" s="543"/>
      <c r="BZC31" s="544"/>
      <c r="BZD31" s="520"/>
      <c r="BZE31" s="521"/>
      <c r="BZF31" s="521"/>
      <c r="BZG31" s="521"/>
      <c r="BZH31" s="521"/>
      <c r="BZI31" s="521"/>
      <c r="BZJ31" s="543"/>
      <c r="BZK31" s="544"/>
      <c r="BZL31" s="520"/>
      <c r="BZM31" s="521"/>
      <c r="BZN31" s="521"/>
      <c r="BZO31" s="521"/>
      <c r="BZP31" s="521"/>
      <c r="BZQ31" s="521"/>
      <c r="BZR31" s="543"/>
      <c r="BZS31" s="544"/>
      <c r="BZT31" s="520"/>
      <c r="BZU31" s="521"/>
      <c r="BZV31" s="521"/>
      <c r="BZW31" s="521"/>
      <c r="BZX31" s="521"/>
      <c r="BZY31" s="521"/>
      <c r="BZZ31" s="543"/>
      <c r="CAA31" s="544"/>
      <c r="CAB31" s="520"/>
      <c r="CAC31" s="521"/>
      <c r="CAD31" s="521"/>
      <c r="CAE31" s="521"/>
      <c r="CAF31" s="521"/>
      <c r="CAG31" s="521"/>
      <c r="CAH31" s="543"/>
      <c r="CAI31" s="544"/>
      <c r="CAJ31" s="520"/>
      <c r="CAK31" s="521"/>
      <c r="CAL31" s="521"/>
      <c r="CAM31" s="521"/>
      <c r="CAN31" s="521"/>
      <c r="CAO31" s="521"/>
      <c r="CAP31" s="543"/>
      <c r="CAQ31" s="544"/>
      <c r="CAR31" s="520"/>
      <c r="CAS31" s="521"/>
      <c r="CAT31" s="521"/>
      <c r="CAU31" s="521"/>
      <c r="CAV31" s="521"/>
      <c r="CAW31" s="521"/>
      <c r="CAX31" s="543"/>
      <c r="CAY31" s="544"/>
      <c r="CAZ31" s="520"/>
      <c r="CBA31" s="521"/>
      <c r="CBB31" s="521"/>
      <c r="CBC31" s="521"/>
      <c r="CBD31" s="521"/>
      <c r="CBE31" s="521"/>
      <c r="CBF31" s="543"/>
      <c r="CBG31" s="544"/>
      <c r="CBH31" s="520"/>
      <c r="CBI31" s="521"/>
      <c r="CBJ31" s="521"/>
      <c r="CBK31" s="521"/>
      <c r="CBL31" s="521"/>
      <c r="CBM31" s="521"/>
      <c r="CBN31" s="543"/>
      <c r="CBO31" s="544"/>
      <c r="CBP31" s="520"/>
      <c r="CBQ31" s="521"/>
      <c r="CBR31" s="521"/>
      <c r="CBS31" s="521"/>
      <c r="CBT31" s="521"/>
      <c r="CBU31" s="521"/>
      <c r="CBV31" s="543"/>
      <c r="CBW31" s="544"/>
      <c r="CBX31" s="520"/>
      <c r="CBY31" s="521"/>
      <c r="CBZ31" s="521"/>
      <c r="CCA31" s="521"/>
      <c r="CCB31" s="521"/>
      <c r="CCC31" s="521"/>
      <c r="CCD31" s="543"/>
      <c r="CCE31" s="544"/>
      <c r="CCF31" s="520"/>
      <c r="CCG31" s="521"/>
      <c r="CCH31" s="521"/>
      <c r="CCI31" s="521"/>
      <c r="CCJ31" s="521"/>
      <c r="CCK31" s="521"/>
      <c r="CCL31" s="543"/>
      <c r="CCM31" s="544"/>
      <c r="CCN31" s="520"/>
      <c r="CCO31" s="521"/>
      <c r="CCP31" s="521"/>
      <c r="CCQ31" s="521"/>
      <c r="CCR31" s="521"/>
      <c r="CCS31" s="521"/>
      <c r="CCT31" s="543"/>
      <c r="CCU31" s="544"/>
      <c r="CCV31" s="520"/>
      <c r="CCW31" s="521"/>
      <c r="CCX31" s="521"/>
      <c r="CCY31" s="521"/>
      <c r="CCZ31" s="521"/>
      <c r="CDA31" s="521"/>
      <c r="CDB31" s="543"/>
      <c r="CDC31" s="544"/>
      <c r="CDD31" s="520"/>
      <c r="CDE31" s="521"/>
      <c r="CDF31" s="521"/>
      <c r="CDG31" s="521"/>
      <c r="CDH31" s="521"/>
      <c r="CDI31" s="521"/>
      <c r="CDJ31" s="543"/>
      <c r="CDK31" s="544"/>
      <c r="CDL31" s="520"/>
      <c r="CDM31" s="521"/>
      <c r="CDN31" s="521"/>
      <c r="CDO31" s="521"/>
      <c r="CDP31" s="521"/>
      <c r="CDQ31" s="521"/>
      <c r="CDR31" s="543"/>
      <c r="CDS31" s="544"/>
      <c r="CDT31" s="542"/>
      <c r="CDU31" s="543"/>
      <c r="CDV31" s="543"/>
      <c r="CDW31" s="543"/>
      <c r="CDX31" s="543"/>
      <c r="CDY31" s="543"/>
      <c r="CDZ31" s="543"/>
      <c r="CEA31" s="544"/>
      <c r="CEB31" s="520"/>
      <c r="CEC31" s="521"/>
      <c r="CED31" s="521"/>
      <c r="CEE31" s="521"/>
      <c r="CEF31" s="521"/>
      <c r="CEG31" s="521"/>
      <c r="CEH31" s="543"/>
      <c r="CEI31" s="544"/>
      <c r="CEJ31" s="542"/>
      <c r="CEK31" s="543"/>
      <c r="CEL31" s="543"/>
      <c r="CEM31" s="543"/>
      <c r="CEN31" s="543"/>
      <c r="CEO31" s="543"/>
      <c r="CEP31" s="543"/>
      <c r="CEQ31" s="544"/>
      <c r="CER31" s="520"/>
      <c r="CES31" s="521"/>
      <c r="CET31" s="521"/>
      <c r="CEU31" s="521"/>
      <c r="CEV31" s="521"/>
      <c r="CEW31" s="521"/>
      <c r="CEX31" s="543"/>
      <c r="CEY31" s="544"/>
      <c r="CEZ31" s="520"/>
      <c r="CFA31" s="521"/>
      <c r="CFB31" s="521"/>
      <c r="CFC31" s="521"/>
      <c r="CFD31" s="521"/>
      <c r="CFE31" s="521"/>
      <c r="CFF31" s="543"/>
      <c r="CFG31" s="544"/>
      <c r="CFH31" s="520"/>
      <c r="CFI31" s="521"/>
      <c r="CFJ31" s="521"/>
      <c r="CFK31" s="521"/>
      <c r="CFL31" s="521"/>
      <c r="CFM31" s="521"/>
      <c r="CFN31" s="543"/>
      <c r="CFO31" s="544"/>
      <c r="CFP31" s="520"/>
      <c r="CFQ31" s="521"/>
      <c r="CFR31" s="521"/>
      <c r="CFS31" s="521"/>
      <c r="CFT31" s="521"/>
      <c r="CFU31" s="521"/>
      <c r="CFV31" s="543"/>
      <c r="CFW31" s="544"/>
      <c r="CFX31" s="520"/>
      <c r="CFY31" s="521"/>
      <c r="CFZ31" s="521"/>
      <c r="CGA31" s="521"/>
      <c r="CGB31" s="521"/>
      <c r="CGC31" s="521"/>
      <c r="CGD31" s="543"/>
      <c r="CGE31" s="544"/>
      <c r="CGF31" s="520"/>
      <c r="CGG31" s="526"/>
      <c r="CGH31" s="526"/>
      <c r="CGI31" s="526"/>
      <c r="CGJ31" s="526"/>
      <c r="CGK31" s="526"/>
      <c r="CGL31" s="543"/>
      <c r="CGM31" s="544"/>
      <c r="CGN31" s="527"/>
      <c r="CGO31" s="555"/>
      <c r="CGP31" s="555"/>
      <c r="CGQ31" s="555"/>
      <c r="CGR31" s="555"/>
      <c r="CGS31" s="555"/>
      <c r="CGT31" s="556"/>
      <c r="CGU31" s="557"/>
      <c r="CGV31" s="542"/>
      <c r="CGW31" s="543"/>
      <c r="CGX31" s="543"/>
      <c r="CGY31" s="543"/>
      <c r="CGZ31" s="543"/>
      <c r="CHA31" s="543"/>
      <c r="CHB31" s="543"/>
      <c r="CHC31" s="544"/>
      <c r="CHD31" s="520"/>
      <c r="CHE31" s="521"/>
      <c r="CHF31" s="521"/>
      <c r="CHG31" s="521"/>
      <c r="CHH31" s="521"/>
      <c r="CHI31" s="521"/>
      <c r="CHJ31" s="543"/>
      <c r="CHK31" s="544"/>
      <c r="CHL31" s="520"/>
      <c r="CHM31" s="521"/>
      <c r="CHN31" s="521"/>
      <c r="CHO31" s="521"/>
      <c r="CHP31" s="521"/>
      <c r="CHQ31" s="521"/>
      <c r="CHR31" s="543"/>
      <c r="CHS31" s="544"/>
      <c r="CHT31" s="520"/>
      <c r="CHU31" s="526"/>
      <c r="CHV31" s="526"/>
      <c r="CHW31" s="526"/>
      <c r="CHX31" s="526"/>
      <c r="CHY31" s="526"/>
      <c r="CHZ31" s="543"/>
      <c r="CIA31" s="544"/>
      <c r="CIB31" s="542"/>
      <c r="CIC31" s="543"/>
      <c r="CID31" s="543"/>
      <c r="CIE31" s="543"/>
      <c r="CIF31" s="543"/>
      <c r="CIG31" s="543"/>
      <c r="CIH31" s="543"/>
      <c r="CII31" s="544"/>
      <c r="CIJ31" s="520"/>
      <c r="CIK31" s="521"/>
      <c r="CIL31" s="521"/>
      <c r="CIM31" s="521"/>
      <c r="CIN31" s="521"/>
      <c r="CIO31" s="521"/>
      <c r="CIP31" s="543"/>
      <c r="CIQ31" s="544"/>
      <c r="CIR31" s="520"/>
      <c r="CIS31" s="521"/>
      <c r="CIT31" s="521"/>
      <c r="CIU31" s="521"/>
      <c r="CIV31" s="521"/>
      <c r="CIW31" s="521"/>
      <c r="CIX31" s="543"/>
      <c r="CIY31" s="544"/>
      <c r="CIZ31" s="520"/>
      <c r="CJA31" s="521"/>
      <c r="CJB31" s="521"/>
      <c r="CJC31" s="521"/>
      <c r="CJD31" s="521"/>
      <c r="CJE31" s="521"/>
      <c r="CJF31" s="543"/>
      <c r="CJG31" s="544"/>
      <c r="CJH31" s="520"/>
      <c r="CJI31" s="521"/>
      <c r="CJJ31" s="521"/>
      <c r="CJK31" s="521"/>
      <c r="CJL31" s="521"/>
      <c r="CJM31" s="521"/>
      <c r="CJN31" s="543"/>
      <c r="CJO31" s="558"/>
      <c r="CJP31" s="542"/>
      <c r="CJQ31" s="543"/>
      <c r="CJR31" s="543"/>
      <c r="CJS31" s="543"/>
      <c r="CJT31" s="543"/>
      <c r="CJU31" s="543"/>
      <c r="CJV31" s="543"/>
      <c r="CJW31" s="544"/>
      <c r="CJX31" s="542"/>
      <c r="CJY31" s="543"/>
      <c r="CJZ31" s="543"/>
      <c r="CKA31" s="543"/>
      <c r="CKB31" s="543"/>
      <c r="CKC31" s="543"/>
      <c r="CKD31" s="543"/>
      <c r="CKE31" s="544"/>
      <c r="CKF31" s="542"/>
      <c r="CKG31" s="559"/>
      <c r="CKH31" s="559"/>
      <c r="CKI31" s="559"/>
      <c r="CKJ31" s="559"/>
      <c r="CKK31" s="559"/>
      <c r="CKL31" s="543"/>
      <c r="CKM31" s="544"/>
      <c r="CKN31" s="520"/>
      <c r="CKO31" s="521"/>
      <c r="CKP31" s="521"/>
      <c r="CKQ31" s="521"/>
      <c r="CKR31" s="521"/>
      <c r="CKS31" s="521"/>
      <c r="CKT31" s="543"/>
      <c r="CKU31" s="544"/>
      <c r="CKV31" s="520"/>
      <c r="CKW31" s="521"/>
      <c r="CKX31" s="521"/>
      <c r="CKY31" s="521"/>
      <c r="CKZ31" s="521"/>
      <c r="CLA31" s="521"/>
      <c r="CLB31" s="543"/>
      <c r="CLC31" s="544"/>
      <c r="CLD31" s="520"/>
      <c r="CLE31" s="521"/>
      <c r="CLF31" s="521"/>
      <c r="CLG31" s="521"/>
      <c r="CLH31" s="521"/>
      <c r="CLI31" s="521"/>
      <c r="CLJ31" s="543"/>
      <c r="CLK31" s="544"/>
      <c r="CLL31" s="520"/>
      <c r="CLM31" s="521"/>
      <c r="CLN31" s="521"/>
      <c r="CLO31" s="521"/>
      <c r="CLP31" s="521"/>
      <c r="CLQ31" s="521"/>
      <c r="CLR31" s="543"/>
      <c r="CLS31" s="544"/>
      <c r="CLT31" s="520"/>
      <c r="CLU31" s="521"/>
      <c r="CLV31" s="521"/>
      <c r="CLW31" s="521"/>
      <c r="CLX31" s="521"/>
      <c r="CLY31" s="521"/>
      <c r="CLZ31" s="543"/>
      <c r="CMA31" s="544"/>
      <c r="CMB31" s="520"/>
      <c r="CMC31" s="521"/>
      <c r="CMD31" s="521"/>
      <c r="CME31" s="521"/>
      <c r="CMF31" s="521"/>
      <c r="CMG31" s="521"/>
      <c r="CMH31" s="543"/>
      <c r="CMI31" s="544"/>
      <c r="CMJ31" s="520"/>
      <c r="CMK31" s="521"/>
      <c r="CML31" s="521"/>
      <c r="CMM31" s="521"/>
      <c r="CMN31" s="521"/>
      <c r="CMO31" s="521"/>
      <c r="CMP31" s="543"/>
      <c r="CMQ31" s="544"/>
      <c r="CMR31" s="520"/>
      <c r="CMS31" s="521"/>
      <c r="CMT31" s="521"/>
      <c r="CMU31" s="521"/>
      <c r="CMV31" s="521"/>
      <c r="CMW31" s="521"/>
      <c r="CMX31" s="543"/>
      <c r="CMY31" s="544"/>
      <c r="CMZ31" s="520"/>
      <c r="CNA31" s="521"/>
      <c r="CNB31" s="521"/>
      <c r="CNC31" s="521"/>
      <c r="CND31" s="521"/>
      <c r="CNE31" s="521"/>
      <c r="CNF31" s="543"/>
      <c r="CNG31" s="544"/>
      <c r="CNH31" s="520"/>
      <c r="CNI31" s="521"/>
      <c r="CNJ31" s="521"/>
      <c r="CNK31" s="521"/>
      <c r="CNL31" s="521"/>
      <c r="CNM31" s="521"/>
      <c r="CNN31" s="543"/>
      <c r="CNO31" s="544"/>
      <c r="CNP31" s="520"/>
      <c r="CNQ31" s="521"/>
      <c r="CNR31" s="521"/>
      <c r="CNS31" s="521"/>
      <c r="CNT31" s="521"/>
      <c r="CNU31" s="521"/>
      <c r="CNV31" s="543"/>
      <c r="CNW31" s="544"/>
      <c r="CNX31" s="520"/>
      <c r="CNY31" s="521"/>
      <c r="CNZ31" s="521"/>
      <c r="COA31" s="521"/>
      <c r="COB31" s="521"/>
      <c r="COC31" s="521"/>
      <c r="COD31" s="543"/>
      <c r="COE31" s="544"/>
      <c r="COF31" s="560"/>
      <c r="COG31" s="561"/>
      <c r="COH31" s="561"/>
      <c r="COI31" s="561"/>
      <c r="COJ31" s="561"/>
      <c r="COK31" s="561"/>
      <c r="COL31" s="543"/>
      <c r="COM31" s="544"/>
      <c r="CON31" s="520"/>
      <c r="COO31" s="521"/>
      <c r="COP31" s="521"/>
      <c r="COQ31" s="521"/>
      <c r="COR31" s="521"/>
      <c r="COS31" s="521"/>
      <c r="COT31" s="543"/>
      <c r="COU31" s="544"/>
      <c r="COV31" s="520"/>
      <c r="COW31" s="521"/>
      <c r="COX31" s="521"/>
      <c r="COY31" s="521"/>
      <c r="COZ31" s="521"/>
      <c r="CPA31" s="521"/>
      <c r="CPB31" s="543"/>
      <c r="CPC31" s="544"/>
      <c r="CPD31" s="560"/>
      <c r="CPE31" s="561"/>
      <c r="CPF31" s="561"/>
      <c r="CPG31" s="561"/>
      <c r="CPH31" s="561"/>
      <c r="CPI31" s="561"/>
      <c r="CPJ31" s="543"/>
      <c r="CPK31" s="544"/>
      <c r="CPL31" s="520"/>
      <c r="CPM31" s="521"/>
      <c r="CPN31" s="521"/>
      <c r="CPO31" s="521"/>
      <c r="CPP31" s="521"/>
      <c r="CPQ31" s="521"/>
      <c r="CPR31" s="543"/>
      <c r="CPS31" s="544"/>
      <c r="CPT31" s="520"/>
      <c r="CPU31" s="521"/>
      <c r="CPV31" s="521"/>
      <c r="CPW31" s="521"/>
      <c r="CPX31" s="521"/>
      <c r="CPY31" s="521"/>
      <c r="CPZ31" s="543"/>
      <c r="CQA31" s="544"/>
      <c r="CQB31" s="560"/>
      <c r="CQC31" s="561"/>
      <c r="CQD31" s="561"/>
      <c r="CQE31" s="561"/>
      <c r="CQF31" s="561"/>
      <c r="CQG31" s="561"/>
      <c r="CQH31" s="543"/>
      <c r="CQI31" s="544"/>
      <c r="CQJ31" s="560"/>
      <c r="CQK31" s="561"/>
      <c r="CQL31" s="561"/>
      <c r="CQM31" s="561"/>
      <c r="CQN31" s="561"/>
      <c r="CQO31" s="561"/>
      <c r="CQP31" s="543"/>
      <c r="CQQ31" s="544"/>
      <c r="CQR31" s="562"/>
      <c r="CQS31" s="563"/>
      <c r="CQT31" s="563"/>
      <c r="CQU31" s="563"/>
      <c r="CQV31" s="563"/>
      <c r="CQW31" s="563"/>
      <c r="CQX31" s="543"/>
      <c r="CQY31" s="544"/>
      <c r="CQZ31" s="542"/>
      <c r="CRA31" s="543"/>
      <c r="CRB31" s="543"/>
      <c r="CRC31" s="543"/>
      <c r="CRD31" s="543"/>
      <c r="CRE31" s="543"/>
      <c r="CRF31" s="543"/>
      <c r="CRG31" s="544"/>
      <c r="CRH31" s="520"/>
      <c r="CRI31" s="521"/>
      <c r="CRJ31" s="521"/>
      <c r="CRK31" s="521"/>
      <c r="CRL31" s="521"/>
      <c r="CRM31" s="521"/>
      <c r="CRN31" s="543"/>
      <c r="CRO31" s="544"/>
      <c r="CRP31" s="520"/>
      <c r="CRQ31" s="521"/>
      <c r="CRR31" s="521"/>
      <c r="CRS31" s="521"/>
      <c r="CRT31" s="521"/>
      <c r="CRU31" s="521"/>
      <c r="CRV31" s="521"/>
      <c r="CRW31" s="541"/>
      <c r="CRX31" s="560"/>
      <c r="CRY31" s="561"/>
      <c r="CRZ31" s="561"/>
      <c r="CSA31" s="561"/>
      <c r="CSB31" s="561"/>
      <c r="CSC31" s="561"/>
      <c r="CSD31" s="521"/>
      <c r="CSE31" s="541"/>
      <c r="CSF31" s="542"/>
      <c r="CSG31" s="543"/>
      <c r="CSH31" s="543"/>
      <c r="CSI31" s="543"/>
      <c r="CSJ31" s="543"/>
      <c r="CSK31" s="548"/>
      <c r="CSL31" s="521"/>
      <c r="CSM31" s="541"/>
      <c r="CSN31" s="520"/>
      <c r="CSO31" s="521"/>
      <c r="CSP31" s="521"/>
      <c r="CSQ31" s="521"/>
      <c r="CSR31" s="521"/>
      <c r="CSS31" s="521"/>
      <c r="CST31" s="521"/>
      <c r="CSU31" s="541"/>
      <c r="CSV31" s="520"/>
      <c r="CSW31" s="521"/>
      <c r="CSX31" s="521"/>
      <c r="CSY31" s="521"/>
      <c r="CSZ31" s="521"/>
      <c r="CTA31" s="521"/>
      <c r="CTB31" s="521"/>
      <c r="CTC31" s="541"/>
      <c r="CTD31" s="520"/>
      <c r="CTE31" s="521"/>
      <c r="CTF31" s="521"/>
      <c r="CTG31" s="521"/>
      <c r="CTH31" s="521"/>
      <c r="CTI31" s="521"/>
      <c r="CTJ31" s="543"/>
      <c r="CTK31" s="544"/>
      <c r="CTL31" s="520"/>
      <c r="CTM31" s="521"/>
      <c r="CTN31" s="521"/>
      <c r="CTO31" s="521"/>
      <c r="CTP31" s="521"/>
      <c r="CTQ31" s="521"/>
      <c r="CTR31" s="543"/>
      <c r="CTS31" s="544"/>
      <c r="CTT31" s="562"/>
      <c r="CTU31" s="563"/>
      <c r="CTV31" s="563"/>
      <c r="CTW31" s="563"/>
      <c r="CTX31" s="563"/>
      <c r="CTY31" s="563"/>
      <c r="CTZ31" s="543"/>
      <c r="CUA31" s="544"/>
      <c r="CUB31" s="560"/>
      <c r="CUC31" s="561"/>
      <c r="CUD31" s="561"/>
      <c r="CUE31" s="561"/>
      <c r="CUF31" s="561"/>
      <c r="CUG31" s="561"/>
      <c r="CUH31" s="543"/>
      <c r="CUI31" s="544"/>
      <c r="CUJ31" s="520"/>
      <c r="CUK31" s="521"/>
      <c r="CUL31" s="521"/>
      <c r="CUM31" s="521"/>
      <c r="CUN31" s="521"/>
      <c r="CUO31" s="521"/>
      <c r="CUP31" s="543"/>
      <c r="CUQ31" s="544"/>
      <c r="CUR31" s="520"/>
      <c r="CUS31" s="521"/>
      <c r="CUT31" s="521"/>
      <c r="CUU31" s="521"/>
      <c r="CUV31" s="521"/>
      <c r="CUW31" s="521"/>
      <c r="CUX31" s="543"/>
      <c r="CUY31" s="544"/>
      <c r="CUZ31" s="560"/>
      <c r="CVA31" s="561"/>
      <c r="CVB31" s="561"/>
      <c r="CVC31" s="561"/>
      <c r="CVD31" s="561"/>
      <c r="CVE31" s="561"/>
      <c r="CVF31" s="543"/>
      <c r="CVG31" s="544"/>
      <c r="CVH31" s="520"/>
      <c r="CVI31" s="521"/>
      <c r="CVJ31" s="521"/>
      <c r="CVK31" s="521"/>
      <c r="CVL31" s="521"/>
      <c r="CVM31" s="521"/>
      <c r="CVN31" s="543"/>
      <c r="CVO31" s="544"/>
      <c r="CVP31" s="520"/>
      <c r="CVQ31" s="521"/>
      <c r="CVR31" s="521"/>
      <c r="CVS31" s="521"/>
      <c r="CVT31" s="521"/>
      <c r="CVU31" s="521"/>
      <c r="CVV31" s="543"/>
      <c r="CVW31" s="544"/>
      <c r="CVX31" s="550"/>
      <c r="CVY31" s="522"/>
      <c r="CVZ31" s="522"/>
      <c r="CWA31" s="522"/>
      <c r="CWB31" s="522"/>
      <c r="CWC31" s="522"/>
      <c r="CWD31" s="543"/>
      <c r="CWE31" s="544"/>
      <c r="CWF31" s="560"/>
      <c r="CWG31" s="561"/>
      <c r="CWH31" s="561"/>
      <c r="CWI31" s="561"/>
      <c r="CWJ31" s="561"/>
      <c r="CWK31" s="561"/>
      <c r="CWL31" s="543"/>
      <c r="CWM31" s="544"/>
      <c r="CWN31" s="520"/>
      <c r="CWO31" s="521"/>
      <c r="CWP31" s="521"/>
      <c r="CWQ31" s="521"/>
      <c r="CWR31" s="521"/>
      <c r="CWS31" s="521"/>
      <c r="CWT31" s="543"/>
      <c r="CWU31" s="544"/>
      <c r="CWV31" s="520"/>
      <c r="CWW31" s="521"/>
      <c r="CWX31" s="521"/>
      <c r="CWY31" s="521"/>
      <c r="CWZ31" s="521"/>
      <c r="CXA31" s="521"/>
      <c r="CXB31" s="522"/>
      <c r="CXC31" s="564"/>
      <c r="CXD31" s="520"/>
      <c r="CXE31" s="521"/>
      <c r="CXF31" s="521"/>
      <c r="CXG31" s="521"/>
      <c r="CXH31" s="521"/>
      <c r="CXI31" s="521"/>
      <c r="CXJ31" s="522"/>
      <c r="CXK31" s="564"/>
      <c r="CXL31" s="520"/>
      <c r="CXM31" s="521"/>
      <c r="CXN31" s="521"/>
      <c r="CXO31" s="521"/>
      <c r="CXP31" s="521"/>
      <c r="CXQ31" s="521"/>
      <c r="CXR31" s="522"/>
      <c r="CXS31" s="564"/>
      <c r="CXT31" s="520"/>
      <c r="CXU31" s="521"/>
      <c r="CXV31" s="521"/>
      <c r="CXW31" s="521"/>
      <c r="CXX31" s="521"/>
      <c r="CXY31" s="521"/>
      <c r="CXZ31" s="522"/>
      <c r="CYA31" s="564"/>
      <c r="CYB31" s="520"/>
      <c r="CYC31" s="521"/>
      <c r="CYD31" s="521"/>
      <c r="CYE31" s="521"/>
      <c r="CYF31" s="521"/>
      <c r="CYG31" s="521"/>
      <c r="CYH31" s="522"/>
      <c r="CYI31" s="564"/>
      <c r="CYJ31" s="520"/>
      <c r="CYK31" s="521"/>
      <c r="CYL31" s="521"/>
      <c r="CYM31" s="521"/>
      <c r="CYN31" s="521"/>
      <c r="CYO31" s="521"/>
      <c r="CYP31" s="522"/>
      <c r="CYQ31" s="564"/>
      <c r="CYR31" s="520"/>
      <c r="CYS31" s="521"/>
      <c r="CYT31" s="521"/>
      <c r="CYU31" s="521"/>
      <c r="CYV31" s="521"/>
      <c r="CYW31" s="521"/>
      <c r="CYX31" s="522"/>
      <c r="CYY31" s="564"/>
      <c r="CYZ31" s="520"/>
      <c r="CZA31" s="521"/>
      <c r="CZB31" s="521"/>
      <c r="CZC31" s="521"/>
      <c r="CZD31" s="521"/>
      <c r="CZE31" s="521"/>
      <c r="CZF31" s="522"/>
      <c r="CZG31" s="564"/>
      <c r="CZH31" s="560"/>
      <c r="CZI31" s="561"/>
      <c r="CZJ31" s="561"/>
      <c r="CZK31" s="561"/>
      <c r="CZL31" s="561"/>
      <c r="CZM31" s="561"/>
      <c r="CZN31" s="522"/>
      <c r="CZO31" s="564"/>
      <c r="CZP31" s="560"/>
      <c r="CZQ31" s="561"/>
      <c r="CZR31" s="561"/>
      <c r="CZS31" s="561"/>
      <c r="CZT31" s="561"/>
      <c r="CZU31" s="561"/>
      <c r="CZV31" s="522"/>
      <c r="CZW31" s="564"/>
      <c r="CZX31" s="542"/>
      <c r="CZY31" s="543"/>
      <c r="CZZ31" s="543"/>
      <c r="DAA31" s="543"/>
      <c r="DAB31" s="543"/>
      <c r="DAC31" s="543"/>
      <c r="DAD31" s="543"/>
      <c r="DAE31" s="565"/>
      <c r="DAF31" s="560"/>
      <c r="DAG31" s="561"/>
      <c r="DAH31" s="561"/>
      <c r="DAI31" s="561"/>
      <c r="DAJ31" s="561"/>
      <c r="DAK31" s="561"/>
      <c r="DAL31" s="543"/>
      <c r="DAM31" s="565"/>
      <c r="DAN31" s="542"/>
      <c r="DAO31" s="543"/>
      <c r="DAP31" s="543"/>
      <c r="DAQ31" s="543"/>
      <c r="DAR31" s="543"/>
      <c r="DAS31" s="543"/>
      <c r="DAT31" s="543"/>
      <c r="DAU31" s="565"/>
      <c r="DAV31" s="560"/>
      <c r="DAW31" s="561"/>
      <c r="DAX31" s="561"/>
      <c r="DAY31" s="561"/>
      <c r="DAZ31" s="561"/>
      <c r="DBA31" s="561"/>
      <c r="DBB31" s="543"/>
      <c r="DBC31" s="565"/>
      <c r="DBD31" s="520"/>
      <c r="DBE31" s="521"/>
      <c r="DBF31" s="521"/>
      <c r="DBG31" s="521"/>
      <c r="DBH31" s="521"/>
      <c r="DBI31" s="521"/>
      <c r="DBJ31" s="543"/>
      <c r="DBK31" s="565"/>
      <c r="DBL31" s="520"/>
      <c r="DBM31" s="521"/>
      <c r="DBN31" s="521"/>
      <c r="DBO31" s="521"/>
      <c r="DBP31" s="521"/>
      <c r="DBQ31" s="521"/>
      <c r="DBR31" s="543"/>
      <c r="DBS31" s="565"/>
      <c r="DBT31" s="520"/>
      <c r="DBU31" s="521"/>
      <c r="DBV31" s="521"/>
      <c r="DBW31" s="521"/>
      <c r="DBX31" s="521"/>
      <c r="DBY31" s="521"/>
      <c r="DBZ31" s="543"/>
      <c r="DCA31" s="565"/>
      <c r="DCB31" s="520"/>
      <c r="DCC31" s="521"/>
      <c r="DCD31" s="521"/>
      <c r="DCE31" s="521"/>
      <c r="DCF31" s="521"/>
      <c r="DCG31" s="521"/>
      <c r="DCH31" s="543"/>
      <c r="DCI31" s="565"/>
      <c r="DCJ31" s="560"/>
      <c r="DCK31" s="561"/>
      <c r="DCL31" s="561"/>
      <c r="DCM31" s="561"/>
      <c r="DCN31" s="561"/>
      <c r="DCO31" s="561"/>
      <c r="DCP31" s="543"/>
      <c r="DCQ31" s="565"/>
      <c r="DCR31" s="520"/>
      <c r="DCS31" s="521"/>
      <c r="DCT31" s="521"/>
      <c r="DCU31" s="521"/>
      <c r="DCV31" s="521"/>
      <c r="DCW31" s="521"/>
      <c r="DCX31" s="543"/>
      <c r="DCY31" s="565"/>
      <c r="DCZ31" s="560"/>
      <c r="DDA31" s="561"/>
      <c r="DDB31" s="561"/>
      <c r="DDC31" s="561"/>
      <c r="DDD31" s="561"/>
      <c r="DDE31" s="561"/>
      <c r="DDF31" s="543"/>
      <c r="DDG31" s="565"/>
      <c r="DDH31" s="550"/>
      <c r="DDI31" s="522"/>
      <c r="DDJ31" s="522"/>
      <c r="DDK31" s="522"/>
      <c r="DDL31" s="522"/>
      <c r="DDM31" s="522"/>
      <c r="DDN31" s="522"/>
      <c r="DDO31" s="564"/>
      <c r="DDP31" s="520"/>
      <c r="DDQ31" s="521"/>
      <c r="DDR31" s="521"/>
      <c r="DDS31" s="521"/>
      <c r="DDT31" s="521"/>
      <c r="DDU31" s="521"/>
      <c r="DDV31" s="522"/>
      <c r="DDW31" s="564"/>
      <c r="DDX31" s="560"/>
      <c r="DDY31" s="561"/>
      <c r="DDZ31" s="561"/>
      <c r="DEA31" s="561"/>
      <c r="DEB31" s="561"/>
      <c r="DEC31" s="561"/>
      <c r="DED31" s="522"/>
      <c r="DEE31" s="564"/>
      <c r="DEF31" s="560"/>
      <c r="DEG31" s="561"/>
      <c r="DEH31" s="561"/>
      <c r="DEI31" s="561"/>
      <c r="DEJ31" s="561"/>
      <c r="DEK31" s="561"/>
      <c r="DEL31" s="522"/>
      <c r="DEM31" s="564"/>
      <c r="DEN31" s="560"/>
      <c r="DEO31" s="561"/>
      <c r="DEP31" s="561"/>
      <c r="DEQ31" s="561"/>
      <c r="DER31" s="561"/>
      <c r="DES31" s="561"/>
      <c r="DET31" s="522"/>
      <c r="DEU31" s="564"/>
      <c r="DEV31" s="520"/>
      <c r="DEW31" s="521"/>
      <c r="DEX31" s="521"/>
      <c r="DEY31" s="521"/>
      <c r="DEZ31" s="521"/>
      <c r="DFA31" s="521"/>
      <c r="DFB31" s="522"/>
      <c r="DFC31" s="564"/>
      <c r="DFD31" s="560"/>
      <c r="DFE31" s="561"/>
      <c r="DFF31" s="561"/>
      <c r="DFG31" s="561"/>
      <c r="DFH31" s="561"/>
      <c r="DFI31" s="561"/>
      <c r="DFJ31" s="522"/>
      <c r="DFK31" s="564"/>
      <c r="DFL31" s="560"/>
      <c r="DFM31" s="561"/>
      <c r="DFN31" s="561"/>
      <c r="DFO31" s="561"/>
      <c r="DFP31" s="561"/>
      <c r="DFQ31" s="561"/>
      <c r="DFR31" s="522"/>
      <c r="DFS31" s="564"/>
      <c r="DFT31" s="520"/>
      <c r="DFU31" s="521"/>
      <c r="DFV31" s="521"/>
      <c r="DFW31" s="521"/>
      <c r="DFX31" s="521"/>
      <c r="DFY31" s="521"/>
      <c r="DFZ31" s="522"/>
      <c r="DGA31" s="564"/>
      <c r="DGB31" s="520"/>
      <c r="DGC31" s="521"/>
      <c r="DGD31" s="521"/>
      <c r="DGE31" s="521"/>
      <c r="DGF31" s="521"/>
      <c r="DGG31" s="521"/>
      <c r="DGH31" s="522"/>
      <c r="DGI31" s="564"/>
      <c r="DGJ31" s="542"/>
      <c r="DGK31" s="559"/>
      <c r="DGL31" s="559"/>
      <c r="DGM31" s="559"/>
      <c r="DGN31" s="559"/>
      <c r="DGO31" s="559"/>
      <c r="DGP31" s="543"/>
      <c r="DGQ31" s="565"/>
      <c r="DGR31" s="520"/>
      <c r="DGS31" s="521"/>
      <c r="DGT31" s="521"/>
      <c r="DGU31" s="521"/>
      <c r="DGV31" s="521"/>
      <c r="DGW31" s="521"/>
      <c r="DGX31" s="543"/>
      <c r="DGY31" s="565"/>
      <c r="DGZ31" s="520"/>
      <c r="DHA31" s="521"/>
      <c r="DHB31" s="521"/>
      <c r="DHC31" s="521"/>
      <c r="DHD31" s="521"/>
      <c r="DHE31" s="521"/>
      <c r="DHF31" s="543"/>
      <c r="DHG31" s="565"/>
      <c r="DHH31" s="560"/>
      <c r="DHI31" s="561"/>
      <c r="DHJ31" s="561"/>
      <c r="DHK31" s="561"/>
      <c r="DHL31" s="561"/>
      <c r="DHM31" s="561"/>
      <c r="DHN31" s="543"/>
      <c r="DHO31" s="565"/>
      <c r="DHP31" s="560"/>
      <c r="DHQ31" s="561"/>
      <c r="DHR31" s="561"/>
      <c r="DHS31" s="561"/>
      <c r="DHT31" s="561"/>
      <c r="DHU31" s="561"/>
      <c r="DHV31" s="543"/>
      <c r="DHW31" s="565"/>
      <c r="DHX31" s="560"/>
      <c r="DHY31" s="561"/>
      <c r="DHZ31" s="561"/>
      <c r="DIA31" s="561"/>
      <c r="DIB31" s="561"/>
      <c r="DIC31" s="561"/>
      <c r="DID31" s="543"/>
      <c r="DIE31" s="565"/>
      <c r="DIF31" s="520"/>
      <c r="DIG31" s="521"/>
      <c r="DIH31" s="521"/>
      <c r="DII31" s="521"/>
      <c r="DIJ31" s="521"/>
      <c r="DIK31" s="521"/>
      <c r="DIL31" s="543"/>
      <c r="DIM31" s="565"/>
      <c r="DIN31" s="562"/>
      <c r="DIO31" s="563"/>
      <c r="DIP31" s="563"/>
      <c r="DIQ31" s="563"/>
      <c r="DIR31" s="563"/>
      <c r="DIS31" s="563"/>
      <c r="DIT31" s="543"/>
      <c r="DIU31" s="565"/>
      <c r="DIV31" s="560"/>
      <c r="DIW31" s="561"/>
      <c r="DIX31" s="561"/>
      <c r="DIY31" s="561"/>
      <c r="DIZ31" s="561"/>
      <c r="DJA31" s="561"/>
      <c r="DJB31" s="543"/>
      <c r="DJC31" s="565"/>
      <c r="DJD31" s="560"/>
      <c r="DJE31" s="561"/>
      <c r="DJF31" s="561"/>
      <c r="DJG31" s="561"/>
      <c r="DJH31" s="561"/>
      <c r="DJI31" s="561"/>
      <c r="DJJ31" s="543"/>
      <c r="DJK31" s="565"/>
      <c r="DJL31" s="520"/>
      <c r="DJM31" s="521"/>
      <c r="DJN31" s="521"/>
      <c r="DJO31" s="521"/>
      <c r="DJP31" s="521"/>
      <c r="DJQ31" s="521"/>
      <c r="DJR31" s="543"/>
      <c r="DJS31" s="565"/>
      <c r="DJT31" s="520"/>
      <c r="DJU31" s="526"/>
      <c r="DJV31" s="526"/>
      <c r="DJW31" s="526"/>
      <c r="DJX31" s="526"/>
      <c r="DJY31" s="526"/>
      <c r="DJZ31" s="543"/>
      <c r="DKA31" s="565"/>
      <c r="DKB31" s="520"/>
      <c r="DKC31" s="526"/>
      <c r="DKD31" s="526"/>
      <c r="DKE31" s="526"/>
      <c r="DKF31" s="526"/>
      <c r="DKG31" s="526"/>
      <c r="DKH31" s="543"/>
      <c r="DKI31" s="565"/>
      <c r="DKJ31" s="560"/>
      <c r="DKK31" s="561"/>
      <c r="DKL31" s="561"/>
      <c r="DKM31" s="561"/>
      <c r="DKN31" s="561"/>
      <c r="DKO31" s="561"/>
      <c r="DKP31" s="543"/>
      <c r="DKQ31" s="565"/>
      <c r="DKR31" s="520"/>
      <c r="DKS31" s="521"/>
      <c r="DKT31" s="521"/>
      <c r="DKU31" s="521"/>
      <c r="DKV31" s="521"/>
      <c r="DKW31" s="521"/>
      <c r="DKX31" s="543"/>
      <c r="DKY31" s="565"/>
      <c r="DKZ31" s="520"/>
      <c r="DLA31" s="521"/>
      <c r="DLB31" s="521"/>
      <c r="DLC31" s="521"/>
      <c r="DLD31" s="521"/>
      <c r="DLE31" s="521"/>
      <c r="DLF31" s="543"/>
      <c r="DLG31" s="565"/>
      <c r="DLH31" s="520"/>
      <c r="DLI31" s="521"/>
      <c r="DLJ31" s="521"/>
      <c r="DLK31" s="521"/>
      <c r="DLL31" s="521"/>
      <c r="DLM31" s="521"/>
      <c r="DLN31" s="543"/>
      <c r="DLO31" s="565"/>
      <c r="DLP31" s="560"/>
      <c r="DLQ31" s="561"/>
      <c r="DLR31" s="561"/>
      <c r="DLS31" s="561"/>
      <c r="DLT31" s="561"/>
      <c r="DLU31" s="561"/>
      <c r="DLV31" s="543"/>
      <c r="DLW31" s="565"/>
      <c r="DLX31" s="520"/>
      <c r="DLY31" s="521"/>
      <c r="DLZ31" s="521"/>
      <c r="DMA31" s="521"/>
      <c r="DMB31" s="521"/>
      <c r="DMC31" s="521"/>
      <c r="DMD31" s="543"/>
      <c r="DME31" s="565"/>
      <c r="DMF31" s="560"/>
      <c r="DMG31" s="561"/>
      <c r="DMH31" s="561"/>
      <c r="DMI31" s="561"/>
      <c r="DMJ31" s="561"/>
      <c r="DMK31" s="561"/>
      <c r="DML31" s="543"/>
      <c r="DMM31" s="565"/>
      <c r="DMN31" s="520"/>
      <c r="DMO31" s="521"/>
      <c r="DMP31" s="521"/>
      <c r="DMQ31" s="521"/>
      <c r="DMR31" s="521"/>
      <c r="DMS31" s="521"/>
      <c r="DMT31" s="543"/>
      <c r="DMU31" s="565"/>
      <c r="DMV31" s="560"/>
      <c r="DMW31" s="561"/>
      <c r="DMX31" s="561"/>
      <c r="DMY31" s="561"/>
      <c r="DMZ31" s="561"/>
      <c r="DNA31" s="561"/>
      <c r="DNB31" s="566"/>
      <c r="DNC31" s="544"/>
      <c r="DND31" s="520"/>
      <c r="DNE31" s="521"/>
      <c r="DNF31" s="521"/>
      <c r="DNG31" s="521"/>
      <c r="DNH31" s="521"/>
      <c r="DNI31" s="521"/>
      <c r="DNJ31" s="543"/>
      <c r="DNK31" s="565"/>
      <c r="DNL31" s="520"/>
      <c r="DNM31" s="521"/>
      <c r="DNN31" s="521"/>
      <c r="DNO31" s="521"/>
      <c r="DNP31" s="521"/>
      <c r="DNQ31" s="521"/>
      <c r="DNR31" s="543"/>
      <c r="DNS31" s="565"/>
      <c r="DNT31" s="560"/>
      <c r="DNU31" s="561"/>
      <c r="DNV31" s="561"/>
      <c r="DNW31" s="561"/>
      <c r="DNX31" s="561"/>
      <c r="DNY31" s="561"/>
      <c r="DNZ31" s="543"/>
      <c r="DOA31" s="565"/>
      <c r="DOB31" s="542"/>
      <c r="DOC31" s="543"/>
      <c r="DOD31" s="543"/>
      <c r="DOE31" s="543"/>
      <c r="DOF31" s="543"/>
      <c r="DOG31" s="543"/>
      <c r="DOH31" s="543"/>
      <c r="DOI31" s="565"/>
      <c r="DOJ31" s="560"/>
      <c r="DOK31" s="561"/>
      <c r="DOL31" s="561"/>
      <c r="DOM31" s="561"/>
      <c r="DON31" s="561"/>
      <c r="DOO31" s="561"/>
      <c r="DOP31" s="543"/>
      <c r="DOQ31" s="565"/>
      <c r="DOR31" s="560"/>
      <c r="DOS31" s="561"/>
      <c r="DOT31" s="561"/>
      <c r="DOU31" s="561"/>
      <c r="DOV31" s="561"/>
      <c r="DOW31" s="561"/>
      <c r="DOX31" s="543"/>
      <c r="DOY31" s="565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43"/>
      <c r="DPO31" s="565"/>
      <c r="DPP31" s="520"/>
      <c r="DPQ31" s="521"/>
      <c r="DPR31" s="521"/>
      <c r="DPS31" s="521"/>
      <c r="DPT31" s="521"/>
      <c r="DPU31" s="521"/>
      <c r="DPV31" s="566"/>
      <c r="DPW31" s="544"/>
      <c r="DPX31" s="520"/>
      <c r="DPY31" s="521"/>
      <c r="DPZ31" s="521"/>
      <c r="DQA31" s="521"/>
      <c r="DQB31" s="521"/>
      <c r="DQC31" s="521"/>
      <c r="DQD31" s="566"/>
      <c r="DQE31" s="544"/>
      <c r="DQF31" s="560"/>
      <c r="DQG31" s="561"/>
      <c r="DQH31" s="561"/>
      <c r="DQI31" s="561"/>
      <c r="DQJ31" s="561"/>
      <c r="DQK31" s="561"/>
      <c r="DQL31" s="525"/>
      <c r="DQM31" s="544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43"/>
      <c r="DRC31" s="565"/>
      <c r="DRD31" s="542"/>
      <c r="DRE31" s="543"/>
      <c r="DRF31" s="543"/>
      <c r="DRG31" s="543"/>
      <c r="DRH31" s="543"/>
      <c r="DRI31" s="543"/>
      <c r="DRJ31" s="543"/>
      <c r="DRK31" s="565"/>
      <c r="DRL31" s="520"/>
      <c r="DRM31" s="521"/>
      <c r="DRN31" s="521"/>
      <c r="DRO31" s="521"/>
      <c r="DRP31" s="521"/>
      <c r="DRQ31" s="521"/>
      <c r="DRR31" s="543"/>
      <c r="DRS31" s="565"/>
      <c r="DRT31" s="542"/>
      <c r="DRU31" s="543"/>
      <c r="DRV31" s="543"/>
      <c r="DRW31" s="543"/>
      <c r="DRX31" s="543"/>
      <c r="DRY31" s="543"/>
      <c r="DRZ31" s="543"/>
      <c r="DSA31" s="565"/>
      <c r="DSB31" s="520"/>
      <c r="DSC31" s="521"/>
      <c r="DSD31" s="521"/>
      <c r="DSE31" s="521"/>
      <c r="DSF31" s="521"/>
      <c r="DSG31" s="521"/>
      <c r="DSH31" s="543"/>
      <c r="DSI31" s="565"/>
      <c r="DSJ31" s="560"/>
      <c r="DSK31" s="561"/>
      <c r="DSL31" s="561"/>
      <c r="DSM31" s="561"/>
      <c r="DSN31" s="561"/>
      <c r="DSO31" s="561"/>
      <c r="DSP31" s="543"/>
      <c r="DSQ31" s="565"/>
      <c r="DSR31" s="520"/>
      <c r="DSS31" s="521"/>
      <c r="DST31" s="521"/>
      <c r="DSU31" s="521"/>
      <c r="DSV31" s="521"/>
      <c r="DSW31" s="521"/>
      <c r="DSX31" s="543"/>
      <c r="DSY31" s="565"/>
      <c r="DSZ31" s="520"/>
      <c r="DTA31" s="521"/>
      <c r="DTB31" s="521"/>
      <c r="DTC31" s="521"/>
      <c r="DTD31" s="521"/>
      <c r="DTE31" s="521"/>
      <c r="DTF31" s="543"/>
      <c r="DTG31" s="565"/>
      <c r="DTH31" s="520"/>
      <c r="DTI31" s="521"/>
      <c r="DTJ31" s="521"/>
      <c r="DTK31" s="521"/>
      <c r="DTL31" s="521"/>
      <c r="DTM31" s="521"/>
      <c r="DTN31" s="543"/>
      <c r="DTO31" s="565"/>
      <c r="DTP31" s="560"/>
      <c r="DTQ31" s="561"/>
      <c r="DTR31" s="561"/>
      <c r="DTS31" s="561"/>
      <c r="DTT31" s="561"/>
      <c r="DTU31" s="561"/>
      <c r="DTV31" s="543"/>
      <c r="DTW31" s="565"/>
      <c r="DTX31" s="520"/>
      <c r="DTY31" s="521"/>
      <c r="DTZ31" s="521"/>
      <c r="DUA31" s="521"/>
      <c r="DUB31" s="521"/>
      <c r="DUC31" s="521"/>
      <c r="DUD31" s="543"/>
      <c r="DUE31" s="565"/>
      <c r="DUF31" s="520"/>
      <c r="DUG31" s="521"/>
      <c r="DUH31" s="521"/>
      <c r="DUI31" s="521"/>
      <c r="DUJ31" s="521"/>
      <c r="DUK31" s="521"/>
      <c r="DUL31" s="543"/>
      <c r="DUM31" s="565"/>
      <c r="DUN31" s="560"/>
      <c r="DUO31" s="561"/>
      <c r="DUP31" s="561"/>
      <c r="DUQ31" s="561"/>
      <c r="DUR31" s="561"/>
      <c r="DUS31" s="561"/>
      <c r="DUT31" s="543"/>
      <c r="DUU31" s="565"/>
      <c r="DUV31" s="520"/>
      <c r="DUW31" s="521"/>
      <c r="DUX31" s="521"/>
      <c r="DUY31" s="521"/>
      <c r="DUZ31" s="521"/>
      <c r="DVA31" s="521"/>
      <c r="DVB31" s="543"/>
      <c r="DVC31" s="565"/>
      <c r="DVD31" s="542"/>
      <c r="DVE31" s="543"/>
      <c r="DVF31" s="543"/>
      <c r="DVG31" s="543"/>
      <c r="DVH31" s="543"/>
      <c r="DVI31" s="543"/>
      <c r="DVJ31" s="543"/>
      <c r="DVK31" s="565"/>
      <c r="DVL31" s="562"/>
      <c r="DVM31" s="563"/>
      <c r="DVN31" s="563"/>
      <c r="DVO31" s="563"/>
      <c r="DVP31" s="563"/>
      <c r="DVQ31" s="563"/>
      <c r="DVR31" s="543"/>
      <c r="DVS31" s="565"/>
      <c r="DVT31" s="520"/>
      <c r="DVU31" s="521"/>
      <c r="DVV31" s="521"/>
      <c r="DVW31" s="521"/>
      <c r="DVX31" s="521"/>
      <c r="DVY31" s="521"/>
      <c r="DVZ31" s="543"/>
      <c r="DWA31" s="565"/>
      <c r="DWB31" s="520"/>
      <c r="DWC31" s="521"/>
      <c r="DWD31" s="521"/>
      <c r="DWE31" s="521"/>
      <c r="DWF31" s="521"/>
      <c r="DWG31" s="521"/>
      <c r="DWH31" s="543"/>
      <c r="DWI31" s="565"/>
      <c r="DWJ31" s="520"/>
      <c r="DWK31" s="521"/>
      <c r="DWL31" s="521"/>
      <c r="DWM31" s="521"/>
      <c r="DWN31" s="521"/>
      <c r="DWO31" s="521"/>
      <c r="DWP31" s="543"/>
      <c r="DWQ31" s="565"/>
      <c r="DWR31" s="520"/>
      <c r="DWS31" s="521"/>
      <c r="DWT31" s="521"/>
      <c r="DWU31" s="521"/>
      <c r="DWV31" s="521"/>
      <c r="DWW31" s="521"/>
      <c r="DWX31" s="543"/>
      <c r="DWY31" s="565"/>
      <c r="DWZ31" s="560"/>
      <c r="DXA31" s="561"/>
      <c r="DXB31" s="561"/>
      <c r="DXC31" s="561"/>
      <c r="DXD31" s="561"/>
      <c r="DXE31" s="561"/>
      <c r="DXF31" s="543"/>
      <c r="DXG31" s="565"/>
      <c r="DXH31" s="560"/>
      <c r="DXI31" s="561"/>
      <c r="DXJ31" s="561"/>
      <c r="DXK31" s="561"/>
      <c r="DXL31" s="561"/>
      <c r="DXM31" s="561">
        <v>0</v>
      </c>
      <c r="DXN31" s="543"/>
      <c r="DXO31" s="565"/>
      <c r="DXP31" s="609">
        <v>0</v>
      </c>
      <c r="DXQ31" s="610">
        <v>0</v>
      </c>
      <c r="DXR31" s="610">
        <v>0</v>
      </c>
      <c r="DXS31" s="610">
        <v>0</v>
      </c>
      <c r="DXT31" s="610">
        <v>0</v>
      </c>
      <c r="DXU31" s="600">
        <v>0</v>
      </c>
      <c r="DXV31" s="64">
        <f t="shared" ref="DXV31:DXV59" si="1320">SUM(DXP31:DXU31)</f>
        <v>0</v>
      </c>
      <c r="DXW31" s="68">
        <f t="shared" ref="DXW31:DXW59" si="1321">DXV31/$DXW$5</f>
        <v>0</v>
      </c>
      <c r="DXX31" s="612">
        <v>0</v>
      </c>
      <c r="DXY31" s="600">
        <v>254</v>
      </c>
      <c r="DXZ31" s="600">
        <v>1000</v>
      </c>
      <c r="DYA31" s="600">
        <v>0</v>
      </c>
      <c r="DYB31" s="600">
        <v>53</v>
      </c>
      <c r="DYC31" s="600">
        <v>0</v>
      </c>
      <c r="DYD31" s="64">
        <f t="shared" ref="DYD31:DYD59" si="1322">SUM(DXX31:DYC31)</f>
        <v>1307</v>
      </c>
      <c r="DYE31" s="68">
        <f t="shared" ref="DYE31:DYE59" si="1323">DYD31/$DYE$5</f>
        <v>217.83333333333334</v>
      </c>
      <c r="DYF31" s="612">
        <v>0</v>
      </c>
      <c r="DYG31" s="600">
        <v>514</v>
      </c>
      <c r="DYH31" s="600">
        <v>110</v>
      </c>
      <c r="DYI31" s="600">
        <v>328</v>
      </c>
      <c r="DYJ31" s="600">
        <v>0</v>
      </c>
      <c r="DYK31" s="600"/>
      <c r="DYL31" s="64">
        <f t="shared" ref="DYL31:DYL59" si="1324">SUM(DYF31:DYK31)</f>
        <v>952</v>
      </c>
      <c r="DYM31" s="68">
        <f t="shared" ref="DYM31:DYM59" si="1325">DYL31/$DYM$5</f>
        <v>158.66666666666666</v>
      </c>
      <c r="DYN31" s="612">
        <v>0</v>
      </c>
      <c r="DYO31" s="600">
        <v>687</v>
      </c>
      <c r="DYP31" s="600">
        <v>0</v>
      </c>
      <c r="DYQ31" s="600">
        <v>0</v>
      </c>
      <c r="DYR31" s="600"/>
      <c r="DYS31" s="600"/>
      <c r="DYT31" s="64">
        <f t="shared" ref="DYT31:DYT59" si="1326">SUM(DYN31:DYS31)</f>
        <v>687</v>
      </c>
      <c r="DYU31" s="68">
        <f t="shared" ref="DYU31:DYU59" si="1327">DYT31/$DYU$5</f>
        <v>114.5</v>
      </c>
      <c r="DYV31" s="612">
        <v>0</v>
      </c>
      <c r="DYW31" s="600">
        <v>0</v>
      </c>
      <c r="DYX31" s="600">
        <v>2554</v>
      </c>
      <c r="DYY31" s="600">
        <v>0</v>
      </c>
      <c r="DYZ31" s="600">
        <v>0</v>
      </c>
      <c r="DZA31" s="600">
        <v>0</v>
      </c>
      <c r="DZB31" s="64">
        <f t="shared" ref="DZB31:DZB59" si="1328">SUM(DYV31:DZA31)</f>
        <v>2554</v>
      </c>
      <c r="DZC31" s="68">
        <f t="shared" ref="DZC31:DZC59" si="1329">DZB31/$DZC$5</f>
        <v>425.66666666666669</v>
      </c>
      <c r="DZD31" s="609">
        <v>0</v>
      </c>
      <c r="DZE31" s="610">
        <v>1024</v>
      </c>
      <c r="DZF31" s="610">
        <v>0</v>
      </c>
      <c r="DZG31" s="610">
        <v>0</v>
      </c>
      <c r="DZH31" s="610">
        <v>0</v>
      </c>
      <c r="DZI31" s="610">
        <v>0</v>
      </c>
      <c r="DZJ31" s="64">
        <f t="shared" ref="DZJ31:DZJ59" si="1330">SUM(DZD31:DZI31)</f>
        <v>1024</v>
      </c>
      <c r="DZK31" s="68">
        <f t="shared" ref="DZK31:DZK59" si="1331">DZJ31/$DZK$5</f>
        <v>170.66666666666666</v>
      </c>
      <c r="DZL31" s="612">
        <v>0</v>
      </c>
      <c r="DZM31" s="600">
        <v>0</v>
      </c>
      <c r="DZN31" s="600">
        <v>1021</v>
      </c>
      <c r="DZO31" s="600">
        <v>0</v>
      </c>
      <c r="DZP31" s="600">
        <v>0</v>
      </c>
      <c r="DZQ31" s="600">
        <v>0</v>
      </c>
      <c r="DZR31" s="64">
        <f t="shared" ref="DZR31:DZR59" si="1332">SUM(DZL31:DZQ31)</f>
        <v>1021</v>
      </c>
      <c r="DZS31" s="68">
        <f t="shared" ref="DZS31:DZS59" si="1333">DZR31/$DZS$5</f>
        <v>170.16666666666666</v>
      </c>
      <c r="DZT31" s="612">
        <v>0</v>
      </c>
      <c r="DZU31" s="600">
        <v>1008</v>
      </c>
      <c r="DZV31" s="600"/>
      <c r="DZW31" s="600">
        <v>0</v>
      </c>
      <c r="DZX31" s="600">
        <v>0</v>
      </c>
      <c r="DZY31" s="600">
        <v>0</v>
      </c>
      <c r="DZZ31" s="64">
        <f t="shared" ref="DZZ31:DZZ59" si="1334">SUM(DZT31:DZY31)</f>
        <v>1008</v>
      </c>
      <c r="EAA31" s="68">
        <f t="shared" ref="EAA31:EAA59" si="1335">DZZ31/$EAA$5</f>
        <v>168</v>
      </c>
      <c r="EAB31" s="609"/>
      <c r="EAC31" s="610">
        <v>0</v>
      </c>
      <c r="EAD31" s="610">
        <v>0</v>
      </c>
      <c r="EAE31" s="610">
        <v>1009</v>
      </c>
      <c r="EAF31" s="610">
        <v>0</v>
      </c>
      <c r="EAG31" s="600">
        <v>0</v>
      </c>
      <c r="EAH31" s="64">
        <f t="shared" ref="EAH31:EAH59" si="1336">SUM(EAB31:EAG31)</f>
        <v>1009</v>
      </c>
      <c r="EAI31" s="68">
        <f t="shared" ref="EAI31:EAI59" si="1337">EAH31/$EAI$5</f>
        <v>168.16666666666666</v>
      </c>
      <c r="EAJ31" s="609">
        <v>0</v>
      </c>
      <c r="EAK31" s="610">
        <v>1009</v>
      </c>
      <c r="EAL31" s="610">
        <v>1</v>
      </c>
      <c r="EAM31" s="610">
        <v>1</v>
      </c>
      <c r="EAN31" s="610">
        <v>0</v>
      </c>
      <c r="EAO31" s="610">
        <v>0</v>
      </c>
      <c r="EAP31" s="64">
        <f t="shared" ref="EAP31:EAP59" si="1338">SUM(EAJ31:EAO31)</f>
        <v>1011</v>
      </c>
      <c r="EAQ31" s="68">
        <f t="shared" ref="EAQ31:EAQ59" si="1339">EAP31/$EAQ$28</f>
        <v>168.5</v>
      </c>
      <c r="EAR31" s="612">
        <v>1022</v>
      </c>
      <c r="EAS31" s="600">
        <v>0</v>
      </c>
      <c r="EAT31" s="600">
        <v>0</v>
      </c>
      <c r="EAU31" s="600">
        <v>0</v>
      </c>
      <c r="EAV31" s="600">
        <v>0</v>
      </c>
      <c r="EAW31" s="600">
        <v>0</v>
      </c>
      <c r="EAX31" s="64">
        <f t="shared" ref="EAX31:EAX59" si="1340">SUM(EAR31:EAW31)</f>
        <v>1022</v>
      </c>
      <c r="EAY31" s="68">
        <f t="shared" ref="EAY31:EAY59" si="1341">EAX31/$EAY$5</f>
        <v>170.33333333333334</v>
      </c>
      <c r="EAZ31" s="612">
        <v>0</v>
      </c>
      <c r="EBA31" s="600"/>
      <c r="EBB31" s="600">
        <v>0</v>
      </c>
      <c r="EBC31" s="600">
        <v>1025</v>
      </c>
      <c r="EBD31" s="600">
        <v>0</v>
      </c>
      <c r="EBE31" s="600">
        <v>0</v>
      </c>
      <c r="EBF31" s="64">
        <f t="shared" ref="EBF31:EBF59" si="1342">SUM(EAZ31:EBE31)</f>
        <v>1025</v>
      </c>
      <c r="EBG31" s="68">
        <f t="shared" ref="EBG31:EBG59" si="1343">EBF31/$EBG$5</f>
        <v>170.83333333333334</v>
      </c>
      <c r="EBH31" s="612">
        <v>0</v>
      </c>
      <c r="EBI31" s="600">
        <v>0</v>
      </c>
      <c r="EBJ31" s="600">
        <v>0</v>
      </c>
      <c r="EBK31" s="600">
        <v>954</v>
      </c>
      <c r="EBL31" s="600">
        <v>0</v>
      </c>
      <c r="EBM31" s="600">
        <v>0</v>
      </c>
      <c r="EBN31" s="64">
        <f t="shared" ref="EBN31:EBN59" si="1344">SUM(EBH31:EBM31)</f>
        <v>954</v>
      </c>
      <c r="EBO31" s="68">
        <f t="shared" ref="EBO31:EBO59" si="1345">EBN31/6</f>
        <v>159</v>
      </c>
      <c r="EBP31" s="612">
        <v>0</v>
      </c>
      <c r="EBQ31" s="600">
        <v>0</v>
      </c>
      <c r="EBR31" s="600"/>
      <c r="EBS31" s="600">
        <v>0</v>
      </c>
      <c r="EBT31" s="600"/>
      <c r="EBU31" s="600"/>
      <c r="EBV31" s="64">
        <f t="shared" ref="EBV31:EBV59" si="1346">SUM(EBP31:EBU31)</f>
        <v>0</v>
      </c>
      <c r="EBW31" s="68">
        <f t="shared" ref="EBW31:EBW59" si="1347">EBV31/$EBW$5</f>
        <v>0</v>
      </c>
      <c r="EBX31" s="612">
        <v>0</v>
      </c>
      <c r="EBY31" s="600">
        <v>0</v>
      </c>
      <c r="EBZ31" s="600">
        <v>1012</v>
      </c>
      <c r="ECA31" s="600"/>
      <c r="ECB31" s="600">
        <v>0</v>
      </c>
      <c r="ECC31" s="600">
        <v>0</v>
      </c>
      <c r="ECD31" s="64">
        <f t="shared" ref="ECD31:ECD59" si="1348">SUM(EBX31:ECC31)</f>
        <v>1012</v>
      </c>
      <c r="ECE31" s="68">
        <f t="shared" ref="ECE31:ECE59" si="1349">ECD31/$ECE$5</f>
        <v>168.66666666666666</v>
      </c>
      <c r="ECF31" s="612">
        <v>0</v>
      </c>
      <c r="ECG31" s="600">
        <v>0</v>
      </c>
      <c r="ECH31" s="600">
        <v>0</v>
      </c>
      <c r="ECI31" s="600">
        <v>0</v>
      </c>
      <c r="ECJ31" s="600">
        <v>0</v>
      </c>
      <c r="ECK31" s="600"/>
      <c r="ECL31" s="64">
        <f t="shared" ref="ECL31:ECL59" si="1350">SUM(ECF31:ECK31)</f>
        <v>0</v>
      </c>
      <c r="ECM31" s="68">
        <f t="shared" ref="ECM31:ECM59" si="1351">ECL31/$ECM$5</f>
        <v>0</v>
      </c>
      <c r="ECN31" s="612">
        <v>0</v>
      </c>
      <c r="ECO31" s="600">
        <v>996</v>
      </c>
      <c r="ECP31" s="600">
        <v>0</v>
      </c>
      <c r="ECQ31" s="600"/>
      <c r="ECR31" s="600">
        <v>0</v>
      </c>
      <c r="ECS31" s="600">
        <v>0</v>
      </c>
      <c r="ECT31" s="64">
        <f t="shared" ref="ECT31:ECT59" si="1352">SUM(ECN31:ECS31)</f>
        <v>996</v>
      </c>
      <c r="ECU31" s="68">
        <f t="shared" ref="ECU31:ECU59" si="1353">ECT31/$ECU$5</f>
        <v>166</v>
      </c>
      <c r="ECV31" s="612">
        <v>0</v>
      </c>
      <c r="ECW31" s="600">
        <v>285</v>
      </c>
      <c r="ECX31" s="600">
        <v>682</v>
      </c>
      <c r="ECY31" s="600">
        <v>0</v>
      </c>
      <c r="ECZ31" s="600"/>
      <c r="EDA31" s="600"/>
      <c r="EDB31" s="64">
        <f t="shared" ref="EDB31:EDB59" si="1354">SUM(ECV31:EDA31)</f>
        <v>967</v>
      </c>
      <c r="EDC31" s="68">
        <f t="shared" ref="EDC31:EDC59" si="1355">EDB31/$EDC$5</f>
        <v>161.16666666666666</v>
      </c>
      <c r="EDD31" s="612"/>
      <c r="EDE31" s="600">
        <v>0</v>
      </c>
      <c r="EDF31" s="600">
        <v>0</v>
      </c>
      <c r="EDG31" s="600">
        <v>673</v>
      </c>
      <c r="EDH31" s="600"/>
      <c r="EDI31" s="600"/>
      <c r="EDJ31" s="64">
        <f t="shared" ref="EDJ31:EDJ59" si="1356">SUM(EDD31:EDI31)</f>
        <v>673</v>
      </c>
      <c r="EDK31" s="68">
        <f t="shared" ref="EDK31:EDK59" si="1357">EDJ31/$EDK$5</f>
        <v>112.16666666666667</v>
      </c>
      <c r="EDL31" s="609">
        <v>0</v>
      </c>
      <c r="EDM31" s="610">
        <v>0</v>
      </c>
      <c r="EDN31" s="610"/>
      <c r="EDO31" s="610">
        <v>0</v>
      </c>
      <c r="EDP31" s="610">
        <v>980</v>
      </c>
      <c r="EDQ31" s="610">
        <v>0</v>
      </c>
      <c r="EDR31" s="64">
        <f t="shared" ref="EDR31:EDR59" si="1358">SUM(EDL31:EDQ31)</f>
        <v>980</v>
      </c>
      <c r="EDS31" s="68">
        <f t="shared" ref="EDS31:EDS59" si="1359">EDR31/$EDS$5</f>
        <v>163.33333333333334</v>
      </c>
      <c r="EDT31" s="612">
        <v>0</v>
      </c>
      <c r="EDU31" s="600">
        <v>0</v>
      </c>
      <c r="EDV31" s="600">
        <v>0</v>
      </c>
      <c r="EDW31" s="600">
        <v>0</v>
      </c>
      <c r="EDX31" s="600">
        <v>0</v>
      </c>
      <c r="EDY31" s="600"/>
      <c r="EDZ31" s="64">
        <f t="shared" ref="EDZ31:EDZ59" si="1360">SUM(EDT31:EDY31)</f>
        <v>0</v>
      </c>
      <c r="EEA31" s="68">
        <f t="shared" ref="EEA31:EEA59" si="1361">EDZ31/$EEA$5</f>
        <v>0</v>
      </c>
      <c r="EEB31" s="612">
        <v>0</v>
      </c>
      <c r="EEC31" s="600">
        <v>0</v>
      </c>
      <c r="EED31" s="600">
        <v>685</v>
      </c>
      <c r="EEE31" s="600">
        <v>0</v>
      </c>
      <c r="EEF31" s="600">
        <v>0</v>
      </c>
      <c r="EEG31" s="600"/>
      <c r="EEH31" s="64">
        <f t="shared" ref="EEH31:EEH59" si="1362">SUM(EEB31:EEG31)</f>
        <v>685</v>
      </c>
      <c r="EEI31" s="68">
        <f t="shared" ref="EEI31:EEI59" si="1363">EEH31/$EEI$5</f>
        <v>114.16666666666667</v>
      </c>
      <c r="EEJ31" s="612">
        <v>0</v>
      </c>
      <c r="EEK31" s="600">
        <v>0</v>
      </c>
      <c r="EEL31" s="600">
        <v>0</v>
      </c>
      <c r="EEM31" s="600">
        <v>1022</v>
      </c>
      <c r="EEN31" s="600">
        <v>0</v>
      </c>
      <c r="EEO31" s="600">
        <v>0</v>
      </c>
      <c r="EEP31" s="64">
        <f t="shared" ref="EEP31:EEP59" si="1364">SUM(EEJ31:EEO31)</f>
        <v>1022</v>
      </c>
      <c r="EEQ31" s="68">
        <f t="shared" ref="EEQ31:EEQ59" si="1365">EEP31/$EEQ$5</f>
        <v>170.33333333333334</v>
      </c>
      <c r="EER31" s="612">
        <v>0</v>
      </c>
      <c r="EES31" s="600">
        <v>0</v>
      </c>
      <c r="EET31" s="600">
        <v>0</v>
      </c>
      <c r="EEU31" s="600">
        <v>0</v>
      </c>
      <c r="EEV31" s="600">
        <v>0</v>
      </c>
      <c r="EEW31" s="600"/>
      <c r="EEX31" s="64">
        <f t="shared" ref="EEX31:EEX59" si="1366">SUM(EER31:EEW31)</f>
        <v>0</v>
      </c>
      <c r="EEY31" s="68">
        <f t="shared" ref="EEY31:EEY59" si="1367">EEX31/$EEY$5</f>
        <v>0</v>
      </c>
      <c r="EEZ31" s="612">
        <v>1036</v>
      </c>
      <c r="EFA31" s="600"/>
      <c r="EFB31" s="600">
        <v>0</v>
      </c>
      <c r="EFC31" s="600">
        <v>0</v>
      </c>
      <c r="EFD31" s="600">
        <v>0</v>
      </c>
      <c r="EFE31" s="600">
        <v>1017</v>
      </c>
      <c r="EFF31" s="64">
        <f t="shared" ref="EFF31:EFF59" si="1368">SUM(EEZ31:EFE31)</f>
        <v>2053</v>
      </c>
      <c r="EFG31" s="68">
        <f t="shared" ref="EFG31:EFG59" si="1369">EFF31/$EFG$5</f>
        <v>342.16666666666669</v>
      </c>
      <c r="EFH31" s="612">
        <v>0</v>
      </c>
      <c r="EFI31" s="600">
        <v>0</v>
      </c>
      <c r="EFJ31" s="600">
        <v>0</v>
      </c>
      <c r="EFK31" s="600">
        <v>0</v>
      </c>
      <c r="EFL31" s="600">
        <v>800</v>
      </c>
      <c r="EFM31" s="600">
        <v>223</v>
      </c>
      <c r="EFN31" s="64">
        <f t="shared" ref="EFN31:EFN59" si="1370">SUM(EFH31:EFM31)</f>
        <v>1023</v>
      </c>
      <c r="EFO31" s="68">
        <f t="shared" ref="EFO31:EFO59" si="1371">EFN31/$EFO$5</f>
        <v>170.5</v>
      </c>
      <c r="EFP31" s="612">
        <v>0</v>
      </c>
      <c r="EFQ31" s="600"/>
      <c r="EFR31" s="600"/>
      <c r="EFS31" s="600">
        <v>0</v>
      </c>
      <c r="EFT31" s="600">
        <v>692</v>
      </c>
      <c r="EFU31" s="600">
        <v>0</v>
      </c>
      <c r="EFV31" s="64">
        <f t="shared" ref="EFV31:EFV59" si="1372">SUM(EFP31:EFU31)</f>
        <v>692</v>
      </c>
      <c r="EFW31" s="68">
        <f t="shared" ref="EFW31:EFW59" si="1373">EFV31/$EFW$5</f>
        <v>115.33333333333333</v>
      </c>
      <c r="EFX31" s="612">
        <v>0</v>
      </c>
      <c r="EFY31" s="600">
        <v>0</v>
      </c>
      <c r="EFZ31" s="600"/>
      <c r="EGA31" s="600">
        <v>0</v>
      </c>
      <c r="EGB31" s="600">
        <v>0</v>
      </c>
      <c r="EGC31" s="600">
        <v>0</v>
      </c>
      <c r="EGD31" s="64">
        <f t="shared" ref="EGD31:EGD59" si="1374">SUM(EFX31:EGC31)</f>
        <v>0</v>
      </c>
      <c r="EGE31" s="68">
        <f t="shared" ref="EGE31:EGE59" si="1375">EGD31/$EGE$5</f>
        <v>0</v>
      </c>
      <c r="EGF31" s="612">
        <v>1031</v>
      </c>
      <c r="EGG31" s="600">
        <v>0</v>
      </c>
      <c r="EGH31" s="600"/>
      <c r="EGI31" s="600">
        <v>0</v>
      </c>
      <c r="EGJ31" s="600">
        <v>0</v>
      </c>
      <c r="EGK31" s="600">
        <v>1030</v>
      </c>
      <c r="EGL31" s="64">
        <f t="shared" ref="EGL31:EGL59" si="1376">SUM(EGF31:EGK31)</f>
        <v>2061</v>
      </c>
      <c r="EGM31" s="68">
        <f t="shared" ref="EGM31:EGM59" si="1377">EGL31/$EGM$5</f>
        <v>343.5</v>
      </c>
      <c r="EGN31" s="612">
        <v>0</v>
      </c>
      <c r="EGO31" s="600">
        <v>0</v>
      </c>
      <c r="EGP31" s="600"/>
      <c r="EGQ31" s="600">
        <v>400</v>
      </c>
      <c r="EGR31" s="600">
        <v>283</v>
      </c>
      <c r="EGS31" s="600">
        <v>0</v>
      </c>
      <c r="EGT31" s="64">
        <f t="shared" ref="EGT31:EGT59" si="1378">SUM(EGN31:EGS31)</f>
        <v>683</v>
      </c>
      <c r="EGU31" s="68">
        <f t="shared" ref="EGU31:EGU59" si="1379">EGT31/$EGU$28</f>
        <v>113.83333333333333</v>
      </c>
      <c r="EGV31" s="612">
        <v>0</v>
      </c>
      <c r="EGW31" s="600">
        <v>0</v>
      </c>
      <c r="EGX31" s="600">
        <v>0</v>
      </c>
      <c r="EGY31" s="600">
        <v>200</v>
      </c>
      <c r="EGZ31" s="600">
        <v>823</v>
      </c>
      <c r="EHA31" s="600">
        <v>0</v>
      </c>
      <c r="EHB31" s="64">
        <f t="shared" ref="EHB31:EHB51" si="1380">SUM(EGV31:EHA31)</f>
        <v>1023</v>
      </c>
      <c r="EHC31" s="68">
        <f t="shared" ref="EHC31:EHC51" si="1381">EHB31/$EHC$5</f>
        <v>170.5</v>
      </c>
      <c r="EHD31" s="612">
        <v>0</v>
      </c>
      <c r="EHE31" s="600">
        <v>0</v>
      </c>
      <c r="EHF31" s="600"/>
      <c r="EHG31" s="600">
        <v>0</v>
      </c>
      <c r="EHH31" s="600">
        <v>0</v>
      </c>
      <c r="EHI31" s="600">
        <v>0</v>
      </c>
      <c r="EHJ31" s="64">
        <f t="shared" ref="EHJ31:EHJ59" si="1382">SUM(EHD31:EHI31)</f>
        <v>0</v>
      </c>
      <c r="EHK31" s="68">
        <f t="shared" ref="EHK31:EHK59" si="1383">EHJ31/$EHK$5</f>
        <v>0</v>
      </c>
      <c r="EHL31" s="612">
        <v>700</v>
      </c>
      <c r="EHM31" s="600">
        <v>308</v>
      </c>
      <c r="EHN31" s="600"/>
      <c r="EHO31" s="600">
        <v>0</v>
      </c>
      <c r="EHP31" s="600"/>
      <c r="EHQ31" s="600">
        <v>0</v>
      </c>
      <c r="EHR31" s="64">
        <f t="shared" ref="EHR31:EHR59" si="1384">SUM(EHL31:EHQ31)</f>
        <v>1008</v>
      </c>
      <c r="EHS31" s="68">
        <f t="shared" ref="EHS31:EHS59" si="1385">EHR31/$EHS$5</f>
        <v>168</v>
      </c>
      <c r="EHT31" s="612">
        <v>0</v>
      </c>
      <c r="EHU31" s="600">
        <v>1006</v>
      </c>
      <c r="EHV31" s="600"/>
      <c r="EHW31" s="600">
        <v>0</v>
      </c>
      <c r="EHX31" s="600">
        <v>0</v>
      </c>
      <c r="EHY31" s="600">
        <v>0</v>
      </c>
      <c r="EHZ31" s="64">
        <f t="shared" ref="EHZ31:EHZ59" si="1386">SUM(EHT31:EHY31)</f>
        <v>1006</v>
      </c>
      <c r="EIA31" s="68">
        <f t="shared" ref="EIA31:EIA59" si="1387">EHZ31/$EIA$5</f>
        <v>167.66666666666666</v>
      </c>
      <c r="EIB31" s="612">
        <v>0</v>
      </c>
      <c r="EIC31" s="600">
        <v>694</v>
      </c>
      <c r="EID31" s="600">
        <v>0</v>
      </c>
      <c r="EIE31" s="600">
        <v>0</v>
      </c>
      <c r="EIF31" s="600">
        <v>0</v>
      </c>
      <c r="EIG31" s="600">
        <v>0</v>
      </c>
      <c r="EIH31" s="64">
        <f t="shared" ref="EIH31:EIH59" si="1388">SUM(EIB31:EIG31)</f>
        <v>694</v>
      </c>
      <c r="EII31" s="68">
        <f t="shared" ref="EII31:EII59" si="1389">EIH31/$EII$5</f>
        <v>115.66666666666667</v>
      </c>
      <c r="EIJ31" s="609">
        <v>1006</v>
      </c>
      <c r="EIK31" s="610">
        <v>0</v>
      </c>
      <c r="EIL31" s="610">
        <v>0</v>
      </c>
      <c r="EIM31" s="610">
        <v>0</v>
      </c>
      <c r="EIN31" s="610">
        <v>0</v>
      </c>
      <c r="EIO31" s="610">
        <v>0</v>
      </c>
      <c r="EIP31" s="64">
        <f t="shared" ref="EIP31:EIP59" si="1390">SUM(EIJ31:EIO31)</f>
        <v>1006</v>
      </c>
      <c r="EIQ31" s="68">
        <f t="shared" ref="EIQ31:EIQ59" si="1391">EIP31/$EIQ$5</f>
        <v>167.66666666666666</v>
      </c>
      <c r="EIR31" s="612">
        <v>679</v>
      </c>
      <c r="EIS31" s="600">
        <v>0</v>
      </c>
      <c r="EIT31" s="600">
        <v>0</v>
      </c>
      <c r="EIU31" s="600">
        <v>0</v>
      </c>
      <c r="EIV31" s="600">
        <v>0</v>
      </c>
      <c r="EIW31" s="600">
        <v>683</v>
      </c>
      <c r="EIX31" s="64">
        <f t="shared" ref="EIX31:EIX59" si="1392">SUM(EIR31:EIW31)</f>
        <v>1362</v>
      </c>
      <c r="EIY31" s="68">
        <f t="shared" ref="EIY31:EIY59" si="1393">EIX31/$EIY$5</f>
        <v>227</v>
      </c>
      <c r="EIZ31" s="612">
        <v>0</v>
      </c>
      <c r="EJA31" s="600">
        <v>0</v>
      </c>
      <c r="EJB31" s="600">
        <v>0</v>
      </c>
      <c r="EJC31" s="600">
        <v>0</v>
      </c>
      <c r="EJD31" s="600">
        <v>700</v>
      </c>
      <c r="EJE31" s="600">
        <v>0</v>
      </c>
      <c r="EJF31" s="64">
        <f t="shared" ref="EJF31:EJF59" si="1394">SUM(EIZ31:EJE31)</f>
        <v>700</v>
      </c>
      <c r="EJG31" s="68">
        <f t="shared" ref="EJG31:EJG59" si="1395">EJF31/$EJG$5</f>
        <v>116.66666666666667</v>
      </c>
      <c r="EJH31" s="612">
        <v>0</v>
      </c>
      <c r="EJI31" s="600">
        <v>0</v>
      </c>
      <c r="EJJ31" s="600"/>
      <c r="EJK31" s="600">
        <v>692</v>
      </c>
      <c r="EJL31" s="600"/>
      <c r="EJM31" s="600"/>
      <c r="EJN31" s="64">
        <f t="shared" ref="EJN31:EJN59" si="1396">SUM(EJH31:EJM31)</f>
        <v>692</v>
      </c>
      <c r="EJO31" s="68">
        <f t="shared" ref="EJO31:EJO59" si="1397">EJN31/$EJO$5</f>
        <v>115.33333333333333</v>
      </c>
      <c r="EJP31" s="612">
        <v>0</v>
      </c>
      <c r="EJQ31" s="600">
        <v>0</v>
      </c>
      <c r="EJR31" s="600">
        <v>0</v>
      </c>
      <c r="EJS31" s="600">
        <v>0</v>
      </c>
      <c r="EJT31" s="600">
        <v>0</v>
      </c>
      <c r="EJU31" s="600">
        <v>679</v>
      </c>
      <c r="EJV31" s="64">
        <f t="shared" ref="EJV31:EJV59" si="1398">SUM(EJP31:EJU31)</f>
        <v>679</v>
      </c>
      <c r="EJW31" s="68">
        <f t="shared" ref="EJW31:EJW59" si="1399">EJV31/$EJW$5</f>
        <v>113.16666666666667</v>
      </c>
      <c r="EJX31" s="612">
        <v>0</v>
      </c>
      <c r="EJY31" s="600">
        <v>0</v>
      </c>
      <c r="EJZ31" s="600">
        <v>0</v>
      </c>
      <c r="EKA31" s="600"/>
      <c r="EKB31" s="600">
        <v>683</v>
      </c>
      <c r="EKC31" s="600"/>
      <c r="EKD31" s="64">
        <f t="shared" ref="EKD31:EKD59" si="1400">SUM(EJX31:EKC31)</f>
        <v>683</v>
      </c>
      <c r="EKE31" s="68">
        <f t="shared" ref="EKE31:EKE59" si="1401">EKD31/$EKE$5</f>
        <v>113.83333333333333</v>
      </c>
      <c r="EKF31" s="612">
        <v>0</v>
      </c>
      <c r="EKG31" s="600">
        <v>0</v>
      </c>
      <c r="EKH31" s="600">
        <v>0</v>
      </c>
      <c r="EKI31" s="600"/>
      <c r="EKJ31" s="600">
        <v>0</v>
      </c>
      <c r="EKK31" s="600">
        <v>0</v>
      </c>
      <c r="EKL31" s="64">
        <f t="shared" ref="EKL31:EKL59" si="1402">SUM(EKF31:EKK31)</f>
        <v>0</v>
      </c>
      <c r="EKM31" s="68">
        <f t="shared" ref="EKM31:EKM59" si="1403">EKL31/$EKM$5</f>
        <v>0</v>
      </c>
      <c r="EKN31" s="612">
        <v>0</v>
      </c>
      <c r="EKO31" s="600">
        <v>672</v>
      </c>
      <c r="EKP31" s="600">
        <v>0</v>
      </c>
      <c r="EKQ31" s="600">
        <v>0</v>
      </c>
      <c r="EKR31" s="600">
        <v>0</v>
      </c>
      <c r="EKS31" s="600">
        <v>0</v>
      </c>
      <c r="EKT31" s="64">
        <f t="shared" ref="EKT31:EKT59" si="1404">SUM(EKN31:EKS31)</f>
        <v>672</v>
      </c>
      <c r="EKU31" s="184">
        <f t="shared" ref="EKU31:EKU59" si="1405">EKT31/$EKU$5</f>
        <v>112</v>
      </c>
      <c r="EKV31" s="665"/>
      <c r="EKW31" s="670">
        <v>691</v>
      </c>
      <c r="EKX31" s="610">
        <v>0</v>
      </c>
      <c r="EKY31" s="610">
        <v>0</v>
      </c>
      <c r="EKZ31" s="610">
        <v>0</v>
      </c>
      <c r="ELA31" s="610">
        <v>0</v>
      </c>
      <c r="ELB31" s="610">
        <v>660</v>
      </c>
      <c r="ELC31" s="64">
        <f t="shared" ref="ELC31:ELC59" si="1406">SUM(EKW31:ELB31)</f>
        <v>1351</v>
      </c>
      <c r="ELD31" s="211">
        <f t="shared" ref="ELD31:ELD59" si="1407">ELC31/$ELD$5</f>
        <v>225.16666666666666</v>
      </c>
      <c r="ELE31" s="677">
        <v>0</v>
      </c>
      <c r="ELF31" s="678">
        <v>0</v>
      </c>
      <c r="ELG31" s="678">
        <v>0</v>
      </c>
      <c r="ELH31" s="678">
        <v>0</v>
      </c>
      <c r="ELI31" s="678">
        <v>0</v>
      </c>
      <c r="ELJ31" s="678">
        <v>0</v>
      </c>
      <c r="ELK31" s="64">
        <f t="shared" ref="ELK31:ELK59" si="1408">SUM(ELE31:ELJ31)</f>
        <v>0</v>
      </c>
      <c r="ELL31" s="211">
        <f t="shared" ref="ELL31:ELL59" si="1409">ELK31/$ELL$5</f>
        <v>0</v>
      </c>
      <c r="ELM31" s="682">
        <v>686</v>
      </c>
      <c r="ELN31" s="600">
        <v>0</v>
      </c>
      <c r="ELO31" s="600">
        <v>0</v>
      </c>
      <c r="ELP31" s="600">
        <v>0</v>
      </c>
      <c r="ELQ31" s="600">
        <v>0</v>
      </c>
      <c r="ELR31" s="600">
        <v>0</v>
      </c>
      <c r="ELS31" s="64">
        <f t="shared" ref="ELS31:ELS59" si="1410">SUM(ELM31:ELR31)</f>
        <v>686</v>
      </c>
      <c r="ELT31" s="211">
        <f t="shared" ref="ELT31:ELT59" si="1411">ELS31/$ELT$5</f>
        <v>114.33333333333333</v>
      </c>
      <c r="ELU31" s="682">
        <v>692</v>
      </c>
      <c r="ELV31" s="600">
        <v>0</v>
      </c>
      <c r="ELW31" s="600">
        <v>0</v>
      </c>
      <c r="ELX31" s="600">
        <v>0</v>
      </c>
      <c r="ELY31" s="600">
        <v>0</v>
      </c>
      <c r="ELZ31" s="600">
        <v>0</v>
      </c>
      <c r="EMA31" s="64">
        <f t="shared" ref="EMA31:EMA59" si="1412">SUM(ELU31:ELZ31)</f>
        <v>692</v>
      </c>
      <c r="EMB31" s="211">
        <f t="shared" ref="EMB31:EMB59" si="1413">EMA31/$EMB$5</f>
        <v>115.33333333333333</v>
      </c>
      <c r="EMC31" s="682">
        <v>0</v>
      </c>
      <c r="EMD31" s="600">
        <v>0</v>
      </c>
      <c r="EME31" s="600">
        <v>675</v>
      </c>
      <c r="EMF31" s="600">
        <v>0</v>
      </c>
      <c r="EMG31" s="600"/>
      <c r="EMH31" s="600">
        <v>0</v>
      </c>
      <c r="EMI31" s="64">
        <f t="shared" ref="EMI31:EMI59" si="1414">SUM(EMC31:EMH31)</f>
        <v>675</v>
      </c>
      <c r="EMJ31" s="211">
        <f t="shared" ref="EMJ31:EMJ59" si="1415">EMI31/$EMJ$5</f>
        <v>112.5</v>
      </c>
      <c r="EMK31" s="682">
        <v>0</v>
      </c>
      <c r="EML31" s="600">
        <v>0</v>
      </c>
      <c r="EMM31" s="600">
        <v>670</v>
      </c>
      <c r="EMN31" s="600">
        <v>0</v>
      </c>
      <c r="EMO31" s="600">
        <v>0</v>
      </c>
      <c r="EMP31" s="600">
        <v>0</v>
      </c>
      <c r="EMQ31" s="64">
        <f t="shared" ref="EMQ31:EMQ59" si="1416">SUM(EMK31:EMP31)</f>
        <v>670</v>
      </c>
      <c r="EMR31" s="211">
        <f t="shared" ref="EMR31:EMR59" si="1417">EMQ31/$EMR$5</f>
        <v>111.66666666666667</v>
      </c>
      <c r="EMS31" s="682">
        <v>0</v>
      </c>
      <c r="EMT31" s="600">
        <v>0</v>
      </c>
      <c r="EMU31" s="600">
        <v>0</v>
      </c>
      <c r="EMV31" s="600">
        <v>621</v>
      </c>
      <c r="EMW31" s="600">
        <v>0</v>
      </c>
      <c r="EMX31" s="600">
        <v>0</v>
      </c>
      <c r="EMY31" s="64">
        <f t="shared" ref="EMY31:EMY59" si="1418">SUM(EMS31:EMX31)</f>
        <v>621</v>
      </c>
      <c r="EMZ31" s="211">
        <f t="shared" ref="EMZ31:EMZ59" si="1419">EMY31/$EMZ$5</f>
        <v>103.5</v>
      </c>
      <c r="ENA31" s="682">
        <v>680</v>
      </c>
      <c r="ENB31" s="600">
        <v>0</v>
      </c>
      <c r="ENC31" s="600">
        <v>0</v>
      </c>
      <c r="END31" s="600">
        <v>0</v>
      </c>
      <c r="ENE31" s="600">
        <v>0</v>
      </c>
      <c r="ENF31" s="600">
        <v>0</v>
      </c>
      <c r="ENG31" s="64">
        <f t="shared" ref="ENG31:ENG59" si="1420">SUM(ENA31:ENF31)</f>
        <v>680</v>
      </c>
      <c r="ENH31" s="211">
        <f t="shared" ref="ENH31:ENH59" si="1421">ENG31/$ENH$5</f>
        <v>113.33333333333333</v>
      </c>
      <c r="ENI31" s="682">
        <v>680</v>
      </c>
      <c r="ENJ31" s="600"/>
      <c r="ENK31" s="600">
        <v>0</v>
      </c>
      <c r="ENL31" s="600">
        <v>0</v>
      </c>
      <c r="ENM31" s="600">
        <v>0</v>
      </c>
      <c r="ENN31" s="600">
        <v>0</v>
      </c>
      <c r="ENO31" s="64">
        <f t="shared" ref="ENO31:ENO59" si="1422">SUM(ENI31:ENN31)</f>
        <v>680</v>
      </c>
      <c r="ENP31" s="211">
        <f t="shared" ref="ENP31:ENP59" si="1423">ENO31/$ENP$5</f>
        <v>113.33333333333333</v>
      </c>
      <c r="ENQ31" s="682">
        <v>0</v>
      </c>
      <c r="ENR31" s="600"/>
      <c r="ENS31" s="600">
        <v>0</v>
      </c>
      <c r="ENT31" s="600">
        <v>686</v>
      </c>
      <c r="ENU31" s="600">
        <v>0</v>
      </c>
      <c r="ENV31" s="600">
        <v>0</v>
      </c>
      <c r="ENW31" s="64">
        <f t="shared" ref="ENW31:ENW59" si="1424">SUM(ENQ31:ENV31)</f>
        <v>686</v>
      </c>
      <c r="ENX31" s="211">
        <f t="shared" ref="ENX31:ENX59" si="1425">ENW31/$ENX$5</f>
        <v>114.33333333333333</v>
      </c>
      <c r="ENY31" s="682">
        <v>0</v>
      </c>
      <c r="ENZ31" s="600"/>
      <c r="EOA31" s="600">
        <v>0</v>
      </c>
      <c r="EOB31" s="600">
        <v>691</v>
      </c>
      <c r="EOC31" s="600">
        <v>0</v>
      </c>
      <c r="EOD31" s="600">
        <v>0</v>
      </c>
      <c r="EOE31" s="64">
        <f t="shared" ref="EOE31:EOE59" si="1426">SUM(ENY31:EOD31)</f>
        <v>691</v>
      </c>
      <c r="EOF31" s="211">
        <f t="shared" ref="EOF31:EOF59" si="1427">EOE31/$EOF$5</f>
        <v>115.16666666666667</v>
      </c>
      <c r="EOH31" s="682"/>
      <c r="EOI31" s="600">
        <v>0</v>
      </c>
      <c r="EOJ31" s="600">
        <v>0</v>
      </c>
      <c r="EOK31" s="600">
        <v>674</v>
      </c>
      <c r="EOL31" s="600">
        <v>0</v>
      </c>
      <c r="EOM31" s="600">
        <v>0</v>
      </c>
      <c r="EON31" s="184">
        <f t="shared" ref="EON31:EON59" si="1428">SUM(EOH31:EOM31)</f>
        <v>674</v>
      </c>
      <c r="EOO31" s="244">
        <v>0</v>
      </c>
      <c r="EOP31" s="600">
        <v>0</v>
      </c>
      <c r="EOQ31" s="600">
        <v>0</v>
      </c>
      <c r="EOR31" s="600">
        <v>0</v>
      </c>
      <c r="EOS31" s="600">
        <v>0</v>
      </c>
      <c r="EOT31" s="600">
        <v>0</v>
      </c>
      <c r="EOU31" s="64">
        <f t="shared" ref="EOU31:EOU59" si="1429">SUM(EOO31:EOT31)</f>
        <v>0</v>
      </c>
      <c r="EOV31" s="211">
        <f t="shared" ref="EOV31:EOV59" si="1430">EOU31/$EOV$5</f>
        <v>0</v>
      </c>
      <c r="EOW31" s="682">
        <v>657</v>
      </c>
      <c r="EOX31" s="600">
        <v>0</v>
      </c>
      <c r="EOY31" s="600">
        <v>0</v>
      </c>
      <c r="EOZ31" s="600"/>
      <c r="EPA31" s="600">
        <v>0</v>
      </c>
      <c r="EPB31" s="600">
        <v>681</v>
      </c>
      <c r="EPC31" s="64">
        <f t="shared" ref="EPC31:EPC59" si="1431">SUM(EOW31:EPB31)</f>
        <v>1338</v>
      </c>
      <c r="EPD31" s="211">
        <f t="shared" ref="EPD31:EPD59" si="1432">EPC31/$EPD$5</f>
        <v>223</v>
      </c>
      <c r="EPE31" s="682">
        <v>0</v>
      </c>
      <c r="EPF31" s="600">
        <v>0</v>
      </c>
      <c r="EPG31" s="600">
        <v>0</v>
      </c>
      <c r="EPH31" s="600">
        <v>0</v>
      </c>
      <c r="EPI31" s="600">
        <v>0</v>
      </c>
      <c r="EPJ31" s="600">
        <v>0</v>
      </c>
      <c r="EPK31" s="64">
        <f t="shared" ref="EPK31:EPK59" si="1433">SUM(EPE31:EPJ31)</f>
        <v>0</v>
      </c>
      <c r="EPL31" s="211">
        <f t="shared" ref="EPL31:EPL59" si="1434">EPK31/$EPL$5</f>
        <v>0</v>
      </c>
      <c r="EPM31" s="682">
        <v>695</v>
      </c>
      <c r="EPN31" s="600">
        <v>0</v>
      </c>
      <c r="EPO31" s="600">
        <v>0</v>
      </c>
      <c r="EPP31" s="600">
        <v>0</v>
      </c>
      <c r="EPQ31" s="600">
        <v>0</v>
      </c>
      <c r="EPR31" s="600">
        <v>0</v>
      </c>
      <c r="EPS31" s="64">
        <f t="shared" ref="EPS31:EPS59" si="1435">SUM(EPM31:EPR31)</f>
        <v>695</v>
      </c>
      <c r="EPT31" s="211">
        <f t="shared" ref="EPT31:EPT59" si="1436">EPS31/$EPT$5</f>
        <v>115.83333333333333</v>
      </c>
      <c r="EPU31" s="682">
        <v>0</v>
      </c>
      <c r="EPV31" s="600">
        <v>0</v>
      </c>
      <c r="EPW31" s="600">
        <v>603</v>
      </c>
      <c r="EPX31" s="600">
        <v>0</v>
      </c>
      <c r="EPY31" s="600">
        <f>SUMIF(SUMPK!$B:$B,$B:$B,SUMPK!$O:$O)</f>
        <v>0</v>
      </c>
      <c r="EPZ31" s="600">
        <v>0</v>
      </c>
      <c r="EQA31" s="64">
        <f t="shared" ref="EQA31:EQA59" si="1437">SUM(EPU31:EPZ31)</f>
        <v>603</v>
      </c>
      <c r="EQB31" s="211">
        <f t="shared" ref="EQB31:EQB59" si="1438">EQA31/$EQB$5</f>
        <v>100.5</v>
      </c>
      <c r="EQC31" s="682">
        <v>0</v>
      </c>
      <c r="EQD31" s="600">
        <v>687</v>
      </c>
      <c r="EQE31" s="600">
        <v>0</v>
      </c>
      <c r="EQF31" s="600">
        <v>0</v>
      </c>
      <c r="EQG31" s="600">
        <v>0</v>
      </c>
      <c r="EQH31" s="600"/>
      <c r="EQI31" s="64">
        <f t="shared" ref="EQI31:EQI59" si="1439">SUM(EQC31:EQH31)</f>
        <v>687</v>
      </c>
      <c r="EQJ31" s="211">
        <f t="shared" ref="EQJ31:EQJ59" si="1440">EQI31/$EQJ$5</f>
        <v>114.5</v>
      </c>
      <c r="EQK31" s="682">
        <v>0</v>
      </c>
      <c r="EQL31" s="600">
        <v>0</v>
      </c>
      <c r="EQM31" s="600">
        <v>689</v>
      </c>
      <c r="EQN31" s="600"/>
      <c r="EQO31" s="600">
        <v>0</v>
      </c>
      <c r="EQP31" s="600">
        <v>0</v>
      </c>
      <c r="EQQ31" s="64">
        <f t="shared" ref="EQQ31:EQQ59" si="1441">SUM(EQK31:EQP31)</f>
        <v>689</v>
      </c>
      <c r="EQR31" s="211">
        <f t="shared" ref="EQR31:EQR59" si="1442">EQQ31/$EQR$5</f>
        <v>114.83333333333333</v>
      </c>
      <c r="EQS31" s="670">
        <v>0</v>
      </c>
      <c r="EQT31" s="610">
        <v>677</v>
      </c>
      <c r="EQU31" s="610">
        <v>0</v>
      </c>
      <c r="EQV31" s="610">
        <v>0</v>
      </c>
      <c r="EQW31" s="610"/>
      <c r="EQX31" s="610">
        <v>0</v>
      </c>
      <c r="EQY31" s="64">
        <f t="shared" ref="EQY31:EQY59" si="1443">SUM(EQS31:EQX31)</f>
        <v>677</v>
      </c>
      <c r="EQZ31" s="211">
        <f t="shared" ref="EQZ31:EQZ59" si="1444">EQY31/$EQZ$5</f>
        <v>112.83333333333333</v>
      </c>
      <c r="ERA31" s="682">
        <v>0</v>
      </c>
      <c r="ERB31" s="600">
        <v>0</v>
      </c>
      <c r="ERC31" s="600">
        <v>0</v>
      </c>
      <c r="ERD31" s="600">
        <v>689</v>
      </c>
      <c r="ERE31" s="600">
        <v>0</v>
      </c>
      <c r="ERF31" s="600"/>
      <c r="ERG31" s="64">
        <f t="shared" ref="ERG31:ERG59" si="1445">SUM(ERA31:ERF31)</f>
        <v>689</v>
      </c>
      <c r="ERH31" s="211">
        <f t="shared" ref="ERH31:ERH59" si="1446">ERG31/$ERH$5</f>
        <v>114.83333333333333</v>
      </c>
      <c r="ERI31" s="682"/>
      <c r="ERJ31" s="600">
        <v>0</v>
      </c>
      <c r="ERK31" s="600">
        <v>0</v>
      </c>
      <c r="ERL31" s="600">
        <v>0</v>
      </c>
      <c r="ERM31" s="600">
        <v>0</v>
      </c>
      <c r="ERN31" s="600">
        <v>702</v>
      </c>
      <c r="ERO31" s="64">
        <f t="shared" ref="ERO31:ERO59" si="1447">SUM(ERI31:ERN31)</f>
        <v>702</v>
      </c>
      <c r="ERP31" s="211">
        <f t="shared" ref="ERP31:ERP59" si="1448">ERO31/$ERP$5</f>
        <v>117</v>
      </c>
      <c r="ERQ31" s="682"/>
      <c r="ERR31" s="600">
        <v>0</v>
      </c>
      <c r="ERS31" s="600"/>
      <c r="ERT31" s="600">
        <v>0</v>
      </c>
      <c r="ERU31" s="600">
        <v>0</v>
      </c>
      <c r="ERV31" s="600">
        <v>0</v>
      </c>
      <c r="ERW31" s="64">
        <f t="shared" ref="ERW31:ERW59" si="1449">SUM(ERQ31:ERV31)</f>
        <v>0</v>
      </c>
      <c r="ERX31" s="211">
        <f t="shared" ref="ERX31:ERX59" si="1450">ERW31/$ERX$5</f>
        <v>0</v>
      </c>
      <c r="ERY31" s="682">
        <v>690</v>
      </c>
      <c r="ERZ31" s="600">
        <v>0</v>
      </c>
      <c r="ESA31" s="600">
        <v>0</v>
      </c>
      <c r="ESB31" s="600">
        <v>0</v>
      </c>
      <c r="ESC31" s="600">
        <v>0</v>
      </c>
      <c r="ESD31" s="600">
        <v>0</v>
      </c>
      <c r="ESE31" s="64">
        <f t="shared" ref="ESE31:ESE59" si="1451">SUM(ERY31:ESD31)</f>
        <v>690</v>
      </c>
      <c r="ESF31" s="211">
        <f t="shared" ref="ESF31:ESF59" si="1452">ESE31/$ESF$5</f>
        <v>115</v>
      </c>
      <c r="ESG31" s="682">
        <v>0</v>
      </c>
      <c r="ESH31" s="600">
        <v>0</v>
      </c>
      <c r="ESI31" s="600">
        <v>0</v>
      </c>
      <c r="ESJ31" s="600">
        <v>0</v>
      </c>
      <c r="ESK31" s="600"/>
      <c r="ESL31" s="600">
        <v>685</v>
      </c>
      <c r="ESM31" s="64">
        <f t="shared" ref="ESM31:ESM59" si="1453">SUM(ESG31:ESL31)</f>
        <v>685</v>
      </c>
      <c r="ESN31" s="211">
        <f t="shared" ref="ESN31:ESN59" si="1454">ESM31/$ESN$5</f>
        <v>114.16666666666667</v>
      </c>
      <c r="ESO31" s="750">
        <v>0</v>
      </c>
      <c r="ESP31" s="751">
        <v>0</v>
      </c>
      <c r="ESQ31" s="751">
        <v>0</v>
      </c>
      <c r="ESR31" s="751">
        <v>0</v>
      </c>
      <c r="ESS31" s="751">
        <v>671</v>
      </c>
      <c r="EST31" s="751"/>
      <c r="ESU31" s="64">
        <f t="shared" ref="ESU31:ESU59" si="1455">SUM(ESO31:EST31)</f>
        <v>671</v>
      </c>
      <c r="ESV31" s="211">
        <f t="shared" ref="ESV31:ESV59" si="1456">ESU31/$ESV$5</f>
        <v>111.83333333333333</v>
      </c>
      <c r="ESW31" s="682"/>
      <c r="ESX31" s="600">
        <v>0</v>
      </c>
      <c r="ESY31" s="600">
        <v>0</v>
      </c>
      <c r="ESZ31" s="600">
        <v>0</v>
      </c>
      <c r="ETA31" s="600">
        <v>674</v>
      </c>
      <c r="ETB31" s="600">
        <v>0</v>
      </c>
      <c r="ETC31" s="808">
        <f t="shared" ref="ETC31:ETC59" si="1457">SUM(ESW31:ETB31)</f>
        <v>674</v>
      </c>
      <c r="ETD31" s="211">
        <f t="shared" ref="ETD31:ETD59" si="1458">ETC31/$ETD$5</f>
        <v>112.33333333333333</v>
      </c>
      <c r="ETE31" s="682">
        <v>0</v>
      </c>
      <c r="ETF31" s="600">
        <v>0</v>
      </c>
      <c r="ETG31" s="600">
        <v>0</v>
      </c>
      <c r="ETH31" s="600">
        <v>0</v>
      </c>
      <c r="ETI31" s="600">
        <v>0</v>
      </c>
      <c r="ETJ31" s="600">
        <v>0</v>
      </c>
      <c r="ETK31" s="808">
        <f t="shared" ref="ETK31:ETK59" si="1459">SUM(ETE31:ETJ31)</f>
        <v>0</v>
      </c>
      <c r="ETL31" s="211">
        <f t="shared" ref="ETL31:ETL59" si="1460">ETK31/$ETL$5</f>
        <v>0</v>
      </c>
      <c r="ETM31" s="838">
        <v>0</v>
      </c>
      <c r="ETN31" s="839">
        <v>682</v>
      </c>
      <c r="ETO31" s="839">
        <v>0</v>
      </c>
      <c r="ETP31" s="839">
        <v>0</v>
      </c>
      <c r="ETQ31" s="839">
        <v>0</v>
      </c>
      <c r="ETR31" s="839">
        <v>683</v>
      </c>
      <c r="ETS31" s="808">
        <f t="shared" ref="ETS31:ETS59" si="1461">SUM(ETM31:ETR31)</f>
        <v>1365</v>
      </c>
      <c r="ETT31" s="211">
        <f t="shared" ref="ETT31:ETT59" si="1462">ETS31/$ETT$5</f>
        <v>227.5</v>
      </c>
      <c r="ETU31" s="750">
        <v>0</v>
      </c>
      <c r="ETV31" s="751">
        <v>0</v>
      </c>
      <c r="ETW31" s="751">
        <v>0</v>
      </c>
      <c r="ETX31" s="751">
        <v>0</v>
      </c>
      <c r="ETY31" s="751">
        <v>0</v>
      </c>
      <c r="ETZ31" s="751">
        <v>655</v>
      </c>
      <c r="EUA31" s="808">
        <f t="shared" ref="EUA31:EUA59" si="1463">SUM(ETU31:ETZ31)</f>
        <v>655</v>
      </c>
      <c r="EUB31" s="211">
        <f t="shared" ref="EUB31:EUB59" si="1464">EUA31/$EUB$5</f>
        <v>109.16666666666667</v>
      </c>
      <c r="EUC31" s="750"/>
      <c r="EUD31" s="751">
        <v>0</v>
      </c>
      <c r="EUE31" s="751"/>
      <c r="EUF31" s="751">
        <v>677</v>
      </c>
      <c r="EUG31" s="751">
        <v>0</v>
      </c>
      <c r="EUH31" s="751">
        <v>0</v>
      </c>
      <c r="EUI31" s="808">
        <f t="shared" ref="EUI31:EUI59" si="1465">SUM(EUC31:EUH31)</f>
        <v>677</v>
      </c>
      <c r="EUJ31" s="211">
        <f t="shared" ref="EUJ31:EUJ59" si="1466">EUI31/$EUJ$5</f>
        <v>112.83333333333333</v>
      </c>
      <c r="EUK31" s="682"/>
      <c r="EUL31" s="600">
        <v>0</v>
      </c>
      <c r="EUM31" s="600">
        <v>0</v>
      </c>
      <c r="EUN31" s="600">
        <v>0</v>
      </c>
      <c r="EUO31" s="600">
        <v>663</v>
      </c>
      <c r="EUP31" s="600">
        <v>0</v>
      </c>
      <c r="EUQ31" s="808">
        <f t="shared" ref="EUQ31:EUQ59" si="1467">SUM(EUK31:EUP31)</f>
        <v>663</v>
      </c>
      <c r="EUR31" s="211">
        <f t="shared" ref="EUR31:EUR59" si="1468">EUQ31/$EUR$5</f>
        <v>110.5</v>
      </c>
      <c r="EUS31" s="682">
        <v>0</v>
      </c>
      <c r="EUT31" s="600">
        <v>0</v>
      </c>
      <c r="EUU31" s="600">
        <v>0</v>
      </c>
      <c r="EUV31" s="600">
        <v>0</v>
      </c>
      <c r="EUW31" s="600">
        <v>0</v>
      </c>
      <c r="EUX31" s="600"/>
      <c r="EUY31" s="808">
        <f t="shared" ref="EUY31:EUY59" si="1469">SUM(EUS31:EUX31)</f>
        <v>0</v>
      </c>
      <c r="EUZ31" s="211">
        <f t="shared" ref="EUZ31:EUZ59" si="1470">EUY31/$EUZ$5</f>
        <v>0</v>
      </c>
      <c r="EVA31" s="682">
        <v>0</v>
      </c>
      <c r="EVB31" s="600">
        <v>0</v>
      </c>
      <c r="EVC31" s="600">
        <v>0</v>
      </c>
      <c r="EVD31" s="600"/>
      <c r="EVE31" s="600">
        <v>0</v>
      </c>
      <c r="EVF31" s="600"/>
      <c r="EVG31" s="808">
        <f t="shared" ref="EVG31:EVG59" si="1471">SUM(EVA31:EVF31)</f>
        <v>0</v>
      </c>
      <c r="EVH31" s="211">
        <f t="shared" ref="EVH31:EVH59" si="1472">EVG31/$EVH$5</f>
        <v>0</v>
      </c>
      <c r="EVI31" s="682">
        <v>0</v>
      </c>
      <c r="EVJ31" s="600">
        <v>0</v>
      </c>
      <c r="EVK31" s="600">
        <f>SUMIF(SUMPK!$B:$B,$B:$B,SUMPK!$O:$O)</f>
        <v>0</v>
      </c>
      <c r="EVL31" s="600"/>
      <c r="EVM31" s="600"/>
      <c r="EVN31" s="600">
        <v>0</v>
      </c>
      <c r="EVO31" s="808">
        <f t="shared" ref="EVO31:EVO59" si="1473">SUM(EVI31:EVN31)</f>
        <v>0</v>
      </c>
      <c r="EVP31" s="211">
        <f t="shared" ref="EVP31:EVP59" si="1474">EVO31/$EVP$5</f>
        <v>0</v>
      </c>
      <c r="EVQ31" s="682">
        <v>0</v>
      </c>
      <c r="EVR31" s="600">
        <v>686</v>
      </c>
      <c r="EVS31" s="600">
        <v>0</v>
      </c>
      <c r="EVT31" s="600"/>
      <c r="EVU31" s="600">
        <v>0</v>
      </c>
      <c r="EVV31" s="600">
        <v>682</v>
      </c>
      <c r="EVW31" s="808">
        <f t="shared" ref="EVW31:EVW59" si="1475">SUM(EVQ31:EVV31)</f>
        <v>1368</v>
      </c>
      <c r="EVX31" s="211">
        <f t="shared" ref="EVX31:EVX59" si="1476">EVW31/$EVX$5</f>
        <v>228</v>
      </c>
      <c r="EVY31" s="682">
        <v>0</v>
      </c>
      <c r="EVZ31" s="600">
        <v>0</v>
      </c>
      <c r="EWA31" s="600">
        <v>0</v>
      </c>
      <c r="EWB31" s="600">
        <v>0</v>
      </c>
      <c r="EWC31" s="600">
        <v>0</v>
      </c>
      <c r="EWD31" s="600"/>
      <c r="EWE31" s="808">
        <f t="shared" ref="EWE31:EWE59" si="1477">SUM(EVY31:EWD31)</f>
        <v>0</v>
      </c>
      <c r="EWF31" s="211">
        <f t="shared" ref="EWF31:EWF59" si="1478">EWE31/$EWF$5</f>
        <v>0</v>
      </c>
      <c r="EWG31" s="682">
        <v>0</v>
      </c>
      <c r="EWH31" s="600">
        <v>0</v>
      </c>
      <c r="EWI31" s="600"/>
      <c r="EWJ31" s="600">
        <v>0</v>
      </c>
      <c r="EWK31" s="600">
        <v>1025</v>
      </c>
      <c r="EWL31" s="600"/>
      <c r="EWM31" s="808">
        <f t="shared" ref="EWM31:EWM59" si="1479">SUM(EWG31:EWL31)</f>
        <v>1025</v>
      </c>
      <c r="EWN31" s="211">
        <f t="shared" ref="EWN31:EWN59" si="1480">EWM31/$EWN$28</f>
        <v>170.83333333333334</v>
      </c>
      <c r="EWO31" s="682">
        <v>0</v>
      </c>
      <c r="EWP31" s="600"/>
      <c r="EWQ31" s="600"/>
      <c r="EWR31" s="600">
        <v>0</v>
      </c>
      <c r="EWS31" s="600">
        <v>0</v>
      </c>
      <c r="EWT31" s="600">
        <v>0</v>
      </c>
      <c r="EWU31" s="808">
        <f t="shared" ref="EWU31:EWU59" si="1481">SUM(EWO31:EWT31)</f>
        <v>0</v>
      </c>
      <c r="EWV31" s="211">
        <f t="shared" ref="EWV31:EWV59" si="1482">EWU31/$EWV$5</f>
        <v>0</v>
      </c>
      <c r="EWW31" s="682"/>
      <c r="EWX31" s="600"/>
      <c r="EWY31" s="600">
        <v>0</v>
      </c>
      <c r="EWZ31" s="600">
        <v>687</v>
      </c>
      <c r="EXA31" s="600">
        <v>0</v>
      </c>
      <c r="EXB31" s="600"/>
      <c r="EXC31" s="808">
        <f t="shared" ref="EXC31:EXC59" si="1483">SUM(EWW31:EXB31)</f>
        <v>687</v>
      </c>
      <c r="EXD31" s="211">
        <f t="shared" ref="EXD31:EXD59" si="1484">EXC31/$EXD$5</f>
        <v>114.5</v>
      </c>
      <c r="EXE31" s="682"/>
      <c r="EXF31" s="600">
        <v>0</v>
      </c>
      <c r="EXG31" s="600">
        <v>0</v>
      </c>
      <c r="EXH31" s="600"/>
      <c r="EXI31" s="600">
        <v>0</v>
      </c>
      <c r="EXJ31" s="600">
        <v>0</v>
      </c>
      <c r="EXK31" s="808">
        <f t="shared" ref="EXK31:EXK59" si="1485">SUM(EXE31:EXJ31)</f>
        <v>0</v>
      </c>
      <c r="EXL31" s="211">
        <f t="shared" ref="EXL31:EXL59" si="1486">EXK31/$EXL$5</f>
        <v>0</v>
      </c>
      <c r="EXM31" s="750">
        <v>0</v>
      </c>
      <c r="EXN31" s="751">
        <v>0</v>
      </c>
      <c r="EXO31" s="751">
        <v>696</v>
      </c>
      <c r="EXP31" s="751">
        <v>0</v>
      </c>
      <c r="EXQ31" s="751"/>
      <c r="EXR31" s="751">
        <v>0</v>
      </c>
      <c r="EXS31" s="808">
        <f t="shared" ref="EXS31:EXS59" si="1487">SUM(EXM31:EXR31)</f>
        <v>696</v>
      </c>
      <c r="EXT31" s="211">
        <f t="shared" ref="EXT31:EXT59" si="1488">EXS31/$EXT$5</f>
        <v>116</v>
      </c>
      <c r="EXU31" s="682">
        <v>0</v>
      </c>
      <c r="EXV31" s="600">
        <v>0</v>
      </c>
      <c r="EXW31" s="600">
        <v>0</v>
      </c>
      <c r="EXX31" s="600">
        <v>0</v>
      </c>
      <c r="EXY31" s="600">
        <v>588</v>
      </c>
      <c r="EXZ31" s="600">
        <v>0</v>
      </c>
      <c r="EYA31" s="808">
        <f t="shared" ref="EYA31:EYA59" si="1489">SUM(EXU31:EXZ31)</f>
        <v>588</v>
      </c>
      <c r="EYB31" s="211">
        <f t="shared" ref="EYB31:EYB59" si="1490">EYA31/$EYB$5</f>
        <v>98</v>
      </c>
      <c r="EYC31" s="682">
        <v>0</v>
      </c>
      <c r="EYD31" s="600"/>
      <c r="EYE31" s="600">
        <v>350</v>
      </c>
      <c r="EYF31" s="600"/>
      <c r="EYG31" s="600">
        <v>0</v>
      </c>
      <c r="EYH31" s="600">
        <v>0</v>
      </c>
      <c r="EYI31" s="808">
        <f t="shared" ref="EYI31:EYI59" si="1491">SUM(EYC31:EYH31)</f>
        <v>350</v>
      </c>
      <c r="EYJ31" s="211">
        <f t="shared" ref="EYJ31:EYJ59" si="1492">EYI31/$EYJ$5</f>
        <v>58.333333333333336</v>
      </c>
      <c r="EYK31" s="682">
        <v>0</v>
      </c>
      <c r="EYL31" s="600">
        <v>0</v>
      </c>
      <c r="EYM31" s="600">
        <v>0</v>
      </c>
      <c r="EYN31" s="600">
        <v>698</v>
      </c>
      <c r="EYO31" s="600">
        <v>0</v>
      </c>
      <c r="EYP31" s="600">
        <v>0</v>
      </c>
      <c r="EYQ31" s="808">
        <f t="shared" ref="EYQ31:EYQ59" si="1493">SUM(EYK31:EYP31)</f>
        <v>698</v>
      </c>
      <c r="EYR31" s="211">
        <f t="shared" ref="EYR31:EYR59" si="1494">EYQ31/$EYR$5</f>
        <v>116.33333333333333</v>
      </c>
      <c r="EYS31" s="682">
        <v>0</v>
      </c>
      <c r="EYT31" s="600">
        <v>0</v>
      </c>
      <c r="EYU31" s="600">
        <v>677</v>
      </c>
      <c r="EYV31" s="600">
        <v>0</v>
      </c>
      <c r="EYW31" s="600"/>
      <c r="EYX31" s="600"/>
      <c r="EYY31" s="872">
        <f t="shared" ref="EYY31:EYY59" si="1495">SUM(EYS31:EYX31)</f>
        <v>677</v>
      </c>
      <c r="EYZ31" s="873">
        <f t="shared" ref="EYZ31:EYZ59" si="1496">EYY31/$EYZ$28</f>
        <v>112.83333333333333</v>
      </c>
      <c r="EZA31" s="682">
        <v>0</v>
      </c>
      <c r="EZB31" s="600">
        <v>0</v>
      </c>
      <c r="EZC31" s="600">
        <v>0</v>
      </c>
      <c r="EZD31" s="600"/>
      <c r="EZE31" s="600">
        <v>661</v>
      </c>
      <c r="EZF31" s="600">
        <v>259</v>
      </c>
      <c r="EZG31" s="872">
        <f t="shared" ref="EZG31:EZG59" si="1497">SUM(EZA31:EZF31)</f>
        <v>920</v>
      </c>
      <c r="EZH31" s="873">
        <f t="shared" ref="EZH31:EZH59" si="1498">EZG31/$EZH$5</f>
        <v>153.33333333333334</v>
      </c>
      <c r="EZI31" s="682">
        <v>0</v>
      </c>
      <c r="EZJ31" s="600">
        <v>0</v>
      </c>
      <c r="EZK31" s="600"/>
      <c r="EZL31" s="600"/>
      <c r="EZM31" s="600"/>
      <c r="EZN31" s="600"/>
      <c r="EZO31" s="872">
        <f t="shared" ref="EZO31:EZO59" si="1499">SUM(EZI31:EZN31)</f>
        <v>0</v>
      </c>
      <c r="EZP31" s="873">
        <f t="shared" ref="EZP31:EZP59" si="1500">EZO31/$EZP$5</f>
        <v>0</v>
      </c>
    </row>
    <row r="32" spans="1:4072" s="567" customFormat="1" ht="13.5" hidden="1" thickBot="1" x14ac:dyDescent="0.25">
      <c r="A32" s="21">
        <v>3</v>
      </c>
      <c r="B32" s="297" t="s">
        <v>327</v>
      </c>
      <c r="C32" s="725" t="s">
        <v>328</v>
      </c>
      <c r="D32" s="391">
        <v>25</v>
      </c>
      <c r="E32" s="726"/>
      <c r="F32" s="435">
        <v>0</v>
      </c>
      <c r="G32" s="726"/>
      <c r="H32" s="435"/>
      <c r="I32" s="726"/>
      <c r="J32" s="360">
        <f>SUMIF(SUMPK!$B:$B,$B:$B,SUMPK!$O:$O)</f>
        <v>0</v>
      </c>
      <c r="K32" s="24">
        <f t="shared" si="1220"/>
        <v>0</v>
      </c>
      <c r="L32" s="24">
        <f t="shared" ref="L32" si="1501">F32+H32-J32</f>
        <v>0</v>
      </c>
      <c r="M32" s="15">
        <f t="shared" ref="M32" si="1502">K32+L32</f>
        <v>0</v>
      </c>
      <c r="N32" s="443">
        <v>0</v>
      </c>
      <c r="O32" s="276">
        <f t="shared" si="1223"/>
        <v>0</v>
      </c>
      <c r="P32" s="727"/>
      <c r="Q32" s="15"/>
      <c r="R32" s="15"/>
      <c r="S32" s="222"/>
      <c r="T32" s="15"/>
      <c r="U32" s="729"/>
      <c r="V32" s="276">
        <f t="shared" si="1227"/>
        <v>0</v>
      </c>
      <c r="W32" s="279" t="e">
        <f t="shared" si="1228"/>
        <v>#DIV/0!</v>
      </c>
      <c r="X32" s="392"/>
      <c r="Y32" s="394"/>
      <c r="Z32" s="393"/>
      <c r="AA32" s="393"/>
      <c r="AB32" s="393"/>
      <c r="AC32" s="661">
        <v>16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/>
      <c r="DXN32" s="543"/>
      <c r="DXO32" s="565"/>
      <c r="DXP32" s="609"/>
      <c r="DXQ32" s="610"/>
      <c r="DXR32" s="610"/>
      <c r="DXS32" s="610"/>
      <c r="DXT32" s="610"/>
      <c r="DXU32" s="600"/>
      <c r="DXV32" s="64"/>
      <c r="DXW32" s="68"/>
      <c r="DXX32" s="612"/>
      <c r="DXY32" s="600"/>
      <c r="DXZ32" s="600"/>
      <c r="DYA32" s="600"/>
      <c r="DYB32" s="600"/>
      <c r="DYC32" s="600"/>
      <c r="DYD32" s="64"/>
      <c r="DYE32" s="68"/>
      <c r="DYF32" s="612"/>
      <c r="DYG32" s="600"/>
      <c r="DYH32" s="600"/>
      <c r="DYI32" s="600"/>
      <c r="DYJ32" s="600"/>
      <c r="DYK32" s="600"/>
      <c r="DYL32" s="64"/>
      <c r="DYM32" s="68"/>
      <c r="DYN32" s="612"/>
      <c r="DYO32" s="600"/>
      <c r="DYP32" s="600"/>
      <c r="DYQ32" s="600"/>
      <c r="DYR32" s="600"/>
      <c r="DYS32" s="600"/>
      <c r="DYT32" s="64"/>
      <c r="DYU32" s="68"/>
      <c r="DYV32" s="612"/>
      <c r="DYW32" s="600"/>
      <c r="DYX32" s="600"/>
      <c r="DYY32" s="600"/>
      <c r="DYZ32" s="600"/>
      <c r="DZA32" s="600"/>
      <c r="DZB32" s="64"/>
      <c r="DZC32" s="68"/>
      <c r="DZD32" s="609"/>
      <c r="DZE32" s="610"/>
      <c r="DZF32" s="610"/>
      <c r="DZG32" s="610"/>
      <c r="DZH32" s="610"/>
      <c r="DZI32" s="610"/>
      <c r="DZJ32" s="64"/>
      <c r="DZK32" s="68"/>
      <c r="DZL32" s="612"/>
      <c r="DZM32" s="600"/>
      <c r="DZN32" s="600"/>
      <c r="DZO32" s="600"/>
      <c r="DZP32" s="600"/>
      <c r="DZQ32" s="600"/>
      <c r="DZR32" s="64"/>
      <c r="DZS32" s="68"/>
      <c r="DZT32" s="612"/>
      <c r="DZU32" s="600"/>
      <c r="DZV32" s="600"/>
      <c r="DZW32" s="600"/>
      <c r="DZX32" s="600"/>
      <c r="DZY32" s="600"/>
      <c r="DZZ32" s="64"/>
      <c r="EAA32" s="68"/>
      <c r="EAB32" s="609"/>
      <c r="EAC32" s="610"/>
      <c r="EAD32" s="610"/>
      <c r="EAE32" s="610"/>
      <c r="EAF32" s="610"/>
      <c r="EAG32" s="600"/>
      <c r="EAH32" s="64"/>
      <c r="EAI32" s="68"/>
      <c r="EAJ32" s="609"/>
      <c r="EAK32" s="610"/>
      <c r="EAL32" s="610"/>
      <c r="EAM32" s="610"/>
      <c r="EAN32" s="610"/>
      <c r="EAO32" s="610"/>
      <c r="EAP32" s="64"/>
      <c r="EAQ32" s="68"/>
      <c r="EAR32" s="612"/>
      <c r="EAS32" s="600"/>
      <c r="EAT32" s="600"/>
      <c r="EAU32" s="600"/>
      <c r="EAV32" s="600"/>
      <c r="EAW32" s="600"/>
      <c r="EAX32" s="64"/>
      <c r="EAY32" s="68"/>
      <c r="EAZ32" s="612"/>
      <c r="EBA32" s="600"/>
      <c r="EBB32" s="600"/>
      <c r="EBC32" s="600"/>
      <c r="EBD32" s="600"/>
      <c r="EBE32" s="600"/>
      <c r="EBF32" s="64"/>
      <c r="EBG32" s="68"/>
      <c r="EBH32" s="612"/>
      <c r="EBI32" s="600"/>
      <c r="EBJ32" s="600"/>
      <c r="EBK32" s="600"/>
      <c r="EBL32" s="600"/>
      <c r="EBM32" s="600"/>
      <c r="EBN32" s="64"/>
      <c r="EBO32" s="68"/>
      <c r="EBP32" s="612"/>
      <c r="EBQ32" s="600"/>
      <c r="EBR32" s="600"/>
      <c r="EBS32" s="600"/>
      <c r="EBT32" s="600"/>
      <c r="EBU32" s="600"/>
      <c r="EBV32" s="64"/>
      <c r="EBW32" s="68"/>
      <c r="EBX32" s="612"/>
      <c r="EBY32" s="600"/>
      <c r="EBZ32" s="600"/>
      <c r="ECA32" s="600"/>
      <c r="ECB32" s="600"/>
      <c r="ECC32" s="600"/>
      <c r="ECD32" s="64"/>
      <c r="ECE32" s="68"/>
      <c r="ECF32" s="612"/>
      <c r="ECG32" s="600"/>
      <c r="ECH32" s="600"/>
      <c r="ECI32" s="600"/>
      <c r="ECJ32" s="600"/>
      <c r="ECK32" s="600"/>
      <c r="ECL32" s="64"/>
      <c r="ECM32" s="68"/>
      <c r="ECN32" s="612"/>
      <c r="ECO32" s="600"/>
      <c r="ECP32" s="600"/>
      <c r="ECQ32" s="600"/>
      <c r="ECR32" s="600"/>
      <c r="ECS32" s="600"/>
      <c r="ECT32" s="64"/>
      <c r="ECU32" s="68"/>
      <c r="ECV32" s="612"/>
      <c r="ECW32" s="600"/>
      <c r="ECX32" s="600"/>
      <c r="ECY32" s="600"/>
      <c r="ECZ32" s="600"/>
      <c r="EDA32" s="600"/>
      <c r="EDB32" s="64"/>
      <c r="EDC32" s="68"/>
      <c r="EDD32" s="612"/>
      <c r="EDE32" s="600"/>
      <c r="EDF32" s="600"/>
      <c r="EDG32" s="600"/>
      <c r="EDH32" s="600"/>
      <c r="EDI32" s="600"/>
      <c r="EDJ32" s="64"/>
      <c r="EDK32" s="68"/>
      <c r="EDL32" s="609"/>
      <c r="EDM32" s="610"/>
      <c r="EDN32" s="610"/>
      <c r="EDO32" s="610"/>
      <c r="EDP32" s="610"/>
      <c r="EDQ32" s="610"/>
      <c r="EDR32" s="64"/>
      <c r="EDS32" s="68"/>
      <c r="EDT32" s="612"/>
      <c r="EDU32" s="600"/>
      <c r="EDV32" s="600"/>
      <c r="EDW32" s="600"/>
      <c r="EDX32" s="600"/>
      <c r="EDY32" s="600"/>
      <c r="EDZ32" s="64"/>
      <c r="EEA32" s="68"/>
      <c r="EEB32" s="612"/>
      <c r="EEC32" s="600"/>
      <c r="EED32" s="600"/>
      <c r="EEE32" s="600"/>
      <c r="EEF32" s="600"/>
      <c r="EEG32" s="600"/>
      <c r="EEH32" s="64"/>
      <c r="EEI32" s="68"/>
      <c r="EEJ32" s="612"/>
      <c r="EEK32" s="600"/>
      <c r="EEL32" s="600"/>
      <c r="EEM32" s="600"/>
      <c r="EEN32" s="600"/>
      <c r="EEO32" s="600"/>
      <c r="EEP32" s="64"/>
      <c r="EEQ32" s="68"/>
      <c r="EER32" s="612"/>
      <c r="EES32" s="600"/>
      <c r="EET32" s="600"/>
      <c r="EEU32" s="600"/>
      <c r="EEV32" s="600"/>
      <c r="EEW32" s="600"/>
      <c r="EEX32" s="64"/>
      <c r="EEY32" s="68"/>
      <c r="EEZ32" s="612"/>
      <c r="EFA32" s="600"/>
      <c r="EFB32" s="600"/>
      <c r="EFC32" s="600"/>
      <c r="EFD32" s="600"/>
      <c r="EFE32" s="600"/>
      <c r="EFF32" s="64"/>
      <c r="EFG32" s="68"/>
      <c r="EFH32" s="612"/>
      <c r="EFI32" s="600"/>
      <c r="EFJ32" s="600"/>
      <c r="EFK32" s="600"/>
      <c r="EFL32" s="600"/>
      <c r="EFM32" s="600"/>
      <c r="EFN32" s="64"/>
      <c r="EFO32" s="68"/>
      <c r="EFP32" s="612"/>
      <c r="EFQ32" s="600"/>
      <c r="EFR32" s="600"/>
      <c r="EFS32" s="600"/>
      <c r="EFT32" s="600"/>
      <c r="EFU32" s="600"/>
      <c r="EFV32" s="64"/>
      <c r="EFW32" s="68"/>
      <c r="EFX32" s="612"/>
      <c r="EFY32" s="600"/>
      <c r="EFZ32" s="600"/>
      <c r="EGA32" s="600"/>
      <c r="EGB32" s="600"/>
      <c r="EGC32" s="600"/>
      <c r="EGD32" s="64"/>
      <c r="EGE32" s="68"/>
      <c r="EGF32" s="612"/>
      <c r="EGG32" s="600"/>
      <c r="EGH32" s="600"/>
      <c r="EGI32" s="600"/>
      <c r="EGJ32" s="600"/>
      <c r="EGK32" s="600"/>
      <c r="EGL32" s="64"/>
      <c r="EGM32" s="68"/>
      <c r="EGN32" s="612"/>
      <c r="EGO32" s="600"/>
      <c r="EGP32" s="600"/>
      <c r="EGQ32" s="600"/>
      <c r="EGR32" s="600"/>
      <c r="EGS32" s="600"/>
      <c r="EGT32" s="64"/>
      <c r="EGU32" s="68"/>
      <c r="EGV32" s="612"/>
      <c r="EGW32" s="600"/>
      <c r="EGX32" s="600"/>
      <c r="EGY32" s="600"/>
      <c r="EGZ32" s="600"/>
      <c r="EHA32" s="600"/>
      <c r="EHB32" s="64"/>
      <c r="EHC32" s="68"/>
      <c r="EHD32" s="612"/>
      <c r="EHE32" s="600"/>
      <c r="EHF32" s="600"/>
      <c r="EHG32" s="600"/>
      <c r="EHH32" s="600"/>
      <c r="EHI32" s="600"/>
      <c r="EHJ32" s="64"/>
      <c r="EHK32" s="68"/>
      <c r="EHL32" s="612"/>
      <c r="EHM32" s="600"/>
      <c r="EHN32" s="600"/>
      <c r="EHO32" s="600"/>
      <c r="EHP32" s="600"/>
      <c r="EHQ32" s="600"/>
      <c r="EHR32" s="64"/>
      <c r="EHS32" s="68"/>
      <c r="EHT32" s="612"/>
      <c r="EHU32" s="600"/>
      <c r="EHV32" s="600"/>
      <c r="EHW32" s="600"/>
      <c r="EHX32" s="600"/>
      <c r="EHY32" s="600"/>
      <c r="EHZ32" s="64"/>
      <c r="EIA32" s="68"/>
      <c r="EIB32" s="612"/>
      <c r="EIC32" s="600"/>
      <c r="EID32" s="600"/>
      <c r="EIE32" s="600"/>
      <c r="EIF32" s="600"/>
      <c r="EIG32" s="600"/>
      <c r="EIH32" s="64"/>
      <c r="EII32" s="68"/>
      <c r="EIJ32" s="609"/>
      <c r="EIK32" s="610"/>
      <c r="EIL32" s="610"/>
      <c r="EIM32" s="610"/>
      <c r="EIN32" s="610"/>
      <c r="EIO32" s="610"/>
      <c r="EIP32" s="64"/>
      <c r="EIQ32" s="68"/>
      <c r="EIR32" s="612"/>
      <c r="EIS32" s="600"/>
      <c r="EIT32" s="600"/>
      <c r="EIU32" s="600"/>
      <c r="EIV32" s="600"/>
      <c r="EIW32" s="600"/>
      <c r="EIX32" s="64"/>
      <c r="EIY32" s="68"/>
      <c r="EIZ32" s="612"/>
      <c r="EJA32" s="600"/>
      <c r="EJB32" s="600"/>
      <c r="EJC32" s="600"/>
      <c r="EJD32" s="600"/>
      <c r="EJE32" s="600"/>
      <c r="EJF32" s="64"/>
      <c r="EJG32" s="68"/>
      <c r="EJH32" s="612"/>
      <c r="EJI32" s="600"/>
      <c r="EJJ32" s="600"/>
      <c r="EJK32" s="600"/>
      <c r="EJL32" s="600"/>
      <c r="EJM32" s="600"/>
      <c r="EJN32" s="64"/>
      <c r="EJO32" s="68"/>
      <c r="EJP32" s="612"/>
      <c r="EJQ32" s="600"/>
      <c r="EJR32" s="600"/>
      <c r="EJS32" s="600"/>
      <c r="EJT32" s="600"/>
      <c r="EJU32" s="600"/>
      <c r="EJV32" s="64"/>
      <c r="EJW32" s="68"/>
      <c r="EJX32" s="612"/>
      <c r="EJY32" s="600"/>
      <c r="EJZ32" s="600"/>
      <c r="EKA32" s="600"/>
      <c r="EKB32" s="600"/>
      <c r="EKC32" s="600"/>
      <c r="EKD32" s="64"/>
      <c r="EKE32" s="68"/>
      <c r="EKF32" s="612"/>
      <c r="EKG32" s="600"/>
      <c r="EKH32" s="600"/>
      <c r="EKI32" s="600"/>
      <c r="EKJ32" s="600"/>
      <c r="EKK32" s="600"/>
      <c r="EKL32" s="64"/>
      <c r="EKM32" s="68"/>
      <c r="EKN32" s="612"/>
      <c r="EKO32" s="600"/>
      <c r="EKP32" s="600"/>
      <c r="EKQ32" s="600"/>
      <c r="EKR32" s="600">
        <v>0</v>
      </c>
      <c r="EKS32" s="600">
        <v>0</v>
      </c>
      <c r="EKT32" s="64"/>
      <c r="EKU32" s="184"/>
      <c r="EKV32" s="665"/>
      <c r="EKW32" s="670">
        <v>0</v>
      </c>
      <c r="EKX32" s="610">
        <v>0</v>
      </c>
      <c r="EKY32" s="610">
        <v>0</v>
      </c>
      <c r="EKZ32" s="610">
        <v>0</v>
      </c>
      <c r="ELA32" s="610">
        <v>0</v>
      </c>
      <c r="ELB32" s="610">
        <v>0</v>
      </c>
      <c r="ELC32" s="64">
        <f t="shared" si="1406"/>
        <v>0</v>
      </c>
      <c r="ELD32" s="211">
        <f t="shared" si="1407"/>
        <v>0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si="1408"/>
        <v>0</v>
      </c>
      <c r="ELL32" s="211">
        <f t="shared" si="1409"/>
        <v>0</v>
      </c>
      <c r="ELM32" s="682">
        <v>0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si="1410"/>
        <v>0</v>
      </c>
      <c r="ELT32" s="211">
        <f t="shared" si="1411"/>
        <v>0</v>
      </c>
      <c r="ELU32" s="682">
        <v>0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si="1412"/>
        <v>0</v>
      </c>
      <c r="EMB32" s="211">
        <f t="shared" si="1413"/>
        <v>0</v>
      </c>
      <c r="EMC32" s="682">
        <v>0</v>
      </c>
      <c r="EMD32" s="600">
        <v>0</v>
      </c>
      <c r="EME32" s="600">
        <v>0</v>
      </c>
      <c r="EMF32" s="600">
        <v>0</v>
      </c>
      <c r="EMG32" s="600"/>
      <c r="EMH32" s="600">
        <v>0</v>
      </c>
      <c r="EMI32" s="64">
        <f t="shared" si="1414"/>
        <v>0</v>
      </c>
      <c r="EMJ32" s="211">
        <f t="shared" si="1415"/>
        <v>0</v>
      </c>
      <c r="EMK32" s="682">
        <v>0</v>
      </c>
      <c r="EML32" s="600">
        <v>0</v>
      </c>
      <c r="EMM32" s="600">
        <v>0</v>
      </c>
      <c r="EMN32" s="600">
        <v>0</v>
      </c>
      <c r="EMO32" s="600">
        <v>0</v>
      </c>
      <c r="EMP32" s="600">
        <v>0</v>
      </c>
      <c r="EMQ32" s="64">
        <f t="shared" si="1416"/>
        <v>0</v>
      </c>
      <c r="EMR32" s="211">
        <f t="shared" si="1417"/>
        <v>0</v>
      </c>
      <c r="EMS32" s="682">
        <v>0</v>
      </c>
      <c r="EMT32" s="600">
        <v>0</v>
      </c>
      <c r="EMU32" s="600">
        <v>0</v>
      </c>
      <c r="EMV32" s="600">
        <v>0</v>
      </c>
      <c r="EMW32" s="600">
        <v>0</v>
      </c>
      <c r="EMX32" s="600">
        <v>0</v>
      </c>
      <c r="EMY32" s="64">
        <f t="shared" si="1418"/>
        <v>0</v>
      </c>
      <c r="EMZ32" s="211">
        <f t="shared" si="1419"/>
        <v>0</v>
      </c>
      <c r="ENA32" s="682">
        <v>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si="1420"/>
        <v>0</v>
      </c>
      <c r="ENH32" s="211">
        <f t="shared" si="1421"/>
        <v>0</v>
      </c>
      <c r="ENI32" s="682">
        <v>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si="1422"/>
        <v>0</v>
      </c>
      <c r="ENP32" s="211">
        <f t="shared" si="1423"/>
        <v>0</v>
      </c>
      <c r="ENQ32" s="682">
        <v>0</v>
      </c>
      <c r="ENR32" s="600"/>
      <c r="ENS32" s="600">
        <v>0</v>
      </c>
      <c r="ENT32" s="600">
        <v>0</v>
      </c>
      <c r="ENU32" s="600">
        <v>0</v>
      </c>
      <c r="ENV32" s="600">
        <v>0</v>
      </c>
      <c r="ENW32" s="64">
        <f t="shared" si="1424"/>
        <v>0</v>
      </c>
      <c r="ENX32" s="211">
        <f t="shared" si="1425"/>
        <v>0</v>
      </c>
      <c r="ENY32" s="682">
        <v>0</v>
      </c>
      <c r="ENZ32" s="600"/>
      <c r="EOA32" s="600">
        <v>0</v>
      </c>
      <c r="EOB32" s="600">
        <v>0</v>
      </c>
      <c r="EOC32" s="600">
        <v>0</v>
      </c>
      <c r="EOD32" s="600">
        <v>0</v>
      </c>
      <c r="EOE32" s="64">
        <f t="shared" si="1426"/>
        <v>0</v>
      </c>
      <c r="EOF32" s="211">
        <f t="shared" si="1427"/>
        <v>0</v>
      </c>
      <c r="EOH32" s="682"/>
      <c r="EOI32" s="600">
        <v>0</v>
      </c>
      <c r="EOJ32" s="600">
        <v>0</v>
      </c>
      <c r="EOK32" s="600">
        <v>0</v>
      </c>
      <c r="EOL32" s="600">
        <v>0</v>
      </c>
      <c r="EOM32" s="600">
        <v>0</v>
      </c>
      <c r="EON32" s="184">
        <f t="shared" si="1428"/>
        <v>0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si="1429"/>
        <v>0</v>
      </c>
      <c r="EOV32" s="211">
        <f t="shared" si="1430"/>
        <v>0</v>
      </c>
      <c r="EOW32" s="682">
        <v>0</v>
      </c>
      <c r="EOX32" s="600">
        <v>0</v>
      </c>
      <c r="EOY32" s="600">
        <v>0</v>
      </c>
      <c r="EOZ32" s="600"/>
      <c r="EPA32" s="600">
        <v>0</v>
      </c>
      <c r="EPB32" s="600">
        <v>0</v>
      </c>
      <c r="EPC32" s="64">
        <f t="shared" si="1431"/>
        <v>0</v>
      </c>
      <c r="EPD32" s="211">
        <f t="shared" si="1432"/>
        <v>0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si="1433"/>
        <v>0</v>
      </c>
      <c r="EPL32" s="211">
        <f t="shared" si="1434"/>
        <v>0</v>
      </c>
      <c r="EPM32" s="682">
        <v>0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si="1435"/>
        <v>0</v>
      </c>
      <c r="EPT32" s="211">
        <f t="shared" si="1436"/>
        <v>0</v>
      </c>
      <c r="EPU32" s="682">
        <v>0</v>
      </c>
      <c r="EPV32" s="600">
        <v>0</v>
      </c>
      <c r="EPW32" s="600">
        <v>0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si="1437"/>
        <v>0</v>
      </c>
      <c r="EQB32" s="211">
        <f t="shared" si="1438"/>
        <v>0</v>
      </c>
      <c r="EQC32" s="682">
        <v>0</v>
      </c>
      <c r="EQD32" s="600">
        <v>0</v>
      </c>
      <c r="EQE32" s="600">
        <v>0</v>
      </c>
      <c r="EQF32" s="600">
        <v>0</v>
      </c>
      <c r="EQG32" s="600">
        <v>0</v>
      </c>
      <c r="EQH32" s="600"/>
      <c r="EQI32" s="64">
        <f t="shared" si="1439"/>
        <v>0</v>
      </c>
      <c r="EQJ32" s="211">
        <f t="shared" si="1440"/>
        <v>0</v>
      </c>
      <c r="EQK32" s="682">
        <v>0</v>
      </c>
      <c r="EQL32" s="600">
        <v>0</v>
      </c>
      <c r="EQM32" s="600">
        <v>0</v>
      </c>
      <c r="EQN32" s="600"/>
      <c r="EQO32" s="600">
        <v>0</v>
      </c>
      <c r="EQP32" s="600">
        <v>0</v>
      </c>
      <c r="EQQ32" s="64">
        <f t="shared" si="1441"/>
        <v>0</v>
      </c>
      <c r="EQR32" s="211">
        <f t="shared" si="1442"/>
        <v>0</v>
      </c>
      <c r="EQS32" s="670">
        <v>0</v>
      </c>
      <c r="EQT32" s="610">
        <v>0</v>
      </c>
      <c r="EQU32" s="610">
        <v>0</v>
      </c>
      <c r="EQV32" s="610">
        <v>0</v>
      </c>
      <c r="EQW32" s="610"/>
      <c r="EQX32" s="610">
        <v>0</v>
      </c>
      <c r="EQY32" s="64">
        <f t="shared" si="1443"/>
        <v>0</v>
      </c>
      <c r="EQZ32" s="211">
        <f t="shared" si="1444"/>
        <v>0</v>
      </c>
      <c r="ERA32" s="682">
        <v>0</v>
      </c>
      <c r="ERB32" s="600">
        <v>0</v>
      </c>
      <c r="ERC32" s="600">
        <v>0</v>
      </c>
      <c r="ERD32" s="600">
        <v>0</v>
      </c>
      <c r="ERE32" s="600">
        <v>0</v>
      </c>
      <c r="ERF32" s="600"/>
      <c r="ERG32" s="64">
        <f t="shared" si="1445"/>
        <v>0</v>
      </c>
      <c r="ERH32" s="211">
        <f t="shared" si="1446"/>
        <v>0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0</v>
      </c>
      <c r="ERO32" s="64">
        <f t="shared" si="1447"/>
        <v>0</v>
      </c>
      <c r="ERP32" s="211">
        <f t="shared" si="1448"/>
        <v>0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800</v>
      </c>
      <c r="ERW32" s="64">
        <f t="shared" si="1449"/>
        <v>800</v>
      </c>
      <c r="ERX32" s="211">
        <f t="shared" si="1450"/>
        <v>133.33333333333334</v>
      </c>
      <c r="ERY32" s="682">
        <v>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si="1451"/>
        <v>0</v>
      </c>
      <c r="ESF32" s="211">
        <f t="shared" si="1452"/>
        <v>0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0</v>
      </c>
      <c r="ESM32" s="64">
        <f t="shared" si="1453"/>
        <v>0</v>
      </c>
      <c r="ESN32" s="211">
        <f t="shared" si="1454"/>
        <v>0</v>
      </c>
      <c r="ESO32" s="750">
        <v>0</v>
      </c>
      <c r="ESP32" s="751">
        <v>0</v>
      </c>
      <c r="ESQ32" s="751">
        <v>0</v>
      </c>
      <c r="ESR32" s="751">
        <v>0</v>
      </c>
      <c r="ESS32" s="751">
        <v>0</v>
      </c>
      <c r="EST32" s="751"/>
      <c r="ESU32" s="64">
        <f t="shared" si="1455"/>
        <v>0</v>
      </c>
      <c r="ESV32" s="211">
        <f t="shared" si="1456"/>
        <v>0</v>
      </c>
      <c r="ESW32" s="682"/>
      <c r="ESX32" s="600">
        <v>0</v>
      </c>
      <c r="ESY32" s="600">
        <v>0</v>
      </c>
      <c r="ESZ32" s="600">
        <v>0</v>
      </c>
      <c r="ETA32" s="600">
        <v>0</v>
      </c>
      <c r="ETB32" s="600">
        <v>0</v>
      </c>
      <c r="ETC32" s="808">
        <f t="shared" si="1457"/>
        <v>0</v>
      </c>
      <c r="ETD32" s="211">
        <f t="shared" si="1458"/>
        <v>0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si="1459"/>
        <v>0</v>
      </c>
      <c r="ETL32" s="211">
        <f t="shared" si="1460"/>
        <v>0</v>
      </c>
      <c r="ETM32" s="838">
        <v>0</v>
      </c>
      <c r="ETN32" s="839">
        <v>0</v>
      </c>
      <c r="ETO32" s="839">
        <v>0</v>
      </c>
      <c r="ETP32" s="839">
        <v>0</v>
      </c>
      <c r="ETQ32" s="839">
        <v>0</v>
      </c>
      <c r="ETR32" s="839">
        <v>0</v>
      </c>
      <c r="ETS32" s="808">
        <f t="shared" si="1461"/>
        <v>0</v>
      </c>
      <c r="ETT32" s="211">
        <f t="shared" si="1462"/>
        <v>0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0</v>
      </c>
      <c r="EUA32" s="808">
        <f t="shared" si="1463"/>
        <v>0</v>
      </c>
      <c r="EUB32" s="211">
        <f t="shared" si="1464"/>
        <v>0</v>
      </c>
      <c r="EUC32" s="750"/>
      <c r="EUD32" s="751">
        <v>0</v>
      </c>
      <c r="EUE32" s="751"/>
      <c r="EUF32" s="751">
        <v>0</v>
      </c>
      <c r="EUG32" s="751">
        <v>0</v>
      </c>
      <c r="EUH32" s="751">
        <v>0</v>
      </c>
      <c r="EUI32" s="808">
        <f t="shared" si="1465"/>
        <v>0</v>
      </c>
      <c r="EUJ32" s="211">
        <f t="shared" si="1466"/>
        <v>0</v>
      </c>
      <c r="EUK32" s="682"/>
      <c r="EUL32" s="600">
        <v>0</v>
      </c>
      <c r="EUM32" s="600">
        <v>0</v>
      </c>
      <c r="EUN32" s="600">
        <v>0</v>
      </c>
      <c r="EUO32" s="600">
        <v>0</v>
      </c>
      <c r="EUP32" s="600">
        <v>0</v>
      </c>
      <c r="EUQ32" s="808">
        <f t="shared" si="1467"/>
        <v>0</v>
      </c>
      <c r="EUR32" s="211">
        <f t="shared" si="1468"/>
        <v>0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si="1469"/>
        <v>0</v>
      </c>
      <c r="EUZ32" s="211">
        <f t="shared" si="1470"/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si="1471"/>
        <v>0</v>
      </c>
      <c r="EVH32" s="211">
        <f t="shared" si="1472"/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si="1473"/>
        <v>0</v>
      </c>
      <c r="EVP32" s="211">
        <f t="shared" si="1474"/>
        <v>0</v>
      </c>
      <c r="EVQ32" s="682">
        <v>0</v>
      </c>
      <c r="EVR32" s="600">
        <v>0</v>
      </c>
      <c r="EVS32" s="600">
        <v>0</v>
      </c>
      <c r="EVT32" s="600"/>
      <c r="EVU32" s="600">
        <v>0</v>
      </c>
      <c r="EVV32" s="600">
        <v>0</v>
      </c>
      <c r="EVW32" s="808">
        <f t="shared" si="1475"/>
        <v>0</v>
      </c>
      <c r="EVX32" s="211">
        <f t="shared" si="1476"/>
        <v>0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si="1477"/>
        <v>0</v>
      </c>
      <c r="EWF32" s="211">
        <f t="shared" si="1478"/>
        <v>0</v>
      </c>
      <c r="EWG32" s="682">
        <v>0</v>
      </c>
      <c r="EWH32" s="600">
        <v>0</v>
      </c>
      <c r="EWI32" s="600"/>
      <c r="EWJ32" s="600">
        <v>0</v>
      </c>
      <c r="EWK32" s="600">
        <v>0</v>
      </c>
      <c r="EWL32" s="600"/>
      <c r="EWM32" s="808">
        <f t="shared" si="1479"/>
        <v>0</v>
      </c>
      <c r="EWN32" s="211">
        <f t="shared" si="1480"/>
        <v>0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si="1481"/>
        <v>0</v>
      </c>
      <c r="EWV32" s="211">
        <f t="shared" si="1482"/>
        <v>0</v>
      </c>
      <c r="EWW32" s="682"/>
      <c r="EWX32" s="600"/>
      <c r="EWY32" s="600">
        <v>0</v>
      </c>
      <c r="EWZ32" s="600">
        <v>0</v>
      </c>
      <c r="EXA32" s="600">
        <v>0</v>
      </c>
      <c r="EXB32" s="600"/>
      <c r="EXC32" s="808">
        <f t="shared" si="1483"/>
        <v>0</v>
      </c>
      <c r="EXD32" s="211">
        <f t="shared" si="1484"/>
        <v>0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si="1485"/>
        <v>0</v>
      </c>
      <c r="EXL32" s="211">
        <f t="shared" si="1486"/>
        <v>0</v>
      </c>
      <c r="EXM32" s="750">
        <v>0</v>
      </c>
      <c r="EXN32" s="751">
        <v>0</v>
      </c>
      <c r="EXO32" s="751">
        <v>0</v>
      </c>
      <c r="EXP32" s="751">
        <v>0</v>
      </c>
      <c r="EXQ32" s="751"/>
      <c r="EXR32" s="751">
        <v>0</v>
      </c>
      <c r="EXS32" s="808">
        <f t="shared" si="1487"/>
        <v>0</v>
      </c>
      <c r="EXT32" s="211">
        <f t="shared" si="1488"/>
        <v>0</v>
      </c>
      <c r="EXU32" s="682">
        <v>0</v>
      </c>
      <c r="EXV32" s="600">
        <v>0</v>
      </c>
      <c r="EXW32" s="600">
        <v>0</v>
      </c>
      <c r="EXX32" s="600">
        <v>0</v>
      </c>
      <c r="EXY32" s="600">
        <v>0</v>
      </c>
      <c r="EXZ32" s="600">
        <v>0</v>
      </c>
      <c r="EYA32" s="808">
        <f t="shared" si="1489"/>
        <v>0</v>
      </c>
      <c r="EYB32" s="211">
        <f t="shared" si="1490"/>
        <v>0</v>
      </c>
      <c r="EYC32" s="682">
        <v>0</v>
      </c>
      <c r="EYD32" s="600"/>
      <c r="EYE32" s="600">
        <v>0</v>
      </c>
      <c r="EYF32" s="600"/>
      <c r="EYG32" s="600">
        <v>0</v>
      </c>
      <c r="EYH32" s="600">
        <v>0</v>
      </c>
      <c r="EYI32" s="808">
        <f t="shared" si="1491"/>
        <v>0</v>
      </c>
      <c r="EYJ32" s="211">
        <f t="shared" si="1492"/>
        <v>0</v>
      </c>
      <c r="EYK32" s="682">
        <v>0</v>
      </c>
      <c r="EYL32" s="600">
        <v>0</v>
      </c>
      <c r="EYM32" s="600">
        <v>0</v>
      </c>
      <c r="EYN32" s="600">
        <v>0</v>
      </c>
      <c r="EYO32" s="600">
        <v>0</v>
      </c>
      <c r="EYP32" s="600">
        <v>0</v>
      </c>
      <c r="EYQ32" s="808">
        <f t="shared" si="1493"/>
        <v>0</v>
      </c>
      <c r="EYR32" s="211">
        <f t="shared" si="1494"/>
        <v>0</v>
      </c>
      <c r="EYS32" s="682">
        <v>0</v>
      </c>
      <c r="EYT32" s="600">
        <v>0</v>
      </c>
      <c r="EYU32" s="600">
        <v>0</v>
      </c>
      <c r="EYV32" s="600">
        <v>0</v>
      </c>
      <c r="EYW32" s="600"/>
      <c r="EYX32" s="600"/>
      <c r="EYY32" s="872">
        <f t="shared" si="1495"/>
        <v>0</v>
      </c>
      <c r="EYZ32" s="873">
        <f t="shared" si="1496"/>
        <v>0</v>
      </c>
      <c r="EZA32" s="682">
        <v>0</v>
      </c>
      <c r="EZB32" s="600">
        <v>0</v>
      </c>
      <c r="EZC32" s="600">
        <v>0</v>
      </c>
      <c r="EZD32" s="600"/>
      <c r="EZE32" s="600">
        <v>0</v>
      </c>
      <c r="EZF32" s="600">
        <v>0</v>
      </c>
      <c r="EZG32" s="872">
        <f t="shared" si="1497"/>
        <v>0</v>
      </c>
      <c r="EZH32" s="873">
        <f t="shared" si="1498"/>
        <v>0</v>
      </c>
      <c r="EZI32" s="682">
        <v>0</v>
      </c>
      <c r="EZJ32" s="600">
        <v>0</v>
      </c>
      <c r="EZK32" s="600"/>
      <c r="EZL32" s="600"/>
      <c r="EZM32" s="600"/>
      <c r="EZN32" s="600"/>
      <c r="EZO32" s="872">
        <f t="shared" si="1499"/>
        <v>0</v>
      </c>
      <c r="EZP32" s="873">
        <f t="shared" si="1500"/>
        <v>0</v>
      </c>
    </row>
    <row r="33" spans="1:4072" s="567" customFormat="1" ht="13.5" hidden="1" thickBot="1" x14ac:dyDescent="0.25">
      <c r="A33" s="21">
        <v>4</v>
      </c>
      <c r="B33" s="297" t="s">
        <v>445</v>
      </c>
      <c r="C33" s="725" t="s">
        <v>330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0"/>
        <v>0</v>
      </c>
      <c r="L33" s="24">
        <f t="shared" ref="L33" si="1503">F33+H33-J33</f>
        <v>0</v>
      </c>
      <c r="M33" s="15">
        <f t="shared" ref="M33" si="1504">K33+L33</f>
        <v>0</v>
      </c>
      <c r="N33" s="443">
        <v>0</v>
      </c>
      <c r="O33" s="276">
        <f t="shared" si="1223"/>
        <v>0</v>
      </c>
      <c r="P33" s="727"/>
      <c r="Q33" s="15"/>
      <c r="R33" s="15"/>
      <c r="S33" s="222"/>
      <c r="T33" s="15"/>
      <c r="U33" s="729"/>
      <c r="V33" s="276">
        <f t="shared" si="1227"/>
        <v>0</v>
      </c>
      <c r="W33" s="279" t="e">
        <f t="shared" si="1228"/>
        <v>#DIV/0!</v>
      </c>
      <c r="X33" s="392"/>
      <c r="Y33" s="394"/>
      <c r="Z33" s="393"/>
      <c r="AA33" s="393"/>
      <c r="AB33" s="393"/>
      <c r="AC33" s="661">
        <v>18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/>
      <c r="EKS33" s="600"/>
      <c r="EKT33" s="64"/>
      <c r="EKU33" s="184"/>
      <c r="EKV33" s="665"/>
      <c r="EKW33" s="670"/>
      <c r="EKX33" s="610"/>
      <c r="EKY33" s="610"/>
      <c r="EKZ33" s="610">
        <v>353</v>
      </c>
      <c r="ELA33" s="610">
        <v>0</v>
      </c>
      <c r="ELB33" s="610">
        <v>0</v>
      </c>
      <c r="ELC33" s="64"/>
      <c r="ELD33" s="211"/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08"/>
        <v>0</v>
      </c>
      <c r="ELL33" s="211">
        <f t="shared" si="1409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10"/>
        <v>0</v>
      </c>
      <c r="ELT33" s="211">
        <f t="shared" si="1411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12"/>
        <v>0</v>
      </c>
      <c r="EMB33" s="211">
        <f t="shared" si="1413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14"/>
        <v>0</v>
      </c>
      <c r="EMJ33" s="211">
        <f t="shared" si="1415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16"/>
        <v>0</v>
      </c>
      <c r="EMR33" s="211">
        <f t="shared" si="1417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18"/>
        <v>0</v>
      </c>
      <c r="EMZ33" s="211">
        <f t="shared" si="1419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20"/>
        <v>0</v>
      </c>
      <c r="ENH33" s="211">
        <f t="shared" si="1421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22"/>
        <v>0</v>
      </c>
      <c r="ENP33" s="211">
        <f t="shared" si="1423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24"/>
        <v>0</v>
      </c>
      <c r="ENX33" s="211">
        <f t="shared" si="1425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26"/>
        <v>0</v>
      </c>
      <c r="EOF33" s="211">
        <f t="shared" si="1427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28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29"/>
        <v>0</v>
      </c>
      <c r="EOV33" s="211">
        <f t="shared" si="1430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31"/>
        <v>0</v>
      </c>
      <c r="EPD33" s="211">
        <f t="shared" si="1432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33"/>
        <v>0</v>
      </c>
      <c r="EPL33" s="211">
        <f t="shared" si="1434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35"/>
        <v>0</v>
      </c>
      <c r="EPT33" s="211">
        <f t="shared" si="1436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37"/>
        <v>0</v>
      </c>
      <c r="EQB33" s="211">
        <f t="shared" si="1438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39"/>
        <v>0</v>
      </c>
      <c r="EQJ33" s="211">
        <f t="shared" si="1440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41"/>
        <v>0</v>
      </c>
      <c r="EQR33" s="211">
        <f t="shared" si="1442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43"/>
        <v>0</v>
      </c>
      <c r="EQZ33" s="211">
        <f t="shared" si="1444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45"/>
        <v>0</v>
      </c>
      <c r="ERH33" s="211">
        <f t="shared" si="1446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47"/>
        <v>0</v>
      </c>
      <c r="ERP33" s="211">
        <f t="shared" si="1448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447</v>
      </c>
      <c r="ERW33" s="64">
        <f t="shared" si="1449"/>
        <v>447</v>
      </c>
      <c r="ERX33" s="211">
        <f t="shared" si="1450"/>
        <v>74.5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51"/>
        <v>0</v>
      </c>
      <c r="ESF33" s="211">
        <f t="shared" si="1452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53"/>
        <v>0</v>
      </c>
      <c r="ESN33" s="211">
        <f t="shared" si="1454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55"/>
        <v>0</v>
      </c>
      <c r="ESV33" s="211">
        <f t="shared" si="1456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57"/>
        <v>0</v>
      </c>
      <c r="ETD33" s="211">
        <f t="shared" si="1458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59"/>
        <v>0</v>
      </c>
      <c r="ETL33" s="211">
        <f t="shared" si="1460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61"/>
        <v>0</v>
      </c>
      <c r="ETT33" s="211">
        <f t="shared" si="1462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63"/>
        <v>0</v>
      </c>
      <c r="EUB33" s="211">
        <f t="shared" si="1464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65"/>
        <v>0</v>
      </c>
      <c r="EUJ33" s="211">
        <f t="shared" si="1466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67"/>
        <v>0</v>
      </c>
      <c r="EUR33" s="211">
        <f t="shared" si="1468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69"/>
        <v>0</v>
      </c>
      <c r="EUZ33" s="211">
        <f t="shared" si="1470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71"/>
        <v>0</v>
      </c>
      <c r="EVH33" s="211">
        <f t="shared" si="1472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73"/>
        <v>0</v>
      </c>
      <c r="EVP33" s="211">
        <f t="shared" si="1474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75"/>
        <v>0</v>
      </c>
      <c r="EVX33" s="211">
        <f t="shared" si="1476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77"/>
        <v>0</v>
      </c>
      <c r="EWF33" s="211">
        <f t="shared" si="1478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79"/>
        <v>0</v>
      </c>
      <c r="EWN33" s="211">
        <f t="shared" si="1480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81"/>
        <v>0</v>
      </c>
      <c r="EWV33" s="211">
        <f t="shared" si="1482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83"/>
        <v>0</v>
      </c>
      <c r="EXD33" s="211">
        <f t="shared" si="1484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85"/>
        <v>0</v>
      </c>
      <c r="EXL33" s="211">
        <f t="shared" si="1486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87"/>
        <v>0</v>
      </c>
      <c r="EXT33" s="211">
        <f t="shared" si="1488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89"/>
        <v>0</v>
      </c>
      <c r="EYB33" s="211">
        <f t="shared" si="1490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491"/>
        <v>0</v>
      </c>
      <c r="EYJ33" s="211">
        <f t="shared" si="1492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493"/>
        <v>0</v>
      </c>
      <c r="EYR33" s="211">
        <f t="shared" si="1494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495"/>
        <v>0</v>
      </c>
      <c r="EYZ33" s="873">
        <f t="shared" si="1496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497"/>
        <v>0</v>
      </c>
      <c r="EZH33" s="873">
        <f t="shared" si="1498"/>
        <v>0</v>
      </c>
      <c r="EZI33" s="682">
        <v>0</v>
      </c>
      <c r="EZJ33" s="600">
        <v>0</v>
      </c>
      <c r="EZK33" s="600"/>
      <c r="EZL33" s="600"/>
      <c r="EZM33" s="600"/>
      <c r="EZN33" s="600"/>
      <c r="EZO33" s="872">
        <f t="shared" si="1499"/>
        <v>0</v>
      </c>
      <c r="EZP33" s="873">
        <f t="shared" si="1500"/>
        <v>0</v>
      </c>
    </row>
    <row r="34" spans="1:4072" ht="13.5" thickBot="1" x14ac:dyDescent="0.25">
      <c r="A34" s="21">
        <v>5</v>
      </c>
      <c r="B34" s="297" t="s">
        <v>43</v>
      </c>
      <c r="C34" s="725" t="s">
        <v>318</v>
      </c>
      <c r="D34" s="297">
        <v>25</v>
      </c>
      <c r="E34" s="726"/>
      <c r="F34" s="24">
        <v>2376</v>
      </c>
      <c r="G34" s="24"/>
      <c r="H34" s="24"/>
      <c r="I34" s="24"/>
      <c r="J34" s="360">
        <f>SUMIF(SUMPK!$B:$B,$B:$B,SUMPK!$O:$O)</f>
        <v>0</v>
      </c>
      <c r="K34" s="24">
        <f t="shared" si="1220"/>
        <v>0</v>
      </c>
      <c r="L34" s="24">
        <f t="shared" ref="L34:L48" si="1505">F34+H34-J34</f>
        <v>2376</v>
      </c>
      <c r="M34" s="15">
        <f>K34+L34</f>
        <v>2376</v>
      </c>
      <c r="N34" s="15">
        <v>55.833333333333336</v>
      </c>
      <c r="O34" s="276">
        <f t="shared" si="1223"/>
        <v>42.555223880597012</v>
      </c>
      <c r="P34" s="15">
        <v>146.66666666666666</v>
      </c>
      <c r="Q34" s="15">
        <f t="shared" ref="Q34:Q51" si="1506">IF(P34=0,0,M34/P34*6)</f>
        <v>97.199999999999989</v>
      </c>
      <c r="R34" s="15">
        <f t="shared" ref="R34:R51" si="1507">S34/$S$3</f>
        <v>184.61538461538461</v>
      </c>
      <c r="S34" s="222">
        <v>4800</v>
      </c>
      <c r="T34" s="15">
        <f>IF(R34=0,0,M34/R34)</f>
        <v>12.870000000000001</v>
      </c>
      <c r="U34" s="15"/>
      <c r="V34" s="276">
        <f t="shared" si="1227"/>
        <v>12.870000000000001</v>
      </c>
      <c r="W34" s="279">
        <f t="shared" si="1228"/>
        <v>1</v>
      </c>
      <c r="X34" s="15"/>
      <c r="Y34" s="510"/>
      <c r="Z34" s="510"/>
      <c r="AA34" s="510"/>
      <c r="AB34" s="510"/>
      <c r="AC34" s="662">
        <v>20</v>
      </c>
      <c r="AD34" s="648"/>
      <c r="AE34" s="49"/>
      <c r="AF34" s="49"/>
      <c r="AG34" s="49"/>
      <c r="AH34" s="49">
        <v>230</v>
      </c>
      <c r="AI34" s="49"/>
      <c r="AJ34" s="127">
        <f>SUM(AD34:AI34)</f>
        <v>230</v>
      </c>
      <c r="AK34" s="43">
        <f>AJ34/$AK$5</f>
        <v>38.333333333333336</v>
      </c>
      <c r="AL34" s="48"/>
      <c r="AM34" s="49"/>
      <c r="AN34" s="49">
        <v>402</v>
      </c>
      <c r="AO34" s="49"/>
      <c r="AP34" s="49"/>
      <c r="AQ34" s="49"/>
      <c r="AR34" s="127">
        <f>SUM(AL34:AQ34)</f>
        <v>402</v>
      </c>
      <c r="AS34" s="43">
        <f>AR34/$AK$5</f>
        <v>67</v>
      </c>
      <c r="AT34" s="48">
        <v>300</v>
      </c>
      <c r="AU34" s="49"/>
      <c r="AV34" s="49"/>
      <c r="AW34" s="49"/>
      <c r="AX34" s="49"/>
      <c r="AY34" s="49"/>
      <c r="AZ34" s="127">
        <f>SUM(AT34:AY34)</f>
        <v>300</v>
      </c>
      <c r="BA34" s="43">
        <f>AZ34/$AK$5</f>
        <v>50</v>
      </c>
      <c r="BB34" s="48">
        <v>400</v>
      </c>
      <c r="BC34" s="49"/>
      <c r="BD34" s="49"/>
      <c r="BE34" s="49"/>
      <c r="BF34" s="49">
        <v>614</v>
      </c>
      <c r="BG34" s="49"/>
      <c r="BH34" s="127">
        <f>SUM(BB34:BG34)</f>
        <v>1014</v>
      </c>
      <c r="BI34" s="43">
        <f>BH34/$BI$5</f>
        <v>169</v>
      </c>
      <c r="BJ34" s="48"/>
      <c r="BK34" s="49">
        <v>591</v>
      </c>
      <c r="BL34" s="49"/>
      <c r="BM34" s="49"/>
      <c r="BN34" s="49">
        <v>395</v>
      </c>
      <c r="BO34" s="49"/>
      <c r="BP34" s="127">
        <f>SUM(BJ34:BO34)</f>
        <v>986</v>
      </c>
      <c r="BQ34" s="43">
        <f>BP34/$BI$5</f>
        <v>164.33333333333334</v>
      </c>
      <c r="BR34" s="48"/>
      <c r="BS34" s="49"/>
      <c r="BT34" s="49">
        <v>391</v>
      </c>
      <c r="BU34" s="49"/>
      <c r="BV34" s="49">
        <v>198</v>
      </c>
      <c r="BW34" s="49"/>
      <c r="BX34" s="127">
        <f t="shared" ref="BX34" si="1508">SUM(BR34:BW34)</f>
        <v>589</v>
      </c>
      <c r="BY34" s="43">
        <f t="shared" ref="BY34" si="1509">BX34/$BI$5</f>
        <v>98.166666666666671</v>
      </c>
      <c r="BZ34" s="48"/>
      <c r="CA34" s="49"/>
      <c r="CB34" s="49"/>
      <c r="CC34" s="49">
        <v>595</v>
      </c>
      <c r="CD34" s="49"/>
      <c r="CE34" s="49"/>
      <c r="CF34" s="127">
        <f t="shared" ref="CF34" si="1510">SUM(BZ34:CE34)</f>
        <v>595</v>
      </c>
      <c r="CG34" s="43">
        <f t="shared" ref="CG34" si="1511">CF34/$BI$5</f>
        <v>99.166666666666671</v>
      </c>
      <c r="CH34" s="48"/>
      <c r="CI34" s="49"/>
      <c r="CJ34" s="49"/>
      <c r="CK34" s="49"/>
      <c r="CL34" s="49">
        <v>600</v>
      </c>
      <c r="CM34" s="49"/>
      <c r="CN34" s="127">
        <f t="shared" ref="CN34" si="1512">SUM(CH34:CM34)</f>
        <v>600</v>
      </c>
      <c r="CO34" s="43">
        <f t="shared" ref="CO34" si="1513">CN34/$BI$5</f>
        <v>100</v>
      </c>
      <c r="CP34" s="48"/>
      <c r="CQ34" s="49"/>
      <c r="CR34" s="49"/>
      <c r="CS34" s="49"/>
      <c r="CT34" s="49">
        <v>601</v>
      </c>
      <c r="CU34" s="49"/>
      <c r="CV34" s="127">
        <f t="shared" ref="CV34" si="1514">SUM(CP34:CU34)</f>
        <v>601</v>
      </c>
      <c r="CW34" s="43">
        <f t="shared" ref="CW34" si="1515">CV34/$BI$5</f>
        <v>100.16666666666667</v>
      </c>
      <c r="CX34" s="48"/>
      <c r="CY34" s="49"/>
      <c r="CZ34" s="49"/>
      <c r="DA34" s="49"/>
      <c r="DB34" s="49">
        <v>596</v>
      </c>
      <c r="DC34" s="49">
        <v>406</v>
      </c>
      <c r="DD34" s="127">
        <f t="shared" ref="DD34" si="1516">SUM(CX34:DC34)</f>
        <v>1002</v>
      </c>
      <c r="DE34" s="43">
        <f t="shared" ref="DE34" si="1517">DD34/$BI$5</f>
        <v>167</v>
      </c>
      <c r="DF34" s="48"/>
      <c r="DG34" s="49"/>
      <c r="DH34" s="49"/>
      <c r="DI34" s="49"/>
      <c r="DJ34" s="49">
        <v>602</v>
      </c>
      <c r="DK34" s="49"/>
      <c r="DL34" s="127">
        <f t="shared" ref="DL34" si="1518">SUM(DF34:DK34)</f>
        <v>602</v>
      </c>
      <c r="DM34" s="43">
        <f t="shared" ref="DM34" si="1519">DL34/$BI$5</f>
        <v>100.33333333333333</v>
      </c>
      <c r="DN34" s="48">
        <v>200</v>
      </c>
      <c r="DO34" s="49"/>
      <c r="DP34" s="49"/>
      <c r="DQ34" s="49"/>
      <c r="DR34" s="49">
        <v>799</v>
      </c>
      <c r="DS34" s="49"/>
      <c r="DT34" s="127">
        <f t="shared" ref="DT34" si="1520">SUM(DN34:DS34)</f>
        <v>999</v>
      </c>
      <c r="DU34" s="43">
        <f t="shared" ref="DU34" si="1521">DT34/$BI$5</f>
        <v>166.5</v>
      </c>
      <c r="DV34" s="48"/>
      <c r="DW34" s="49"/>
      <c r="DX34" s="49">
        <v>200</v>
      </c>
      <c r="DY34" s="49"/>
      <c r="DZ34" s="49"/>
      <c r="EA34" s="49"/>
      <c r="EB34" s="127">
        <f t="shared" ref="EB34" si="1522">SUM(DV34:EA34)</f>
        <v>200</v>
      </c>
      <c r="EC34" s="43">
        <f t="shared" ref="EC34" si="1523">EB34/$BI$5</f>
        <v>33.333333333333336</v>
      </c>
      <c r="ED34" s="72">
        <v>120</v>
      </c>
      <c r="EE34" s="73"/>
      <c r="EF34" s="73"/>
      <c r="EG34" s="73"/>
      <c r="EH34" s="73"/>
      <c r="EI34" s="73"/>
      <c r="EJ34" s="511">
        <f t="shared" ref="EJ34" si="1524">SUM(ED34:EI34)</f>
        <v>120</v>
      </c>
      <c r="EK34" s="74">
        <f t="shared" ref="EK34" si="1525">EJ34/$BI$5</f>
        <v>20</v>
      </c>
      <c r="EL34" s="48">
        <v>201</v>
      </c>
      <c r="EM34" s="49"/>
      <c r="EN34" s="49"/>
      <c r="EO34" s="49"/>
      <c r="EP34" s="49"/>
      <c r="EQ34" s="49"/>
      <c r="ER34" s="127">
        <f t="shared" ref="ER34" si="1526">SUM(EL34:EQ34)</f>
        <v>201</v>
      </c>
      <c r="ES34" s="43">
        <f t="shared" ref="ES34" si="1527">ER34/$BI$5</f>
        <v>33.5</v>
      </c>
      <c r="ET34" s="48">
        <v>599</v>
      </c>
      <c r="EU34" s="49"/>
      <c r="EV34" s="49"/>
      <c r="EW34" s="49"/>
      <c r="EX34" s="49"/>
      <c r="EY34" s="49">
        <v>596</v>
      </c>
      <c r="EZ34" s="127">
        <f t="shared" ref="EZ34" si="1528">SUM(ET34:EY34)</f>
        <v>1195</v>
      </c>
      <c r="FA34" s="43">
        <f t="shared" ref="FA34" si="1529">EZ34/$BI$5</f>
        <v>199.16666666666666</v>
      </c>
      <c r="FB34" s="48">
        <v>411</v>
      </c>
      <c r="FC34" s="49"/>
      <c r="FD34" s="49"/>
      <c r="FE34" s="49"/>
      <c r="FF34" s="49"/>
      <c r="FG34" s="49">
        <v>605</v>
      </c>
      <c r="FH34" s="127">
        <f t="shared" ref="FH34" si="1530">SUM(FB34:FG34)</f>
        <v>1016</v>
      </c>
      <c r="FI34" s="43">
        <f t="shared" ref="FI34" si="1531">FH34/$BI$5</f>
        <v>169.33333333333334</v>
      </c>
      <c r="FJ34" s="48"/>
      <c r="FK34" s="49"/>
      <c r="FL34" s="49"/>
      <c r="FM34" s="49"/>
      <c r="FN34" s="49"/>
      <c r="FO34" s="49"/>
      <c r="FP34" s="127">
        <f t="shared" ref="FP34" si="1532">SUM(FJ34:FO34)</f>
        <v>0</v>
      </c>
      <c r="FQ34" s="43">
        <f t="shared" ref="FQ34" si="1533">FP34/$BI$5</f>
        <v>0</v>
      </c>
      <c r="FR34" s="48"/>
      <c r="FS34" s="49">
        <v>611</v>
      </c>
      <c r="FT34" s="49"/>
      <c r="FU34" s="49"/>
      <c r="FV34" s="49"/>
      <c r="FW34" s="49"/>
      <c r="FX34" s="127">
        <f t="shared" ref="FX34" si="1534">SUM(FR34:FW34)</f>
        <v>611</v>
      </c>
      <c r="FY34" s="43">
        <f t="shared" ref="FY34" si="1535">FX34/$BI$5</f>
        <v>101.83333333333333</v>
      </c>
      <c r="FZ34" s="48"/>
      <c r="GA34" s="49">
        <v>301</v>
      </c>
      <c r="GB34" s="49"/>
      <c r="GC34" s="49"/>
      <c r="GD34" s="49">
        <v>400</v>
      </c>
      <c r="GE34" s="49"/>
      <c r="GF34" s="127">
        <f t="shared" ref="GF34" si="1536">SUM(FZ34:GE34)</f>
        <v>701</v>
      </c>
      <c r="GG34" s="43">
        <f t="shared" ref="GG34" si="1537">GF34/$BI$5</f>
        <v>116.83333333333333</v>
      </c>
      <c r="GH34" s="48"/>
      <c r="GI34" s="49"/>
      <c r="GJ34" s="49"/>
      <c r="GK34" s="49"/>
      <c r="GL34" s="49">
        <v>400</v>
      </c>
      <c r="GM34" s="49"/>
      <c r="GN34" s="127">
        <f t="shared" ref="GN34" si="1538">SUM(GH34:GM34)</f>
        <v>400</v>
      </c>
      <c r="GO34" s="43">
        <f t="shared" ref="GO34" si="1539">GN34/$BI$5</f>
        <v>66.666666666666671</v>
      </c>
      <c r="GP34" s="48"/>
      <c r="GQ34" s="49">
        <f>123+499</f>
        <v>622</v>
      </c>
      <c r="GR34" s="49"/>
      <c r="GS34" s="49"/>
      <c r="GT34" s="49"/>
      <c r="GU34" s="49"/>
      <c r="GV34" s="127">
        <f t="shared" ref="GV34" si="1540">SUM(GP34:GU34)</f>
        <v>622</v>
      </c>
      <c r="GW34" s="43">
        <f>GV34/$BI$5</f>
        <v>103.66666666666667</v>
      </c>
      <c r="GX34" s="48"/>
      <c r="GY34" s="49"/>
      <c r="GZ34" s="49"/>
      <c r="HA34" s="49"/>
      <c r="HB34" s="49">
        <v>840</v>
      </c>
      <c r="HC34" s="49"/>
      <c r="HD34" s="127">
        <f t="shared" ref="HD34" si="1541">SUM(GX34:HC34)</f>
        <v>840</v>
      </c>
      <c r="HE34" s="43">
        <f>HD34/$BI$5</f>
        <v>140</v>
      </c>
      <c r="HF34" s="48"/>
      <c r="HG34" s="49"/>
      <c r="HH34" s="49">
        <v>99</v>
      </c>
      <c r="HI34" s="49"/>
      <c r="HJ34" s="49"/>
      <c r="HK34" s="49">
        <v>101</v>
      </c>
      <c r="HL34" s="127">
        <f t="shared" ref="HL34" si="1542">SUM(HF34:HK34)</f>
        <v>200</v>
      </c>
      <c r="HM34" s="43">
        <f>HL34/$BI$5</f>
        <v>33.333333333333336</v>
      </c>
      <c r="HN34" s="48"/>
      <c r="HO34" s="49"/>
      <c r="HP34" s="49"/>
      <c r="HQ34" s="49">
        <v>298</v>
      </c>
      <c r="HR34" s="49"/>
      <c r="HS34" s="49"/>
      <c r="HT34" s="127">
        <f>SUM(HN34:HS34)</f>
        <v>298</v>
      </c>
      <c r="HU34" s="43">
        <f>HT34/$AK$5</f>
        <v>49.666666666666664</v>
      </c>
      <c r="HV34" s="48"/>
      <c r="HW34" s="49">
        <v>603</v>
      </c>
      <c r="HX34" s="49">
        <v>99</v>
      </c>
      <c r="HY34" s="49"/>
      <c r="HZ34" s="49"/>
      <c r="IA34" s="49"/>
      <c r="IB34" s="127">
        <f>SUM(HV34:IA34)</f>
        <v>702</v>
      </c>
      <c r="IC34" s="43">
        <f>IB34/$AK$5</f>
        <v>117</v>
      </c>
      <c r="ID34" s="48">
        <v>400</v>
      </c>
      <c r="IE34" s="49"/>
      <c r="IF34" s="49"/>
      <c r="IG34" s="49">
        <v>428</v>
      </c>
      <c r="IH34" s="49"/>
      <c r="II34" s="49"/>
      <c r="IJ34" s="127">
        <f>SUM(ID34:II34)</f>
        <v>828</v>
      </c>
      <c r="IK34" s="43">
        <f>IJ34/$AK$5</f>
        <v>138</v>
      </c>
      <c r="IL34" s="48"/>
      <c r="IM34" s="49"/>
      <c r="IN34" s="49"/>
      <c r="IO34" s="49"/>
      <c r="IP34" s="49"/>
      <c r="IQ34" s="49"/>
      <c r="IR34" s="64">
        <f t="shared" ref="IR34" si="1543">SUM(IL34:IQ34)</f>
        <v>0</v>
      </c>
      <c r="IS34" s="68">
        <f>IR34/$IS$5</f>
        <v>0</v>
      </c>
      <c r="IT34" s="48"/>
      <c r="IU34" s="49"/>
      <c r="IV34" s="49"/>
      <c r="IW34" s="49">
        <v>300</v>
      </c>
      <c r="IX34" s="49"/>
      <c r="IY34" s="49"/>
      <c r="IZ34" s="64">
        <f t="shared" ref="IZ34" si="1544">SUM(IT34:IY34)</f>
        <v>300</v>
      </c>
      <c r="JA34" s="68">
        <f>IZ34/$IS$5</f>
        <v>50</v>
      </c>
      <c r="JB34" s="48">
        <v>431</v>
      </c>
      <c r="JC34" s="49"/>
      <c r="JD34" s="49"/>
      <c r="JE34" s="49"/>
      <c r="JF34" s="49"/>
      <c r="JG34" s="49"/>
      <c r="JH34" s="64">
        <f t="shared" ref="JH34" si="1545">SUM(JB34:JG34)</f>
        <v>431</v>
      </c>
      <c r="JI34" s="68">
        <f>JH34/$IS$5</f>
        <v>71.833333333333329</v>
      </c>
      <c r="JJ34" s="48"/>
      <c r="JK34" s="49"/>
      <c r="JL34" s="49"/>
      <c r="JM34" s="49"/>
      <c r="JN34" s="49"/>
      <c r="JO34" s="49"/>
      <c r="JP34" s="127">
        <f>SUM(JJ34:JO34)</f>
        <v>0</v>
      </c>
      <c r="JQ34" s="43">
        <f>JP34/$JQ$5</f>
        <v>0</v>
      </c>
      <c r="JR34" s="48"/>
      <c r="JS34" s="49">
        <v>398</v>
      </c>
      <c r="JT34" s="49"/>
      <c r="JU34" s="49"/>
      <c r="JV34" s="49">
        <v>397</v>
      </c>
      <c r="JW34" s="49"/>
      <c r="JX34" s="127">
        <f>SUM(JR34:JW34)</f>
        <v>795</v>
      </c>
      <c r="JY34" s="43">
        <f>JX34/$JQ$5</f>
        <v>132.5</v>
      </c>
      <c r="JZ34" s="48"/>
      <c r="KA34" s="49">
        <v>494</v>
      </c>
      <c r="KB34" s="49"/>
      <c r="KC34" s="49"/>
      <c r="KD34" s="49">
        <v>200</v>
      </c>
      <c r="KE34" s="49"/>
      <c r="KF34" s="127">
        <f>SUM(JZ34:KE34)</f>
        <v>694</v>
      </c>
      <c r="KG34" s="43">
        <f>KF34/$JQ$5</f>
        <v>115.66666666666667</v>
      </c>
      <c r="KH34" s="48"/>
      <c r="KI34" s="49"/>
      <c r="KJ34" s="49">
        <v>669</v>
      </c>
      <c r="KK34" s="49"/>
      <c r="KL34" s="49"/>
      <c r="KM34" s="49"/>
      <c r="KN34" s="64">
        <f t="shared" ref="KN34" si="1546">SUM(KH34:KM34)</f>
        <v>669</v>
      </c>
      <c r="KO34" s="68">
        <f>KN34/$KN$5</f>
        <v>111.5</v>
      </c>
      <c r="KP34" s="48"/>
      <c r="KQ34" s="49"/>
      <c r="KR34" s="49"/>
      <c r="KS34" s="49"/>
      <c r="KT34" s="49">
        <v>684</v>
      </c>
      <c r="KU34" s="49"/>
      <c r="KV34" s="64">
        <f t="shared" ref="KV34" si="1547">SUM(KP34:KU34)</f>
        <v>684</v>
      </c>
      <c r="KW34" s="68">
        <f>KV34/$KN$5</f>
        <v>114</v>
      </c>
      <c r="KX34" s="48"/>
      <c r="KY34" s="49"/>
      <c r="KZ34" s="49"/>
      <c r="LA34" s="49"/>
      <c r="LB34" s="49"/>
      <c r="LC34" s="49"/>
      <c r="LD34" s="64">
        <f t="shared" ref="LD34" si="1548">SUM(KX34:LC34)</f>
        <v>0</v>
      </c>
      <c r="LE34" s="68">
        <f>LD34/$KN$5</f>
        <v>0</v>
      </c>
      <c r="LF34" s="48"/>
      <c r="LG34" s="49"/>
      <c r="LH34" s="49"/>
      <c r="LI34" s="49"/>
      <c r="LJ34" s="49">
        <v>1214</v>
      </c>
      <c r="LK34" s="49"/>
      <c r="LL34" s="64">
        <f t="shared" ref="LL34" si="1549">SUM(LF34:LK34)</f>
        <v>1214</v>
      </c>
      <c r="LM34" s="68">
        <f>LL34/$KN$5</f>
        <v>202.33333333333334</v>
      </c>
      <c r="LN34" s="48">
        <f>86+315</f>
        <v>401</v>
      </c>
      <c r="LO34" s="49"/>
      <c r="LP34" s="49"/>
      <c r="LQ34" s="49"/>
      <c r="LR34" s="49"/>
      <c r="LS34" s="49"/>
      <c r="LT34" s="64">
        <f t="shared" ref="LT34" si="1550">SUM(LN34:LS34)</f>
        <v>401</v>
      </c>
      <c r="LU34" s="68">
        <f>LT34/$KN$5</f>
        <v>66.833333333333329</v>
      </c>
      <c r="LV34" s="48"/>
      <c r="LW34" s="49">
        <v>200</v>
      </c>
      <c r="LX34" s="49"/>
      <c r="LY34" s="49"/>
      <c r="LZ34" s="49"/>
      <c r="MA34" s="49"/>
      <c r="MB34" s="64">
        <f t="shared" ref="MB34" si="1551">SUM(LV34:MA34)</f>
        <v>200</v>
      </c>
      <c r="MC34" s="68">
        <f>MB34/$KN$5</f>
        <v>33.333333333333336</v>
      </c>
      <c r="MD34" s="48">
        <v>381</v>
      </c>
      <c r="ME34" s="49"/>
      <c r="MF34" s="49"/>
      <c r="MG34" s="49"/>
      <c r="MH34" s="49">
        <v>399</v>
      </c>
      <c r="MI34" s="49"/>
      <c r="MJ34" s="64">
        <f t="shared" ref="MJ34" si="1552">SUM(MD34:MI34)</f>
        <v>780</v>
      </c>
      <c r="MK34" s="68">
        <f>MJ34/$KN$5</f>
        <v>130</v>
      </c>
      <c r="ML34" s="48"/>
      <c r="MM34" s="49"/>
      <c r="MN34" s="49"/>
      <c r="MO34" s="49"/>
      <c r="MP34" s="49"/>
      <c r="MQ34" s="49"/>
      <c r="MR34" s="64">
        <f t="shared" ref="MR34" si="1553">SUM(ML34:MQ34)</f>
        <v>0</v>
      </c>
      <c r="MS34" s="68">
        <f>MR34/$KN$5</f>
        <v>0</v>
      </c>
      <c r="MT34" s="48">
        <v>400</v>
      </c>
      <c r="MU34" s="49"/>
      <c r="MV34" s="49"/>
      <c r="MW34" s="49"/>
      <c r="MX34" s="49"/>
      <c r="MY34" s="49"/>
      <c r="MZ34" s="64">
        <f t="shared" ref="MZ34" si="1554">SUM(MT34:MY34)</f>
        <v>400</v>
      </c>
      <c r="NA34" s="68">
        <f>MZ34/$KN$5</f>
        <v>66.666666666666671</v>
      </c>
      <c r="NB34" s="48">
        <v>199</v>
      </c>
      <c r="NC34" s="49"/>
      <c r="ND34" s="49"/>
      <c r="NE34" s="49">
        <v>398</v>
      </c>
      <c r="NF34" s="49"/>
      <c r="NG34" s="49"/>
      <c r="NH34" s="64">
        <f t="shared" ref="NH34" si="1555">SUM(NB34:NG34)</f>
        <v>597</v>
      </c>
      <c r="NI34" s="68">
        <f>NH34/$KN$5</f>
        <v>99.5</v>
      </c>
      <c r="NJ34" s="48"/>
      <c r="NK34" s="49"/>
      <c r="NL34" s="49"/>
      <c r="NM34" s="49"/>
      <c r="NN34" s="49">
        <v>601</v>
      </c>
      <c r="NO34" s="49"/>
      <c r="NP34" s="64">
        <f t="shared" ref="NP34" si="1556">SUM(NJ34:NO34)</f>
        <v>601</v>
      </c>
      <c r="NQ34" s="68">
        <f>NP34/$KN$5</f>
        <v>100.16666666666667</v>
      </c>
      <c r="NR34" s="48"/>
      <c r="NS34" s="49"/>
      <c r="NT34" s="49">
        <v>479</v>
      </c>
      <c r="NU34" s="49"/>
      <c r="NV34" s="49"/>
      <c r="NW34" s="49"/>
      <c r="NX34" s="64">
        <f t="shared" ref="NX34" si="1557">SUM(NR34:NW34)</f>
        <v>479</v>
      </c>
      <c r="NY34" s="68">
        <f>NX34/$KN$5</f>
        <v>79.833333333333329</v>
      </c>
      <c r="NZ34" s="48"/>
      <c r="OA34" s="49"/>
      <c r="OB34" s="49"/>
      <c r="OC34" s="49"/>
      <c r="OD34" s="49"/>
      <c r="OE34" s="49"/>
      <c r="OF34" s="64">
        <f t="shared" ref="OF34" si="1558">SUM(NZ34:OE34)</f>
        <v>0</v>
      </c>
      <c r="OG34" s="68">
        <f>OF34/$KN$5</f>
        <v>0</v>
      </c>
      <c r="OH34" s="48"/>
      <c r="OI34" s="49"/>
      <c r="OJ34" s="49"/>
      <c r="OK34" s="49"/>
      <c r="OL34" s="49">
        <v>200</v>
      </c>
      <c r="OM34" s="49"/>
      <c r="ON34" s="64">
        <f t="shared" ref="ON34" si="1559">SUM(OH34:OM34)</f>
        <v>200</v>
      </c>
      <c r="OO34" s="68">
        <f>ON34/$KN$5</f>
        <v>33.333333333333336</v>
      </c>
      <c r="OP34" s="48"/>
      <c r="OQ34" s="49"/>
      <c r="OR34" s="49"/>
      <c r="OS34" s="49"/>
      <c r="OT34" s="49"/>
      <c r="OU34" s="49"/>
      <c r="OV34" s="64">
        <f t="shared" ref="OV34" si="1560">SUM(OP34:OU34)</f>
        <v>0</v>
      </c>
      <c r="OW34" s="68">
        <f>OV34/$KN$5</f>
        <v>0</v>
      </c>
      <c r="OX34" s="48"/>
      <c r="OY34" s="49">
        <v>600</v>
      </c>
      <c r="OZ34" s="49"/>
      <c r="PA34" s="49"/>
      <c r="PB34" s="49"/>
      <c r="PC34" s="49"/>
      <c r="PD34" s="64">
        <f t="shared" ref="PD34" si="1561">SUM(OX34:PC34)</f>
        <v>600</v>
      </c>
      <c r="PE34" s="68">
        <f>PD34/$PE$5</f>
        <v>100</v>
      </c>
      <c r="PF34" s="48"/>
      <c r="PG34" s="49"/>
      <c r="PH34" s="49"/>
      <c r="PI34" s="49"/>
      <c r="PJ34" s="49">
        <v>600</v>
      </c>
      <c r="PK34" s="49"/>
      <c r="PL34" s="64">
        <f t="shared" ref="PL34" si="1562">SUM(PF34:PK34)</f>
        <v>600</v>
      </c>
      <c r="PM34" s="68">
        <f>PL34/$PE$5</f>
        <v>100</v>
      </c>
      <c r="PN34" s="106">
        <v>401</v>
      </c>
      <c r="PO34" s="107"/>
      <c r="PP34" s="107"/>
      <c r="PQ34" s="107">
        <v>401</v>
      </c>
      <c r="PR34" s="107"/>
      <c r="PS34" s="107"/>
      <c r="PT34" s="174">
        <f t="shared" ref="PT34" si="1563">SUM(PN34:PS34)</f>
        <v>802</v>
      </c>
      <c r="PU34" s="105">
        <f>PT34/$PU$5</f>
        <v>133.66666666666666</v>
      </c>
      <c r="PV34" s="106"/>
      <c r="PW34" s="107"/>
      <c r="PX34" s="107"/>
      <c r="PY34" s="107"/>
      <c r="PZ34" s="107"/>
      <c r="QA34" s="107"/>
      <c r="QB34" s="174">
        <f t="shared" ref="QB34" si="1564">SUM(PV34:QA34)</f>
        <v>0</v>
      </c>
      <c r="QC34" s="105">
        <f>QB34/$PU$5</f>
        <v>0</v>
      </c>
      <c r="QD34" s="106">
        <v>223</v>
      </c>
      <c r="QE34" s="107"/>
      <c r="QF34" s="107"/>
      <c r="QG34" s="107"/>
      <c r="QH34" s="107"/>
      <c r="QI34" s="107"/>
      <c r="QJ34" s="174">
        <f t="shared" ref="QJ34" si="1565">SUM(QD34:QI34)</f>
        <v>223</v>
      </c>
      <c r="QK34" s="105">
        <f>QJ34/$PU$5</f>
        <v>37.166666666666664</v>
      </c>
      <c r="QL34" s="106"/>
      <c r="QM34" s="107"/>
      <c r="QN34" s="107">
        <v>196</v>
      </c>
      <c r="QO34" s="107"/>
      <c r="QP34" s="107"/>
      <c r="QQ34" s="107"/>
      <c r="QR34" s="174">
        <f t="shared" ref="QR34" si="1566">SUM(QL34:QQ34)</f>
        <v>196</v>
      </c>
      <c r="QS34" s="105">
        <f>QR34/$PU$5</f>
        <v>32.666666666666664</v>
      </c>
      <c r="QT34" s="106"/>
      <c r="QU34" s="107"/>
      <c r="QV34" s="107"/>
      <c r="QW34" s="107">
        <v>505</v>
      </c>
      <c r="QX34" s="107"/>
      <c r="QY34" s="107"/>
      <c r="QZ34" s="174">
        <f t="shared" ref="QZ34" si="1567">SUM(QT34:QY34)</f>
        <v>505</v>
      </c>
      <c r="RA34" s="105">
        <f>QZ34/$PU$5</f>
        <v>84.166666666666671</v>
      </c>
      <c r="RB34" s="106">
        <v>98</v>
      </c>
      <c r="RC34" s="107"/>
      <c r="RD34" s="107"/>
      <c r="RE34" s="107"/>
      <c r="RF34" s="107"/>
      <c r="RG34" s="107">
        <v>395</v>
      </c>
      <c r="RH34" s="174">
        <f t="shared" ref="RH34" si="1568">SUM(RB34:RG34)</f>
        <v>493</v>
      </c>
      <c r="RI34" s="105">
        <f>RH34/$PU$5</f>
        <v>82.166666666666671</v>
      </c>
      <c r="RJ34" s="106"/>
      <c r="RK34" s="107"/>
      <c r="RL34" s="107"/>
      <c r="RM34" s="107"/>
      <c r="RN34" s="107"/>
      <c r="RO34" s="107"/>
      <c r="RP34" s="174">
        <f t="shared" ref="RP34" si="1569">SUM(RJ34:RO34)</f>
        <v>0</v>
      </c>
      <c r="RQ34" s="105">
        <f>RP34/$PU$5</f>
        <v>0</v>
      </c>
      <c r="RR34" s="106"/>
      <c r="RS34" s="107"/>
      <c r="RT34" s="107"/>
      <c r="RU34" s="107"/>
      <c r="RV34" s="107"/>
      <c r="RW34" s="107"/>
      <c r="RX34" s="174">
        <f t="shared" ref="RX34" si="1570">SUM(RR34:RW34)</f>
        <v>0</v>
      </c>
      <c r="RY34" s="105">
        <f>RX34/$PU$5</f>
        <v>0</v>
      </c>
      <c r="RZ34" s="106">
        <v>101</v>
      </c>
      <c r="SA34" s="107"/>
      <c r="SB34" s="107"/>
      <c r="SC34" s="107"/>
      <c r="SD34" s="107">
        <v>828</v>
      </c>
      <c r="SE34" s="107"/>
      <c r="SF34" s="174">
        <f t="shared" ref="SF34" si="1571">SUM(RZ34:SE34)</f>
        <v>929</v>
      </c>
      <c r="SG34" s="105">
        <f>SF34/$PU$5</f>
        <v>154.83333333333334</v>
      </c>
      <c r="SH34" s="106"/>
      <c r="SI34" s="107"/>
      <c r="SJ34" s="107"/>
      <c r="SK34" s="107"/>
      <c r="SL34" s="107"/>
      <c r="SM34" s="107"/>
      <c r="SN34" s="174">
        <f t="shared" ref="SN34" si="1572">SUM(SH34:SM34)</f>
        <v>0</v>
      </c>
      <c r="SO34" s="105">
        <f>SN34/$PU$5</f>
        <v>0</v>
      </c>
      <c r="SP34" s="106"/>
      <c r="SQ34" s="107"/>
      <c r="SR34" s="107">
        <v>251</v>
      </c>
      <c r="SS34" s="107"/>
      <c r="ST34" s="107"/>
      <c r="SU34" s="107"/>
      <c r="SV34" s="174">
        <f t="shared" ref="SV34" si="1573">SUM(SP34:SU34)</f>
        <v>251</v>
      </c>
      <c r="SW34" s="105">
        <f>SV34/$PU$5</f>
        <v>41.833333333333336</v>
      </c>
      <c r="SX34" s="106"/>
      <c r="SY34" s="107"/>
      <c r="SZ34" s="107">
        <v>201</v>
      </c>
      <c r="TA34" s="107"/>
      <c r="TB34" s="107">
        <v>199</v>
      </c>
      <c r="TC34" s="107"/>
      <c r="TD34" s="174">
        <f t="shared" ref="TD34" si="1574">SUM(SX34:TC34)</f>
        <v>400</v>
      </c>
      <c r="TE34" s="105">
        <f>TD34/$PU$5</f>
        <v>66.666666666666671</v>
      </c>
      <c r="TF34" s="106"/>
      <c r="TG34" s="107"/>
      <c r="TH34" s="107"/>
      <c r="TI34" s="107"/>
      <c r="TJ34" s="107"/>
      <c r="TK34" s="107"/>
      <c r="TL34" s="174">
        <f t="shared" ref="TL34" si="1575">SUM(TF34:TK34)</f>
        <v>0</v>
      </c>
      <c r="TM34" s="105">
        <f>TL34/$PU$5</f>
        <v>0</v>
      </c>
      <c r="TN34" s="106"/>
      <c r="TO34" s="107"/>
      <c r="TP34" s="107"/>
      <c r="TQ34" s="107">
        <v>100</v>
      </c>
      <c r="TR34" s="107"/>
      <c r="TS34" s="107"/>
      <c r="TT34" s="174">
        <f t="shared" ref="TT34" si="1576">SUM(TN34:TS34)</f>
        <v>100</v>
      </c>
      <c r="TU34" s="105">
        <f>TT34/$PU$5</f>
        <v>16.666666666666668</v>
      </c>
      <c r="TV34" s="106"/>
      <c r="TW34" s="107"/>
      <c r="TX34" s="107"/>
      <c r="TY34" s="107">
        <v>800</v>
      </c>
      <c r="TZ34" s="107"/>
      <c r="UA34" s="107"/>
      <c r="UB34" s="174">
        <f t="shared" ref="UB34" si="1577">SUM(TV34:UA34)</f>
        <v>800</v>
      </c>
      <c r="UC34" s="105">
        <f>UB34/$PU$5</f>
        <v>133.33333333333334</v>
      </c>
      <c r="UD34" s="106"/>
      <c r="UE34" s="107"/>
      <c r="UF34" s="107"/>
      <c r="UG34" s="107"/>
      <c r="UH34" s="107"/>
      <c r="UI34" s="107"/>
      <c r="UJ34" s="174">
        <f t="shared" ref="UJ34" si="1578">SUM(UD34:UI34)</f>
        <v>0</v>
      </c>
      <c r="UK34" s="105">
        <f>UJ34/$PU$5</f>
        <v>0</v>
      </c>
      <c r="UL34" s="106"/>
      <c r="UM34" s="107"/>
      <c r="UN34" s="107"/>
      <c r="UO34" s="107"/>
      <c r="UP34" s="107"/>
      <c r="UQ34" s="107"/>
      <c r="UR34" s="107"/>
      <c r="US34" s="174">
        <f t="shared" ref="US34:US45" si="1579">SUM(UL34:UR34)</f>
        <v>0</v>
      </c>
      <c r="UT34" s="105">
        <f>US34/$PU$5</f>
        <v>0</v>
      </c>
      <c r="UU34" s="106">
        <v>350</v>
      </c>
      <c r="UV34" s="107"/>
      <c r="UW34" s="107"/>
      <c r="UX34" s="107"/>
      <c r="UY34" s="107">
        <v>206</v>
      </c>
      <c r="UZ34" s="107"/>
      <c r="VA34" s="174">
        <f>SUM(UU34:UZ34)</f>
        <v>556</v>
      </c>
      <c r="VB34" s="105">
        <f>VA34/$VB$5</f>
        <v>92.666666666666671</v>
      </c>
      <c r="VC34" s="164"/>
      <c r="VD34" s="107"/>
      <c r="VE34" s="107"/>
      <c r="VF34" s="107"/>
      <c r="VG34" s="107"/>
      <c r="VH34" s="107">
        <v>201</v>
      </c>
      <c r="VI34" s="174">
        <f>SUM(VC34:VH34)</f>
        <v>201</v>
      </c>
      <c r="VJ34" s="105">
        <f>VI34/$VJ$5</f>
        <v>33.5</v>
      </c>
      <c r="VK34" s="48"/>
      <c r="VL34" s="49"/>
      <c r="VM34" s="49"/>
      <c r="VN34" s="49">
        <v>482</v>
      </c>
      <c r="VO34" s="49"/>
      <c r="VP34" s="49"/>
      <c r="VQ34" s="64">
        <f>SUM(VK34:VP34)</f>
        <v>482</v>
      </c>
      <c r="VR34" s="68">
        <f>VQ34/$VJ$5</f>
        <v>80.333333333333329</v>
      </c>
      <c r="VS34" s="106"/>
      <c r="VT34" s="107"/>
      <c r="VU34" s="107"/>
      <c r="VV34" s="107"/>
      <c r="VW34" s="107">
        <v>400</v>
      </c>
      <c r="VX34" s="107"/>
      <c r="VY34" s="174">
        <f>SUM(VS34:VX34)</f>
        <v>400</v>
      </c>
      <c r="VZ34" s="105">
        <f>VY34/$VJ$5</f>
        <v>66.666666666666671</v>
      </c>
      <c r="WA34" s="63"/>
      <c r="WB34" s="64">
        <v>196</v>
      </c>
      <c r="WC34" s="64"/>
      <c r="WD34" s="64"/>
      <c r="WE34" s="64"/>
      <c r="WF34" s="64">
        <v>201</v>
      </c>
      <c r="WG34" s="64">
        <f>SUM(WA34:WF34)</f>
        <v>397</v>
      </c>
      <c r="WH34" s="68">
        <f>WG34/$VJ$5</f>
        <v>66.166666666666671</v>
      </c>
      <c r="WI34" s="173"/>
      <c r="WJ34" s="174"/>
      <c r="WK34" s="174"/>
      <c r="WL34" s="174"/>
      <c r="WM34" s="174">
        <v>400</v>
      </c>
      <c r="WN34" s="174"/>
      <c r="WO34" s="174">
        <f>SUM(WI34:WN34)</f>
        <v>400</v>
      </c>
      <c r="WP34" s="105">
        <f>WO34/$VJ$5</f>
        <v>66.666666666666671</v>
      </c>
      <c r="WQ34" s="48"/>
      <c r="WR34" s="49"/>
      <c r="WS34" s="49">
        <v>199</v>
      </c>
      <c r="WT34" s="49"/>
      <c r="WU34" s="49"/>
      <c r="WV34" s="49"/>
      <c r="WW34" s="49">
        <v>198</v>
      </c>
      <c r="WX34" s="64">
        <f>SUM(WR34:WW34)</f>
        <v>397</v>
      </c>
      <c r="WY34" s="68">
        <f>WX34/$VJ$5</f>
        <v>66.166666666666671</v>
      </c>
      <c r="WZ34" s="48"/>
      <c r="XA34" s="49"/>
      <c r="XB34" s="49">
        <v>2920</v>
      </c>
      <c r="XC34" s="49"/>
      <c r="XD34" s="49"/>
      <c r="XE34" s="49"/>
      <c r="XF34" s="49"/>
      <c r="XG34" s="64">
        <f>SUM(XA34:XF34)</f>
        <v>2920</v>
      </c>
      <c r="XH34" s="68">
        <f>XG34/$VJ$5</f>
        <v>486.66666666666669</v>
      </c>
      <c r="XI34" s="48">
        <v>405</v>
      </c>
      <c r="XJ34" s="49"/>
      <c r="XK34" s="49"/>
      <c r="XL34" s="49"/>
      <c r="XM34" s="49"/>
      <c r="XN34" s="49"/>
      <c r="XO34" s="49">
        <v>305</v>
      </c>
      <c r="XP34" s="64">
        <f>SUM(XJ34:XO34)</f>
        <v>305</v>
      </c>
      <c r="XQ34" s="68">
        <f>XP34/$VJ$5</f>
        <v>50.833333333333336</v>
      </c>
      <c r="XR34" s="48"/>
      <c r="XS34" s="49"/>
      <c r="XT34" s="49"/>
      <c r="XU34" s="49">
        <v>602</v>
      </c>
      <c r="XV34" s="49"/>
      <c r="XW34" s="49"/>
      <c r="XX34" s="49"/>
      <c r="XY34" s="64">
        <f>SUM(XS34:XX34)</f>
        <v>602</v>
      </c>
      <c r="XZ34" s="68">
        <f>XY34/$VJ$5</f>
        <v>100.33333333333333</v>
      </c>
      <c r="YA34" s="48"/>
      <c r="YB34" s="49"/>
      <c r="YC34" s="49"/>
      <c r="YD34" s="49">
        <v>201</v>
      </c>
      <c r="YE34" s="49"/>
      <c r="YF34" s="49"/>
      <c r="YG34" s="49">
        <v>201</v>
      </c>
      <c r="YH34" s="64">
        <f>SUM(YB34:YG34)</f>
        <v>402</v>
      </c>
      <c r="YI34" s="68">
        <f>YH34/$VJ$5</f>
        <v>67</v>
      </c>
      <c r="YJ34" s="180"/>
      <c r="YK34" s="49"/>
      <c r="YL34" s="49"/>
      <c r="YM34" s="49"/>
      <c r="YN34" s="49"/>
      <c r="YO34" s="49"/>
      <c r="YP34" s="49">
        <v>399</v>
      </c>
      <c r="YQ34" s="64">
        <f>SUM(YJ34:YP34)</f>
        <v>399</v>
      </c>
      <c r="YR34" s="68">
        <f>YQ34/$VJ$5</f>
        <v>66.5</v>
      </c>
      <c r="YS34" s="48"/>
      <c r="YT34" s="49"/>
      <c r="YU34" s="49">
        <v>398</v>
      </c>
      <c r="YV34" s="49"/>
      <c r="YW34" s="49"/>
      <c r="YX34" s="49">
        <v>200</v>
      </c>
      <c r="YY34" s="64">
        <f>SUM(YS34:YX34)</f>
        <v>598</v>
      </c>
      <c r="YZ34" s="68">
        <f>YY34/$VJ$5</f>
        <v>99.666666666666671</v>
      </c>
      <c r="ZA34" s="48"/>
      <c r="ZB34" s="49"/>
      <c r="ZC34" s="49"/>
      <c r="ZD34" s="49"/>
      <c r="ZE34" s="49"/>
      <c r="ZF34" s="49"/>
      <c r="ZG34" s="64">
        <f>SUM(ZA34:ZF34)</f>
        <v>0</v>
      </c>
      <c r="ZH34" s="68">
        <f>ZG34/$VJ$5</f>
        <v>0</v>
      </c>
      <c r="ZI34" s="63">
        <v>200</v>
      </c>
      <c r="ZJ34" s="64"/>
      <c r="ZK34" s="64"/>
      <c r="ZL34" s="64"/>
      <c r="ZM34" s="64"/>
      <c r="ZN34" s="24"/>
      <c r="ZO34" s="64">
        <f>SUM(ZI34:ZN34)</f>
        <v>200</v>
      </c>
      <c r="ZP34" s="68">
        <f>ZO34/$VJ$5</f>
        <v>33.333333333333336</v>
      </c>
      <c r="ZQ34" s="48"/>
      <c r="ZR34" s="49"/>
      <c r="ZS34" s="49">
        <v>294</v>
      </c>
      <c r="ZT34" s="49"/>
      <c r="ZU34" s="49"/>
      <c r="ZV34" s="49">
        <v>399</v>
      </c>
      <c r="ZW34" s="49"/>
      <c r="ZX34" s="64">
        <f t="shared" ref="ZX34" si="1580">SUM(ZQ34:ZW34)</f>
        <v>693</v>
      </c>
      <c r="ZY34" s="70">
        <f t="shared" ref="ZY34" si="1581">ZX34/$VJ$5</f>
        <v>115.5</v>
      </c>
      <c r="ZZ34" s="48"/>
      <c r="AAA34" s="49"/>
      <c r="AAB34" s="49"/>
      <c r="AAC34" s="49"/>
      <c r="AAD34" s="49"/>
      <c r="AAE34" s="49"/>
      <c r="AAF34" s="49"/>
      <c r="AAG34" s="64">
        <f>SUM(ZZ34:AAF34)</f>
        <v>0</v>
      </c>
      <c r="AAH34" s="68">
        <f>AAG34/$VJ$5</f>
        <v>0</v>
      </c>
      <c r="AAI34" s="48"/>
      <c r="AAJ34" s="49">
        <v>225</v>
      </c>
      <c r="AAK34" s="49"/>
      <c r="AAL34" s="49"/>
      <c r="AAM34" s="49"/>
      <c r="AAN34" s="49"/>
      <c r="AAO34" s="64">
        <f>SUM(AAI34:AAN34)</f>
        <v>225</v>
      </c>
      <c r="AAP34" s="68">
        <f>AAO34/$VJ$5</f>
        <v>37.5</v>
      </c>
      <c r="AAQ34" s="48"/>
      <c r="AAR34" s="49"/>
      <c r="AAS34" s="49">
        <v>201</v>
      </c>
      <c r="AAT34" s="49"/>
      <c r="AAU34" s="49"/>
      <c r="AAV34" s="49"/>
      <c r="AAW34" s="64">
        <f>SUM(AAQ34:AAV34)</f>
        <v>201</v>
      </c>
      <c r="AAX34" s="68">
        <f>AAW34/$VJ$5</f>
        <v>33.5</v>
      </c>
      <c r="AAY34" s="48"/>
      <c r="AAZ34" s="49">
        <v>200</v>
      </c>
      <c r="ABA34" s="49"/>
      <c r="ABB34" s="49">
        <v>200</v>
      </c>
      <c r="ABC34" s="49"/>
      <c r="ABD34" s="49"/>
      <c r="ABE34" s="64">
        <f>SUM(AAY34:ABD34)</f>
        <v>400</v>
      </c>
      <c r="ABF34" s="68">
        <f>ABE34/$VJ$5</f>
        <v>66.666666666666671</v>
      </c>
      <c r="ABG34" s="48"/>
      <c r="ABH34" s="49">
        <v>299</v>
      </c>
      <c r="ABI34" s="49"/>
      <c r="ABJ34" s="49"/>
      <c r="ABK34" s="49"/>
      <c r="ABL34" s="49"/>
      <c r="ABM34" s="64">
        <f>SUM(ABG34:ABL34)</f>
        <v>299</v>
      </c>
      <c r="ABN34" s="68">
        <f>ABM34/$VJ$5</f>
        <v>49.833333333333336</v>
      </c>
      <c r="ABO34" s="48">
        <v>100</v>
      </c>
      <c r="ABP34" s="49"/>
      <c r="ABQ34" s="49"/>
      <c r="ABR34" s="49"/>
      <c r="ABS34" s="49"/>
      <c r="ABT34" s="49"/>
      <c r="ABU34" s="64">
        <f>SUM(ABO34:ABT34)</f>
        <v>100</v>
      </c>
      <c r="ABV34" s="68">
        <f>ABU34/$VJ$5</f>
        <v>16.666666666666668</v>
      </c>
      <c r="ABW34" s="48">
        <v>200</v>
      </c>
      <c r="ABX34" s="49"/>
      <c r="ABY34" s="49"/>
      <c r="ABZ34" s="49"/>
      <c r="ACA34" s="49"/>
      <c r="ACB34" s="49"/>
      <c r="ACC34" s="64">
        <f>SUM(ABW34:ACB34)</f>
        <v>200</v>
      </c>
      <c r="ACD34" s="68">
        <f>ACC34/$VJ$5</f>
        <v>33.333333333333336</v>
      </c>
      <c r="ACE34" s="24">
        <v>292</v>
      </c>
      <c r="ACF34" s="49"/>
      <c r="ACG34" s="49"/>
      <c r="ACH34" s="49">
        <v>206</v>
      </c>
      <c r="ACI34" s="49"/>
      <c r="ACJ34" s="49"/>
      <c r="ACK34" s="64">
        <f>SUM(ACE34:ACJ34)</f>
        <v>498</v>
      </c>
      <c r="ACL34" s="68">
        <f>ACK34/$VJ$5</f>
        <v>83</v>
      </c>
      <c r="ACM34" s="48"/>
      <c r="ACN34" s="49"/>
      <c r="ACO34" s="49">
        <v>101</v>
      </c>
      <c r="ACP34" s="49"/>
      <c r="ACQ34" s="49"/>
      <c r="ACR34" s="49"/>
      <c r="ACS34" s="64">
        <f>SUM(ACM34:ACR34)</f>
        <v>101</v>
      </c>
      <c r="ACT34" s="68">
        <f>ACS34/$VJ$5</f>
        <v>16.833333333333332</v>
      </c>
      <c r="ACU34" s="189">
        <v>300</v>
      </c>
      <c r="ACV34" s="49"/>
      <c r="ACW34" s="49"/>
      <c r="ACX34" s="49"/>
      <c r="ACY34" s="49"/>
      <c r="ACZ34" s="49">
        <v>300</v>
      </c>
      <c r="ADA34" s="64">
        <f>SUM(ACU34:ACZ34)</f>
        <v>600</v>
      </c>
      <c r="ADB34" s="68">
        <f>ADA34/$VJ$5</f>
        <v>100</v>
      </c>
      <c r="ADC34" s="48"/>
      <c r="ADD34" s="49"/>
      <c r="ADE34" s="49"/>
      <c r="ADF34" s="49">
        <v>100</v>
      </c>
      <c r="ADG34" s="49"/>
      <c r="ADH34" s="49"/>
      <c r="ADI34" s="64">
        <f>SUM(ADC34:ADH34)</f>
        <v>100</v>
      </c>
      <c r="ADJ34" s="68">
        <f>ADI34/$VJ$5</f>
        <v>16.666666666666668</v>
      </c>
      <c r="ADK34" s="48"/>
      <c r="ADL34" s="49"/>
      <c r="ADM34" s="49"/>
      <c r="ADN34" s="49">
        <v>402</v>
      </c>
      <c r="ADO34" s="49"/>
      <c r="ADP34" s="49"/>
      <c r="ADQ34" s="64">
        <f>SUM(ADK34:ADP34)</f>
        <v>402</v>
      </c>
      <c r="ADR34" s="68">
        <f>ADQ34/$VJ$5</f>
        <v>67</v>
      </c>
      <c r="ADS34" s="48"/>
      <c r="ADT34" s="49"/>
      <c r="ADU34" s="49"/>
      <c r="ADV34" s="49"/>
      <c r="ADW34" s="49"/>
      <c r="ADX34" s="49">
        <v>201</v>
      </c>
      <c r="ADY34" s="64">
        <f>SUM(ADS34:ADX34)</f>
        <v>201</v>
      </c>
      <c r="ADZ34" s="68">
        <f>ADY34/$VJ$5</f>
        <v>33.5</v>
      </c>
      <c r="AEA34" s="48"/>
      <c r="AEB34" s="49"/>
      <c r="AEC34" s="49"/>
      <c r="AED34" s="49"/>
      <c r="AEE34" s="49">
        <v>200</v>
      </c>
      <c r="AEF34" s="49">
        <v>301</v>
      </c>
      <c r="AEG34" s="64">
        <f>SUM(AEA34:AEF34)</f>
        <v>501</v>
      </c>
      <c r="AEH34" s="68">
        <f>AEG34/$VJ$5</f>
        <v>83.5</v>
      </c>
      <c r="AEI34" s="48"/>
      <c r="AEJ34" s="49"/>
      <c r="AEK34" s="49"/>
      <c r="AEL34" s="49"/>
      <c r="AEM34" s="49">
        <v>200</v>
      </c>
      <c r="AEN34" s="49"/>
      <c r="AEO34" s="64">
        <f>SUM(AEI34:AEN34)</f>
        <v>200</v>
      </c>
      <c r="AEP34" s="68">
        <f>AEO34/$VJ$5</f>
        <v>33.333333333333336</v>
      </c>
      <c r="AEQ34" s="48"/>
      <c r="AER34" s="49"/>
      <c r="AES34" s="49"/>
      <c r="AET34" s="49">
        <v>199</v>
      </c>
      <c r="AEU34" s="49"/>
      <c r="AEV34" s="49"/>
      <c r="AEW34" s="64">
        <f>SUM(AEQ34:AEV34)</f>
        <v>199</v>
      </c>
      <c r="AEX34" s="68">
        <f>AEW34/$VJ$5</f>
        <v>33.166666666666664</v>
      </c>
      <c r="AEY34" s="48"/>
      <c r="AEZ34" s="49"/>
      <c r="AFA34" s="49">
        <v>89</v>
      </c>
      <c r="AFB34" s="49"/>
      <c r="AFC34" s="49">
        <v>200</v>
      </c>
      <c r="AFD34" s="49"/>
      <c r="AFE34" s="64">
        <f>SUM(AEY34:AFD34)</f>
        <v>289</v>
      </c>
      <c r="AFF34" s="68">
        <f>AFE34/$VJ$5</f>
        <v>48.166666666666664</v>
      </c>
      <c r="AFG34" s="48"/>
      <c r="AFH34" s="49"/>
      <c r="AFI34" s="49">
        <v>111</v>
      </c>
      <c r="AFJ34" s="49"/>
      <c r="AFK34" s="49"/>
      <c r="AFL34" s="49"/>
      <c r="AFM34" s="64">
        <f>SUM(AFG34:AFL34)</f>
        <v>111</v>
      </c>
      <c r="AFN34" s="68">
        <f>AFM34/$VJ$5</f>
        <v>18.5</v>
      </c>
      <c r="AFO34" s="48"/>
      <c r="AFP34" s="49"/>
      <c r="AFQ34" s="49"/>
      <c r="AFR34" s="49">
        <v>300</v>
      </c>
      <c r="AFS34" s="49"/>
      <c r="AFT34" s="49"/>
      <c r="AFU34" s="64">
        <f>SUM(AFO34:AFT34)</f>
        <v>300</v>
      </c>
      <c r="AFV34" s="68">
        <f>AFU34/$VJ$5</f>
        <v>50</v>
      </c>
      <c r="AFW34" s="48"/>
      <c r="AFX34" s="49">
        <v>300</v>
      </c>
      <c r="AFY34" s="49"/>
      <c r="AFZ34" s="49"/>
      <c r="AGA34" s="49"/>
      <c r="AGB34" s="49"/>
      <c r="AGC34" s="64">
        <f>SUM(AFW34:AGB34)</f>
        <v>300</v>
      </c>
      <c r="AGD34" s="68">
        <f>AGC34/$VJ$5</f>
        <v>50</v>
      </c>
      <c r="AGE34" s="48">
        <v>400</v>
      </c>
      <c r="AGF34" s="49"/>
      <c r="AGG34" s="49"/>
      <c r="AGH34" s="49"/>
      <c r="AGI34" s="49"/>
      <c r="AGJ34" s="49"/>
      <c r="AGK34" s="64">
        <f>SUM(AGE34:AGJ34)</f>
        <v>400</v>
      </c>
      <c r="AGL34" s="68">
        <f>AGK34/$VJ$5</f>
        <v>66.666666666666671</v>
      </c>
      <c r="AGM34" s="48"/>
      <c r="AGN34" s="49"/>
      <c r="AGO34" s="49"/>
      <c r="AGP34" s="49">
        <v>205</v>
      </c>
      <c r="AGQ34" s="49"/>
      <c r="AGR34" s="49"/>
      <c r="AGS34" s="49"/>
      <c r="AGT34" s="64">
        <f>SUM(AGN34:AGS34)</f>
        <v>205</v>
      </c>
      <c r="AGU34" s="68">
        <f>AGT34/$VJ$5</f>
        <v>34.166666666666664</v>
      </c>
      <c r="AGV34" s="48"/>
      <c r="AGW34" s="49">
        <v>299</v>
      </c>
      <c r="AGX34" s="49"/>
      <c r="AGY34" s="49"/>
      <c r="AGZ34" s="49"/>
      <c r="AHA34" s="49"/>
      <c r="AHB34" s="64">
        <f>SUM(AGV34:AHA34)</f>
        <v>299</v>
      </c>
      <c r="AHC34" s="68">
        <f>AHB34/$AEZ$6</f>
        <v>10.310344827586206</v>
      </c>
      <c r="AHD34" s="48"/>
      <c r="AHE34" s="49"/>
      <c r="AHF34" s="49"/>
      <c r="AHG34" s="49"/>
      <c r="AHH34" s="49"/>
      <c r="AHI34" s="49"/>
      <c r="AHJ34" s="64">
        <f>SUM(AHD34:AHI34)</f>
        <v>0</v>
      </c>
      <c r="AHK34" s="68">
        <f>AHJ34/$AEZ$6</f>
        <v>0</v>
      </c>
      <c r="AHL34" s="48"/>
      <c r="AHM34" s="49">
        <v>300</v>
      </c>
      <c r="AHN34" s="49"/>
      <c r="AHO34" s="49"/>
      <c r="AHP34" s="49"/>
      <c r="AHQ34" s="49"/>
      <c r="AHR34" s="64">
        <f>SUM(AHL34:AHQ34)</f>
        <v>300</v>
      </c>
      <c r="AHS34" s="68">
        <f>AHR34/$AEZ$6</f>
        <v>10.344827586206897</v>
      </c>
      <c r="AHT34" s="48"/>
      <c r="AHU34" s="49">
        <v>413</v>
      </c>
      <c r="AHV34" s="49"/>
      <c r="AHW34" s="49"/>
      <c r="AHX34" s="49"/>
      <c r="AHY34" s="49">
        <v>100</v>
      </c>
      <c r="AHZ34" s="64">
        <f>SUM(AHT34:AHY34)</f>
        <v>513</v>
      </c>
      <c r="AIA34" s="68">
        <f>AHZ34/$AEZ$6</f>
        <v>17.689655172413794</v>
      </c>
      <c r="AIB34" s="48"/>
      <c r="AIC34" s="49"/>
      <c r="AID34" s="49"/>
      <c r="AIE34" s="49"/>
      <c r="AIF34" s="49"/>
      <c r="AIG34" s="49"/>
      <c r="AIH34" s="64">
        <f>SUM(AIB34:AIG34)</f>
        <v>0</v>
      </c>
      <c r="AII34" s="68">
        <f>AIH34/$AEZ$6</f>
        <v>0</v>
      </c>
      <c r="AIJ34" s="48"/>
      <c r="AIK34" s="49">
        <v>98</v>
      </c>
      <c r="AIL34" s="49"/>
      <c r="AIM34" s="49"/>
      <c r="AIN34" s="49"/>
      <c r="AIO34" s="49">
        <v>199</v>
      </c>
      <c r="AIP34" s="64">
        <f>SUM(AIJ34:AIO34)</f>
        <v>297</v>
      </c>
      <c r="AIQ34" s="68">
        <f>AIP34/$AEZ$6</f>
        <v>10.241379310344827</v>
      </c>
      <c r="AIR34" s="48"/>
      <c r="AIS34" s="49"/>
      <c r="AIT34" s="49"/>
      <c r="AIU34" s="49"/>
      <c r="AIV34" s="49">
        <v>300</v>
      </c>
      <c r="AIW34" s="49"/>
      <c r="AIX34" s="64">
        <f>SUM(AIR34:AIW34)</f>
        <v>300</v>
      </c>
      <c r="AIY34" s="68">
        <f>AIX34/$AEZ$6</f>
        <v>10.344827586206897</v>
      </c>
      <c r="AIZ34" s="54"/>
      <c r="AJA34" s="127">
        <v>100</v>
      </c>
      <c r="AJB34" s="127"/>
      <c r="AJC34" s="127"/>
      <c r="AJD34" s="127"/>
      <c r="AJE34" s="127"/>
      <c r="AJF34" s="64">
        <f>SUM(AIZ34:AJE34)</f>
        <v>100</v>
      </c>
      <c r="AJG34" s="68">
        <f>AJF34/$AEZ$6</f>
        <v>3.4482758620689653</v>
      </c>
      <c r="AJH34" s="48"/>
      <c r="AJI34" s="49"/>
      <c r="AJJ34" s="49">
        <v>330</v>
      </c>
      <c r="AJK34" s="49"/>
      <c r="AJL34" s="49">
        <v>300</v>
      </c>
      <c r="AJM34" s="49"/>
      <c r="AJN34" s="127">
        <f>SUM(AJH34:AJM34)</f>
        <v>630</v>
      </c>
      <c r="AJO34" s="43">
        <f>AJN34/$AEZ$6</f>
        <v>21.724137931034484</v>
      </c>
      <c r="AJP34" s="48"/>
      <c r="AJQ34" s="49"/>
      <c r="AJR34" s="49"/>
      <c r="AJS34" s="49"/>
      <c r="AJT34" s="49"/>
      <c r="AJU34" s="49"/>
      <c r="AJV34" s="127">
        <f>SUM(AJP34:AJU34)</f>
        <v>0</v>
      </c>
      <c r="AJW34" s="43">
        <f>AJV34/$AEZ$6</f>
        <v>0</v>
      </c>
      <c r="AJX34" s="48"/>
      <c r="AJY34" s="49"/>
      <c r="AJZ34" s="49">
        <v>200</v>
      </c>
      <c r="AKA34" s="49"/>
      <c r="AKB34" s="49"/>
      <c r="AKC34" s="49">
        <v>102</v>
      </c>
      <c r="AKD34" s="64">
        <f>SUM(AJX34:AKC34)</f>
        <v>302</v>
      </c>
      <c r="AKE34" s="68">
        <f>AKD34/$AEZ$6</f>
        <v>10.413793103448276</v>
      </c>
      <c r="AKF34" s="48"/>
      <c r="AKG34" s="49"/>
      <c r="AKH34" s="49"/>
      <c r="AKI34" s="49">
        <v>200</v>
      </c>
      <c r="AKJ34" s="49"/>
      <c r="AKK34" s="49"/>
      <c r="AKL34" s="64">
        <f>SUM(AKF34:AKK34)</f>
        <v>200</v>
      </c>
      <c r="AKM34" s="184">
        <f>AKL34/$AKM$5</f>
        <v>33.333333333333336</v>
      </c>
      <c r="AKN34" s="195"/>
      <c r="AKO34" s="49">
        <v>120</v>
      </c>
      <c r="AKP34" s="49"/>
      <c r="AKQ34" s="49"/>
      <c r="AKR34" s="49"/>
      <c r="AKS34" s="49">
        <v>200</v>
      </c>
      <c r="AKT34" s="64">
        <f>SUM(AKN34:AKS34)</f>
        <v>320</v>
      </c>
      <c r="AKU34" s="184">
        <f>AKT34/$AKM$5</f>
        <v>53.333333333333336</v>
      </c>
      <c r="AKV34" s="48"/>
      <c r="AKW34" s="49"/>
      <c r="AKX34" s="49"/>
      <c r="AKY34" s="49"/>
      <c r="AKZ34" s="49"/>
      <c r="ALA34" s="49">
        <v>301</v>
      </c>
      <c r="ALB34" s="64">
        <f>SUM(AKV34:ALA34)</f>
        <v>301</v>
      </c>
      <c r="ALC34" s="68">
        <f>ALB34/$AKM$5</f>
        <v>50.166666666666664</v>
      </c>
      <c r="ALD34" s="54"/>
      <c r="ALE34" s="127"/>
      <c r="ALF34" s="127"/>
      <c r="ALG34" s="127">
        <v>200</v>
      </c>
      <c r="ALH34" s="127"/>
      <c r="ALI34" s="127"/>
      <c r="ALJ34" s="64">
        <f>SUM(ALD34:ALI34)</f>
        <v>200</v>
      </c>
      <c r="ALK34" s="68">
        <f>ALJ34/$AKM$5</f>
        <v>33.333333333333336</v>
      </c>
      <c r="ALL34" s="54">
        <v>100</v>
      </c>
      <c r="ALM34" s="127"/>
      <c r="ALN34" s="127"/>
      <c r="ALO34" s="127"/>
      <c r="ALP34" s="127"/>
      <c r="ALQ34" s="127">
        <v>203</v>
      </c>
      <c r="ALR34" s="64">
        <f>SUM(ALL34:ALQ34)</f>
        <v>303</v>
      </c>
      <c r="ALS34" s="68">
        <f>ALR34/$AKM$5</f>
        <v>50.5</v>
      </c>
      <c r="ALT34" s="48"/>
      <c r="ALU34" s="49"/>
      <c r="ALV34" s="49"/>
      <c r="ALW34" s="49"/>
      <c r="ALX34" s="49"/>
      <c r="ALY34" s="49">
        <v>301</v>
      </c>
      <c r="ALZ34" s="64">
        <f>SUM(ALT34:ALY34)</f>
        <v>301</v>
      </c>
      <c r="AMA34" s="68">
        <f>ALZ34/$AKM$5</f>
        <v>50.166666666666664</v>
      </c>
      <c r="AMB34" s="24"/>
      <c r="AMC34" s="49">
        <v>102</v>
      </c>
      <c r="AMD34" s="49"/>
      <c r="AME34" s="49"/>
      <c r="AMF34" s="49"/>
      <c r="AMG34" s="49"/>
      <c r="AMH34" s="64">
        <f>SUM(AMB34:AMG34)</f>
        <v>102</v>
      </c>
      <c r="AMI34" s="68">
        <f>AMH34/$AKM$5</f>
        <v>17</v>
      </c>
      <c r="AMJ34" s="48"/>
      <c r="AMK34" s="49"/>
      <c r="AML34" s="49">
        <v>201</v>
      </c>
      <c r="AMM34" s="49"/>
      <c r="AMN34" s="49"/>
      <c r="AMO34" s="49"/>
      <c r="AMP34" s="64">
        <f>SUM(AMJ34:AMO34)</f>
        <v>201</v>
      </c>
      <c r="AMQ34" s="68">
        <f>AMP34/$AKM$5</f>
        <v>33.5</v>
      </c>
      <c r="AMR34" s="48"/>
      <c r="AMS34" s="49">
        <v>300</v>
      </c>
      <c r="AMT34" s="49"/>
      <c r="AMU34" s="49">
        <v>300</v>
      </c>
      <c r="AMV34" s="49"/>
      <c r="AMW34" s="49"/>
      <c r="AMX34" s="64">
        <f>SUM(AMR34:AMW34)</f>
        <v>600</v>
      </c>
      <c r="AMY34" s="68">
        <f>AMX34/$AKM$5</f>
        <v>100</v>
      </c>
      <c r="AMZ34" s="48"/>
      <c r="ANA34" s="49"/>
      <c r="ANB34" s="49"/>
      <c r="ANC34" s="49"/>
      <c r="AND34" s="49"/>
      <c r="ANE34" s="49"/>
      <c r="ANF34" s="64">
        <f>SUM(AMZ34:ANE34)</f>
        <v>0</v>
      </c>
      <c r="ANG34" s="68">
        <f>ANF34/$AKM$5</f>
        <v>0</v>
      </c>
      <c r="ANH34" s="48">
        <v>200</v>
      </c>
      <c r="ANI34" s="49"/>
      <c r="ANJ34" s="49"/>
      <c r="ANK34" s="49"/>
      <c r="ANL34" s="49">
        <v>200</v>
      </c>
      <c r="ANM34" s="49"/>
      <c r="ANN34" s="64">
        <f>SUM(ANH34:ANM34)</f>
        <v>400</v>
      </c>
      <c r="ANO34" s="68">
        <f>ANN34/$AKM$5</f>
        <v>66.666666666666671</v>
      </c>
      <c r="ANP34" s="48"/>
      <c r="ANQ34" s="49"/>
      <c r="ANR34" s="49"/>
      <c r="ANS34" s="49"/>
      <c r="ANT34" s="49"/>
      <c r="ANU34" s="49"/>
      <c r="ANV34" s="64">
        <f>SUM(ANP34:ANU34)</f>
        <v>0</v>
      </c>
      <c r="ANW34" s="68">
        <f>ANV34/$AKM$5</f>
        <v>0</v>
      </c>
      <c r="ANX34" s="48">
        <v>101</v>
      </c>
      <c r="ANY34" s="49"/>
      <c r="ANZ34" s="49"/>
      <c r="AOA34" s="49"/>
      <c r="AOB34" s="49"/>
      <c r="AOC34" s="49">
        <v>292</v>
      </c>
      <c r="AOD34" s="64">
        <f>SUM(ANX34:AOC34)</f>
        <v>393</v>
      </c>
      <c r="AOE34" s="68">
        <f>AOD34/$AKM$5</f>
        <v>65.5</v>
      </c>
      <c r="AOF34" s="48"/>
      <c r="AOG34" s="49"/>
      <c r="AOH34" s="49"/>
      <c r="AOI34" s="49"/>
      <c r="AOJ34" s="49"/>
      <c r="AOK34" s="49">
        <v>100</v>
      </c>
      <c r="AOL34" s="64">
        <f>SUM(AOF34:AOK34)</f>
        <v>100</v>
      </c>
      <c r="AOM34" s="68">
        <f>AOL34/$AKM$5</f>
        <v>16.666666666666668</v>
      </c>
      <c r="AON34" s="48"/>
      <c r="AOO34" s="49">
        <v>487</v>
      </c>
      <c r="AOP34" s="49"/>
      <c r="AOQ34" s="49"/>
      <c r="AOR34" s="49">
        <v>100</v>
      </c>
      <c r="AOS34" s="49"/>
      <c r="AOT34" s="64">
        <f>SUM(AON34:AOS34)</f>
        <v>587</v>
      </c>
      <c r="AOU34" s="68">
        <f>AOT34/$AKM$5</f>
        <v>97.833333333333329</v>
      </c>
      <c r="AOV34" s="63"/>
      <c r="AOW34" s="64"/>
      <c r="AOX34" s="64"/>
      <c r="AOY34" s="64"/>
      <c r="AOZ34" s="64"/>
      <c r="APA34" s="64"/>
      <c r="APB34" s="64">
        <f>SUM(AOV34:APA34)</f>
        <v>0</v>
      </c>
      <c r="APC34" s="68">
        <f>APB34/$AKM$5</f>
        <v>0</v>
      </c>
      <c r="APD34" s="48"/>
      <c r="APE34" s="49"/>
      <c r="APF34" s="49">
        <v>201</v>
      </c>
      <c r="APG34" s="49"/>
      <c r="APH34" s="49"/>
      <c r="API34" s="49"/>
      <c r="APJ34" s="64">
        <f>SUM(APD34:API34)</f>
        <v>201</v>
      </c>
      <c r="APK34" s="68">
        <f>APJ34/$AKM$5</f>
        <v>33.5</v>
      </c>
      <c r="APL34" s="48"/>
      <c r="APM34" s="49">
        <v>198</v>
      </c>
      <c r="APN34" s="49"/>
      <c r="APO34" s="49"/>
      <c r="APP34" s="49"/>
      <c r="APQ34" s="49"/>
      <c r="APR34" s="64">
        <f>SUM(APL34:APQ34)</f>
        <v>198</v>
      </c>
      <c r="APS34" s="68">
        <f>APR34/$AKM$5</f>
        <v>33</v>
      </c>
      <c r="APT34" s="48">
        <v>200</v>
      </c>
      <c r="APU34" s="49"/>
      <c r="APV34" s="49"/>
      <c r="APW34" s="49"/>
      <c r="APX34" s="49"/>
      <c r="APY34" s="49">
        <v>97</v>
      </c>
      <c r="APZ34" s="64">
        <f>SUM(APT34:APY34)</f>
        <v>297</v>
      </c>
      <c r="AQA34" s="68">
        <f>APZ34/$AKM$5</f>
        <v>49.5</v>
      </c>
      <c r="AQB34" s="48"/>
      <c r="AQC34" s="49"/>
      <c r="AQD34" s="49"/>
      <c r="AQE34" s="49"/>
      <c r="AQF34" s="49">
        <v>99</v>
      </c>
      <c r="AQG34" s="49"/>
      <c r="AQH34" s="64">
        <f>SUM(AQB34:AQG34)</f>
        <v>99</v>
      </c>
      <c r="AQI34" s="68">
        <f>AQH34/$AKM$5</f>
        <v>16.5</v>
      </c>
      <c r="AQJ34" s="48"/>
      <c r="AQK34" s="49"/>
      <c r="AQL34" s="49">
        <v>100</v>
      </c>
      <c r="AQM34" s="49"/>
      <c r="AQN34" s="49">
        <v>196</v>
      </c>
      <c r="AQO34" s="49"/>
      <c r="AQP34" s="64">
        <f>SUM(AQJ34:AQO34)</f>
        <v>296</v>
      </c>
      <c r="AQQ34" s="68">
        <f>AQP34/$AKM$5</f>
        <v>49.333333333333336</v>
      </c>
      <c r="AQR34" s="48"/>
      <c r="AQS34" s="49"/>
      <c r="AQT34" s="49"/>
      <c r="AQU34" s="49">
        <v>98</v>
      </c>
      <c r="AQV34" s="49"/>
      <c r="AQW34" s="49"/>
      <c r="AQX34" s="64">
        <f>SUM(AQR34:AQW34)</f>
        <v>98</v>
      </c>
      <c r="AQY34" s="68">
        <f>AQX34/$AKM$5</f>
        <v>16.333333333333332</v>
      </c>
      <c r="AQZ34" s="48"/>
      <c r="ARA34" s="49"/>
      <c r="ARB34" s="49">
        <v>100</v>
      </c>
      <c r="ARC34" s="49"/>
      <c r="ARD34" s="49"/>
      <c r="ARE34" s="49"/>
      <c r="ARF34" s="64">
        <f>SUM(AQZ34:ARE34)</f>
        <v>100</v>
      </c>
      <c r="ARG34" s="68">
        <f>ARF34/$AKM$5</f>
        <v>16.666666666666668</v>
      </c>
      <c r="ARH34" s="48"/>
      <c r="ARI34" s="49">
        <v>217</v>
      </c>
      <c r="ARJ34" s="49"/>
      <c r="ARK34" s="49"/>
      <c r="ARL34" s="49"/>
      <c r="ARM34" s="49">
        <v>86</v>
      </c>
      <c r="ARN34" s="64">
        <f>SUM(ARH34:ARM34)</f>
        <v>303</v>
      </c>
      <c r="ARO34" s="68">
        <f>ARN34/$ARO$5</f>
        <v>50.5</v>
      </c>
      <c r="ARP34" s="48"/>
      <c r="ARQ34" s="49"/>
      <c r="ARR34" s="49">
        <v>104</v>
      </c>
      <c r="ARS34" s="49"/>
      <c r="ART34" s="49"/>
      <c r="ARU34" s="49"/>
      <c r="ARV34" s="64">
        <f>SUM(ARP34:ARU34)</f>
        <v>104</v>
      </c>
      <c r="ARW34" s="68">
        <f>ARV34/$ARO$5</f>
        <v>17.333333333333332</v>
      </c>
      <c r="ARX34" s="48"/>
      <c r="ARY34" s="49"/>
      <c r="ARZ34" s="49"/>
      <c r="ASA34" s="49">
        <v>199</v>
      </c>
      <c r="ASB34" s="49"/>
      <c r="ASC34" s="49"/>
      <c r="ASD34" s="64">
        <f>SUM(ARX34:ASC34)</f>
        <v>199</v>
      </c>
      <c r="ASE34" s="68">
        <f>ASD34/$ARO$5</f>
        <v>33.166666666666664</v>
      </c>
      <c r="ASF34" s="48"/>
      <c r="ASG34" s="49"/>
      <c r="ASH34" s="49"/>
      <c r="ASI34" s="49">
        <v>199</v>
      </c>
      <c r="ASJ34" s="49"/>
      <c r="ASK34" s="49"/>
      <c r="ASL34" s="64">
        <f>SUM(ASF34:ASK34)</f>
        <v>199</v>
      </c>
      <c r="ASM34" s="68">
        <f>ASL34/$ARO$5</f>
        <v>33.166666666666664</v>
      </c>
      <c r="ASN34" s="48"/>
      <c r="ASO34" s="49"/>
      <c r="ASP34" s="49">
        <v>200</v>
      </c>
      <c r="ASQ34" s="49"/>
      <c r="ASR34" s="49"/>
      <c r="ASS34" s="49">
        <v>400</v>
      </c>
      <c r="AST34" s="64">
        <f>SUM(ASN34:ASS34)</f>
        <v>600</v>
      </c>
      <c r="ASU34" s="68">
        <f>AST34/$ARO$5</f>
        <v>100</v>
      </c>
      <c r="ASV34" s="48"/>
      <c r="ASW34" s="49"/>
      <c r="ASX34" s="49"/>
      <c r="ASY34" s="49"/>
      <c r="ASZ34" s="49"/>
      <c r="ATA34" s="49"/>
      <c r="ATB34" s="64">
        <f>SUM(ASV34:ATA34)</f>
        <v>0</v>
      </c>
      <c r="ATC34" s="68">
        <f>ATB34/$ARO$5</f>
        <v>0</v>
      </c>
      <c r="ATD34" s="48"/>
      <c r="ATE34" s="49"/>
      <c r="ATF34" s="49"/>
      <c r="ATG34" s="49"/>
      <c r="ATH34" s="49"/>
      <c r="ATI34" s="49"/>
      <c r="ATJ34" s="64">
        <f>SUM(ATD34:ATI34)</f>
        <v>0</v>
      </c>
      <c r="ATK34" s="68">
        <f>ATJ34/$ARO$5</f>
        <v>0</v>
      </c>
      <c r="ATL34" s="48"/>
      <c r="ATM34" s="49"/>
      <c r="ATN34" s="49"/>
      <c r="ATO34" s="49"/>
      <c r="ATP34" s="49"/>
      <c r="ATQ34" s="49"/>
      <c r="ATR34" s="64">
        <f>SUM(ATL34:ATQ34)</f>
        <v>0</v>
      </c>
      <c r="ATS34" s="68">
        <f>ATR34/$ARO$5</f>
        <v>0</v>
      </c>
      <c r="ATT34" s="48"/>
      <c r="ATU34" s="49"/>
      <c r="ATV34" s="49"/>
      <c r="ATW34" s="49"/>
      <c r="ATX34" s="49"/>
      <c r="ATY34" s="49"/>
      <c r="ATZ34" s="64">
        <f>SUM(ATT34:ATY34)</f>
        <v>0</v>
      </c>
      <c r="AUA34" s="68">
        <f>ATZ34/$ARO$5</f>
        <v>0</v>
      </c>
      <c r="AUB34" s="48"/>
      <c r="AUC34" s="49"/>
      <c r="AUD34" s="49"/>
      <c r="AUE34" s="49"/>
      <c r="AUF34" s="49"/>
      <c r="AUG34" s="49"/>
      <c r="AUH34" s="64">
        <f>SUM(AUB34:AUG34)</f>
        <v>0</v>
      </c>
      <c r="AUI34" s="68">
        <f>AUH34/$ARO$5</f>
        <v>0</v>
      </c>
      <c r="AUJ34" s="54">
        <v>203</v>
      </c>
      <c r="AUK34" s="127"/>
      <c r="AUL34" s="127"/>
      <c r="AUM34" s="127"/>
      <c r="AUN34" s="127"/>
      <c r="AUO34" s="127">
        <v>100</v>
      </c>
      <c r="AUP34" s="64">
        <f>SUM(AUJ34:AUO34)</f>
        <v>303</v>
      </c>
      <c r="AUQ34" s="68">
        <f>AUP34/$ARO$5</f>
        <v>50.5</v>
      </c>
      <c r="AUR34" s="48"/>
      <c r="AUS34" s="49"/>
      <c r="AUT34" s="49"/>
      <c r="AUU34" s="49"/>
      <c r="AUV34" s="49"/>
      <c r="AUW34" s="49"/>
      <c r="AUX34" s="64">
        <f>SUM(AUR34:AUW34)</f>
        <v>0</v>
      </c>
      <c r="AUY34" s="68">
        <f>AUX34/$ARO$5</f>
        <v>0</v>
      </c>
      <c r="AUZ34" s="48"/>
      <c r="AVA34" s="49"/>
      <c r="AVB34" s="49"/>
      <c r="AVC34" s="49"/>
      <c r="AVD34" s="49"/>
      <c r="AVE34" s="49"/>
      <c r="AVF34" s="64">
        <f>SUM(AUZ34:AVE34)</f>
        <v>0</v>
      </c>
      <c r="AVG34" s="68">
        <f>AVF34/$ARO$5</f>
        <v>0</v>
      </c>
      <c r="AVH34" s="48"/>
      <c r="AVI34" s="49">
        <v>99</v>
      </c>
      <c r="AVJ34" s="49"/>
      <c r="AVK34" s="49"/>
      <c r="AVL34" s="49"/>
      <c r="AVM34" s="49"/>
      <c r="AVN34" s="64">
        <f>SUM(AVH34:AVM34)</f>
        <v>99</v>
      </c>
      <c r="AVO34" s="68">
        <f>AVN34/$ARO$5</f>
        <v>16.5</v>
      </c>
      <c r="AVP34" s="48"/>
      <c r="AVQ34" s="49"/>
      <c r="AVR34" s="49">
        <v>188</v>
      </c>
      <c r="AVS34" s="49"/>
      <c r="AVT34" s="49"/>
      <c r="AVU34" s="49"/>
      <c r="AVV34" s="64">
        <f>SUM(AVP34:AVU34)</f>
        <v>188</v>
      </c>
      <c r="AVW34" s="68">
        <f>AVV34/$ARO$5</f>
        <v>31.333333333333332</v>
      </c>
      <c r="AVX34" s="48"/>
      <c r="AVY34" s="49"/>
      <c r="AVZ34" s="49"/>
      <c r="AWA34" s="49"/>
      <c r="AWB34" s="49"/>
      <c r="AWC34" s="49"/>
      <c r="AWD34" s="64">
        <f>SUM(AVX34:AWC34)</f>
        <v>0</v>
      </c>
      <c r="AWE34" s="68">
        <f>AWD34/$ARO$5</f>
        <v>0</v>
      </c>
      <c r="AWF34" s="48"/>
      <c r="AWG34" s="49">
        <v>202</v>
      </c>
      <c r="AWH34" s="49"/>
      <c r="AWI34" s="49"/>
      <c r="AWJ34" s="49"/>
      <c r="AWK34" s="49"/>
      <c r="AWL34" s="64">
        <f>SUM(AWF34:AWK34)</f>
        <v>202</v>
      </c>
      <c r="AWM34" s="184">
        <f>AWL34/$ARO$5</f>
        <v>33.666666666666664</v>
      </c>
      <c r="AWN34" s="48"/>
      <c r="AWO34" s="49"/>
      <c r="AWP34" s="49"/>
      <c r="AWQ34" s="49"/>
      <c r="AWR34" s="49"/>
      <c r="AWS34" s="49"/>
      <c r="AWT34" s="127">
        <f>SUM(AWN34:AWS34)</f>
        <v>0</v>
      </c>
      <c r="AWU34" s="43">
        <f>AWT34/$ARO$5</f>
        <v>0</v>
      </c>
      <c r="AWV34" s="48">
        <v>100</v>
      </c>
      <c r="AWW34" s="49"/>
      <c r="AWX34" s="49"/>
      <c r="AWY34" s="49"/>
      <c r="AWZ34" s="49"/>
      <c r="AXA34" s="49"/>
      <c r="AXB34" s="127">
        <f>SUM(AWV34:AXA34)</f>
        <v>100</v>
      </c>
      <c r="AXC34" s="43">
        <f>AXB34/$ARO$5</f>
        <v>16.666666666666668</v>
      </c>
      <c r="AXD34" s="48"/>
      <c r="AXE34" s="49"/>
      <c r="AXF34" s="49"/>
      <c r="AXG34" s="49">
        <v>2</v>
      </c>
      <c r="AXH34" s="49"/>
      <c r="AXI34" s="49"/>
      <c r="AXJ34" s="127">
        <f>SUM(AXD34:AXI34)</f>
        <v>2</v>
      </c>
      <c r="AXK34" s="43">
        <f>AXJ34/$ARO$5</f>
        <v>0.33333333333333331</v>
      </c>
      <c r="AXL34" s="48">
        <v>203</v>
      </c>
      <c r="AXM34" s="49"/>
      <c r="AXN34" s="49"/>
      <c r="AXO34" s="49"/>
      <c r="AXP34" s="49"/>
      <c r="AXQ34" s="49"/>
      <c r="AXR34" s="127">
        <f>SUM(AXL34:AXQ34)</f>
        <v>203</v>
      </c>
      <c r="AXS34" s="43">
        <f>AXR34/$ARO$5</f>
        <v>33.833333333333336</v>
      </c>
      <c r="AXT34" s="48"/>
      <c r="AXU34" s="49"/>
      <c r="AXV34" s="49"/>
      <c r="AXW34" s="49"/>
      <c r="AXX34" s="49"/>
      <c r="AXY34" s="49"/>
      <c r="AXZ34" s="127">
        <f>SUM(AXT34:AXY34)</f>
        <v>0</v>
      </c>
      <c r="AYA34" s="43">
        <f>AXZ34/$ARO$5</f>
        <v>0</v>
      </c>
      <c r="AYB34" s="48"/>
      <c r="AYC34" s="49"/>
      <c r="AYD34" s="49"/>
      <c r="AYE34" s="49"/>
      <c r="AYF34" s="49"/>
      <c r="AYG34" s="49">
        <v>108</v>
      </c>
      <c r="AYH34" s="127">
        <f>SUM(AYB34:AYG34)</f>
        <v>108</v>
      </c>
      <c r="AYI34" s="43">
        <f>AYH34/$ARO$5</f>
        <v>18</v>
      </c>
      <c r="AYJ34" s="48"/>
      <c r="AYK34" s="49"/>
      <c r="AYL34" s="49">
        <v>99</v>
      </c>
      <c r="AYM34" s="49"/>
      <c r="AYN34" s="49"/>
      <c r="AYO34" s="49"/>
      <c r="AYP34" s="127">
        <f>SUM(AYJ34:AYO34)</f>
        <v>99</v>
      </c>
      <c r="AYQ34" s="43">
        <f>AYP34/$ARO$5</f>
        <v>16.5</v>
      </c>
      <c r="AYR34" s="48"/>
      <c r="AYS34" s="49"/>
      <c r="AYT34" s="49"/>
      <c r="AYU34" s="49"/>
      <c r="AYV34" s="49"/>
      <c r="AYW34" s="49"/>
      <c r="AYX34" s="127">
        <f>SUM(AYR34:AYW34)</f>
        <v>0</v>
      </c>
      <c r="AYY34" s="43">
        <f>AYX34/$ARO$5</f>
        <v>0</v>
      </c>
      <c r="AYZ34" s="48">
        <v>100</v>
      </c>
      <c r="AZA34" s="49"/>
      <c r="AZB34" s="49"/>
      <c r="AZC34" s="49"/>
      <c r="AZD34" s="49"/>
      <c r="AZE34" s="49"/>
      <c r="AZF34" s="127">
        <f>SUM(AYZ34:AZE34)</f>
        <v>100</v>
      </c>
      <c r="AZG34" s="43">
        <f>AZF34/$ARO$5</f>
        <v>16.666666666666668</v>
      </c>
      <c r="AZH34" s="48"/>
      <c r="AZI34" s="49"/>
      <c r="AZJ34" s="49"/>
      <c r="AZK34" s="49"/>
      <c r="AZL34" s="49"/>
      <c r="AZM34" s="49"/>
      <c r="AZN34" s="127">
        <f>SUM(AZH34:AZM34)</f>
        <v>0</v>
      </c>
      <c r="AZO34" s="43">
        <f>AZN34/$ARO$5</f>
        <v>0</v>
      </c>
      <c r="AZP34" s="48"/>
      <c r="AZQ34" s="49"/>
      <c r="AZR34" s="49">
        <v>101</v>
      </c>
      <c r="AZS34" s="49"/>
      <c r="AZT34" s="49"/>
      <c r="AZU34" s="49">
        <v>100</v>
      </c>
      <c r="AZV34" s="127">
        <f>SUM(AZP34:AZU34)</f>
        <v>201</v>
      </c>
      <c r="AZW34" s="43">
        <f>AZV34/$ARO$5</f>
        <v>33.5</v>
      </c>
      <c r="AZX34" s="48"/>
      <c r="AZY34" s="49"/>
      <c r="AZZ34" s="49"/>
      <c r="BAA34" s="49"/>
      <c r="BAB34" s="49"/>
      <c r="BAC34" s="49"/>
      <c r="BAD34" s="127">
        <f>SUM(AZX34:BAC34)</f>
        <v>0</v>
      </c>
      <c r="BAE34" s="43">
        <f>BAD34/$ARO$5</f>
        <v>0</v>
      </c>
      <c r="BAF34" s="48"/>
      <c r="BAG34" s="49"/>
      <c r="BAH34" s="49"/>
      <c r="BAI34" s="49"/>
      <c r="BAJ34" s="49"/>
      <c r="BAK34" s="49"/>
      <c r="BAL34" s="127">
        <f>SUM(BAF34:BAK34)</f>
        <v>0</v>
      </c>
      <c r="BAM34" s="43">
        <f>BAL34/$BAM$5</f>
        <v>0</v>
      </c>
      <c r="BAN34" s="48"/>
      <c r="BAO34" s="49"/>
      <c r="BAP34" s="49">
        <v>101</v>
      </c>
      <c r="BAQ34" s="49"/>
      <c r="BAR34" s="49">
        <v>110</v>
      </c>
      <c r="BAS34" s="49"/>
      <c r="BAT34" s="127">
        <f>SUM(BAN34:BAS34)</f>
        <v>211</v>
      </c>
      <c r="BAU34" s="43">
        <f>BAT34/$BAM$5</f>
        <v>35.166666666666664</v>
      </c>
      <c r="BAV34" s="48"/>
      <c r="BAW34" s="49"/>
      <c r="BAX34" s="49"/>
      <c r="BAY34" s="49"/>
      <c r="BAZ34" s="49"/>
      <c r="BBA34" s="49"/>
      <c r="BBB34" s="127">
        <f>SUM(BAV34:BBA34)</f>
        <v>0</v>
      </c>
      <c r="BBC34" s="43">
        <f>BBB34/$BBC$5</f>
        <v>0</v>
      </c>
      <c r="BBD34" s="48"/>
      <c r="BBE34" s="49"/>
      <c r="BBF34" s="49"/>
      <c r="BBG34" s="49"/>
      <c r="BBH34" s="49"/>
      <c r="BBI34" s="49">
        <v>100</v>
      </c>
      <c r="BBJ34" s="127">
        <f>SUM(BBD34:BBI34)</f>
        <v>100</v>
      </c>
      <c r="BBK34" s="43">
        <f>BBJ34/$BBC$5</f>
        <v>16.666666666666668</v>
      </c>
      <c r="BBL34" s="48"/>
      <c r="BBM34" s="49"/>
      <c r="BBN34" s="49"/>
      <c r="BBO34" s="49">
        <v>100</v>
      </c>
      <c r="BBP34" s="49"/>
      <c r="BBQ34" s="49">
        <v>101</v>
      </c>
      <c r="BBR34" s="127">
        <f>SUM(BBL34:BBQ34)</f>
        <v>201</v>
      </c>
      <c r="BBS34" s="43">
        <f>BBR34/$BBC$5</f>
        <v>33.5</v>
      </c>
      <c r="BBT34" s="48"/>
      <c r="BBU34" s="49"/>
      <c r="BBV34" s="49"/>
      <c r="BBW34" s="49">
        <v>98</v>
      </c>
      <c r="BBX34" s="49"/>
      <c r="BBY34" s="49"/>
      <c r="BBZ34" s="127">
        <f>SUM(BBT34:BBY34)</f>
        <v>98</v>
      </c>
      <c r="BCA34" s="43">
        <f>BBZ34/$BBC$5</f>
        <v>16.333333333333332</v>
      </c>
      <c r="BCB34" s="48"/>
      <c r="BCC34" s="49"/>
      <c r="BCD34" s="49"/>
      <c r="BCE34" s="49"/>
      <c r="BCF34" s="49"/>
      <c r="BCG34" s="49">
        <v>199</v>
      </c>
      <c r="BCH34" s="127">
        <f>SUM(BCB34:BCG34)</f>
        <v>199</v>
      </c>
      <c r="BCI34" s="43">
        <f>BCH34/$BBC$5</f>
        <v>33.166666666666664</v>
      </c>
      <c r="BCJ34" s="48"/>
      <c r="BCK34" s="49">
        <v>110</v>
      </c>
      <c r="BCL34" s="49"/>
      <c r="BCM34" s="49"/>
      <c r="BCN34" s="49"/>
      <c r="BCO34" s="49"/>
      <c r="BCP34" s="127">
        <f>SUM(BCJ34:BCO34)</f>
        <v>110</v>
      </c>
      <c r="BCQ34" s="43">
        <f>BCP34/$BBC$5</f>
        <v>18.333333333333332</v>
      </c>
      <c r="BCR34" s="48"/>
      <c r="BCS34" s="49"/>
      <c r="BCT34" s="49"/>
      <c r="BCU34" s="49"/>
      <c r="BCV34" s="49"/>
      <c r="BCW34" s="49"/>
      <c r="BCX34" s="127">
        <f>SUM(BCR34:BCW34)</f>
        <v>0</v>
      </c>
      <c r="BCY34" s="43">
        <f>BCX34/$BBC$5</f>
        <v>0</v>
      </c>
      <c r="BCZ34" s="48"/>
      <c r="BDA34" s="49"/>
      <c r="BDB34" s="49">
        <v>100</v>
      </c>
      <c r="BDC34" s="49"/>
      <c r="BDD34" s="49"/>
      <c r="BDE34" s="49"/>
      <c r="BDF34" s="127">
        <f>SUM(BCZ34:BDE34)</f>
        <v>100</v>
      </c>
      <c r="BDG34" s="43">
        <f>BDF34/$BBC$5</f>
        <v>16.666666666666668</v>
      </c>
      <c r="BDH34" s="48"/>
      <c r="BDI34" s="49"/>
      <c r="BDJ34" s="49"/>
      <c r="BDK34" s="49"/>
      <c r="BDL34" s="49"/>
      <c r="BDM34" s="49"/>
      <c r="BDN34" s="127">
        <f>SUM(BDH34:BDM34)</f>
        <v>0</v>
      </c>
      <c r="BDO34" s="43">
        <f>BDN34/$BBC$5</f>
        <v>0</v>
      </c>
      <c r="BDP34" s="48"/>
      <c r="BDQ34" s="49"/>
      <c r="BDR34" s="49">
        <v>103</v>
      </c>
      <c r="BDS34" s="49"/>
      <c r="BDT34" s="49"/>
      <c r="BDU34" s="49"/>
      <c r="BDV34" s="127">
        <f>SUM(BDP34:BDU34)</f>
        <v>103</v>
      </c>
      <c r="BDW34" s="43">
        <f>BDV34/$BBC$5</f>
        <v>17.166666666666668</v>
      </c>
      <c r="BDX34" s="48">
        <v>102</v>
      </c>
      <c r="BDY34" s="49"/>
      <c r="BDZ34" s="49"/>
      <c r="BEA34" s="49"/>
      <c r="BEB34" s="49"/>
      <c r="BEC34" s="49"/>
      <c r="BED34" s="127">
        <f>SUM(BDX34:BEC34)</f>
        <v>102</v>
      </c>
      <c r="BEE34" s="43">
        <f>BED34/$BBC$5</f>
        <v>17</v>
      </c>
      <c r="BEF34" s="48"/>
      <c r="BEG34" s="49"/>
      <c r="BEH34" s="49">
        <v>100</v>
      </c>
      <c r="BEI34" s="49"/>
      <c r="BEJ34" s="49"/>
      <c r="BEK34" s="49"/>
      <c r="BEL34" s="127">
        <f>SUM(BEF34:BEK34)</f>
        <v>100</v>
      </c>
      <c r="BEM34" s="43">
        <f>BEL34/$BBC$5</f>
        <v>16.666666666666668</v>
      </c>
      <c r="BEN34" s="48"/>
      <c r="BEO34" s="49">
        <v>100</v>
      </c>
      <c r="BEP34" s="49"/>
      <c r="BEQ34" s="49"/>
      <c r="BER34" s="49"/>
      <c r="BES34" s="49"/>
      <c r="BET34" s="127">
        <f>SUM(BEN34:BES34)</f>
        <v>100</v>
      </c>
      <c r="BEU34" s="43">
        <f>BET34/$BBC$5</f>
        <v>16.666666666666668</v>
      </c>
      <c r="BEV34" s="48"/>
      <c r="BEW34" s="49"/>
      <c r="BEX34" s="49">
        <v>100</v>
      </c>
      <c r="BEY34" s="49"/>
      <c r="BEZ34" s="49"/>
      <c r="BFA34" s="49"/>
      <c r="BFB34" s="127">
        <f>SUM(BEV34:BFA34)</f>
        <v>100</v>
      </c>
      <c r="BFC34" s="43">
        <f>BFB34/$BBC$5</f>
        <v>16.666666666666668</v>
      </c>
      <c r="BFD34" s="48"/>
      <c r="BFE34" s="49"/>
      <c r="BFF34" s="49"/>
      <c r="BFG34" s="49"/>
      <c r="BFH34" s="49">
        <v>100</v>
      </c>
      <c r="BFI34" s="49"/>
      <c r="BFJ34" s="127">
        <f>SUM(BFD34:BFI34)</f>
        <v>100</v>
      </c>
      <c r="BFK34" s="43">
        <f>BFJ34/$BBC$5</f>
        <v>16.666666666666668</v>
      </c>
      <c r="BFL34" s="48">
        <v>100</v>
      </c>
      <c r="BFM34" s="49"/>
      <c r="BFN34" s="49"/>
      <c r="BFO34" s="49">
        <v>100</v>
      </c>
      <c r="BFP34" s="49"/>
      <c r="BFQ34" s="49"/>
      <c r="BFR34" s="127">
        <f>SUM(BFL34:BFQ34)</f>
        <v>200</v>
      </c>
      <c r="BFS34" s="43">
        <f>BFR34/$BBC$5</f>
        <v>33.333333333333336</v>
      </c>
      <c r="BFT34" s="48"/>
      <c r="BFU34" s="49"/>
      <c r="BFV34" s="49">
        <v>101</v>
      </c>
      <c r="BFW34" s="49"/>
      <c r="BFX34" s="49">
        <v>100</v>
      </c>
      <c r="BFY34" s="49"/>
      <c r="BFZ34" s="127">
        <f>SUM(BFT34:BFY34)</f>
        <v>201</v>
      </c>
      <c r="BGA34" s="43">
        <f>BFZ34/$BBC$5</f>
        <v>33.5</v>
      </c>
      <c r="BGB34" s="48"/>
      <c r="BGC34" s="49"/>
      <c r="BGD34" s="49">
        <v>100</v>
      </c>
      <c r="BGE34" s="49"/>
      <c r="BGF34" s="49"/>
      <c r="BGG34" s="49"/>
      <c r="BGH34" s="127">
        <f>SUM(BGB34:BGG34)</f>
        <v>100</v>
      </c>
      <c r="BGI34" s="43">
        <f>BGH34/$BBC$5</f>
        <v>16.666666666666668</v>
      </c>
      <c r="BGJ34" s="48"/>
      <c r="BGK34" s="49"/>
      <c r="BGL34" s="49">
        <v>100</v>
      </c>
      <c r="BGM34" s="49"/>
      <c r="BGN34" s="49"/>
      <c r="BGO34" s="49"/>
      <c r="BGP34" s="127">
        <f>SUM(BGJ34:BGO34)</f>
        <v>100</v>
      </c>
      <c r="BGQ34" s="43">
        <f>BGP34/$BBC$5</f>
        <v>16.666666666666668</v>
      </c>
      <c r="BGR34" s="48"/>
      <c r="BGS34" s="49"/>
      <c r="BGT34" s="49"/>
      <c r="BGU34" s="49"/>
      <c r="BGV34" s="49"/>
      <c r="BGW34" s="49">
        <v>199</v>
      </c>
      <c r="BGX34" s="127">
        <f>SUM(BGR34:BGW34)</f>
        <v>199</v>
      </c>
      <c r="BGY34" s="43">
        <f>BGX34/$BBC$5</f>
        <v>33.166666666666664</v>
      </c>
      <c r="BGZ34" s="48"/>
      <c r="BHA34" s="49"/>
      <c r="BHB34" s="49"/>
      <c r="BHC34" s="49"/>
      <c r="BHD34" s="49"/>
      <c r="BHE34" s="49"/>
      <c r="BHF34" s="127">
        <f>SUM(BGZ34:BHE34)</f>
        <v>0</v>
      </c>
      <c r="BHG34" s="43">
        <f>BHF34/$BBC$5</f>
        <v>0</v>
      </c>
      <c r="BHH34" s="48"/>
      <c r="BHI34" s="49"/>
      <c r="BHJ34" s="49"/>
      <c r="BHK34" s="49">
        <v>99</v>
      </c>
      <c r="BHL34" s="49"/>
      <c r="BHM34" s="49"/>
      <c r="BHN34" s="127">
        <f>SUM(BHH34:BHM34)</f>
        <v>99</v>
      </c>
      <c r="BHO34" s="43">
        <f>BHN34/$BBC$5</f>
        <v>16.5</v>
      </c>
      <c r="BHP34" s="48"/>
      <c r="BHQ34" s="49"/>
      <c r="BHR34" s="49"/>
      <c r="BHS34" s="49"/>
      <c r="BHT34" s="49"/>
      <c r="BHU34" s="49">
        <v>99</v>
      </c>
      <c r="BHV34" s="127">
        <f>SUM(BHP34:BHU34)</f>
        <v>99</v>
      </c>
      <c r="BHW34" s="43">
        <f>BHV34/$BBC$5</f>
        <v>16.5</v>
      </c>
      <c r="BHX34" s="48"/>
      <c r="BHY34" s="49"/>
      <c r="BHZ34" s="49">
        <v>101</v>
      </c>
      <c r="BIA34" s="49"/>
      <c r="BIB34" s="49"/>
      <c r="BIC34" s="49">
        <v>166</v>
      </c>
      <c r="BID34" s="127">
        <f>SUM(BHX34:BIC34)</f>
        <v>267</v>
      </c>
      <c r="BIE34" s="43">
        <f>BID34/$BBC$5</f>
        <v>44.5</v>
      </c>
      <c r="BIF34" s="48"/>
      <c r="BIG34" s="49"/>
      <c r="BIH34" s="49"/>
      <c r="BII34" s="49"/>
      <c r="BIJ34" s="49"/>
      <c r="BIK34" s="49"/>
      <c r="BIL34" s="127">
        <f>SUM(BIF34:BIK34)</f>
        <v>0</v>
      </c>
      <c r="BIM34" s="43">
        <f>BIL34/$BBC$5</f>
        <v>0</v>
      </c>
      <c r="BIN34" s="48"/>
      <c r="BIO34" s="49">
        <v>199</v>
      </c>
      <c r="BIP34" s="49"/>
      <c r="BIQ34" s="49"/>
      <c r="BIR34" s="49"/>
      <c r="BIS34" s="49">
        <v>100</v>
      </c>
      <c r="BIT34" s="127">
        <f>SUM(BIN34:BIS34)</f>
        <v>299</v>
      </c>
      <c r="BIU34" s="101">
        <f>BIT34/$BBC$5</f>
        <v>49.833333333333336</v>
      </c>
      <c r="BIV34" s="195"/>
      <c r="BIW34" s="49"/>
      <c r="BIX34" s="49"/>
      <c r="BIY34" s="49"/>
      <c r="BIZ34" s="49"/>
      <c r="BJA34" s="49"/>
      <c r="BJB34" s="127">
        <f>SUM(BIV34:BJA34)</f>
        <v>0</v>
      </c>
      <c r="BJC34" s="101">
        <f>BJB34/$BBC$5</f>
        <v>0</v>
      </c>
      <c r="BJD34" s="48">
        <v>100</v>
      </c>
      <c r="BJE34" s="49"/>
      <c r="BJF34" s="49"/>
      <c r="BJG34" s="49"/>
      <c r="BJH34" s="49">
        <v>200</v>
      </c>
      <c r="BJI34" s="49"/>
      <c r="BJJ34" s="127">
        <f>SUM(BJD34:BJI34)</f>
        <v>300</v>
      </c>
      <c r="BJK34" s="43">
        <f>BJJ34/$BBC$5</f>
        <v>50</v>
      </c>
      <c r="BJL34" s="48"/>
      <c r="BJM34" s="49"/>
      <c r="BJN34" s="49"/>
      <c r="BJO34" s="49"/>
      <c r="BJP34" s="49"/>
      <c r="BJQ34" s="49"/>
      <c r="BJR34" s="127">
        <f>SUM(BJL34:BJQ34)</f>
        <v>0</v>
      </c>
      <c r="BJS34" s="43">
        <f>BJR34/$BBC$5</f>
        <v>0</v>
      </c>
      <c r="BJT34" s="48"/>
      <c r="BJU34" s="49"/>
      <c r="BJV34" s="49"/>
      <c r="BJW34" s="49"/>
      <c r="BJX34" s="49"/>
      <c r="BJY34" s="49"/>
      <c r="BJZ34" s="127">
        <f>SUM(BJT34:BJY34)</f>
        <v>0</v>
      </c>
      <c r="BKA34" s="43">
        <f>BJZ34/$BKA$4</f>
        <v>0</v>
      </c>
      <c r="BKB34" s="48"/>
      <c r="BKC34" s="49"/>
      <c r="BKD34" s="49">
        <v>100</v>
      </c>
      <c r="BKE34" s="49"/>
      <c r="BKF34" s="49"/>
      <c r="BKG34" s="49"/>
      <c r="BKH34" s="64">
        <f t="shared" ref="BKH34" si="1582">SUM(BKB34:BKG34)</f>
        <v>100</v>
      </c>
      <c r="BKI34" s="68">
        <f>BKH34/$BKI$5</f>
        <v>16.666666666666668</v>
      </c>
      <c r="BKJ34" s="48"/>
      <c r="BKK34" s="49"/>
      <c r="BKL34" s="49"/>
      <c r="BKM34" s="49"/>
      <c r="BKN34" s="49">
        <v>100</v>
      </c>
      <c r="BKO34" s="49"/>
      <c r="BKP34" s="127">
        <f>SUM(BKJ34:BKO34)</f>
        <v>100</v>
      </c>
      <c r="BKQ34" s="43">
        <f>BKP34/$BKQ$5</f>
        <v>16.666666666666668</v>
      </c>
      <c r="BKR34" s="48"/>
      <c r="BKS34" s="49"/>
      <c r="BKT34" s="49"/>
      <c r="BKU34" s="49"/>
      <c r="BKV34" s="49">
        <v>100</v>
      </c>
      <c r="BKW34" s="49"/>
      <c r="BKX34" s="127">
        <f>SUM(BKR34:BKW34)</f>
        <v>100</v>
      </c>
      <c r="BKY34" s="43">
        <f>BKX34/$BKY$5</f>
        <v>16.666666666666668</v>
      </c>
      <c r="BKZ34" s="48"/>
      <c r="BLA34" s="49"/>
      <c r="BLB34" s="49"/>
      <c r="BLC34" s="49"/>
      <c r="BLD34" s="49"/>
      <c r="BLE34" s="49"/>
      <c r="BLF34" s="127">
        <f>SUM(BKZ34:BLE34)</f>
        <v>0</v>
      </c>
      <c r="BLG34" s="43">
        <f>BLF34/$BLG$5</f>
        <v>0</v>
      </c>
      <c r="BLH34" s="48"/>
      <c r="BLI34" s="49"/>
      <c r="BLJ34" s="49">
        <v>100</v>
      </c>
      <c r="BLK34" s="49"/>
      <c r="BLL34" s="49">
        <v>112</v>
      </c>
      <c r="BLM34" s="49"/>
      <c r="BLN34" s="127">
        <f>SUM(BLH34:BLM34)</f>
        <v>212</v>
      </c>
      <c r="BLO34" s="43">
        <f>BLN34/$BLO$5</f>
        <v>35.333333333333336</v>
      </c>
      <c r="BLP34" s="48"/>
      <c r="BLQ34" s="49"/>
      <c r="BLR34" s="49">
        <v>100</v>
      </c>
      <c r="BLS34" s="49"/>
      <c r="BLT34" s="49"/>
      <c r="BLU34" s="49"/>
      <c r="BLV34" s="127">
        <f>SUM(BLP34:BLU34)</f>
        <v>100</v>
      </c>
      <c r="BLW34" s="43">
        <f>BLV34/$BLW$5</f>
        <v>16.666666666666668</v>
      </c>
      <c r="BLX34" s="48"/>
      <c r="BLY34" s="49">
        <v>202</v>
      </c>
      <c r="BLZ34" s="49"/>
      <c r="BMA34" s="49"/>
      <c r="BMB34" s="49"/>
      <c r="BMC34" s="49"/>
      <c r="BMD34" s="127">
        <f>SUM(BLX34:BMC34)</f>
        <v>202</v>
      </c>
      <c r="BME34" s="43">
        <f>BMD34/$BME$5</f>
        <v>33.666666666666664</v>
      </c>
      <c r="BMF34" s="48"/>
      <c r="BMG34" s="49"/>
      <c r="BMH34" s="49"/>
      <c r="BMI34" s="49">
        <v>100</v>
      </c>
      <c r="BMJ34" s="49"/>
      <c r="BMK34" s="49"/>
      <c r="BML34" s="127">
        <f>SUM(BMF34:BMK34)</f>
        <v>100</v>
      </c>
      <c r="BMM34" s="43">
        <f>BML34/$BMM$5</f>
        <v>16.666666666666668</v>
      </c>
      <c r="BMN34" s="48"/>
      <c r="BMO34" s="49"/>
      <c r="BMP34" s="49">
        <v>100</v>
      </c>
      <c r="BMQ34" s="49"/>
      <c r="BMR34" s="49"/>
      <c r="BMS34" s="49"/>
      <c r="BMT34" s="127">
        <f>SUM(BMN34:BMS34)</f>
        <v>100</v>
      </c>
      <c r="BMU34" s="43">
        <f>BMT34/$BMU$5</f>
        <v>16.666666666666668</v>
      </c>
      <c r="BMV34" s="48"/>
      <c r="BMW34" s="49"/>
      <c r="BMX34" s="49"/>
      <c r="BMY34" s="49"/>
      <c r="BMZ34" s="49"/>
      <c r="BNA34" s="49">
        <v>98</v>
      </c>
      <c r="BNB34" s="127">
        <f>SUM(BMV34:BNA34)</f>
        <v>98</v>
      </c>
      <c r="BNC34" s="43">
        <f>BNB34/$BNC$5</f>
        <v>16.333333333333332</v>
      </c>
      <c r="BND34" s="48"/>
      <c r="BNE34" s="49"/>
      <c r="BNF34" s="49"/>
      <c r="BNG34" s="49"/>
      <c r="BNH34" s="49"/>
      <c r="BNI34" s="49"/>
      <c r="BNJ34" s="127">
        <f>SUM(BND34:BNI34)</f>
        <v>0</v>
      </c>
      <c r="BNK34" s="43">
        <f>BNJ34/$BNK$5</f>
        <v>0</v>
      </c>
      <c r="BNL34" s="48"/>
      <c r="BNM34" s="49"/>
      <c r="BNN34" s="49"/>
      <c r="BNO34" s="49"/>
      <c r="BNP34" s="49"/>
      <c r="BNQ34" s="49"/>
      <c r="BNR34" s="127">
        <f>SUM(BNL34:BNQ34)</f>
        <v>0</v>
      </c>
      <c r="BNS34" s="43">
        <f>BNR34/$BNS$5</f>
        <v>0</v>
      </c>
      <c r="BNT34" s="48"/>
      <c r="BNU34" s="49"/>
      <c r="BNV34" s="49"/>
      <c r="BNW34" s="49"/>
      <c r="BNX34" s="49"/>
      <c r="BNY34" s="49"/>
      <c r="BNZ34" s="127">
        <f>SUM(BNT34:BNY34)</f>
        <v>0</v>
      </c>
      <c r="BOA34" s="43">
        <f>BNZ34/$BOA$5</f>
        <v>0</v>
      </c>
      <c r="BOB34" s="48">
        <v>121</v>
      </c>
      <c r="BOC34" s="49"/>
      <c r="BOD34" s="49"/>
      <c r="BOE34" s="49"/>
      <c r="BOF34" s="49"/>
      <c r="BOG34" s="49"/>
      <c r="BOH34" s="127">
        <f>SUM(BOB34:BOG34)</f>
        <v>121</v>
      </c>
      <c r="BOI34" s="43">
        <f>BOH34/BOA$5</f>
        <v>20.166666666666668</v>
      </c>
      <c r="BOJ34" s="48"/>
      <c r="BOK34" s="49"/>
      <c r="BOL34" s="49">
        <v>100</v>
      </c>
      <c r="BOM34" s="49"/>
      <c r="BON34" s="49"/>
      <c r="BOO34" s="49"/>
      <c r="BOP34" s="127">
        <f>SUM(BOJ34:BOO34)</f>
        <v>100</v>
      </c>
      <c r="BOQ34" s="43">
        <f>BOP34/BOI$5</f>
        <v>16.666666666666668</v>
      </c>
      <c r="BOR34" s="48"/>
      <c r="BOS34" s="49"/>
      <c r="BOT34" s="49"/>
      <c r="BOU34" s="49"/>
      <c r="BOV34" s="49">
        <v>100</v>
      </c>
      <c r="BOW34" s="49"/>
      <c r="BOX34" s="127">
        <f>SUM(BOR34:BOW34)</f>
        <v>100</v>
      </c>
      <c r="BOY34" s="43">
        <f>BOX34/$BOY$5</f>
        <v>16.666666666666668</v>
      </c>
      <c r="BOZ34" s="48">
        <v>100</v>
      </c>
      <c r="BPA34" s="49"/>
      <c r="BPB34" s="49"/>
      <c r="BPC34" s="49"/>
      <c r="BPD34" s="49"/>
      <c r="BPE34" s="49"/>
      <c r="BPF34" s="127">
        <f>SUM(BOZ34:BPE34)</f>
        <v>100</v>
      </c>
      <c r="BPG34" s="43">
        <f>BPF34/$BPG$5</f>
        <v>16.666666666666668</v>
      </c>
      <c r="BPH34" s="48"/>
      <c r="BPI34" s="49">
        <v>100</v>
      </c>
      <c r="BPJ34" s="49"/>
      <c r="BPK34" s="49"/>
      <c r="BPL34" s="49"/>
      <c r="BPM34" s="49"/>
      <c r="BPN34" s="127">
        <f>SUM(BPH34:BPM34)</f>
        <v>100</v>
      </c>
      <c r="BPO34" s="43">
        <f>BPN34/$BPO$5</f>
        <v>16.666666666666668</v>
      </c>
      <c r="BPP34" s="48"/>
      <c r="BPQ34" s="49"/>
      <c r="BPR34" s="49"/>
      <c r="BPS34" s="49"/>
      <c r="BPT34" s="49">
        <v>99</v>
      </c>
      <c r="BPU34" s="49"/>
      <c r="BPV34" s="127">
        <f>SUM(BPP34:BPU34)</f>
        <v>99</v>
      </c>
      <c r="BPW34" s="43">
        <f>BPV34/$BPW$5</f>
        <v>16.5</v>
      </c>
      <c r="BPX34" s="48"/>
      <c r="BPY34" s="49"/>
      <c r="BPZ34" s="49">
        <v>40</v>
      </c>
      <c r="BQA34" s="49"/>
      <c r="BQB34" s="49"/>
      <c r="BQC34" s="49"/>
      <c r="BQD34" s="64">
        <f>SUM(BPX34:BQC34)</f>
        <v>40</v>
      </c>
      <c r="BQE34" s="43">
        <f>BQD34/$BQE$5</f>
        <v>6.666666666666667</v>
      </c>
      <c r="BQF34" s="48"/>
      <c r="BQG34" s="49">
        <v>110</v>
      </c>
      <c r="BQH34" s="49"/>
      <c r="BQI34" s="49"/>
      <c r="BQJ34" s="49"/>
      <c r="BQK34" s="49"/>
      <c r="BQL34" s="64">
        <f>SUM(BQF34:BQK34)</f>
        <v>110</v>
      </c>
      <c r="BQM34" s="43">
        <f>BQL34/$BQM$5</f>
        <v>18.333333333333332</v>
      </c>
      <c r="BQN34" s="48"/>
      <c r="BQO34" s="49">
        <v>104</v>
      </c>
      <c r="BQP34" s="49"/>
      <c r="BQQ34" s="49"/>
      <c r="BQR34" s="49"/>
      <c r="BQS34" s="49"/>
      <c r="BQT34" s="64">
        <f>SUM(BQN34:BQS34)</f>
        <v>104</v>
      </c>
      <c r="BQU34" s="43">
        <f>BQT34/$BQU$5</f>
        <v>17.333333333333332</v>
      </c>
      <c r="BQV34" s="48"/>
      <c r="BQW34" s="49"/>
      <c r="BQX34" s="49"/>
      <c r="BQY34" s="49"/>
      <c r="BQZ34" s="49"/>
      <c r="BRA34" s="49">
        <v>100</v>
      </c>
      <c r="BRB34" s="64">
        <f>SUM(BQV34:BRA34)</f>
        <v>100</v>
      </c>
      <c r="BRC34" s="43">
        <f>BRB34/$BRC$5</f>
        <v>16.666666666666668</v>
      </c>
      <c r="BRD34" s="48"/>
      <c r="BRE34" s="49"/>
      <c r="BRF34" s="49"/>
      <c r="BRG34" s="49"/>
      <c r="BRH34" s="49"/>
      <c r="BRI34" s="49"/>
      <c r="BRJ34" s="64">
        <f>SUM(BRD34:BRI34)</f>
        <v>0</v>
      </c>
      <c r="BRK34" s="43">
        <f>BRJ34/$BRK$5</f>
        <v>0</v>
      </c>
      <c r="BRL34" s="63">
        <v>110</v>
      </c>
      <c r="BRM34" s="64"/>
      <c r="BRN34" s="64"/>
      <c r="BRO34" s="64"/>
      <c r="BRP34" s="64">
        <v>111</v>
      </c>
      <c r="BRQ34" s="64"/>
      <c r="BRR34" s="64">
        <f>SUM(BRL34:BRQ34)</f>
        <v>221</v>
      </c>
      <c r="BRS34" s="68">
        <f>BRR34/$BRS$5</f>
        <v>36.833333333333336</v>
      </c>
      <c r="BRT34" s="63"/>
      <c r="BRU34" s="64"/>
      <c r="BRV34" s="64"/>
      <c r="BRW34" s="64"/>
      <c r="BRX34" s="64"/>
      <c r="BRY34" s="64"/>
      <c r="BRZ34" s="64">
        <f>SUM(BRT34:BRY34)</f>
        <v>0</v>
      </c>
      <c r="BSA34" s="43">
        <f>BRZ34/$BSA$5</f>
        <v>0</v>
      </c>
      <c r="BSB34" s="48"/>
      <c r="BSC34" s="49"/>
      <c r="BSD34" s="49"/>
      <c r="BSE34" s="49">
        <v>100</v>
      </c>
      <c r="BSF34" s="49"/>
      <c r="BSG34" s="49"/>
      <c r="BSH34" s="64">
        <f>SUM(BSB34:BSG34)</f>
        <v>100</v>
      </c>
      <c r="BSI34" s="43">
        <f>BSH34/$BSI$5</f>
        <v>16.666666666666668</v>
      </c>
      <c r="BSJ34" s="48"/>
      <c r="BSK34" s="49"/>
      <c r="BSL34" s="49">
        <v>111</v>
      </c>
      <c r="BSM34" s="49"/>
      <c r="BSN34" s="49"/>
      <c r="BSO34" s="49"/>
      <c r="BSP34" s="64">
        <f>SUM(BSJ34:BSO34)</f>
        <v>111</v>
      </c>
      <c r="BSQ34" s="43">
        <f>BSP34/$BSQ$5</f>
        <v>18.5</v>
      </c>
      <c r="BSR34" s="48"/>
      <c r="BSS34" s="49"/>
      <c r="BST34" s="49">
        <v>100</v>
      </c>
      <c r="BSU34" s="49"/>
      <c r="BSV34" s="49"/>
      <c r="BSW34" s="49"/>
      <c r="BSX34" s="64">
        <f>SUM(BSR34:BSW34)</f>
        <v>100</v>
      </c>
      <c r="BSY34" s="43">
        <f>BSX34/$BSY$5</f>
        <v>16.666666666666668</v>
      </c>
      <c r="BSZ34" s="48">
        <v>100</v>
      </c>
      <c r="BTA34" s="49"/>
      <c r="BTB34" s="49">
        <v>101</v>
      </c>
      <c r="BTC34" s="49"/>
      <c r="BTD34" s="49"/>
      <c r="BTE34" s="49"/>
      <c r="BTF34" s="64">
        <f>SUM(BSZ34:BTE34)</f>
        <v>201</v>
      </c>
      <c r="BTG34" s="43">
        <f>BTF34/$BTG$5</f>
        <v>33.5</v>
      </c>
      <c r="BTH34" s="48"/>
      <c r="BTI34" s="49"/>
      <c r="BTJ34" s="49"/>
      <c r="BTK34" s="49"/>
      <c r="BTL34" s="49"/>
      <c r="BTM34" s="49"/>
      <c r="BTN34" s="64">
        <f>SUM(BTH34:BTM34)</f>
        <v>0</v>
      </c>
      <c r="BTO34" s="68">
        <f>BTN34/$BTO$5</f>
        <v>0</v>
      </c>
      <c r="BTP34" s="48">
        <v>40</v>
      </c>
      <c r="BTQ34" s="49">
        <v>100</v>
      </c>
      <c r="BTR34" s="49"/>
      <c r="BTS34" s="49"/>
      <c r="BTT34" s="49"/>
      <c r="BTU34" s="49"/>
      <c r="BTV34" s="64">
        <f>SUM(BTP34:BTU34)</f>
        <v>140</v>
      </c>
      <c r="BTW34" s="43">
        <f>BTV34/$BTW$5</f>
        <v>23.333333333333332</v>
      </c>
      <c r="BTX34" s="48">
        <v>100</v>
      </c>
      <c r="BTY34" s="49"/>
      <c r="BTZ34" s="49"/>
      <c r="BUA34" s="49"/>
      <c r="BUB34" s="49"/>
      <c r="BUC34" s="49"/>
      <c r="BUD34" s="64">
        <f>SUM(BTX34:BUC34)</f>
        <v>100</v>
      </c>
      <c r="BUE34" s="68">
        <f>BUD34/$BUE$5</f>
        <v>16.666666666666668</v>
      </c>
      <c r="BUF34" s="48">
        <v>121</v>
      </c>
      <c r="BUG34" s="49"/>
      <c r="BUH34" s="49"/>
      <c r="BUI34" s="49"/>
      <c r="BUJ34" s="49"/>
      <c r="BUK34" s="49"/>
      <c r="BUL34" s="64">
        <f>SUM(BUF34:BUK34)</f>
        <v>121</v>
      </c>
      <c r="BUM34" s="68">
        <f>BUL34/$BUM$5</f>
        <v>20.166666666666668</v>
      </c>
      <c r="BUN34" s="48"/>
      <c r="BUO34" s="49"/>
      <c r="BUP34" s="49">
        <v>100</v>
      </c>
      <c r="BUQ34" s="49">
        <v>112</v>
      </c>
      <c r="BUR34" s="49"/>
      <c r="BUS34" s="49">
        <v>110</v>
      </c>
      <c r="BUT34" s="64">
        <f>SUM(BUN34:BUS34)</f>
        <v>322</v>
      </c>
      <c r="BUU34" s="68">
        <f>BUT34/$BUU$5</f>
        <v>53.666666666666664</v>
      </c>
      <c r="BUV34" s="48"/>
      <c r="BUW34" s="49"/>
      <c r="BUX34" s="49"/>
      <c r="BUY34" s="49"/>
      <c r="BUZ34" s="49">
        <v>93</v>
      </c>
      <c r="BVA34" s="49"/>
      <c r="BVB34" s="64">
        <f>SUM(BUV34:BVA34)</f>
        <v>93</v>
      </c>
      <c r="BVC34" s="68">
        <f>BVB34/$BVC$5</f>
        <v>15.5</v>
      </c>
      <c r="BVD34" s="48"/>
      <c r="BVE34" s="49"/>
      <c r="BVF34" s="49"/>
      <c r="BVG34" s="49">
        <v>100</v>
      </c>
      <c r="BVH34" s="49"/>
      <c r="BVI34" s="49"/>
      <c r="BVJ34" s="64">
        <f>SUM(BVD34:BVI34)</f>
        <v>100</v>
      </c>
      <c r="BVK34" s="68">
        <f>BVJ34/$BVK$5</f>
        <v>16.666666666666668</v>
      </c>
      <c r="BVL34" s="48">
        <v>101</v>
      </c>
      <c r="BVM34" s="49"/>
      <c r="BVN34" s="49"/>
      <c r="BVO34" s="49"/>
      <c r="BVP34" s="49"/>
      <c r="BVQ34" s="49"/>
      <c r="BVR34" s="64">
        <f>SUM(BVL34:BVQ34)</f>
        <v>101</v>
      </c>
      <c r="BVS34" s="68">
        <f>BVR34/$BVS$5</f>
        <v>16.833333333333332</v>
      </c>
      <c r="BVT34" s="48"/>
      <c r="BVU34" s="49"/>
      <c r="BVV34" s="49">
        <v>100</v>
      </c>
      <c r="BVW34" s="49"/>
      <c r="BVX34" s="49"/>
      <c r="BVY34" s="49">
        <v>100</v>
      </c>
      <c r="BVZ34" s="64">
        <f>SUM(BVT34:BVY34)</f>
        <v>200</v>
      </c>
      <c r="BWA34" s="68">
        <f>BVZ34/$BWA$5</f>
        <v>33.333333333333336</v>
      </c>
      <c r="BWB34" s="48"/>
      <c r="BWC34" s="49">
        <v>110</v>
      </c>
      <c r="BWD34" s="49"/>
      <c r="BWE34" s="49"/>
      <c r="BWF34" s="49">
        <v>70</v>
      </c>
      <c r="BWG34" s="49"/>
      <c r="BWH34" s="64">
        <f>SUM(BWB34:BWG34)</f>
        <v>180</v>
      </c>
      <c r="BWI34" s="68">
        <f>BWH34/$BWI$5</f>
        <v>30</v>
      </c>
      <c r="BWJ34" s="48"/>
      <c r="BWK34" s="49"/>
      <c r="BWL34" s="49"/>
      <c r="BWM34" s="49">
        <v>100</v>
      </c>
      <c r="BWN34" s="49"/>
      <c r="BWO34" s="49"/>
      <c r="BWP34" s="64">
        <f>SUM(BWJ34:BWO34)</f>
        <v>100</v>
      </c>
      <c r="BWQ34" s="68">
        <f>BWP34/$BWI$5</f>
        <v>16.666666666666668</v>
      </c>
      <c r="BWR34" s="48"/>
      <c r="BWS34" s="49">
        <v>240</v>
      </c>
      <c r="BWT34" s="49"/>
      <c r="BWU34" s="49"/>
      <c r="BWV34" s="49"/>
      <c r="BWW34" s="49"/>
      <c r="BWX34" s="64">
        <f>SUM(BWR34:BWW34)</f>
        <v>240</v>
      </c>
      <c r="BWY34" s="68">
        <f>BWX34/$BWY$5</f>
        <v>40</v>
      </c>
      <c r="BWZ34" s="48"/>
      <c r="BXA34" s="49"/>
      <c r="BXB34" s="49">
        <v>100</v>
      </c>
      <c r="BXC34" s="49"/>
      <c r="BXD34" s="49"/>
      <c r="BXE34" s="49"/>
      <c r="BXF34" s="64">
        <f>SUM(BWZ34:BXE34)</f>
        <v>100</v>
      </c>
      <c r="BXG34" s="68">
        <f>BXF34/$BXG$5</f>
        <v>16.666666666666668</v>
      </c>
      <c r="BXH34" s="48"/>
      <c r="BXI34" s="49">
        <v>100</v>
      </c>
      <c r="BXJ34" s="49"/>
      <c r="BXK34" s="49"/>
      <c r="BXL34" s="49"/>
      <c r="BXM34" s="49"/>
      <c r="BXN34" s="64">
        <f>SUM(BXH34:BXM34)</f>
        <v>100</v>
      </c>
      <c r="BXO34" s="68">
        <f>BXN34/$BXO$5</f>
        <v>16.666666666666668</v>
      </c>
      <c r="BXP34" s="63"/>
      <c r="BXQ34" s="64"/>
      <c r="BXR34" s="64"/>
      <c r="BXS34" s="64"/>
      <c r="BXT34" s="64"/>
      <c r="BXU34" s="64"/>
      <c r="BXV34" s="64">
        <f t="shared" ref="BXV34" si="1583">SUM(BXP34:BXU34)</f>
        <v>0</v>
      </c>
      <c r="BXW34" s="68">
        <f t="shared" ref="BXW34:BXW45" si="1584">BXV34/$BXW$5</f>
        <v>0</v>
      </c>
      <c r="BXX34" s="48"/>
      <c r="BXY34" s="49"/>
      <c r="BXZ34" s="49"/>
      <c r="BYA34" s="49"/>
      <c r="BYB34" s="49">
        <v>120</v>
      </c>
      <c r="BYC34" s="49"/>
      <c r="BYD34" s="64">
        <f>SUM(BXX34:BYC34)</f>
        <v>120</v>
      </c>
      <c r="BYE34" s="68">
        <f>BYD34/$BYE$5</f>
        <v>20</v>
      </c>
      <c r="BYF34" s="48">
        <v>42</v>
      </c>
      <c r="BYG34" s="49"/>
      <c r="BYH34" s="49"/>
      <c r="BYI34" s="49">
        <v>80</v>
      </c>
      <c r="BYJ34" s="49"/>
      <c r="BYK34" s="49"/>
      <c r="BYL34" s="64">
        <f>SUM(BYF34:BYK34)</f>
        <v>122</v>
      </c>
      <c r="BYM34" s="68">
        <f>BYL34/$BYM$5</f>
        <v>20.333333333333332</v>
      </c>
      <c r="BYN34" s="48"/>
      <c r="BYO34" s="49"/>
      <c r="BYP34" s="49"/>
      <c r="BYQ34" s="49">
        <v>99</v>
      </c>
      <c r="BYR34" s="49"/>
      <c r="BYS34" s="49">
        <v>100</v>
      </c>
      <c r="BYT34" s="64">
        <f>SUM(BYN34:BYS34)</f>
        <v>199</v>
      </c>
      <c r="BYU34" s="68">
        <f>BYT34/$BYU$5</f>
        <v>33.166666666666664</v>
      </c>
      <c r="BYV34" s="48"/>
      <c r="BYW34" s="49"/>
      <c r="BYX34" s="49">
        <v>160</v>
      </c>
      <c r="BYY34" s="49"/>
      <c r="BYZ34" s="49"/>
      <c r="BZA34" s="49">
        <v>220</v>
      </c>
      <c r="BZB34" s="64">
        <f>SUM(BYV34:BZA34)</f>
        <v>380</v>
      </c>
      <c r="BZC34" s="68">
        <f>BZB34/$BYU$5</f>
        <v>63.333333333333336</v>
      </c>
      <c r="BZD34" s="48"/>
      <c r="BZE34" s="49"/>
      <c r="BZF34" s="49"/>
      <c r="BZG34" s="49"/>
      <c r="BZH34" s="49"/>
      <c r="BZI34" s="49"/>
      <c r="BZJ34" s="64">
        <f>SUM(BZD34:BZI34)</f>
        <v>0</v>
      </c>
      <c r="BZK34" s="68">
        <f>BZJ34/$BZK$5</f>
        <v>0</v>
      </c>
      <c r="BZL34" s="48"/>
      <c r="BZM34" s="49">
        <v>222</v>
      </c>
      <c r="BZN34" s="49"/>
      <c r="BZO34" s="49"/>
      <c r="BZP34" s="49"/>
      <c r="BZQ34" s="49"/>
      <c r="BZR34" s="64">
        <f>SUM(BZL34:BZQ34)</f>
        <v>222</v>
      </c>
      <c r="BZS34" s="68">
        <f>BZR34/$BZS$5</f>
        <v>37</v>
      </c>
      <c r="BZT34" s="48"/>
      <c r="BZU34" s="49"/>
      <c r="BZV34" s="49"/>
      <c r="BZW34" s="49"/>
      <c r="BZX34" s="49"/>
      <c r="BZY34" s="49">
        <v>100</v>
      </c>
      <c r="BZZ34" s="64">
        <f>SUM(BZT34:BZY34)</f>
        <v>100</v>
      </c>
      <c r="CAA34" s="68">
        <f>BZZ34/$CAA$5</f>
        <v>16.666666666666668</v>
      </c>
      <c r="CAB34" s="48">
        <v>110</v>
      </c>
      <c r="CAC34" s="49"/>
      <c r="CAD34" s="49"/>
      <c r="CAE34" s="49"/>
      <c r="CAF34" s="49">
        <v>110</v>
      </c>
      <c r="CAG34" s="49"/>
      <c r="CAH34" s="64">
        <f>SUM(CAB34:CAG34)</f>
        <v>220</v>
      </c>
      <c r="CAI34" s="68">
        <f>CAH34/$CAI$5</f>
        <v>36.666666666666664</v>
      </c>
      <c r="CAJ34" s="48"/>
      <c r="CAK34" s="49"/>
      <c r="CAL34" s="49"/>
      <c r="CAM34" s="49"/>
      <c r="CAN34" s="49"/>
      <c r="CAO34" s="49"/>
      <c r="CAP34" s="64">
        <f>SUM(CAJ34:CAO34)</f>
        <v>0</v>
      </c>
      <c r="CAQ34" s="68">
        <f>CAP34/$CAQ$5</f>
        <v>0</v>
      </c>
      <c r="CAR34" s="48"/>
      <c r="CAS34" s="49"/>
      <c r="CAT34" s="49"/>
      <c r="CAU34" s="49"/>
      <c r="CAV34" s="49"/>
      <c r="CAW34" s="49"/>
      <c r="CAX34" s="64">
        <f>SUM(CAR34:CAW34)</f>
        <v>0</v>
      </c>
      <c r="CAY34" s="68">
        <f>CAX34/$CAY$5</f>
        <v>0</v>
      </c>
      <c r="CAZ34" s="48">
        <v>39</v>
      </c>
      <c r="CBA34" s="49"/>
      <c r="CBB34" s="49"/>
      <c r="CBC34" s="49">
        <v>40</v>
      </c>
      <c r="CBD34" s="49"/>
      <c r="CBE34" s="49"/>
      <c r="CBF34" s="64">
        <f>SUM(CAZ34:CBE34)</f>
        <v>79</v>
      </c>
      <c r="CBG34" s="68">
        <f>CBF34/$CBG$5</f>
        <v>13.166666666666666</v>
      </c>
      <c r="CBH34" s="48"/>
      <c r="CBI34" s="49"/>
      <c r="CBJ34" s="49">
        <v>100</v>
      </c>
      <c r="CBK34" s="49"/>
      <c r="CBL34" s="49">
        <v>40</v>
      </c>
      <c r="CBM34" s="49">
        <v>82</v>
      </c>
      <c r="CBN34" s="64">
        <f>SUM(CBH34:CBM34)</f>
        <v>222</v>
      </c>
      <c r="CBO34" s="68">
        <f>CBN34/$CBG$5</f>
        <v>37</v>
      </c>
      <c r="CBP34" s="48"/>
      <c r="CBQ34" s="49"/>
      <c r="CBR34" s="49"/>
      <c r="CBS34" s="49"/>
      <c r="CBT34" s="49"/>
      <c r="CBU34" s="49"/>
      <c r="CBV34" s="64">
        <f>SUM(CBP34:CBU34)</f>
        <v>0</v>
      </c>
      <c r="CBW34" s="68">
        <f>CBV34/$CBW$5</f>
        <v>0</v>
      </c>
      <c r="CBX34" s="48"/>
      <c r="CBY34" s="49">
        <v>122</v>
      </c>
      <c r="CBZ34" s="49"/>
      <c r="CCA34" s="49"/>
      <c r="CCB34" s="49"/>
      <c r="CCC34" s="49"/>
      <c r="CCD34" s="64">
        <f>SUM(CBX34:CCC34)</f>
        <v>122</v>
      </c>
      <c r="CCE34" s="68">
        <f>CCD34/$CCE$5</f>
        <v>20.333333333333332</v>
      </c>
      <c r="CCF34" s="48"/>
      <c r="CCG34" s="49"/>
      <c r="CCH34" s="49">
        <v>79</v>
      </c>
      <c r="CCI34" s="49"/>
      <c r="CCJ34" s="49"/>
      <c r="CCK34" s="49"/>
      <c r="CCL34" s="64">
        <f>SUM(CCF34:CCK34)</f>
        <v>79</v>
      </c>
      <c r="CCM34" s="68">
        <f>CCL34/$CCM$5</f>
        <v>13.166666666666666</v>
      </c>
      <c r="CCN34" s="48"/>
      <c r="CCO34" s="49"/>
      <c r="CCP34" s="49"/>
      <c r="CCQ34" s="49"/>
      <c r="CCR34" s="49"/>
      <c r="CCS34" s="49"/>
      <c r="CCT34" s="64">
        <f>SUM(CCN34:CCS34)</f>
        <v>0</v>
      </c>
      <c r="CCU34" s="68">
        <f>CCT34/$CCU$5</f>
        <v>0</v>
      </c>
      <c r="CCV34" s="48"/>
      <c r="CCW34" s="49"/>
      <c r="CCX34" s="49"/>
      <c r="CCY34" s="49"/>
      <c r="CCZ34" s="49"/>
      <c r="CDA34" s="49"/>
      <c r="CDB34" s="64">
        <f>SUM(CCV34:CDA34)</f>
        <v>0</v>
      </c>
      <c r="CDC34" s="68">
        <f>CDB34/$CDC$5</f>
        <v>0</v>
      </c>
      <c r="CDD34" s="48"/>
      <c r="CDE34" s="49">
        <v>20</v>
      </c>
      <c r="CDF34" s="49">
        <v>355</v>
      </c>
      <c r="CDG34" s="49">
        <v>531</v>
      </c>
      <c r="CDH34" s="49"/>
      <c r="CDI34" s="49">
        <v>620</v>
      </c>
      <c r="CDJ34" s="64">
        <f>SUM(CDD34:CDI34)</f>
        <v>1526</v>
      </c>
      <c r="CDK34" s="68">
        <f>CDJ34/$CDK$5</f>
        <v>254.33333333333334</v>
      </c>
      <c r="CDL34" s="48"/>
      <c r="CDM34" s="49"/>
      <c r="CDN34" s="49">
        <v>300</v>
      </c>
      <c r="CDO34" s="49"/>
      <c r="CDP34" s="49"/>
      <c r="CDQ34" s="49"/>
      <c r="CDR34" s="64">
        <f>SUM(CDL34:CDQ34)</f>
        <v>300</v>
      </c>
      <c r="CDS34" s="68">
        <f>CDR34/$CDS$5</f>
        <v>50</v>
      </c>
      <c r="CDT34" s="63"/>
      <c r="CDU34" s="64"/>
      <c r="CDV34" s="64">
        <v>330</v>
      </c>
      <c r="CDW34" s="64"/>
      <c r="CDX34" s="64"/>
      <c r="CDY34" s="64">
        <v>99</v>
      </c>
      <c r="CDZ34" s="64">
        <f>SUM(CDT34:CDY34)</f>
        <v>429</v>
      </c>
      <c r="CEA34" s="68">
        <f>CDZ34/$CEA$5</f>
        <v>71.5</v>
      </c>
      <c r="CEB34" s="48"/>
      <c r="CEC34" s="49"/>
      <c r="CED34" s="49"/>
      <c r="CEE34" s="49"/>
      <c r="CEF34" s="49"/>
      <c r="CEG34" s="49"/>
      <c r="CEH34" s="64">
        <f>SUM(CEB34:CEG34)</f>
        <v>0</v>
      </c>
      <c r="CEI34" s="68">
        <f>CEH34/$CEI$5</f>
        <v>0</v>
      </c>
      <c r="CEJ34" s="63"/>
      <c r="CEK34" s="64">
        <v>598</v>
      </c>
      <c r="CEL34" s="64"/>
      <c r="CEM34" s="64"/>
      <c r="CEN34" s="64"/>
      <c r="CEO34" s="64">
        <v>203</v>
      </c>
      <c r="CEP34" s="64">
        <f>SUM(CEJ34:CEO34)</f>
        <v>801</v>
      </c>
      <c r="CEQ34" s="68">
        <f>CEP34/$BXO$5</f>
        <v>133.5</v>
      </c>
      <c r="CER34" s="48">
        <v>653</v>
      </c>
      <c r="CES34" s="49"/>
      <c r="CET34" s="49"/>
      <c r="CEU34" s="49"/>
      <c r="CEV34" s="49"/>
      <c r="CEW34" s="49"/>
      <c r="CEX34" s="64">
        <f>SUM(CER34:CEW34)</f>
        <v>653</v>
      </c>
      <c r="CEY34" s="68">
        <f>CEX34/$CEY$5</f>
        <v>108.83333333333333</v>
      </c>
      <c r="CEZ34" s="48">
        <v>800</v>
      </c>
      <c r="CFA34" s="49"/>
      <c r="CFB34" s="49"/>
      <c r="CFC34" s="49">
        <v>423</v>
      </c>
      <c r="CFD34" s="49"/>
      <c r="CFE34" s="49"/>
      <c r="CFF34" s="64">
        <f>SUM(CEZ34:CFE34)</f>
        <v>1223</v>
      </c>
      <c r="CFG34" s="68">
        <f>CFF34/$CFG$5</f>
        <v>203.83333333333334</v>
      </c>
      <c r="CFH34" s="48"/>
      <c r="CFI34" s="49"/>
      <c r="CFJ34" s="49">
        <v>642</v>
      </c>
      <c r="CFK34" s="49"/>
      <c r="CFL34" s="49"/>
      <c r="CFM34" s="49"/>
      <c r="CFN34" s="64">
        <f>SUM(CFH34:CFM34)</f>
        <v>642</v>
      </c>
      <c r="CFO34" s="68">
        <f>CFN34/$BYM$5</f>
        <v>107</v>
      </c>
      <c r="CFP34" s="48"/>
      <c r="CFQ34" s="49"/>
      <c r="CFR34" s="49">
        <v>384</v>
      </c>
      <c r="CFS34" s="49"/>
      <c r="CFT34" s="49">
        <v>399</v>
      </c>
      <c r="CFU34" s="49"/>
      <c r="CFV34" s="64">
        <f>SUM(CFP34:CFU34)</f>
        <v>783</v>
      </c>
      <c r="CFW34" s="68">
        <f>CFV34/$CFW$5</f>
        <v>130.5</v>
      </c>
      <c r="CFX34" s="48">
        <v>644</v>
      </c>
      <c r="CFY34" s="49"/>
      <c r="CFZ34" s="49"/>
      <c r="CGA34" s="49">
        <v>503</v>
      </c>
      <c r="CGB34" s="49"/>
      <c r="CGC34" s="49"/>
      <c r="CGD34" s="64">
        <f>SUM(CFX34:CGC34)</f>
        <v>1147</v>
      </c>
      <c r="CGE34" s="68">
        <f>CGD34/$CGE$5</f>
        <v>191.16666666666666</v>
      </c>
      <c r="CGF34" s="48"/>
      <c r="CGG34" s="49">
        <v>247</v>
      </c>
      <c r="CGH34" s="49"/>
      <c r="CGI34" s="49">
        <v>388</v>
      </c>
      <c r="CGJ34" s="49"/>
      <c r="CGK34" s="49"/>
      <c r="CGL34" s="64">
        <f>SUM(CGF34:CGK34)</f>
        <v>635</v>
      </c>
      <c r="CGM34" s="68">
        <f>CGL34/$CGM$5</f>
        <v>105.83333333333333</v>
      </c>
      <c r="CGN34" s="72">
        <v>440</v>
      </c>
      <c r="CGO34" s="73"/>
      <c r="CGP34" s="73"/>
      <c r="CGQ34" s="73"/>
      <c r="CGR34" s="73"/>
      <c r="CGS34" s="73">
        <v>330</v>
      </c>
      <c r="CGT34" s="258">
        <f>SUM(CGN34:CGS34)</f>
        <v>770</v>
      </c>
      <c r="CGU34" s="100">
        <f>CGT34/$CGU$28</f>
        <v>128.33333333333334</v>
      </c>
      <c r="CGV34" s="63">
        <v>273</v>
      </c>
      <c r="CGW34" s="64"/>
      <c r="CGX34" s="64"/>
      <c r="CGY34" s="64"/>
      <c r="CGZ34" s="64"/>
      <c r="CHA34" s="64">
        <v>622</v>
      </c>
      <c r="CHB34" s="64">
        <f>SUM(CGV34:CHA34)</f>
        <v>895</v>
      </c>
      <c r="CHC34" s="68">
        <f>CHB34/$CHC$5</f>
        <v>149.16666666666666</v>
      </c>
      <c r="CHD34" s="48"/>
      <c r="CHE34" s="49"/>
      <c r="CHF34" s="49">
        <v>331</v>
      </c>
      <c r="CHG34" s="49"/>
      <c r="CHH34" s="49"/>
      <c r="CHI34" s="49"/>
      <c r="CHJ34" s="64">
        <f>SUM(CHD34:CHI34)</f>
        <v>331</v>
      </c>
      <c r="CHK34" s="68">
        <f>CHJ34/$CHK$5</f>
        <v>55.166666666666664</v>
      </c>
      <c r="CHL34" s="48">
        <v>568</v>
      </c>
      <c r="CHM34" s="49"/>
      <c r="CHN34" s="49">
        <v>396</v>
      </c>
      <c r="CHO34" s="49"/>
      <c r="CHP34" s="49">
        <v>439</v>
      </c>
      <c r="CHQ34" s="49"/>
      <c r="CHR34" s="64">
        <f>SUM(CHL34:CHQ34)</f>
        <v>1403</v>
      </c>
      <c r="CHS34" s="68">
        <f>CHR34/$CHS$5</f>
        <v>233.83333333333334</v>
      </c>
      <c r="CHT34" s="48"/>
      <c r="CHU34" s="49"/>
      <c r="CHV34" s="49">
        <v>561</v>
      </c>
      <c r="CHW34" s="49"/>
      <c r="CHX34" s="49"/>
      <c r="CHY34" s="49">
        <v>600</v>
      </c>
      <c r="CHZ34" s="64">
        <f>SUM(CHT34:CHY34)</f>
        <v>1161</v>
      </c>
      <c r="CIA34" s="68">
        <f>CHZ34/CIA$5</f>
        <v>193.5</v>
      </c>
      <c r="CIB34" s="63"/>
      <c r="CIC34" s="64">
        <v>1820</v>
      </c>
      <c r="CID34" s="64"/>
      <c r="CIE34" s="64"/>
      <c r="CIF34" s="64">
        <v>349</v>
      </c>
      <c r="CIG34" s="64"/>
      <c r="CIH34" s="64">
        <f>SUM(CIB34:CIG34)</f>
        <v>2169</v>
      </c>
      <c r="CII34" s="68">
        <f>CIH34/$CII$5</f>
        <v>361.5</v>
      </c>
      <c r="CIJ34" s="48"/>
      <c r="CIK34" s="49">
        <v>448</v>
      </c>
      <c r="CIL34" s="49"/>
      <c r="CIM34" s="49"/>
      <c r="CIN34" s="49"/>
      <c r="CIO34" s="49">
        <v>108</v>
      </c>
      <c r="CIP34" s="64">
        <f>SUM(CIJ34:CIO34)</f>
        <v>556</v>
      </c>
      <c r="CIQ34" s="68">
        <f>CIP34/$CIQ$5</f>
        <v>92.666666666666671</v>
      </c>
      <c r="CIR34" s="48"/>
      <c r="CIS34" s="49"/>
      <c r="CIT34" s="49"/>
      <c r="CIU34" s="49"/>
      <c r="CIV34" s="49"/>
      <c r="CIW34" s="49"/>
      <c r="CIX34" s="64">
        <f>SUM(CIR34:CIW34)</f>
        <v>0</v>
      </c>
      <c r="CIY34" s="68">
        <f>CIX34/$CIY$5</f>
        <v>0</v>
      </c>
      <c r="CIZ34" s="63"/>
      <c r="CJA34" s="64">
        <v>308</v>
      </c>
      <c r="CJB34" s="64"/>
      <c r="CJC34" s="64"/>
      <c r="CJD34" s="64"/>
      <c r="CJE34" s="64">
        <v>217</v>
      </c>
      <c r="CJF34" s="64">
        <f>SUM(CIZ34:CJE34)</f>
        <v>525</v>
      </c>
      <c r="CJG34" s="68">
        <f>CJF34/$CJG$28</f>
        <v>87.5</v>
      </c>
      <c r="CJH34" s="48">
        <v>330</v>
      </c>
      <c r="CJI34" s="49"/>
      <c r="CJJ34" s="49"/>
      <c r="CJK34" s="49"/>
      <c r="CJL34" s="49">
        <v>439</v>
      </c>
      <c r="CJM34" s="49"/>
      <c r="CJN34" s="64">
        <f>SUM(CJH34:CJM34)</f>
        <v>769</v>
      </c>
      <c r="CJO34" s="184">
        <f>CJN34/$CJO$5</f>
        <v>128.16666666666666</v>
      </c>
      <c r="CJP34" s="63"/>
      <c r="CJQ34" s="64">
        <v>659</v>
      </c>
      <c r="CJR34" s="64"/>
      <c r="CJS34" s="64"/>
      <c r="CJT34" s="64"/>
      <c r="CJU34" s="64"/>
      <c r="CJV34" s="64">
        <f>SUM(CJP34:CJU34)</f>
        <v>659</v>
      </c>
      <c r="CJW34" s="68">
        <f>CJV34/$CJW$5</f>
        <v>109.83333333333333</v>
      </c>
      <c r="CJX34" s="63"/>
      <c r="CJY34" s="64"/>
      <c r="CJZ34" s="64">
        <v>674</v>
      </c>
      <c r="CKA34" s="64"/>
      <c r="CKB34" s="64">
        <v>550</v>
      </c>
      <c r="CKC34" s="64"/>
      <c r="CKD34" s="64">
        <f>SUM(CJX34:CKC34)</f>
        <v>1224</v>
      </c>
      <c r="CKE34" s="68">
        <f>CKD34/$CKE$5</f>
        <v>204</v>
      </c>
      <c r="CKF34" s="63">
        <v>1197</v>
      </c>
      <c r="CKG34" s="64"/>
      <c r="CKH34" s="64"/>
      <c r="CKI34" s="64"/>
      <c r="CKJ34" s="64"/>
      <c r="CKK34" s="64">
        <v>993</v>
      </c>
      <c r="CKL34" s="64">
        <f>SUM(CKF34:CKK34)</f>
        <v>2190</v>
      </c>
      <c r="CKM34" s="68">
        <f>CKL34/$CKM$5</f>
        <v>365</v>
      </c>
      <c r="CKN34" s="48"/>
      <c r="CKO34" s="49">
        <v>600</v>
      </c>
      <c r="CKP34" s="49"/>
      <c r="CKQ34" s="49"/>
      <c r="CKR34" s="49"/>
      <c r="CKS34" s="49">
        <v>110</v>
      </c>
      <c r="CKT34" s="64">
        <f>SUM(CKN34:CKS34)</f>
        <v>710</v>
      </c>
      <c r="CKU34" s="68">
        <f>CKT34/$CKU$5</f>
        <v>118.33333333333333</v>
      </c>
      <c r="CKV34" s="48">
        <v>629</v>
      </c>
      <c r="CKW34" s="49"/>
      <c r="CKX34" s="49">
        <v>2175</v>
      </c>
      <c r="CKY34" s="49"/>
      <c r="CKZ34" s="49"/>
      <c r="CLA34" s="49"/>
      <c r="CLB34" s="64">
        <f>SUM(CKV34:CLA34)</f>
        <v>2804</v>
      </c>
      <c r="CLC34" s="68">
        <f>CLB34/$CLC$5</f>
        <v>467.33333333333331</v>
      </c>
      <c r="CLD34" s="48"/>
      <c r="CLE34" s="49"/>
      <c r="CLF34" s="49"/>
      <c r="CLG34" s="49">
        <v>299</v>
      </c>
      <c r="CLH34" s="49"/>
      <c r="CLI34" s="49"/>
      <c r="CLJ34" s="64">
        <f>SUM(CLD34:CLI34)</f>
        <v>299</v>
      </c>
      <c r="CLK34" s="68">
        <f>CLJ34/$CLK$5</f>
        <v>49.833333333333336</v>
      </c>
      <c r="CLL34" s="48">
        <v>600</v>
      </c>
      <c r="CLM34" s="49"/>
      <c r="CLN34" s="49"/>
      <c r="CLO34" s="49"/>
      <c r="CLP34" s="49"/>
      <c r="CLQ34" s="49"/>
      <c r="CLR34" s="64">
        <f>SUM(CLL34:CLQ34)</f>
        <v>600</v>
      </c>
      <c r="CLS34" s="68">
        <f>CLR34/$CLS$5</f>
        <v>100</v>
      </c>
      <c r="CLT34" s="48">
        <v>634</v>
      </c>
      <c r="CLU34" s="49"/>
      <c r="CLV34" s="49"/>
      <c r="CLW34" s="49"/>
      <c r="CLX34" s="49">
        <v>797</v>
      </c>
      <c r="CLY34" s="49"/>
      <c r="CLZ34" s="64">
        <f>SUM(CLT34:CLY34)</f>
        <v>1431</v>
      </c>
      <c r="CMA34" s="68">
        <f>CLZ34/$CMA$5</f>
        <v>238.5</v>
      </c>
      <c r="CMB34" s="48"/>
      <c r="CMC34" s="49"/>
      <c r="CMD34" s="49"/>
      <c r="CME34" s="49"/>
      <c r="CMF34" s="49"/>
      <c r="CMG34" s="49"/>
      <c r="CMH34" s="64">
        <f>SUM(CMB34:CMG34)</f>
        <v>0</v>
      </c>
      <c r="CMI34" s="68">
        <f>CMH34/$CMI$5</f>
        <v>0</v>
      </c>
      <c r="CMJ34" s="48"/>
      <c r="CMK34" s="49">
        <v>1398</v>
      </c>
      <c r="CML34" s="49"/>
      <c r="CMM34" s="49">
        <v>660</v>
      </c>
      <c r="CMN34" s="49"/>
      <c r="CMO34" s="49"/>
      <c r="CMP34" s="64">
        <f>SUM(CMJ34:CMO34)</f>
        <v>2058</v>
      </c>
      <c r="CMQ34" s="68">
        <f>CMP34/$CMQ$5</f>
        <v>343</v>
      </c>
      <c r="CMR34" s="48"/>
      <c r="CMS34" s="49">
        <v>146</v>
      </c>
      <c r="CMT34" s="49"/>
      <c r="CMU34" s="49"/>
      <c r="CMV34" s="49"/>
      <c r="CMW34" s="49">
        <v>614</v>
      </c>
      <c r="CMX34" s="64">
        <f>SUM(CMR34:CMW34)</f>
        <v>760</v>
      </c>
      <c r="CMY34" s="68">
        <f>CMX34/$CMY$5</f>
        <v>126.66666666666667</v>
      </c>
      <c r="CMZ34" s="48">
        <v>1099</v>
      </c>
      <c r="CNA34" s="49"/>
      <c r="CNB34" s="49"/>
      <c r="CNC34" s="49">
        <v>597</v>
      </c>
      <c r="CND34" s="49"/>
      <c r="CNE34" s="49"/>
      <c r="CNF34" s="64">
        <f>SUM(CMZ34:CNE34)</f>
        <v>1696</v>
      </c>
      <c r="CNG34" s="68">
        <f>CNF34/$CNG$5</f>
        <v>282.66666666666669</v>
      </c>
      <c r="CNH34" s="48"/>
      <c r="CNI34" s="49"/>
      <c r="CNJ34" s="49"/>
      <c r="CNK34" s="49"/>
      <c r="CNL34" s="49">
        <v>1015</v>
      </c>
      <c r="CNM34" s="49"/>
      <c r="CNN34" s="64">
        <f>SUM(CNH34:CNM34)</f>
        <v>1015</v>
      </c>
      <c r="CNO34" s="68">
        <f>CNN34/$CNO$5</f>
        <v>169.16666666666666</v>
      </c>
      <c r="CNP34" s="48">
        <v>551</v>
      </c>
      <c r="CNQ34" s="49"/>
      <c r="CNR34" s="49"/>
      <c r="CNS34" s="49">
        <v>331</v>
      </c>
      <c r="CNT34" s="49">
        <v>631</v>
      </c>
      <c r="CNU34" s="49"/>
      <c r="CNV34" s="64">
        <f>SUM(CNP34:CNU34)</f>
        <v>1513</v>
      </c>
      <c r="CNW34" s="68">
        <f>CNV34/$CNW$5</f>
        <v>252.16666666666666</v>
      </c>
      <c r="CNX34" s="48">
        <v>220</v>
      </c>
      <c r="CNY34" s="49"/>
      <c r="CNZ34" s="49"/>
      <c r="COA34" s="49">
        <v>220</v>
      </c>
      <c r="COB34" s="49">
        <v>1003</v>
      </c>
      <c r="COC34" s="49"/>
      <c r="COD34" s="64">
        <f>SUM(CNX34:COC34)</f>
        <v>1443</v>
      </c>
      <c r="COE34" s="68">
        <f>COD34/$COE$5</f>
        <v>240.5</v>
      </c>
      <c r="COF34" s="342"/>
      <c r="COG34" s="343"/>
      <c r="COH34" s="343"/>
      <c r="COI34" s="343"/>
      <c r="COJ34" s="343">
        <v>640</v>
      </c>
      <c r="COK34" s="343"/>
      <c r="COL34" s="64">
        <f>SUM(COF34:COK34)</f>
        <v>640</v>
      </c>
      <c r="COM34" s="68">
        <f>COL34/$COM$5</f>
        <v>106.66666666666667</v>
      </c>
      <c r="CON34" s="48"/>
      <c r="COO34" s="49">
        <v>995</v>
      </c>
      <c r="COP34" s="49"/>
      <c r="COQ34" s="49"/>
      <c r="COR34" s="49">
        <v>648</v>
      </c>
      <c r="COS34" s="49"/>
      <c r="COT34" s="64">
        <f>SUM(CON34:COS34)</f>
        <v>1643</v>
      </c>
      <c r="COU34" s="68">
        <f>COT34/$COU$5</f>
        <v>273.83333333333331</v>
      </c>
      <c r="COV34" s="48"/>
      <c r="COW34" s="49"/>
      <c r="COX34" s="49"/>
      <c r="COY34" s="49">
        <v>825</v>
      </c>
      <c r="COZ34" s="49"/>
      <c r="CPA34" s="49">
        <v>438</v>
      </c>
      <c r="CPB34" s="64">
        <f>SUM(COV34:CPA34)</f>
        <v>1263</v>
      </c>
      <c r="CPC34" s="68">
        <f>CPB34/$CPC$5</f>
        <v>210.5</v>
      </c>
      <c r="CPD34" s="342"/>
      <c r="CPE34" s="343">
        <v>970</v>
      </c>
      <c r="CPF34" s="343">
        <v>0</v>
      </c>
      <c r="CPG34" s="343">
        <v>0</v>
      </c>
      <c r="CPH34" s="343">
        <v>0</v>
      </c>
      <c r="CPI34" s="343">
        <v>819</v>
      </c>
      <c r="CPJ34" s="64">
        <f>SUM(CPD34:CPI34)</f>
        <v>1789</v>
      </c>
      <c r="CPK34" s="68">
        <f>CPJ34/$CPK$5</f>
        <v>298.16666666666669</v>
      </c>
      <c r="CPL34" s="48"/>
      <c r="CPM34" s="49">
        <v>0</v>
      </c>
      <c r="CPN34" s="49">
        <v>0</v>
      </c>
      <c r="CPO34" s="49"/>
      <c r="CPP34" s="49">
        <v>550</v>
      </c>
      <c r="CPQ34" s="49"/>
      <c r="CPR34" s="64">
        <f>SUM(CPL34:CPQ34)</f>
        <v>550</v>
      </c>
      <c r="CPS34" s="68">
        <f>CPR34/$CPS$5</f>
        <v>91.666666666666671</v>
      </c>
      <c r="CPT34" s="48">
        <v>57</v>
      </c>
      <c r="CPU34" s="49">
        <v>0</v>
      </c>
      <c r="CPV34" s="49">
        <v>515</v>
      </c>
      <c r="CPW34" s="49"/>
      <c r="CPX34" s="49">
        <v>0</v>
      </c>
      <c r="CPY34" s="49">
        <v>0</v>
      </c>
      <c r="CPZ34" s="64">
        <f>SUM(CPT34:CPY34)</f>
        <v>572</v>
      </c>
      <c r="CQA34" s="68">
        <f>CPZ34/$CQA$5</f>
        <v>95.333333333333329</v>
      </c>
      <c r="CQB34" s="342">
        <v>0</v>
      </c>
      <c r="CQC34" s="343">
        <v>0</v>
      </c>
      <c r="CQD34" s="343">
        <v>0</v>
      </c>
      <c r="CQE34" s="343">
        <v>0</v>
      </c>
      <c r="CQF34" s="343">
        <v>749</v>
      </c>
      <c r="CQG34" s="343">
        <v>0</v>
      </c>
      <c r="CQH34" s="64">
        <f>SUM(CQB34:CQG34)</f>
        <v>749</v>
      </c>
      <c r="CQI34" s="68">
        <f>CQH34/$CQI$5</f>
        <v>124.83333333333333</v>
      </c>
      <c r="CQJ34" s="342">
        <v>0</v>
      </c>
      <c r="CQK34" s="343">
        <v>571</v>
      </c>
      <c r="CQL34" s="343">
        <v>470</v>
      </c>
      <c r="CQM34" s="343">
        <v>0</v>
      </c>
      <c r="CQN34" s="343"/>
      <c r="CQO34" s="343"/>
      <c r="CQP34" s="64">
        <f>SUM(CQJ34:CQO34)</f>
        <v>1041</v>
      </c>
      <c r="CQQ34" s="68">
        <f>CQP34/$CQQ$5</f>
        <v>173.5</v>
      </c>
      <c r="CQR34" s="321"/>
      <c r="CQS34" s="322">
        <v>0</v>
      </c>
      <c r="CQT34" s="322">
        <v>0</v>
      </c>
      <c r="CQU34" s="322">
        <v>0</v>
      </c>
      <c r="CQV34" s="322">
        <v>0</v>
      </c>
      <c r="CQW34" s="322"/>
      <c r="CQX34" s="64">
        <f>SUM(CQR34:CQW34)</f>
        <v>0</v>
      </c>
      <c r="CQY34" s="68">
        <f>CQX34/$CQY$5</f>
        <v>0</v>
      </c>
      <c r="CQZ34" s="63">
        <v>422</v>
      </c>
      <c r="CRA34" s="64"/>
      <c r="CRB34" s="64">
        <v>0</v>
      </c>
      <c r="CRC34" s="64">
        <v>0</v>
      </c>
      <c r="CRD34" s="64">
        <v>766</v>
      </c>
      <c r="CRE34" s="64">
        <v>0</v>
      </c>
      <c r="CRF34" s="64">
        <f>SUM(CQZ34:CRE34)</f>
        <v>1188</v>
      </c>
      <c r="CRG34" s="68">
        <f>CRF34/$CRG$5</f>
        <v>198</v>
      </c>
      <c r="CRH34" s="48">
        <v>620</v>
      </c>
      <c r="CRI34" s="49">
        <v>0</v>
      </c>
      <c r="CRJ34" s="49">
        <v>0</v>
      </c>
      <c r="CRK34" s="49">
        <v>0</v>
      </c>
      <c r="CRL34" s="49">
        <v>0</v>
      </c>
      <c r="CRM34" s="49">
        <v>475</v>
      </c>
      <c r="CRN34" s="64">
        <f>SUM(CRH34:CRM34)</f>
        <v>1095</v>
      </c>
      <c r="CRO34" s="68">
        <f>CRN34/$CRO$5</f>
        <v>182.5</v>
      </c>
      <c r="CRP34" s="188"/>
      <c r="CRQ34" s="49">
        <v>0</v>
      </c>
      <c r="CRR34" s="49">
        <v>0</v>
      </c>
      <c r="CRS34" s="49">
        <v>1254</v>
      </c>
      <c r="CRT34" s="49">
        <v>0</v>
      </c>
      <c r="CRU34" s="49">
        <v>0</v>
      </c>
      <c r="CRV34" s="49">
        <f>SUM(CRP34:CRU34)</f>
        <v>1254</v>
      </c>
      <c r="CRW34" s="68">
        <f>CRV34/$CRW$5</f>
        <v>209</v>
      </c>
      <c r="CRX34" s="342">
        <v>0</v>
      </c>
      <c r="CRY34" s="343">
        <v>0</v>
      </c>
      <c r="CRZ34" s="343">
        <v>0</v>
      </c>
      <c r="CSA34" s="343">
        <v>0</v>
      </c>
      <c r="CSB34" s="343">
        <v>0</v>
      </c>
      <c r="CSC34" s="343">
        <v>441</v>
      </c>
      <c r="CSD34" s="64">
        <f>SUM(CRX34:CSC34)</f>
        <v>441</v>
      </c>
      <c r="CSE34" s="68">
        <f>CSD34/$CSE$5</f>
        <v>73.5</v>
      </c>
      <c r="CSF34" s="63">
        <v>0</v>
      </c>
      <c r="CSG34" s="64">
        <v>0</v>
      </c>
      <c r="CSH34" s="64">
        <v>623</v>
      </c>
      <c r="CSI34" s="64">
        <v>7</v>
      </c>
      <c r="CSJ34" s="64">
        <v>1134</v>
      </c>
      <c r="CSK34" s="360">
        <f>SUMIF(SUMPK!$B:$B,$B:$B,SUMPK!$O:$O)</f>
        <v>0</v>
      </c>
      <c r="CSL34" s="64">
        <f>SUM(CSF34:CSK34)</f>
        <v>1764</v>
      </c>
      <c r="CSM34" s="68">
        <f>CSL34/$CSM$5</f>
        <v>294</v>
      </c>
      <c r="CSN34" s="48">
        <v>0</v>
      </c>
      <c r="CSO34" s="49">
        <v>0</v>
      </c>
      <c r="CSP34" s="49">
        <v>0</v>
      </c>
      <c r="CSQ34" s="49"/>
      <c r="CSR34" s="49">
        <v>1196</v>
      </c>
      <c r="CSS34" s="49">
        <v>0</v>
      </c>
      <c r="CST34" s="64">
        <f t="shared" ref="CST34" si="1585">SUM(CSN34:CSS34)</f>
        <v>1196</v>
      </c>
      <c r="CSU34" s="68">
        <f>CST34/$CSU$5</f>
        <v>199.33333333333334</v>
      </c>
      <c r="CSV34" s="48">
        <v>0</v>
      </c>
      <c r="CSW34" s="49">
        <v>0</v>
      </c>
      <c r="CSX34" s="49">
        <v>430</v>
      </c>
      <c r="CSY34" s="49">
        <v>0</v>
      </c>
      <c r="CSZ34" s="49">
        <v>0</v>
      </c>
      <c r="CTA34" s="49">
        <v>220</v>
      </c>
      <c r="CTB34" s="64">
        <f t="shared" ref="CTB34" si="1586">SUM(CSV34:CTA34)</f>
        <v>650</v>
      </c>
      <c r="CTC34" s="68">
        <f>CTB34/$CTC$5</f>
        <v>108.33333333333333</v>
      </c>
      <c r="CTD34" s="48">
        <v>0</v>
      </c>
      <c r="CTE34" s="49">
        <v>0</v>
      </c>
      <c r="CTF34" s="49">
        <v>0</v>
      </c>
      <c r="CTG34" s="49">
        <v>223</v>
      </c>
      <c r="CTH34" s="49"/>
      <c r="CTI34" s="49"/>
      <c r="CTJ34" s="64">
        <f>SUM(CTD34:CTI34)</f>
        <v>223</v>
      </c>
      <c r="CTK34" s="68">
        <f>CTJ34/$CTK$5</f>
        <v>37.166666666666664</v>
      </c>
      <c r="CTL34" s="48">
        <v>0</v>
      </c>
      <c r="CTM34" s="49">
        <v>795</v>
      </c>
      <c r="CTN34" s="49"/>
      <c r="CTO34" s="49"/>
      <c r="CTP34" s="49"/>
      <c r="CTQ34" s="49"/>
      <c r="CTR34" s="64">
        <f>SUM(CTL34:CTQ34)</f>
        <v>795</v>
      </c>
      <c r="CTS34" s="68">
        <f>CTR34/$CTS$5</f>
        <v>132.5</v>
      </c>
      <c r="CTT34" s="321"/>
      <c r="CTU34" s="322">
        <v>881</v>
      </c>
      <c r="CTV34" s="322"/>
      <c r="CTW34" s="322"/>
      <c r="CTX34" s="322"/>
      <c r="CTY34" s="322"/>
      <c r="CTZ34" s="64">
        <f>SUM(CTT34:CTY34)</f>
        <v>881</v>
      </c>
      <c r="CUA34" s="68">
        <f>CTZ34/$CUA$5</f>
        <v>146.83333333333334</v>
      </c>
      <c r="CUB34" s="342">
        <v>110</v>
      </c>
      <c r="CUC34" s="343">
        <v>787</v>
      </c>
      <c r="CUD34" s="343"/>
      <c r="CUE34" s="343"/>
      <c r="CUF34" s="343">
        <v>0</v>
      </c>
      <c r="CUG34" s="343">
        <v>0</v>
      </c>
      <c r="CUH34" s="64">
        <f>SUM(CUB34:CUG34)</f>
        <v>897</v>
      </c>
      <c r="CUI34" s="68">
        <f>CUH34/$CUI$5</f>
        <v>149.5</v>
      </c>
      <c r="CUJ34" s="48">
        <v>569</v>
      </c>
      <c r="CUK34" s="49">
        <v>0</v>
      </c>
      <c r="CUL34" s="49">
        <v>444</v>
      </c>
      <c r="CUM34" s="49">
        <v>0</v>
      </c>
      <c r="CUN34" s="49">
        <v>0</v>
      </c>
      <c r="CUO34" s="49">
        <v>220</v>
      </c>
      <c r="CUP34" s="64">
        <f>SUM(CUJ34:CUO34)</f>
        <v>1233</v>
      </c>
      <c r="CUQ34" s="68">
        <f>CUP34/$CUQ$5</f>
        <v>205.5</v>
      </c>
      <c r="CUR34" s="48">
        <v>0</v>
      </c>
      <c r="CUS34" s="49"/>
      <c r="CUT34" s="49">
        <v>634</v>
      </c>
      <c r="CUU34" s="49">
        <v>0</v>
      </c>
      <c r="CUV34" s="49">
        <v>0</v>
      </c>
      <c r="CUW34" s="49">
        <v>413</v>
      </c>
      <c r="CUX34" s="64">
        <f>SUM(CUR34:CUW34)</f>
        <v>1047</v>
      </c>
      <c r="CUY34" s="68">
        <f>CUX34/$CUY$5</f>
        <v>174.5</v>
      </c>
      <c r="CUZ34" s="342">
        <v>0</v>
      </c>
      <c r="CVA34" s="343">
        <v>0</v>
      </c>
      <c r="CVB34" s="343"/>
      <c r="CVC34" s="343">
        <v>0</v>
      </c>
      <c r="CVD34" s="343">
        <v>0</v>
      </c>
      <c r="CVE34" s="343">
        <v>701</v>
      </c>
      <c r="CVF34" s="64">
        <f>SUM(CUZ34:CVE34)</f>
        <v>701</v>
      </c>
      <c r="CVG34" s="68">
        <f>CVF34/$CVG$5</f>
        <v>116.83333333333333</v>
      </c>
      <c r="CVH34" s="48">
        <v>0</v>
      </c>
      <c r="CVI34" s="49">
        <v>756</v>
      </c>
      <c r="CVJ34" s="49">
        <v>0</v>
      </c>
      <c r="CVK34" s="49">
        <v>0</v>
      </c>
      <c r="CVL34" s="49">
        <v>331</v>
      </c>
      <c r="CVM34" s="49"/>
      <c r="CVN34" s="64">
        <f>SUM(CVH34:CVM34)</f>
        <v>1087</v>
      </c>
      <c r="CVO34" s="68">
        <f>CVN34/$CVO$5</f>
        <v>181.16666666666666</v>
      </c>
      <c r="CVP34" s="48">
        <v>0</v>
      </c>
      <c r="CVQ34" s="49">
        <v>0</v>
      </c>
      <c r="CVR34" s="49">
        <v>0</v>
      </c>
      <c r="CVS34" s="49">
        <v>0</v>
      </c>
      <c r="CVT34" s="49">
        <v>0</v>
      </c>
      <c r="CVU34" s="49">
        <v>500</v>
      </c>
      <c r="CVV34" s="64">
        <f>SUM(CVP34:CVU34)</f>
        <v>500</v>
      </c>
      <c r="CVW34" s="68">
        <f>CVV34/$CVW$5</f>
        <v>83.333333333333329</v>
      </c>
      <c r="CVX34" s="54">
        <v>0</v>
      </c>
      <c r="CVY34" s="127">
        <v>0</v>
      </c>
      <c r="CVZ34" s="127">
        <v>660</v>
      </c>
      <c r="CWA34" s="127">
        <v>0</v>
      </c>
      <c r="CWB34" s="127">
        <v>0</v>
      </c>
      <c r="CWC34" s="127">
        <v>110</v>
      </c>
      <c r="CWD34" s="64">
        <f>SUM(CVX34:CWC34)</f>
        <v>770</v>
      </c>
      <c r="CWE34" s="68">
        <f>CWD34/$CWE$5</f>
        <v>128.33333333333334</v>
      </c>
      <c r="CWF34" s="342">
        <v>383</v>
      </c>
      <c r="CWG34" s="343">
        <v>0</v>
      </c>
      <c r="CWH34" s="343">
        <v>799</v>
      </c>
      <c r="CWI34" s="343">
        <v>0</v>
      </c>
      <c r="CWJ34" s="343">
        <v>440</v>
      </c>
      <c r="CWK34" s="64"/>
      <c r="CWL34" s="64">
        <f>SUM(CWF34:CWK34)</f>
        <v>1622</v>
      </c>
      <c r="CWM34" s="68">
        <f>CWL34/$CWM$5</f>
        <v>270.33333333333331</v>
      </c>
      <c r="CWN34" s="48">
        <v>0</v>
      </c>
      <c r="CWO34" s="49">
        <v>25</v>
      </c>
      <c r="CWP34" s="49">
        <v>801</v>
      </c>
      <c r="CWQ34" s="49">
        <v>0</v>
      </c>
      <c r="CWR34" s="49">
        <v>661</v>
      </c>
      <c r="CWS34" s="49">
        <v>0</v>
      </c>
      <c r="CWT34" s="64">
        <f>SUM(CWN34:CWS34)</f>
        <v>1487</v>
      </c>
      <c r="CWU34" s="68">
        <f>CWT34/$CWU$5</f>
        <v>247.83333333333334</v>
      </c>
      <c r="CWV34" s="48">
        <v>220</v>
      </c>
      <c r="CWW34" s="49">
        <v>0</v>
      </c>
      <c r="CWX34" s="49">
        <v>0</v>
      </c>
      <c r="CWY34" s="49"/>
      <c r="CWZ34" s="49">
        <v>330</v>
      </c>
      <c r="CXA34" s="49">
        <v>0</v>
      </c>
      <c r="CXB34" s="127">
        <f>SUM(CWV34:CXA34)</f>
        <v>550</v>
      </c>
      <c r="CXC34" s="43">
        <f>CXB34/$CXC$5</f>
        <v>91.666666666666671</v>
      </c>
      <c r="CXD34" s="48">
        <v>880</v>
      </c>
      <c r="CXE34" s="49">
        <v>0</v>
      </c>
      <c r="CXF34" s="49">
        <v>0</v>
      </c>
      <c r="CXG34" s="49">
        <v>0</v>
      </c>
      <c r="CXH34" s="49">
        <v>521</v>
      </c>
      <c r="CXI34" s="49">
        <v>0</v>
      </c>
      <c r="CXJ34" s="127">
        <f>SUM(CXD34:CXI34)</f>
        <v>1401</v>
      </c>
      <c r="CXK34" s="43">
        <f>CXJ34/$CXK$5</f>
        <v>233.5</v>
      </c>
      <c r="CXL34" s="48">
        <v>0</v>
      </c>
      <c r="CXM34" s="49">
        <v>1190</v>
      </c>
      <c r="CXN34" s="49">
        <v>0</v>
      </c>
      <c r="CXO34" s="49">
        <v>0</v>
      </c>
      <c r="CXP34" s="49">
        <v>0</v>
      </c>
      <c r="CXQ34" s="49">
        <v>597</v>
      </c>
      <c r="CXR34" s="127">
        <f>SUM(CXL34:CXQ34)</f>
        <v>1787</v>
      </c>
      <c r="CXS34" s="43">
        <f>CXR34/$CXS$5</f>
        <v>297.83333333333331</v>
      </c>
      <c r="CXT34" s="48">
        <v>603</v>
      </c>
      <c r="CXU34" s="49">
        <v>221</v>
      </c>
      <c r="CXV34" s="49">
        <v>0</v>
      </c>
      <c r="CXW34" s="49"/>
      <c r="CXX34" s="49">
        <v>0</v>
      </c>
      <c r="CXY34" s="49">
        <v>0</v>
      </c>
      <c r="CXZ34" s="127">
        <f>SUM(CXT34:CXY34)</f>
        <v>824</v>
      </c>
      <c r="CYA34" s="43">
        <f>CXZ34/$CYA$5</f>
        <v>137.33333333333334</v>
      </c>
      <c r="CYB34" s="48">
        <v>0</v>
      </c>
      <c r="CYC34" s="49">
        <v>780</v>
      </c>
      <c r="CYD34" s="49">
        <v>0</v>
      </c>
      <c r="CYE34" s="49">
        <v>0</v>
      </c>
      <c r="CYF34" s="49">
        <v>0</v>
      </c>
      <c r="CYG34" s="49">
        <v>220</v>
      </c>
      <c r="CYH34" s="127">
        <f>SUM(CYB34:CYG34)</f>
        <v>1000</v>
      </c>
      <c r="CYI34" s="43">
        <f>CYH34/$CYI$5</f>
        <v>166.66666666666666</v>
      </c>
      <c r="CYJ34" s="48"/>
      <c r="CYK34" s="49">
        <v>0</v>
      </c>
      <c r="CYL34" s="49">
        <v>0</v>
      </c>
      <c r="CYM34" s="49">
        <v>0</v>
      </c>
      <c r="CYN34" s="49">
        <v>0</v>
      </c>
      <c r="CYO34" s="49">
        <v>411</v>
      </c>
      <c r="CYP34" s="127">
        <f>SUM(CYJ34:CYO34)</f>
        <v>411</v>
      </c>
      <c r="CYQ34" s="43">
        <f>CYP34/$CYQ$5</f>
        <v>68.5</v>
      </c>
      <c r="CYR34" s="48">
        <v>0</v>
      </c>
      <c r="CYS34" s="49">
        <v>0</v>
      </c>
      <c r="CYT34" s="49">
        <v>0</v>
      </c>
      <c r="CYU34" s="49">
        <v>537</v>
      </c>
      <c r="CYV34" s="49">
        <v>0</v>
      </c>
      <c r="CYW34" s="49">
        <v>670</v>
      </c>
      <c r="CYX34" s="127">
        <f>SUM(CYR34:CYW34)</f>
        <v>1207</v>
      </c>
      <c r="CYY34" s="43">
        <f>CYX34/$CYY$5</f>
        <v>201.16666666666666</v>
      </c>
      <c r="CYZ34" s="48"/>
      <c r="CZA34" s="49">
        <v>0</v>
      </c>
      <c r="CZB34" s="49">
        <v>440</v>
      </c>
      <c r="CZC34" s="49">
        <v>0</v>
      </c>
      <c r="CZD34" s="49">
        <v>653</v>
      </c>
      <c r="CZE34" s="49">
        <v>0</v>
      </c>
      <c r="CZF34" s="127">
        <f>SUM(CYZ34:CZE34)</f>
        <v>1093</v>
      </c>
      <c r="CZG34" s="43">
        <f>CZF34/$CZG$5</f>
        <v>218.6</v>
      </c>
      <c r="CZH34" s="342">
        <v>661</v>
      </c>
      <c r="CZI34" s="343">
        <v>0</v>
      </c>
      <c r="CZJ34" s="343">
        <v>0</v>
      </c>
      <c r="CZK34" s="343">
        <v>0</v>
      </c>
      <c r="CZL34" s="343">
        <v>578</v>
      </c>
      <c r="CZM34" s="343">
        <v>0</v>
      </c>
      <c r="CZN34" s="127">
        <f>SUM(CZH34:CZM34)</f>
        <v>1239</v>
      </c>
      <c r="CZO34" s="43">
        <f>CZN34/$CZO$5</f>
        <v>206.5</v>
      </c>
      <c r="CZP34" s="342"/>
      <c r="CZQ34" s="343">
        <v>176</v>
      </c>
      <c r="CZR34" s="343"/>
      <c r="CZS34" s="343">
        <v>983</v>
      </c>
      <c r="CZT34" s="343">
        <v>0</v>
      </c>
      <c r="CZU34" s="343">
        <v>0</v>
      </c>
      <c r="CZV34" s="127">
        <f>SUM(CZP34:CZU34)</f>
        <v>1159</v>
      </c>
      <c r="CZW34" s="43">
        <f>CZV34/$CZW$5</f>
        <v>193.16666666666666</v>
      </c>
      <c r="CZX34" s="63">
        <v>0</v>
      </c>
      <c r="CZY34" s="64">
        <v>0</v>
      </c>
      <c r="CZZ34" s="64">
        <v>0</v>
      </c>
      <c r="DAA34" s="64">
        <v>0</v>
      </c>
      <c r="DAB34" s="64"/>
      <c r="DAC34" s="64">
        <v>100</v>
      </c>
      <c r="DAD34" s="64">
        <f>SUM(CZX34:DAC34)</f>
        <v>100</v>
      </c>
      <c r="DAE34" s="68">
        <f>DAD34/$DAE$5</f>
        <v>16.666666666666668</v>
      </c>
      <c r="DAF34" s="342">
        <v>0</v>
      </c>
      <c r="DAG34" s="343">
        <v>53</v>
      </c>
      <c r="DAH34" s="343">
        <v>0</v>
      </c>
      <c r="DAI34" s="343">
        <v>0</v>
      </c>
      <c r="DAJ34" s="343">
        <v>329</v>
      </c>
      <c r="DAK34" s="343">
        <v>0</v>
      </c>
      <c r="DAL34" s="64">
        <f>SUM(DAF34:DAK34)</f>
        <v>382</v>
      </c>
      <c r="DAM34" s="68">
        <f>DAL34/$DAM$5</f>
        <v>63.666666666666664</v>
      </c>
      <c r="DAN34" s="63">
        <v>0</v>
      </c>
      <c r="DAO34" s="64">
        <v>0</v>
      </c>
      <c r="DAP34" s="64">
        <v>600</v>
      </c>
      <c r="DAQ34" s="64">
        <v>0</v>
      </c>
      <c r="DAR34" s="64">
        <v>0</v>
      </c>
      <c r="DAS34" s="64">
        <v>0</v>
      </c>
      <c r="DAT34" s="64">
        <f>SUM(DAN34:DAS34)</f>
        <v>600</v>
      </c>
      <c r="DAU34" s="68">
        <f>DAT34/$DAU$5</f>
        <v>100</v>
      </c>
      <c r="DAV34" s="342"/>
      <c r="DAW34" s="343">
        <v>951</v>
      </c>
      <c r="DAX34" s="343">
        <v>0</v>
      </c>
      <c r="DAY34" s="343">
        <v>330</v>
      </c>
      <c r="DAZ34" s="343">
        <v>0</v>
      </c>
      <c r="DBA34" s="343">
        <v>736</v>
      </c>
      <c r="DBB34" s="64">
        <f>SUM(DAV34:DBA34)</f>
        <v>2017</v>
      </c>
      <c r="DBC34" s="68">
        <f>DBB34/$DBC$5</f>
        <v>336.16666666666669</v>
      </c>
      <c r="DBD34" s="48"/>
      <c r="DBE34" s="49">
        <v>0</v>
      </c>
      <c r="DBF34" s="49">
        <v>0</v>
      </c>
      <c r="DBG34" s="49">
        <v>660</v>
      </c>
      <c r="DBH34" s="49">
        <v>0</v>
      </c>
      <c r="DBI34" s="49">
        <v>0</v>
      </c>
      <c r="DBJ34" s="64">
        <f>SUM(DBD34:DBI34)</f>
        <v>660</v>
      </c>
      <c r="DBK34" s="68">
        <f>DBJ34/$DBK$5</f>
        <v>110</v>
      </c>
      <c r="DBL34" s="48">
        <v>110</v>
      </c>
      <c r="DBM34" s="49">
        <v>0</v>
      </c>
      <c r="DBN34" s="49">
        <v>0</v>
      </c>
      <c r="DBO34" s="49">
        <v>680</v>
      </c>
      <c r="DBP34" s="49"/>
      <c r="DBQ34" s="49">
        <v>572</v>
      </c>
      <c r="DBR34" s="64">
        <f>SUM(DBL34:DBQ34)</f>
        <v>1362</v>
      </c>
      <c r="DBS34" s="68">
        <f>DBR34/$DBS$5</f>
        <v>227</v>
      </c>
      <c r="DBT34" s="48">
        <v>0</v>
      </c>
      <c r="DBU34" s="49"/>
      <c r="DBV34" s="49"/>
      <c r="DBW34" s="49"/>
      <c r="DBX34" s="49"/>
      <c r="DBY34" s="49"/>
      <c r="DBZ34" s="64">
        <f>SUM(DBT34:DBY34)</f>
        <v>0</v>
      </c>
      <c r="DCA34" s="68">
        <f>DBZ34/$DCA$5</f>
        <v>0</v>
      </c>
      <c r="DCB34" s="48"/>
      <c r="DCC34" s="49">
        <v>224</v>
      </c>
      <c r="DCD34" s="49">
        <v>849</v>
      </c>
      <c r="DCE34" s="49">
        <v>0</v>
      </c>
      <c r="DCF34" s="49">
        <v>0</v>
      </c>
      <c r="DCG34" s="49">
        <v>0</v>
      </c>
      <c r="DCH34" s="64">
        <f>SUM(DCB34:DCG34)</f>
        <v>1073</v>
      </c>
      <c r="DCI34" s="68">
        <f>DCH34/$DCI$5</f>
        <v>178.83333333333334</v>
      </c>
      <c r="DCJ34" s="342">
        <v>1415</v>
      </c>
      <c r="DCK34" s="343">
        <v>0</v>
      </c>
      <c r="DCL34" s="343">
        <v>0</v>
      </c>
      <c r="DCM34" s="343">
        <v>0</v>
      </c>
      <c r="DCN34" s="343">
        <v>0</v>
      </c>
      <c r="DCO34" s="343">
        <v>0</v>
      </c>
      <c r="DCP34" s="64">
        <f>SUM(DCJ34:DCO34)</f>
        <v>1415</v>
      </c>
      <c r="DCQ34" s="68">
        <f>DCP34/$DCQ$5</f>
        <v>235.83333333333334</v>
      </c>
      <c r="DCR34" s="48">
        <v>639</v>
      </c>
      <c r="DCS34" s="49">
        <v>0</v>
      </c>
      <c r="DCT34" s="49">
        <v>330</v>
      </c>
      <c r="DCU34" s="49">
        <v>0</v>
      </c>
      <c r="DCV34" s="49">
        <v>0</v>
      </c>
      <c r="DCW34" s="49">
        <v>0</v>
      </c>
      <c r="DCX34" s="64">
        <f>SUM(DCR34:DCW34)</f>
        <v>969</v>
      </c>
      <c r="DCY34" s="68">
        <f>DCX34/$DCY$5</f>
        <v>161.5</v>
      </c>
      <c r="DCZ34" s="342">
        <v>0</v>
      </c>
      <c r="DDA34" s="343">
        <v>110</v>
      </c>
      <c r="DDB34" s="343">
        <v>0</v>
      </c>
      <c r="DDC34" s="343">
        <v>800</v>
      </c>
      <c r="DDD34" s="343">
        <v>0</v>
      </c>
      <c r="DDE34" s="343">
        <v>441</v>
      </c>
      <c r="DDF34" s="64">
        <f>SUM(DCZ34:DDE34)</f>
        <v>1351</v>
      </c>
      <c r="DDG34" s="68">
        <f>DDF34/$DDG$5</f>
        <v>225.16666666666666</v>
      </c>
      <c r="DDH34" s="54">
        <v>0</v>
      </c>
      <c r="DDI34" s="127"/>
      <c r="DDJ34" s="127">
        <v>221</v>
      </c>
      <c r="DDK34" s="127">
        <v>0</v>
      </c>
      <c r="DDL34" s="127">
        <v>0</v>
      </c>
      <c r="DDM34" s="127">
        <v>0</v>
      </c>
      <c r="DDN34" s="127">
        <f>SUM(DDH34:DDM34)</f>
        <v>221</v>
      </c>
      <c r="DDO34" s="43">
        <f>DDN34/$DDO$5</f>
        <v>36.833333333333336</v>
      </c>
      <c r="DDP34" s="48">
        <v>0</v>
      </c>
      <c r="DDQ34" s="49">
        <v>0</v>
      </c>
      <c r="DDR34" s="49">
        <v>0</v>
      </c>
      <c r="DDS34" s="49">
        <v>0</v>
      </c>
      <c r="DDT34" s="49">
        <v>808</v>
      </c>
      <c r="DDU34" s="49"/>
      <c r="DDV34" s="127">
        <f>SUM(DDP34:DDU34)</f>
        <v>808</v>
      </c>
      <c r="DDW34" s="43">
        <f>DDV34/$DDW$5</f>
        <v>134.66666666666666</v>
      </c>
      <c r="DDX34" s="342">
        <v>0</v>
      </c>
      <c r="DDY34" s="343">
        <v>0</v>
      </c>
      <c r="DDZ34" s="343">
        <v>0</v>
      </c>
      <c r="DEA34" s="343">
        <v>441</v>
      </c>
      <c r="DEB34" s="343">
        <v>0</v>
      </c>
      <c r="DEC34" s="343">
        <v>0</v>
      </c>
      <c r="DED34" s="127">
        <f>SUM(DDX34:DEC34)</f>
        <v>441</v>
      </c>
      <c r="DEE34" s="43">
        <f>DED34/$DEE$5</f>
        <v>73.5</v>
      </c>
      <c r="DEF34" s="342">
        <v>880</v>
      </c>
      <c r="DEG34" s="343"/>
      <c r="DEH34" s="343">
        <v>0</v>
      </c>
      <c r="DEI34" s="343">
        <v>0</v>
      </c>
      <c r="DEJ34" s="343">
        <v>0</v>
      </c>
      <c r="DEK34" s="343">
        <f>SUMIF(SUMPK!$B:$B,$B:$B,SUMPK!$O:$O)</f>
        <v>0</v>
      </c>
      <c r="DEL34" s="127">
        <f>SUM(DEF34:DEK34)</f>
        <v>880</v>
      </c>
      <c r="DEM34" s="43">
        <f>DEL34/$DEM$5</f>
        <v>146.66666666666666</v>
      </c>
      <c r="DEN34" s="342">
        <v>0</v>
      </c>
      <c r="DEO34" s="343">
        <v>503</v>
      </c>
      <c r="DEP34" s="343">
        <v>0</v>
      </c>
      <c r="DEQ34" s="343">
        <v>0</v>
      </c>
      <c r="DER34" s="343"/>
      <c r="DES34" s="343"/>
      <c r="DET34" s="127">
        <f>SUM(DEN34:DES34)</f>
        <v>503</v>
      </c>
      <c r="DEU34" s="43">
        <f>DET34/$DEU$5</f>
        <v>83.833333333333329</v>
      </c>
      <c r="DEV34" s="48">
        <v>0</v>
      </c>
      <c r="DEW34" s="49">
        <v>0</v>
      </c>
      <c r="DEX34" s="49">
        <v>999</v>
      </c>
      <c r="DEY34" s="49">
        <v>0</v>
      </c>
      <c r="DEZ34" s="49">
        <v>0</v>
      </c>
      <c r="DFA34" s="49">
        <v>0</v>
      </c>
      <c r="DFB34" s="127">
        <f>SUM(DEV34:DFA34)</f>
        <v>999</v>
      </c>
      <c r="DFC34" s="43">
        <f>DFB34/$DFC$5</f>
        <v>166.5</v>
      </c>
      <c r="DFD34" s="342"/>
      <c r="DFE34" s="343">
        <v>0</v>
      </c>
      <c r="DFF34" s="343">
        <v>0</v>
      </c>
      <c r="DFG34" s="343">
        <v>0</v>
      </c>
      <c r="DFH34" s="343">
        <v>330</v>
      </c>
      <c r="DFI34" s="343">
        <v>0</v>
      </c>
      <c r="DFJ34" s="127">
        <f>SUM(DFD34:DFI34)</f>
        <v>330</v>
      </c>
      <c r="DFK34" s="43">
        <f>DFJ34/$DFK$5</f>
        <v>55</v>
      </c>
      <c r="DFL34" s="321">
        <v>0</v>
      </c>
      <c r="DFM34" s="322">
        <v>0</v>
      </c>
      <c r="DFN34" s="322">
        <v>0</v>
      </c>
      <c r="DFO34" s="322">
        <v>835</v>
      </c>
      <c r="DFP34" s="322">
        <v>0</v>
      </c>
      <c r="DFQ34" s="322">
        <v>0</v>
      </c>
      <c r="DFR34" s="64">
        <f>SUM(DFL34:DFQ34)</f>
        <v>835</v>
      </c>
      <c r="DFS34" s="68">
        <f>DFR34/$DFS$5</f>
        <v>139.16666666666666</v>
      </c>
      <c r="DFT34" s="48">
        <v>0</v>
      </c>
      <c r="DFU34" s="49">
        <v>0</v>
      </c>
      <c r="DFV34" s="49">
        <v>0</v>
      </c>
      <c r="DFW34" s="49">
        <v>331</v>
      </c>
      <c r="DFX34" s="49"/>
      <c r="DFY34" s="49">
        <v>0</v>
      </c>
      <c r="DFZ34" s="127">
        <f>SUM(DFT34:DFY34)</f>
        <v>331</v>
      </c>
      <c r="DGA34" s="43">
        <f>DFZ34/$DGA$5</f>
        <v>55.166666666666664</v>
      </c>
      <c r="DGB34" s="48">
        <v>0</v>
      </c>
      <c r="DGC34" s="49">
        <v>0</v>
      </c>
      <c r="DGD34" s="49">
        <v>800</v>
      </c>
      <c r="DGE34" s="49">
        <v>0</v>
      </c>
      <c r="DGF34" s="49">
        <v>0</v>
      </c>
      <c r="DGG34" s="49">
        <v>880</v>
      </c>
      <c r="DGH34" s="127">
        <f>SUM(DGB34:DGG34)</f>
        <v>1680</v>
      </c>
      <c r="DGI34" s="43">
        <f>DGH34/$DGI$5</f>
        <v>280</v>
      </c>
      <c r="DGJ34" s="63">
        <v>0</v>
      </c>
      <c r="DGK34" s="64">
        <v>0</v>
      </c>
      <c r="DGL34" s="64">
        <v>0</v>
      </c>
      <c r="DGM34" s="64">
        <v>0</v>
      </c>
      <c r="DGN34" s="64">
        <v>0</v>
      </c>
      <c r="DGO34" s="64">
        <v>0</v>
      </c>
      <c r="DGP34" s="64">
        <f>SUM(DGJ34:DGO34)</f>
        <v>0</v>
      </c>
      <c r="DGQ34" s="68">
        <f>DGP34/$DGQ$5</f>
        <v>0</v>
      </c>
      <c r="DGR34" s="48">
        <v>441</v>
      </c>
      <c r="DGS34" s="49">
        <v>0</v>
      </c>
      <c r="DGT34" s="49">
        <v>110</v>
      </c>
      <c r="DGU34" s="49">
        <v>220</v>
      </c>
      <c r="DGV34" s="49">
        <v>0</v>
      </c>
      <c r="DGW34" s="49">
        <v>0</v>
      </c>
      <c r="DGX34" s="64">
        <f>SUM(DGR34:DGW34)</f>
        <v>771</v>
      </c>
      <c r="DGY34" s="68">
        <f>DGX34/$DGY$5</f>
        <v>128.5</v>
      </c>
      <c r="DGZ34" s="48">
        <v>0</v>
      </c>
      <c r="DHA34" s="49">
        <v>680</v>
      </c>
      <c r="DHB34" s="49">
        <v>0</v>
      </c>
      <c r="DHC34" s="49"/>
      <c r="DHD34" s="49">
        <v>222</v>
      </c>
      <c r="DHE34" s="49">
        <v>0</v>
      </c>
      <c r="DHF34" s="64">
        <f>SUM(DGZ34:DHE34)</f>
        <v>902</v>
      </c>
      <c r="DHG34" s="68">
        <f>DHF34/$DHG$5</f>
        <v>150.33333333333334</v>
      </c>
      <c r="DHH34" s="321">
        <v>0</v>
      </c>
      <c r="DHI34" s="322">
        <v>0</v>
      </c>
      <c r="DHJ34" s="322">
        <v>400</v>
      </c>
      <c r="DHK34" s="322">
        <v>401</v>
      </c>
      <c r="DHL34" s="322">
        <v>0</v>
      </c>
      <c r="DHM34" s="322">
        <v>0</v>
      </c>
      <c r="DHN34" s="64">
        <f>SUM(DHH34:DHM34)</f>
        <v>801</v>
      </c>
      <c r="DHO34" s="68">
        <f>DHN34/$DHO$5</f>
        <v>133.5</v>
      </c>
      <c r="DHP34" s="321">
        <v>461</v>
      </c>
      <c r="DHQ34" s="322">
        <v>0</v>
      </c>
      <c r="DHR34" s="322"/>
      <c r="DHS34" s="322">
        <v>0</v>
      </c>
      <c r="DHT34" s="322">
        <v>0</v>
      </c>
      <c r="DHU34" s="322">
        <v>633</v>
      </c>
      <c r="DHV34" s="64">
        <f>SUM(DHP34:DHU34)</f>
        <v>1094</v>
      </c>
      <c r="DHW34" s="68">
        <f>DHV34/$DHW$5</f>
        <v>182.33333333333334</v>
      </c>
      <c r="DHX34" s="342">
        <v>0</v>
      </c>
      <c r="DHY34" s="343"/>
      <c r="DHZ34" s="343"/>
      <c r="DIA34" s="343">
        <v>0</v>
      </c>
      <c r="DIB34" s="343">
        <v>0</v>
      </c>
      <c r="DIC34" s="343">
        <v>802</v>
      </c>
      <c r="DID34" s="64">
        <f>SUM(DHX34:DIC34)</f>
        <v>802</v>
      </c>
      <c r="DIE34" s="68">
        <f>DID34/$DIE$5</f>
        <v>133.66666666666666</v>
      </c>
      <c r="DIF34" s="48">
        <v>0</v>
      </c>
      <c r="DIG34" s="49">
        <v>498</v>
      </c>
      <c r="DIH34" s="49">
        <v>73</v>
      </c>
      <c r="DII34" s="49">
        <v>0</v>
      </c>
      <c r="DIJ34" s="49">
        <v>0</v>
      </c>
      <c r="DIK34" s="49"/>
      <c r="DIL34" s="64">
        <f>SUM(DIF34:DIK34)</f>
        <v>571</v>
      </c>
      <c r="DIM34" s="68">
        <f>DIL34/$DIM$5</f>
        <v>95.166666666666671</v>
      </c>
      <c r="DIN34" s="321">
        <v>0</v>
      </c>
      <c r="DIO34" s="322"/>
      <c r="DIP34" s="322">
        <v>0</v>
      </c>
      <c r="DIQ34" s="322"/>
      <c r="DIR34" s="322">
        <v>0</v>
      </c>
      <c r="DIS34" s="322">
        <v>0</v>
      </c>
      <c r="DIT34" s="64">
        <f>SUM(DIN34:DIS34)</f>
        <v>0</v>
      </c>
      <c r="DIU34" s="68">
        <f>DIT34/$DIU$5</f>
        <v>0</v>
      </c>
      <c r="DIV34" s="342">
        <v>220</v>
      </c>
      <c r="DIW34" s="343">
        <v>0</v>
      </c>
      <c r="DIX34" s="343">
        <v>110</v>
      </c>
      <c r="DIY34" s="343">
        <v>91</v>
      </c>
      <c r="DIZ34" s="343">
        <v>0</v>
      </c>
      <c r="DJA34" s="343">
        <v>0</v>
      </c>
      <c r="DJB34" s="64">
        <f>SUM(DIV34:DJA34)</f>
        <v>421</v>
      </c>
      <c r="DJC34" s="68">
        <f>DJB34/$DJC$5</f>
        <v>70.166666666666671</v>
      </c>
      <c r="DJD34" s="342">
        <v>1031</v>
      </c>
      <c r="DJE34" s="343">
        <v>442</v>
      </c>
      <c r="DJF34" s="343">
        <v>0</v>
      </c>
      <c r="DJG34" s="343">
        <v>0</v>
      </c>
      <c r="DJH34" s="343">
        <v>0</v>
      </c>
      <c r="DJI34" s="343"/>
      <c r="DJJ34" s="64">
        <f>SUM(DJD34:DJI34)</f>
        <v>1473</v>
      </c>
      <c r="DJK34" s="68">
        <f>DJJ34/$DJK$5</f>
        <v>245.5</v>
      </c>
      <c r="DJL34" s="48">
        <v>719</v>
      </c>
      <c r="DJM34" s="49">
        <v>0</v>
      </c>
      <c r="DJN34" s="49">
        <v>330</v>
      </c>
      <c r="DJO34" s="49">
        <v>0</v>
      </c>
      <c r="DJP34" s="49">
        <v>0</v>
      </c>
      <c r="DJQ34" s="49">
        <v>801</v>
      </c>
      <c r="DJR34" s="64">
        <f>SUM(DJL34:DJQ34)</f>
        <v>1850</v>
      </c>
      <c r="DJS34" s="68">
        <f>DJR34/$DJS$5</f>
        <v>308.33333333333331</v>
      </c>
      <c r="DJT34" s="48"/>
      <c r="DJU34" s="49">
        <v>0</v>
      </c>
      <c r="DJV34" s="49">
        <v>0</v>
      </c>
      <c r="DJW34" s="49">
        <v>711</v>
      </c>
      <c r="DJX34" s="49">
        <v>0</v>
      </c>
      <c r="DJY34" s="49">
        <v>340</v>
      </c>
      <c r="DJZ34" s="64">
        <f>SUM(DJT34:DJY34)</f>
        <v>1051</v>
      </c>
      <c r="DKA34" s="68">
        <f>DJZ34/$DKA$5</f>
        <v>175.16666666666666</v>
      </c>
      <c r="DKB34" s="48">
        <v>330</v>
      </c>
      <c r="DKC34" s="49">
        <v>110</v>
      </c>
      <c r="DKD34" s="49">
        <v>0</v>
      </c>
      <c r="DKE34" s="49">
        <v>300</v>
      </c>
      <c r="DKF34" s="49">
        <v>0</v>
      </c>
      <c r="DKG34" s="49">
        <v>440</v>
      </c>
      <c r="DKH34" s="64">
        <f>SUM(DKB34:DKG34)</f>
        <v>1180</v>
      </c>
      <c r="DKI34" s="68">
        <f>DKH34/$DKI$5</f>
        <v>196.66666666666666</v>
      </c>
      <c r="DKJ34" s="342">
        <v>788</v>
      </c>
      <c r="DKK34" s="343">
        <v>0</v>
      </c>
      <c r="DKL34" s="343">
        <v>0</v>
      </c>
      <c r="DKM34" s="343"/>
      <c r="DKN34" s="343">
        <v>110</v>
      </c>
      <c r="DKO34" s="343"/>
      <c r="DKP34" s="64">
        <f>SUM(DKJ34:DKO34)</f>
        <v>898</v>
      </c>
      <c r="DKQ34" s="68">
        <f>DKP34/$DKQ$5</f>
        <v>149.66666666666666</v>
      </c>
      <c r="DKR34" s="48">
        <v>0</v>
      </c>
      <c r="DKS34" s="49">
        <v>0</v>
      </c>
      <c r="DKT34" s="49">
        <v>874</v>
      </c>
      <c r="DKU34" s="49">
        <v>0</v>
      </c>
      <c r="DKV34" s="49">
        <v>0</v>
      </c>
      <c r="DKW34" s="49">
        <v>441</v>
      </c>
      <c r="DKX34" s="64">
        <f>SUM(DKR34:DKW34)</f>
        <v>1315</v>
      </c>
      <c r="DKY34" s="68">
        <f>DKX34/$DKY$5</f>
        <v>219.16666666666666</v>
      </c>
      <c r="DKZ34" s="48"/>
      <c r="DLA34" s="49">
        <v>0</v>
      </c>
      <c r="DLB34" s="49">
        <v>720</v>
      </c>
      <c r="DLC34" s="49">
        <v>0</v>
      </c>
      <c r="DLD34" s="49"/>
      <c r="DLE34" s="49">
        <v>550</v>
      </c>
      <c r="DLF34" s="64">
        <f>SUM(DKZ34:DLE34)</f>
        <v>1270</v>
      </c>
      <c r="DLG34" s="68">
        <f>DLF34/$DLG$5</f>
        <v>211.66666666666666</v>
      </c>
      <c r="DLH34" s="48"/>
      <c r="DLI34" s="49">
        <v>0</v>
      </c>
      <c r="DLJ34" s="49">
        <v>0</v>
      </c>
      <c r="DLK34" s="49">
        <v>0</v>
      </c>
      <c r="DLL34" s="49"/>
      <c r="DLM34" s="49">
        <v>479</v>
      </c>
      <c r="DLN34" s="64">
        <f>SUM(DLH34:DLM34)</f>
        <v>479</v>
      </c>
      <c r="DLO34" s="68">
        <f>DLN34/$DLO$5</f>
        <v>79.833333333333329</v>
      </c>
      <c r="DLP34" s="342">
        <v>0</v>
      </c>
      <c r="DLQ34" s="343"/>
      <c r="DLR34" s="343">
        <v>0</v>
      </c>
      <c r="DLS34" s="343">
        <v>722</v>
      </c>
      <c r="DLT34" s="343">
        <v>0</v>
      </c>
      <c r="DLU34" s="343">
        <v>0</v>
      </c>
      <c r="DLV34" s="64">
        <f>SUM(DLP34:DLU34)</f>
        <v>722</v>
      </c>
      <c r="DLW34" s="68">
        <f>DLV34/$DLW$5</f>
        <v>120.33333333333333</v>
      </c>
      <c r="DLX34" s="48">
        <v>0</v>
      </c>
      <c r="DLY34" s="49">
        <v>442</v>
      </c>
      <c r="DLZ34" s="49"/>
      <c r="DMA34" s="49">
        <v>0</v>
      </c>
      <c r="DMB34" s="49"/>
      <c r="DMC34" s="49">
        <v>0</v>
      </c>
      <c r="DMD34" s="64">
        <f>SUM(DLX34:DMC34)</f>
        <v>442</v>
      </c>
      <c r="DME34" s="68">
        <f>DMD34/$DME$5</f>
        <v>73.666666666666671</v>
      </c>
      <c r="DMF34" s="342"/>
      <c r="DMG34" s="343">
        <v>0</v>
      </c>
      <c r="DMH34" s="343"/>
      <c r="DMI34" s="343">
        <v>0</v>
      </c>
      <c r="DMJ34" s="343">
        <v>594</v>
      </c>
      <c r="DMK34" s="343">
        <v>0</v>
      </c>
      <c r="DML34" s="64">
        <f>SUM(DMF34:DMK34)</f>
        <v>594</v>
      </c>
      <c r="DMM34" s="68">
        <f>DML34/$DMM$5</f>
        <v>99</v>
      </c>
      <c r="DMN34" s="48">
        <v>0</v>
      </c>
      <c r="DMO34" s="49"/>
      <c r="DMP34" s="49">
        <v>727</v>
      </c>
      <c r="DMQ34" s="49">
        <v>0</v>
      </c>
      <c r="DMR34" s="49">
        <v>0</v>
      </c>
      <c r="DMS34" s="49">
        <v>111</v>
      </c>
      <c r="DMT34" s="64">
        <f>SUM(DMN34:DMS34)</f>
        <v>838</v>
      </c>
      <c r="DMU34" s="68">
        <f>DMT34/$DMU$5</f>
        <v>139.66666666666666</v>
      </c>
      <c r="DMV34" s="342">
        <v>0</v>
      </c>
      <c r="DMW34" s="343">
        <v>110</v>
      </c>
      <c r="DMX34" s="343">
        <v>0</v>
      </c>
      <c r="DMY34" s="343">
        <v>0</v>
      </c>
      <c r="DMZ34" s="343">
        <v>0</v>
      </c>
      <c r="DNA34" s="343">
        <v>0</v>
      </c>
      <c r="DNB34" s="64">
        <f>SUM(DMV34:DNA34)</f>
        <v>110</v>
      </c>
      <c r="DNC34" s="68">
        <f>DNB34/$DNC$5</f>
        <v>18.333333333333332</v>
      </c>
      <c r="DND34" s="48">
        <v>0</v>
      </c>
      <c r="DNE34" s="49">
        <v>0</v>
      </c>
      <c r="DNF34" s="49">
        <v>0</v>
      </c>
      <c r="DNG34" s="49">
        <v>643</v>
      </c>
      <c r="DNH34" s="49">
        <v>0</v>
      </c>
      <c r="DNI34" s="49">
        <v>600</v>
      </c>
      <c r="DNJ34" s="64">
        <f>SUM(DND34:DNI34)</f>
        <v>1243</v>
      </c>
      <c r="DNK34" s="68">
        <f>DNJ34/$DNK$5</f>
        <v>207.16666666666666</v>
      </c>
      <c r="DNL34" s="48"/>
      <c r="DNM34" s="49"/>
      <c r="DNN34" s="49">
        <v>0</v>
      </c>
      <c r="DNO34" s="49">
        <v>399</v>
      </c>
      <c r="DNP34" s="49">
        <v>0</v>
      </c>
      <c r="DNQ34" s="49">
        <v>0</v>
      </c>
      <c r="DNR34" s="64">
        <f>SUM(DNL34:DNQ34)</f>
        <v>399</v>
      </c>
      <c r="DNS34" s="68">
        <f>DNR34/$DNS$5</f>
        <v>66.5</v>
      </c>
      <c r="DNT34" s="342">
        <v>442</v>
      </c>
      <c r="DNU34" s="343">
        <v>440</v>
      </c>
      <c r="DNV34" s="343">
        <v>0</v>
      </c>
      <c r="DNW34" s="343">
        <v>0</v>
      </c>
      <c r="DNX34" s="343">
        <v>360</v>
      </c>
      <c r="DNY34" s="343">
        <v>0</v>
      </c>
      <c r="DNZ34" s="64">
        <f>SUM(DNT34:DNY34)</f>
        <v>1242</v>
      </c>
      <c r="DOA34" s="68">
        <f>DNZ34/$DNZ$5</f>
        <v>207</v>
      </c>
      <c r="DOB34" s="63">
        <v>0</v>
      </c>
      <c r="DOC34" s="64"/>
      <c r="DOD34" s="64">
        <v>25</v>
      </c>
      <c r="DOE34" s="64">
        <v>0</v>
      </c>
      <c r="DOF34" s="64">
        <v>666</v>
      </c>
      <c r="DOG34" s="64">
        <v>0</v>
      </c>
      <c r="DOH34" s="64">
        <f>SUM(DOB34:DOG34)</f>
        <v>691</v>
      </c>
      <c r="DOI34" s="68">
        <f>DOH34/$DOI$5</f>
        <v>115.16666666666667</v>
      </c>
      <c r="DOJ34" s="342">
        <v>1209</v>
      </c>
      <c r="DOK34" s="343">
        <v>0</v>
      </c>
      <c r="DOL34" s="343">
        <v>0</v>
      </c>
      <c r="DOM34" s="343"/>
      <c r="DON34" s="343">
        <v>637</v>
      </c>
      <c r="DOO34" s="343">
        <v>0</v>
      </c>
      <c r="DOP34" s="64">
        <f>SUM(DOJ34:DOO34)</f>
        <v>1846</v>
      </c>
      <c r="DOQ34" s="68">
        <f>DOP34/$DOQ$5</f>
        <v>307.66666666666669</v>
      </c>
      <c r="DOR34" s="342">
        <v>0</v>
      </c>
      <c r="DOS34" s="343">
        <v>0</v>
      </c>
      <c r="DOT34" s="343">
        <v>0</v>
      </c>
      <c r="DOU34" s="343">
        <v>0</v>
      </c>
      <c r="DOV34" s="343"/>
      <c r="DOW34" s="343">
        <v>0</v>
      </c>
      <c r="DOX34" s="64">
        <f>SUM(DOR34:DOW34)</f>
        <v>0</v>
      </c>
      <c r="DOY34" s="68">
        <f>DOX34/$DOY$5</f>
        <v>0</v>
      </c>
      <c r="DOZ34" s="63"/>
      <c r="DPA34" s="64">
        <v>0</v>
      </c>
      <c r="DPB34" s="64"/>
      <c r="DPC34" s="64">
        <v>0</v>
      </c>
      <c r="DPD34" s="64"/>
      <c r="DPE34" s="64">
        <v>1020</v>
      </c>
      <c r="DPF34" s="64">
        <f>SUM(DOZ34:DPE34)</f>
        <v>1020</v>
      </c>
      <c r="DPG34" s="68">
        <f>DPF34/$DPG$5</f>
        <v>170</v>
      </c>
      <c r="DPH34" s="48">
        <v>0</v>
      </c>
      <c r="DPI34" s="49">
        <v>0</v>
      </c>
      <c r="DPJ34" s="49">
        <v>110</v>
      </c>
      <c r="DPK34" s="49">
        <v>0</v>
      </c>
      <c r="DPL34" s="49"/>
      <c r="DPM34" s="49"/>
      <c r="DPN34" s="64">
        <f>SUM(DPH34:DPM34)</f>
        <v>110</v>
      </c>
      <c r="DPO34" s="68">
        <f>DPN34/$DPO$5</f>
        <v>18.333333333333332</v>
      </c>
      <c r="DPP34" s="48">
        <v>330</v>
      </c>
      <c r="DPQ34" s="49">
        <v>225</v>
      </c>
      <c r="DPR34" s="49">
        <v>1000</v>
      </c>
      <c r="DPS34" s="49"/>
      <c r="DPT34" s="49"/>
      <c r="DPU34" s="49">
        <v>0</v>
      </c>
      <c r="DPV34" s="491">
        <f>SUM(DPP34:DPU34)</f>
        <v>1555</v>
      </c>
      <c r="DPW34" s="492">
        <f>DPV34/$DPW$5</f>
        <v>259.16666666666669</v>
      </c>
      <c r="DPX34" s="48">
        <v>0</v>
      </c>
      <c r="DPY34" s="49">
        <v>0</v>
      </c>
      <c r="DPZ34" s="49">
        <v>110</v>
      </c>
      <c r="DQA34" s="49">
        <v>0</v>
      </c>
      <c r="DQB34" s="49">
        <v>891</v>
      </c>
      <c r="DQC34" s="49">
        <v>891</v>
      </c>
      <c r="DQD34" s="491">
        <f>SUM(DPX34:DQC34)</f>
        <v>1892</v>
      </c>
      <c r="DQE34" s="492">
        <f>DQD34/$DQE$5</f>
        <v>315.33333333333331</v>
      </c>
      <c r="DQF34" s="342">
        <v>0</v>
      </c>
      <c r="DQG34" s="343">
        <v>0</v>
      </c>
      <c r="DQH34" s="343">
        <v>0</v>
      </c>
      <c r="DQI34" s="343">
        <v>453</v>
      </c>
      <c r="DQJ34" s="343">
        <v>0</v>
      </c>
      <c r="DQK34" s="343">
        <v>0</v>
      </c>
      <c r="DQL34" s="489">
        <f>SUM(DQF34:DQK34)</f>
        <v>453</v>
      </c>
      <c r="DQM34" s="492">
        <f>DQL34/$DQM$5</f>
        <v>75.5</v>
      </c>
      <c r="DQN34" s="48">
        <v>0</v>
      </c>
      <c r="DQO34" s="49">
        <v>0</v>
      </c>
      <c r="DQP34" s="49">
        <v>0</v>
      </c>
      <c r="DQQ34" s="49">
        <v>0</v>
      </c>
      <c r="DQR34" s="49">
        <v>670</v>
      </c>
      <c r="DQS34" s="49">
        <v>162</v>
      </c>
      <c r="DQT34" s="64">
        <f>SUM(DQN34:DQS34)</f>
        <v>832</v>
      </c>
      <c r="DQU34" s="68">
        <f>DQT34/$DQU$5</f>
        <v>138.66666666666666</v>
      </c>
      <c r="DQV34" s="48">
        <v>220</v>
      </c>
      <c r="DQW34" s="49">
        <v>0</v>
      </c>
      <c r="DQX34" s="49"/>
      <c r="DQY34" s="49">
        <v>330</v>
      </c>
      <c r="DQZ34" s="49">
        <v>0</v>
      </c>
      <c r="DRA34" s="49">
        <v>0</v>
      </c>
      <c r="DRB34" s="491">
        <f>SUM(DQV34:DRA34)</f>
        <v>550</v>
      </c>
      <c r="DRC34" s="492">
        <f>DRB34/$DRC$5</f>
        <v>91.666666666666671</v>
      </c>
      <c r="DRD34" s="63">
        <v>0</v>
      </c>
      <c r="DRE34" s="64">
        <v>0</v>
      </c>
      <c r="DRF34" s="64">
        <v>0</v>
      </c>
      <c r="DRG34" s="64">
        <v>0</v>
      </c>
      <c r="DRH34" s="64">
        <v>0</v>
      </c>
      <c r="DRI34" s="64"/>
      <c r="DRJ34" s="491">
        <f>SUM(DRD34:DRI34)</f>
        <v>0</v>
      </c>
      <c r="DRK34" s="492">
        <f>DRJ34/$DRK$5</f>
        <v>0</v>
      </c>
      <c r="DRL34" s="48">
        <v>443</v>
      </c>
      <c r="DRM34" s="49">
        <v>0</v>
      </c>
      <c r="DRN34" s="49">
        <v>613</v>
      </c>
      <c r="DRO34" s="49">
        <v>0</v>
      </c>
      <c r="DRP34" s="49">
        <v>1396</v>
      </c>
      <c r="DRQ34" s="49"/>
      <c r="DRR34" s="64">
        <f t="shared" ref="DRR34:DRR59" si="1587">SUM(DRL34:DRQ34)</f>
        <v>2452</v>
      </c>
      <c r="DRS34" s="68">
        <f t="shared" ref="DRS34:DRS59" si="1588">DRR34/$DRS$5</f>
        <v>408.66666666666669</v>
      </c>
      <c r="DRT34" s="48">
        <v>0</v>
      </c>
      <c r="DRU34" s="49">
        <v>0</v>
      </c>
      <c r="DRV34" s="49">
        <v>0</v>
      </c>
      <c r="DRW34" s="49">
        <v>1495</v>
      </c>
      <c r="DRX34" s="49">
        <v>441</v>
      </c>
      <c r="DRY34" s="49"/>
      <c r="DRZ34" s="491">
        <f t="shared" ref="DRZ34:DRZ59" si="1589">SUM(DRT34:DRY34)</f>
        <v>1936</v>
      </c>
      <c r="DSA34" s="68">
        <f t="shared" ref="DSA34:DSA59" si="1590">DRZ34/$DSA$5</f>
        <v>322.66666666666669</v>
      </c>
      <c r="DSB34" s="82"/>
      <c r="DSC34" s="83">
        <v>220</v>
      </c>
      <c r="DSD34" s="83">
        <v>0</v>
      </c>
      <c r="DSE34" s="83"/>
      <c r="DSF34" s="83">
        <v>503</v>
      </c>
      <c r="DSG34" s="83">
        <v>0</v>
      </c>
      <c r="DSH34" s="64">
        <f t="shared" ref="DSH34:DSH59" si="1591">SUM(DSB34:DSG34)</f>
        <v>723</v>
      </c>
      <c r="DSI34" s="68">
        <f t="shared" ref="DSI34:DSI59" si="1592">DSH34/$DSI$5</f>
        <v>120.5</v>
      </c>
      <c r="DSJ34" s="48">
        <v>0</v>
      </c>
      <c r="DSK34" s="49">
        <v>0</v>
      </c>
      <c r="DSL34" s="49">
        <v>439</v>
      </c>
      <c r="DSM34" s="49">
        <v>0</v>
      </c>
      <c r="DSN34" s="49">
        <v>688</v>
      </c>
      <c r="DSO34" s="49">
        <v>0</v>
      </c>
      <c r="DSP34" s="64">
        <f t="shared" ref="DSP34:DSP59" si="1593">SUM(DSJ34:DSO34)</f>
        <v>1127</v>
      </c>
      <c r="DSQ34" s="68">
        <f t="shared" ref="DSQ34:DSQ59" si="1594">DSP34/$DSQ$5</f>
        <v>187.83333333333334</v>
      </c>
      <c r="DSR34" s="48"/>
      <c r="DSS34" s="49">
        <v>683</v>
      </c>
      <c r="DST34" s="49">
        <v>0</v>
      </c>
      <c r="DSU34" s="49">
        <v>603</v>
      </c>
      <c r="DSV34" s="49">
        <v>0</v>
      </c>
      <c r="DSW34" s="49">
        <v>0</v>
      </c>
      <c r="DSX34" s="64">
        <f t="shared" ref="DSX34:DSX59" si="1595">SUM(DSR34:DSW34)</f>
        <v>1286</v>
      </c>
      <c r="DSY34" s="68">
        <f t="shared" ref="DSY34:DSY59" si="1596">DSX34/$DSY$5</f>
        <v>214.33333333333334</v>
      </c>
      <c r="DSZ34" s="48">
        <v>0</v>
      </c>
      <c r="DTA34" s="49">
        <v>0</v>
      </c>
      <c r="DTB34" s="49">
        <v>0</v>
      </c>
      <c r="DTC34" s="49">
        <v>866</v>
      </c>
      <c r="DTD34" s="49"/>
      <c r="DTE34" s="49">
        <v>0</v>
      </c>
      <c r="DTF34" s="64">
        <f t="shared" ref="DTF34:DTF59" si="1597">SUM(DSZ34:DTE34)</f>
        <v>866</v>
      </c>
      <c r="DTG34" s="68">
        <f t="shared" ref="DTG34:DTG59" si="1598">DTF34/$DTG$5</f>
        <v>144.33333333333334</v>
      </c>
      <c r="DTH34" s="48">
        <v>669</v>
      </c>
      <c r="DTI34" s="49">
        <v>0</v>
      </c>
      <c r="DTJ34" s="49">
        <v>0</v>
      </c>
      <c r="DTK34" s="49">
        <v>599</v>
      </c>
      <c r="DTL34" s="49">
        <v>0</v>
      </c>
      <c r="DTM34" s="49">
        <v>0</v>
      </c>
      <c r="DTN34" s="64">
        <f t="shared" ref="DTN34:DTN59" si="1599">SUM(DTH34:DTM34)</f>
        <v>1268</v>
      </c>
      <c r="DTO34" s="68">
        <f t="shared" ref="DTO34:DTO59" si="1600">DTN34/$DTO$5</f>
        <v>211.33333333333334</v>
      </c>
      <c r="DTP34" s="48">
        <v>0</v>
      </c>
      <c r="DTQ34" s="49"/>
      <c r="DTR34" s="49"/>
      <c r="DTS34" s="49">
        <v>793</v>
      </c>
      <c r="DTT34" s="49">
        <v>0</v>
      </c>
      <c r="DTU34" s="49">
        <v>682</v>
      </c>
      <c r="DTV34" s="64">
        <f t="shared" ref="DTV34:DTV59" si="1601">SUM(DTP34:DTU34)</f>
        <v>1475</v>
      </c>
      <c r="DTW34" s="68">
        <f t="shared" ref="DTW34:DTW59" si="1602">DTV34/$DTW$5</f>
        <v>245.83333333333334</v>
      </c>
      <c r="DTX34" s="48">
        <v>0</v>
      </c>
      <c r="DTY34" s="49">
        <v>1690</v>
      </c>
      <c r="DTZ34" s="49">
        <v>383</v>
      </c>
      <c r="DUA34" s="49">
        <v>0</v>
      </c>
      <c r="DUB34" s="49">
        <v>0</v>
      </c>
      <c r="DUC34" s="49">
        <v>681</v>
      </c>
      <c r="DUD34" s="64">
        <f t="shared" ref="DUD34:DUD59" si="1603">SUM(DTX34:DUC34)</f>
        <v>2754</v>
      </c>
      <c r="DUE34" s="68">
        <f t="shared" ref="DUE34:DUE59" si="1604">DUD34/$DUE$5</f>
        <v>459</v>
      </c>
      <c r="DUF34" s="48">
        <v>0</v>
      </c>
      <c r="DUG34" s="49">
        <v>0</v>
      </c>
      <c r="DUH34" s="49">
        <v>662</v>
      </c>
      <c r="DUI34" s="49">
        <v>441</v>
      </c>
      <c r="DUJ34" s="49">
        <v>0</v>
      </c>
      <c r="DUK34" s="49">
        <v>0</v>
      </c>
      <c r="DUL34" s="64">
        <f t="shared" ref="DUL34:DUL59" si="1605">SUM(DUF34:DUK34)</f>
        <v>1103</v>
      </c>
      <c r="DUM34" s="68">
        <f t="shared" ref="DUM34:DUM59" si="1606">DUL34/$DUM$5</f>
        <v>183.83333333333334</v>
      </c>
      <c r="DUN34" s="48"/>
      <c r="DUO34" s="49">
        <v>0</v>
      </c>
      <c r="DUP34" s="49">
        <v>0</v>
      </c>
      <c r="DUQ34" s="49">
        <v>484</v>
      </c>
      <c r="DUR34" s="49"/>
      <c r="DUS34" s="49">
        <v>531</v>
      </c>
      <c r="DUT34" s="64">
        <f t="shared" ref="DUT34:DUT59" si="1607">SUM(DUN34:DUS34)</f>
        <v>1015</v>
      </c>
      <c r="DUU34" s="68">
        <f t="shared" ref="DUU34:DUU59" si="1608">DUT34/$DUU$5</f>
        <v>169.16666666666666</v>
      </c>
      <c r="DUV34" s="48"/>
      <c r="DUW34" s="49">
        <v>0</v>
      </c>
      <c r="DUX34" s="49">
        <v>0</v>
      </c>
      <c r="DUY34" s="49">
        <v>0</v>
      </c>
      <c r="DUZ34" s="49">
        <v>0</v>
      </c>
      <c r="DVA34" s="49">
        <v>220</v>
      </c>
      <c r="DVB34" s="64">
        <f t="shared" ref="DVB34:DVB59" si="1609">SUM(DUV34:DVA34)</f>
        <v>220</v>
      </c>
      <c r="DVC34" s="68">
        <f t="shared" ref="DVC34:DVC59" si="1610">DVB34/$DVC$5</f>
        <v>36.666666666666664</v>
      </c>
      <c r="DVD34" s="48"/>
      <c r="DVE34" s="49">
        <v>0</v>
      </c>
      <c r="DVF34" s="49">
        <v>800</v>
      </c>
      <c r="DVG34" s="49">
        <v>2</v>
      </c>
      <c r="DVH34" s="49">
        <v>0</v>
      </c>
      <c r="DVI34" s="49">
        <v>975</v>
      </c>
      <c r="DVJ34" s="64">
        <f t="shared" ref="DVJ34:DVJ59" si="1611">SUM(DVD34:DVI34)</f>
        <v>1777</v>
      </c>
      <c r="DVK34" s="68">
        <f t="shared" ref="DVK34:DVK59" si="1612">DVJ34/$DVK$5</f>
        <v>296.16666666666669</v>
      </c>
      <c r="DVL34" s="48">
        <v>0</v>
      </c>
      <c r="DVM34" s="49">
        <v>0</v>
      </c>
      <c r="DVN34" s="49">
        <v>0</v>
      </c>
      <c r="DVO34" s="49">
        <v>0</v>
      </c>
      <c r="DVP34" s="49">
        <v>0</v>
      </c>
      <c r="DVQ34" s="49">
        <v>0</v>
      </c>
      <c r="DVR34" s="64">
        <f t="shared" ref="DVR34:DVR59" si="1613">SUM(DVL34:DVQ34)</f>
        <v>0</v>
      </c>
      <c r="DVS34" s="68">
        <f t="shared" ref="DVS34:DVS59" si="1614">DVR34/$DVS$5</f>
        <v>0</v>
      </c>
      <c r="DVT34" s="48"/>
      <c r="DVU34" s="49">
        <v>0</v>
      </c>
      <c r="DVV34" s="49">
        <v>1440</v>
      </c>
      <c r="DVW34" s="49">
        <v>0</v>
      </c>
      <c r="DVX34" s="49">
        <v>0</v>
      </c>
      <c r="DVY34" s="49">
        <v>0</v>
      </c>
      <c r="DVZ34" s="64">
        <f t="shared" ref="DVZ34:DVZ59" si="1615">SUM(DVT34:DVY34)</f>
        <v>1440</v>
      </c>
      <c r="DWA34" s="68">
        <f t="shared" ref="DWA34:DWA59" si="1616">DVZ34/$DWA$5</f>
        <v>240</v>
      </c>
      <c r="DWB34" s="48">
        <v>0</v>
      </c>
      <c r="DWC34" s="49">
        <v>804</v>
      </c>
      <c r="DWD34" s="49">
        <v>0</v>
      </c>
      <c r="DWE34" s="49">
        <v>0</v>
      </c>
      <c r="DWF34" s="49">
        <v>0</v>
      </c>
      <c r="DWG34" s="49"/>
      <c r="DWH34" s="64">
        <f t="shared" ref="DWH34:DWH59" si="1617">SUM(DWB34:DWG34)</f>
        <v>804</v>
      </c>
      <c r="DWI34" s="68">
        <f t="shared" ref="DWI34:DWI59" si="1618">DWH34/$DWI$5</f>
        <v>134</v>
      </c>
      <c r="DWJ34" s="48">
        <v>0</v>
      </c>
      <c r="DWK34" s="49">
        <v>0</v>
      </c>
      <c r="DWL34" s="49">
        <v>330</v>
      </c>
      <c r="DWM34" s="49">
        <v>0</v>
      </c>
      <c r="DWN34" s="49">
        <v>0</v>
      </c>
      <c r="DWO34" s="49">
        <v>0</v>
      </c>
      <c r="DWP34" s="64">
        <f t="shared" ref="DWP34:DWP59" si="1619">SUM(DWJ34:DWO34)</f>
        <v>330</v>
      </c>
      <c r="DWQ34" s="68">
        <f t="shared" ref="DWQ34:DWQ59" si="1620">DWP34/$DWQ$5</f>
        <v>55</v>
      </c>
      <c r="DWR34" s="48">
        <v>0</v>
      </c>
      <c r="DWS34" s="49"/>
      <c r="DWT34" s="49">
        <v>0</v>
      </c>
      <c r="DWU34" s="49">
        <v>880</v>
      </c>
      <c r="DWV34" s="49">
        <v>0</v>
      </c>
      <c r="DWW34" s="49">
        <v>0</v>
      </c>
      <c r="DWX34" s="64">
        <f t="shared" ref="DWX34:DWX59" si="1621">SUM(DWR34:DWW34)</f>
        <v>880</v>
      </c>
      <c r="DWY34" s="68">
        <f t="shared" ref="DWY34:DWY59" si="1622">DWX34/$DWY$28</f>
        <v>146.66666666666666</v>
      </c>
      <c r="DWZ34" s="48">
        <v>0</v>
      </c>
      <c r="DXA34" s="49">
        <v>0</v>
      </c>
      <c r="DXB34" s="49">
        <v>983</v>
      </c>
      <c r="DXC34" s="49">
        <v>0</v>
      </c>
      <c r="DXD34" s="49"/>
      <c r="DXE34" s="49"/>
      <c r="DXF34" s="64">
        <f t="shared" ref="DXF34:DXF59" si="1623">SUM(DWZ34:DXE34)</f>
        <v>983</v>
      </c>
      <c r="DXG34" s="68">
        <f t="shared" ref="DXG34:DXG59" si="1624">DXF34/$DXG$5</f>
        <v>163.83333333333334</v>
      </c>
      <c r="DXH34" s="48">
        <v>0</v>
      </c>
      <c r="DXI34" s="49">
        <v>0</v>
      </c>
      <c r="DXJ34" s="49">
        <v>0</v>
      </c>
      <c r="DXK34" s="49">
        <v>720</v>
      </c>
      <c r="DXL34" s="49">
        <v>0</v>
      </c>
      <c r="DXM34" s="49">
        <v>779</v>
      </c>
      <c r="DXN34" s="64">
        <f t="shared" ref="DXN34:DXN59" si="1625">SUM(DXH34:DXM34)</f>
        <v>1499</v>
      </c>
      <c r="DXO34" s="68">
        <f t="shared" ref="DXO34:DXO59" si="1626">DXN34/$DXO$5</f>
        <v>249.83333333333334</v>
      </c>
      <c r="DXP34" s="48">
        <v>0</v>
      </c>
      <c r="DXQ34" s="49">
        <v>0</v>
      </c>
      <c r="DXR34" s="49">
        <v>299</v>
      </c>
      <c r="DXS34" s="49">
        <v>0</v>
      </c>
      <c r="DXT34" s="49">
        <v>0</v>
      </c>
      <c r="DXU34" s="49">
        <v>0</v>
      </c>
      <c r="DXV34" s="64">
        <f t="shared" si="1320"/>
        <v>299</v>
      </c>
      <c r="DXW34" s="68">
        <f t="shared" si="1321"/>
        <v>49.833333333333336</v>
      </c>
      <c r="DXX34" s="48">
        <v>421</v>
      </c>
      <c r="DXY34" s="49">
        <v>0</v>
      </c>
      <c r="DXZ34" s="49">
        <v>0</v>
      </c>
      <c r="DYA34" s="49">
        <v>1033</v>
      </c>
      <c r="DYB34" s="49">
        <v>0</v>
      </c>
      <c r="DYC34" s="49">
        <v>0</v>
      </c>
      <c r="DYD34" s="64">
        <f t="shared" si="1322"/>
        <v>1454</v>
      </c>
      <c r="DYE34" s="68">
        <f t="shared" si="1323"/>
        <v>242.33333333333334</v>
      </c>
      <c r="DYF34" s="48">
        <v>0</v>
      </c>
      <c r="DYG34" s="49">
        <v>0</v>
      </c>
      <c r="DYH34" s="49">
        <v>0</v>
      </c>
      <c r="DYI34" s="49">
        <v>0</v>
      </c>
      <c r="DYJ34" s="49">
        <v>417</v>
      </c>
      <c r="DYK34" s="49"/>
      <c r="DYL34" s="64">
        <f t="shared" si="1324"/>
        <v>417</v>
      </c>
      <c r="DYM34" s="68">
        <f t="shared" si="1325"/>
        <v>69.5</v>
      </c>
      <c r="DYN34" s="48">
        <v>626</v>
      </c>
      <c r="DYO34" s="49">
        <v>0</v>
      </c>
      <c r="DYP34" s="49">
        <v>605</v>
      </c>
      <c r="DYQ34" s="49">
        <v>0</v>
      </c>
      <c r="DYR34" s="49"/>
      <c r="DYS34" s="49"/>
      <c r="DYT34" s="64">
        <f t="shared" si="1326"/>
        <v>1231</v>
      </c>
      <c r="DYU34" s="68">
        <f t="shared" si="1327"/>
        <v>205.16666666666666</v>
      </c>
      <c r="DYV34" s="48">
        <v>0</v>
      </c>
      <c r="DYW34" s="49">
        <v>773</v>
      </c>
      <c r="DYX34" s="49">
        <v>0</v>
      </c>
      <c r="DYY34" s="49">
        <v>0</v>
      </c>
      <c r="DYZ34" s="49">
        <v>0</v>
      </c>
      <c r="DZA34" s="49">
        <v>501</v>
      </c>
      <c r="DZB34" s="64">
        <f t="shared" si="1328"/>
        <v>1274</v>
      </c>
      <c r="DZC34" s="68">
        <f t="shared" si="1329"/>
        <v>212.33333333333334</v>
      </c>
      <c r="DZD34" s="48">
        <v>0</v>
      </c>
      <c r="DZE34" s="49">
        <v>698</v>
      </c>
      <c r="DZF34" s="49">
        <v>0</v>
      </c>
      <c r="DZG34" s="49">
        <v>0</v>
      </c>
      <c r="DZH34" s="49">
        <v>591</v>
      </c>
      <c r="DZI34" s="49">
        <v>0</v>
      </c>
      <c r="DZJ34" s="64">
        <f t="shared" si="1330"/>
        <v>1289</v>
      </c>
      <c r="DZK34" s="68">
        <f t="shared" si="1331"/>
        <v>214.83333333333334</v>
      </c>
      <c r="DZL34" s="48">
        <v>0</v>
      </c>
      <c r="DZM34" s="49">
        <v>627</v>
      </c>
      <c r="DZN34" s="49"/>
      <c r="DZO34" s="49">
        <v>0</v>
      </c>
      <c r="DZP34" s="49">
        <v>226</v>
      </c>
      <c r="DZQ34" s="49">
        <v>0</v>
      </c>
      <c r="DZR34" s="64">
        <f t="shared" si="1332"/>
        <v>853</v>
      </c>
      <c r="DZS34" s="68">
        <f t="shared" si="1333"/>
        <v>142.16666666666666</v>
      </c>
      <c r="DZT34" s="48">
        <v>0</v>
      </c>
      <c r="DZU34" s="49">
        <v>0</v>
      </c>
      <c r="DZV34" s="49"/>
      <c r="DZW34" s="49">
        <v>885</v>
      </c>
      <c r="DZX34" s="49">
        <v>0</v>
      </c>
      <c r="DZY34" s="49">
        <v>0</v>
      </c>
      <c r="DZZ34" s="64">
        <f t="shared" si="1334"/>
        <v>885</v>
      </c>
      <c r="EAA34" s="68">
        <f t="shared" si="1335"/>
        <v>147.5</v>
      </c>
      <c r="EAB34" s="48">
        <v>602</v>
      </c>
      <c r="EAC34" s="49">
        <v>506</v>
      </c>
      <c r="EAD34" s="49">
        <v>0</v>
      </c>
      <c r="EAE34" s="49"/>
      <c r="EAF34" s="49">
        <v>0</v>
      </c>
      <c r="EAG34" s="49">
        <v>607</v>
      </c>
      <c r="EAH34" s="64">
        <f t="shared" si="1336"/>
        <v>1715</v>
      </c>
      <c r="EAI34" s="68">
        <f t="shared" si="1337"/>
        <v>285.83333333333331</v>
      </c>
      <c r="EAJ34" s="48">
        <v>0</v>
      </c>
      <c r="EAK34" s="49">
        <v>0</v>
      </c>
      <c r="EAL34" s="49">
        <v>0</v>
      </c>
      <c r="EAM34" s="49">
        <v>162</v>
      </c>
      <c r="EAN34" s="49">
        <v>0</v>
      </c>
      <c r="EAO34" s="49">
        <v>0</v>
      </c>
      <c r="EAP34" s="64">
        <f t="shared" si="1338"/>
        <v>162</v>
      </c>
      <c r="EAQ34" s="68">
        <f t="shared" si="1339"/>
        <v>27</v>
      </c>
      <c r="EAR34" s="48">
        <v>0</v>
      </c>
      <c r="EAS34" s="49">
        <v>0</v>
      </c>
      <c r="EAT34" s="49">
        <v>0</v>
      </c>
      <c r="EAU34" s="49">
        <v>0</v>
      </c>
      <c r="EAV34" s="49">
        <v>540</v>
      </c>
      <c r="EAW34" s="49">
        <v>800</v>
      </c>
      <c r="EAX34" s="64">
        <f t="shared" si="1340"/>
        <v>1340</v>
      </c>
      <c r="EAY34" s="68">
        <f t="shared" si="1341"/>
        <v>223.33333333333334</v>
      </c>
      <c r="EAZ34" s="48">
        <v>0</v>
      </c>
      <c r="EBA34" s="49"/>
      <c r="EBB34" s="49">
        <v>0</v>
      </c>
      <c r="EBC34" s="49">
        <v>0</v>
      </c>
      <c r="EBD34" s="49">
        <v>218</v>
      </c>
      <c r="EBE34" s="49">
        <v>0</v>
      </c>
      <c r="EBF34" s="64">
        <f t="shared" si="1342"/>
        <v>218</v>
      </c>
      <c r="EBG34" s="68">
        <f t="shared" si="1343"/>
        <v>36.333333333333336</v>
      </c>
      <c r="EBH34" s="48">
        <v>0</v>
      </c>
      <c r="EBI34" s="49">
        <v>0</v>
      </c>
      <c r="EBJ34" s="49">
        <v>0</v>
      </c>
      <c r="EBK34" s="49">
        <v>112</v>
      </c>
      <c r="EBL34" s="49">
        <v>0</v>
      </c>
      <c r="EBM34" s="49">
        <v>0</v>
      </c>
      <c r="EBN34" s="64">
        <f t="shared" si="1344"/>
        <v>112</v>
      </c>
      <c r="EBO34" s="68">
        <f t="shared" si="1345"/>
        <v>18.666666666666668</v>
      </c>
      <c r="EBP34" s="48">
        <v>0</v>
      </c>
      <c r="EBQ34" s="49">
        <v>701</v>
      </c>
      <c r="EBR34" s="49"/>
      <c r="EBS34" s="49">
        <v>0</v>
      </c>
      <c r="EBT34" s="49"/>
      <c r="EBU34" s="49"/>
      <c r="EBV34" s="64">
        <f t="shared" si="1346"/>
        <v>701</v>
      </c>
      <c r="EBW34" s="68">
        <f t="shared" si="1347"/>
        <v>116.83333333333333</v>
      </c>
      <c r="EBX34" s="48">
        <v>0</v>
      </c>
      <c r="EBY34" s="49">
        <v>0</v>
      </c>
      <c r="EBZ34" s="49">
        <v>0</v>
      </c>
      <c r="ECA34" s="49"/>
      <c r="ECB34" s="49">
        <v>0</v>
      </c>
      <c r="ECC34" s="49">
        <v>0</v>
      </c>
      <c r="ECD34" s="64">
        <f t="shared" si="1348"/>
        <v>0</v>
      </c>
      <c r="ECE34" s="68">
        <f t="shared" si="1349"/>
        <v>0</v>
      </c>
      <c r="ECF34" s="48">
        <v>0</v>
      </c>
      <c r="ECG34" s="49">
        <v>400</v>
      </c>
      <c r="ECH34" s="49">
        <v>0</v>
      </c>
      <c r="ECI34" s="49">
        <v>0</v>
      </c>
      <c r="ECJ34" s="49">
        <v>0</v>
      </c>
      <c r="ECK34" s="49"/>
      <c r="ECL34" s="64">
        <f t="shared" si="1350"/>
        <v>400</v>
      </c>
      <c r="ECM34" s="68">
        <f t="shared" si="1351"/>
        <v>66.666666666666671</v>
      </c>
      <c r="ECN34" s="48">
        <v>0</v>
      </c>
      <c r="ECO34" s="49">
        <v>0</v>
      </c>
      <c r="ECP34" s="49">
        <v>560</v>
      </c>
      <c r="ECQ34" s="49"/>
      <c r="ECR34" s="49">
        <v>0</v>
      </c>
      <c r="ECS34" s="49">
        <v>0</v>
      </c>
      <c r="ECT34" s="64">
        <f t="shared" si="1352"/>
        <v>560</v>
      </c>
      <c r="ECU34" s="68">
        <f t="shared" si="1353"/>
        <v>93.333333333333329</v>
      </c>
      <c r="ECV34" s="48">
        <v>226</v>
      </c>
      <c r="ECW34" s="49">
        <v>0</v>
      </c>
      <c r="ECX34" s="49">
        <v>0</v>
      </c>
      <c r="ECY34" s="49">
        <v>500</v>
      </c>
      <c r="ECZ34" s="49"/>
      <c r="EDA34" s="49"/>
      <c r="EDB34" s="64">
        <f t="shared" si="1354"/>
        <v>726</v>
      </c>
      <c r="EDC34" s="68">
        <f t="shared" si="1355"/>
        <v>121</v>
      </c>
      <c r="EDD34" s="48">
        <v>320</v>
      </c>
      <c r="EDE34" s="49">
        <v>0</v>
      </c>
      <c r="EDF34" s="49">
        <v>256</v>
      </c>
      <c r="EDG34" s="49">
        <v>675</v>
      </c>
      <c r="EDH34" s="49"/>
      <c r="EDI34" s="49"/>
      <c r="EDJ34" s="64">
        <f t="shared" si="1356"/>
        <v>1251</v>
      </c>
      <c r="EDK34" s="68">
        <f t="shared" si="1357"/>
        <v>208.5</v>
      </c>
      <c r="EDL34" s="48">
        <v>0</v>
      </c>
      <c r="EDM34" s="49">
        <v>220</v>
      </c>
      <c r="EDN34" s="49"/>
      <c r="EDO34" s="49">
        <v>499</v>
      </c>
      <c r="EDP34" s="49">
        <v>0</v>
      </c>
      <c r="EDQ34" s="49">
        <v>627</v>
      </c>
      <c r="EDR34" s="64">
        <f t="shared" si="1358"/>
        <v>1346</v>
      </c>
      <c r="EDS34" s="68">
        <f t="shared" si="1359"/>
        <v>224.33333333333334</v>
      </c>
      <c r="EDT34" s="48">
        <v>302</v>
      </c>
      <c r="EDU34" s="49">
        <v>0</v>
      </c>
      <c r="EDV34" s="49">
        <v>0</v>
      </c>
      <c r="EDW34" s="49">
        <v>0</v>
      </c>
      <c r="EDX34" s="49">
        <v>176</v>
      </c>
      <c r="EDY34" s="49"/>
      <c r="EDZ34" s="64">
        <f t="shared" si="1360"/>
        <v>478</v>
      </c>
      <c r="EEA34" s="68">
        <f t="shared" si="1361"/>
        <v>79.666666666666671</v>
      </c>
      <c r="EEB34" s="48">
        <v>0</v>
      </c>
      <c r="EEC34" s="49">
        <v>642</v>
      </c>
      <c r="EED34" s="49">
        <v>0</v>
      </c>
      <c r="EEE34" s="49">
        <v>0</v>
      </c>
      <c r="EEF34" s="49">
        <v>333</v>
      </c>
      <c r="EEG34" s="49"/>
      <c r="EEH34" s="64">
        <f t="shared" si="1362"/>
        <v>975</v>
      </c>
      <c r="EEI34" s="68">
        <f t="shared" si="1363"/>
        <v>162.5</v>
      </c>
      <c r="EEJ34" s="48">
        <v>0</v>
      </c>
      <c r="EEK34" s="49">
        <v>970</v>
      </c>
      <c r="EEL34" s="49">
        <v>0</v>
      </c>
      <c r="EEM34" s="49">
        <v>0</v>
      </c>
      <c r="EEN34" s="49">
        <v>0</v>
      </c>
      <c r="EEO34" s="49">
        <v>0</v>
      </c>
      <c r="EEP34" s="64">
        <f t="shared" si="1364"/>
        <v>970</v>
      </c>
      <c r="EEQ34" s="68">
        <f t="shared" si="1365"/>
        <v>161.66666666666666</v>
      </c>
      <c r="EER34" s="48">
        <v>0</v>
      </c>
      <c r="EES34" s="49">
        <v>0</v>
      </c>
      <c r="EET34" s="49">
        <v>0</v>
      </c>
      <c r="EEU34" s="49">
        <v>0</v>
      </c>
      <c r="EEV34" s="49">
        <v>0</v>
      </c>
      <c r="EEW34" s="49"/>
      <c r="EEX34" s="64">
        <f t="shared" si="1366"/>
        <v>0</v>
      </c>
      <c r="EEY34" s="68">
        <f t="shared" si="1367"/>
        <v>0</v>
      </c>
      <c r="EEZ34" s="48">
        <v>1439</v>
      </c>
      <c r="EFA34" s="49"/>
      <c r="EFB34" s="49">
        <v>0</v>
      </c>
      <c r="EFC34" s="49">
        <v>0</v>
      </c>
      <c r="EFD34" s="49">
        <v>0</v>
      </c>
      <c r="EFE34" s="49">
        <v>0</v>
      </c>
      <c r="EFF34" s="64">
        <f t="shared" si="1368"/>
        <v>1439</v>
      </c>
      <c r="EFG34" s="68">
        <f t="shared" si="1369"/>
        <v>239.83333333333334</v>
      </c>
      <c r="EFH34" s="48">
        <v>0</v>
      </c>
      <c r="EFI34" s="49">
        <v>1870</v>
      </c>
      <c r="EFJ34" s="49">
        <v>187</v>
      </c>
      <c r="EFK34" s="49">
        <v>0</v>
      </c>
      <c r="EFL34" s="49">
        <v>0</v>
      </c>
      <c r="EFM34" s="49">
        <v>1230</v>
      </c>
      <c r="EFN34" s="64">
        <f t="shared" si="1370"/>
        <v>3287</v>
      </c>
      <c r="EFO34" s="68">
        <f t="shared" si="1371"/>
        <v>547.83333333333337</v>
      </c>
      <c r="EFP34" s="48">
        <v>0</v>
      </c>
      <c r="EFQ34" s="49"/>
      <c r="EFR34" s="49"/>
      <c r="EFS34" s="49">
        <v>0</v>
      </c>
      <c r="EFT34" s="49">
        <v>0</v>
      </c>
      <c r="EFU34" s="49">
        <v>0</v>
      </c>
      <c r="EFV34" s="64">
        <f t="shared" si="1372"/>
        <v>0</v>
      </c>
      <c r="EFW34" s="68">
        <f t="shared" si="1373"/>
        <v>0</v>
      </c>
      <c r="EFX34" s="48">
        <v>220</v>
      </c>
      <c r="EFY34" s="49">
        <v>0</v>
      </c>
      <c r="EFZ34" s="49">
        <v>220</v>
      </c>
      <c r="EGA34" s="49">
        <v>0</v>
      </c>
      <c r="EGB34" s="49">
        <v>0</v>
      </c>
      <c r="EGC34" s="49">
        <v>900</v>
      </c>
      <c r="EGD34" s="64">
        <f t="shared" si="1374"/>
        <v>1340</v>
      </c>
      <c r="EGE34" s="68">
        <f t="shared" si="1375"/>
        <v>223.33333333333334</v>
      </c>
      <c r="EGF34" s="48">
        <v>0</v>
      </c>
      <c r="EGG34" s="49">
        <v>0</v>
      </c>
      <c r="EGH34" s="49"/>
      <c r="EGI34" s="49">
        <v>80</v>
      </c>
      <c r="EGJ34" s="49">
        <v>0</v>
      </c>
      <c r="EGK34" s="49">
        <v>332</v>
      </c>
      <c r="EGL34" s="64">
        <f t="shared" si="1376"/>
        <v>412</v>
      </c>
      <c r="EGM34" s="68">
        <f t="shared" si="1377"/>
        <v>68.666666666666671</v>
      </c>
      <c r="EGN34" s="48">
        <v>0</v>
      </c>
      <c r="EGO34" s="49">
        <v>0</v>
      </c>
      <c r="EGP34" s="49"/>
      <c r="EGQ34" s="49">
        <v>0</v>
      </c>
      <c r="EGR34" s="49">
        <v>0</v>
      </c>
      <c r="EGS34" s="49">
        <v>109</v>
      </c>
      <c r="EGT34" s="64">
        <f t="shared" si="1378"/>
        <v>109</v>
      </c>
      <c r="EGU34" s="68">
        <f t="shared" si="1379"/>
        <v>18.166666666666668</v>
      </c>
      <c r="EGV34" s="48">
        <v>0</v>
      </c>
      <c r="EGW34" s="49">
        <v>260</v>
      </c>
      <c r="EGX34" s="49">
        <v>0</v>
      </c>
      <c r="EGY34" s="49">
        <v>217</v>
      </c>
      <c r="EGZ34" s="49">
        <v>0</v>
      </c>
      <c r="EHA34" s="49">
        <v>0</v>
      </c>
      <c r="EHB34" s="64">
        <f t="shared" si="1380"/>
        <v>477</v>
      </c>
      <c r="EHC34" s="68">
        <f t="shared" si="1381"/>
        <v>79.5</v>
      </c>
      <c r="EHD34" s="48">
        <v>0</v>
      </c>
      <c r="EHE34" s="49">
        <v>499</v>
      </c>
      <c r="EHF34" s="49"/>
      <c r="EHG34" s="49">
        <v>0</v>
      </c>
      <c r="EHH34" s="49">
        <v>0</v>
      </c>
      <c r="EHI34" s="49">
        <v>30</v>
      </c>
      <c r="EHJ34" s="64">
        <f t="shared" si="1382"/>
        <v>529</v>
      </c>
      <c r="EHK34" s="68">
        <f t="shared" si="1383"/>
        <v>88.166666666666671</v>
      </c>
      <c r="EHL34" s="48">
        <v>1191</v>
      </c>
      <c r="EHM34" s="49">
        <v>0</v>
      </c>
      <c r="EHN34" s="49"/>
      <c r="EHO34" s="49">
        <v>220</v>
      </c>
      <c r="EHP34" s="49"/>
      <c r="EHQ34" s="49">
        <v>0</v>
      </c>
      <c r="EHR34" s="64">
        <f t="shared" si="1384"/>
        <v>1411</v>
      </c>
      <c r="EHS34" s="68">
        <f t="shared" si="1385"/>
        <v>235.16666666666666</v>
      </c>
      <c r="EHT34" s="48">
        <v>218</v>
      </c>
      <c r="EHU34" s="49">
        <v>0</v>
      </c>
      <c r="EHV34" s="49"/>
      <c r="EHW34" s="49">
        <v>600</v>
      </c>
      <c r="EHX34" s="49">
        <v>709</v>
      </c>
      <c r="EHY34" s="49">
        <v>0</v>
      </c>
      <c r="EHZ34" s="64">
        <f t="shared" si="1386"/>
        <v>1527</v>
      </c>
      <c r="EIA34" s="68">
        <f t="shared" si="1387"/>
        <v>254.5</v>
      </c>
      <c r="EIB34" s="48">
        <v>0</v>
      </c>
      <c r="EIC34" s="49">
        <v>0</v>
      </c>
      <c r="EID34" s="49">
        <v>0</v>
      </c>
      <c r="EIE34" s="49">
        <v>0</v>
      </c>
      <c r="EIF34" s="49">
        <v>0</v>
      </c>
      <c r="EIG34" s="49">
        <v>0</v>
      </c>
      <c r="EIH34" s="64">
        <f t="shared" si="1388"/>
        <v>0</v>
      </c>
      <c r="EII34" s="68">
        <f t="shared" si="1389"/>
        <v>0</v>
      </c>
      <c r="EIJ34" s="48">
        <v>0</v>
      </c>
      <c r="EIK34" s="49">
        <v>0</v>
      </c>
      <c r="EIL34" s="49">
        <v>0</v>
      </c>
      <c r="EIM34" s="49">
        <v>0</v>
      </c>
      <c r="EIN34" s="49">
        <v>0</v>
      </c>
      <c r="EIO34" s="49">
        <v>875</v>
      </c>
      <c r="EIP34" s="64">
        <f t="shared" si="1390"/>
        <v>875</v>
      </c>
      <c r="EIQ34" s="68">
        <f t="shared" si="1391"/>
        <v>145.83333333333334</v>
      </c>
      <c r="EIR34" s="48">
        <v>0</v>
      </c>
      <c r="EIS34" s="49">
        <v>0</v>
      </c>
      <c r="EIT34" s="49">
        <v>0</v>
      </c>
      <c r="EIU34" s="49">
        <v>0</v>
      </c>
      <c r="EIV34" s="49">
        <v>108</v>
      </c>
      <c r="EIW34" s="49">
        <v>0</v>
      </c>
      <c r="EIX34" s="64">
        <f t="shared" si="1392"/>
        <v>108</v>
      </c>
      <c r="EIY34" s="68">
        <f t="shared" si="1393"/>
        <v>18</v>
      </c>
      <c r="EIZ34" s="48">
        <v>0</v>
      </c>
      <c r="EJA34" s="49">
        <v>110</v>
      </c>
      <c r="EJB34" s="49">
        <v>0</v>
      </c>
      <c r="EJC34" s="49">
        <v>0</v>
      </c>
      <c r="EJD34" s="49">
        <v>0</v>
      </c>
      <c r="EJE34" s="49">
        <v>0</v>
      </c>
      <c r="EJF34" s="64">
        <f t="shared" si="1394"/>
        <v>110</v>
      </c>
      <c r="EJG34" s="68">
        <f t="shared" si="1395"/>
        <v>18.333333333333332</v>
      </c>
      <c r="EJH34" s="48">
        <v>0</v>
      </c>
      <c r="EJI34" s="49">
        <v>220</v>
      </c>
      <c r="EJJ34" s="49"/>
      <c r="EJK34" s="49">
        <v>0</v>
      </c>
      <c r="EJL34" s="49"/>
      <c r="EJM34" s="49"/>
      <c r="EJN34" s="64">
        <f t="shared" si="1396"/>
        <v>220</v>
      </c>
      <c r="EJO34" s="68">
        <f t="shared" si="1397"/>
        <v>36.666666666666664</v>
      </c>
      <c r="EJP34" s="48">
        <v>0</v>
      </c>
      <c r="EJQ34" s="49">
        <v>0</v>
      </c>
      <c r="EJR34" s="49">
        <v>0</v>
      </c>
      <c r="EJS34" s="49">
        <v>220</v>
      </c>
      <c r="EJT34" s="49">
        <v>0</v>
      </c>
      <c r="EJU34" s="49">
        <v>0</v>
      </c>
      <c r="EJV34" s="64">
        <f t="shared" si="1398"/>
        <v>220</v>
      </c>
      <c r="EJW34" s="68">
        <f t="shared" si="1399"/>
        <v>36.666666666666664</v>
      </c>
      <c r="EJX34" s="48">
        <v>399</v>
      </c>
      <c r="EJY34" s="49">
        <v>0</v>
      </c>
      <c r="EJZ34" s="49">
        <v>0</v>
      </c>
      <c r="EKA34" s="49"/>
      <c r="EKB34" s="49">
        <v>0</v>
      </c>
      <c r="EKC34" s="49"/>
      <c r="EKD34" s="64">
        <f t="shared" si="1400"/>
        <v>399</v>
      </c>
      <c r="EKE34" s="68">
        <f t="shared" si="1401"/>
        <v>66.5</v>
      </c>
      <c r="EKF34" s="48">
        <v>0</v>
      </c>
      <c r="EKG34" s="49">
        <v>199</v>
      </c>
      <c r="EKH34" s="49">
        <v>0</v>
      </c>
      <c r="EKI34" s="49"/>
      <c r="EKJ34" s="49">
        <v>0</v>
      </c>
      <c r="EKK34" s="49">
        <v>218</v>
      </c>
      <c r="EKL34" s="64">
        <f t="shared" si="1402"/>
        <v>417</v>
      </c>
      <c r="EKM34" s="68">
        <f t="shared" si="1403"/>
        <v>69.5</v>
      </c>
      <c r="EKN34" s="48">
        <v>200</v>
      </c>
      <c r="EKO34" s="49">
        <v>0</v>
      </c>
      <c r="EKP34" s="49">
        <v>0</v>
      </c>
      <c r="EKQ34" s="49">
        <v>0</v>
      </c>
      <c r="EKR34" s="49">
        <v>0</v>
      </c>
      <c r="EKS34" s="49">
        <v>0</v>
      </c>
      <c r="EKT34" s="64">
        <f t="shared" si="1404"/>
        <v>200</v>
      </c>
      <c r="EKU34" s="184">
        <f t="shared" si="1405"/>
        <v>33.333333333333336</v>
      </c>
      <c r="EKV34" s="665"/>
      <c r="EKW34" s="195">
        <v>0</v>
      </c>
      <c r="EKX34" s="49">
        <v>0</v>
      </c>
      <c r="EKY34" s="49">
        <v>320</v>
      </c>
      <c r="EKZ34" s="49">
        <v>0</v>
      </c>
      <c r="ELA34" s="49">
        <v>0</v>
      </c>
      <c r="ELB34" s="49">
        <v>0</v>
      </c>
      <c r="ELC34" s="64">
        <f t="shared" si="1406"/>
        <v>320</v>
      </c>
      <c r="ELD34" s="211">
        <f t="shared" si="1407"/>
        <v>53.333333333333336</v>
      </c>
      <c r="ELE34" s="195">
        <v>0</v>
      </c>
      <c r="ELF34" s="49">
        <v>0</v>
      </c>
      <c r="ELG34" s="49">
        <v>462</v>
      </c>
      <c r="ELH34" s="49">
        <v>0</v>
      </c>
      <c r="ELI34" s="49">
        <v>0</v>
      </c>
      <c r="ELJ34" s="49">
        <v>0</v>
      </c>
      <c r="ELK34" s="64">
        <f t="shared" si="1408"/>
        <v>462</v>
      </c>
      <c r="ELL34" s="211">
        <f t="shared" si="1409"/>
        <v>77</v>
      </c>
      <c r="ELM34" s="195">
        <v>652</v>
      </c>
      <c r="ELN34" s="49">
        <v>0</v>
      </c>
      <c r="ELO34" s="49">
        <v>0</v>
      </c>
      <c r="ELP34" s="49">
        <v>0</v>
      </c>
      <c r="ELQ34" s="49">
        <v>0</v>
      </c>
      <c r="ELR34" s="49">
        <v>110</v>
      </c>
      <c r="ELS34" s="64">
        <f t="shared" si="1410"/>
        <v>762</v>
      </c>
      <c r="ELT34" s="211">
        <f t="shared" si="1411"/>
        <v>127</v>
      </c>
      <c r="ELU34" s="195">
        <v>0</v>
      </c>
      <c r="ELV34" s="49">
        <v>220</v>
      </c>
      <c r="ELW34" s="49">
        <v>319</v>
      </c>
      <c r="ELX34" s="49">
        <v>10</v>
      </c>
      <c r="ELY34" s="49">
        <v>329</v>
      </c>
      <c r="ELZ34" s="49">
        <v>220</v>
      </c>
      <c r="EMA34" s="64">
        <f t="shared" si="1412"/>
        <v>1098</v>
      </c>
      <c r="EMB34" s="211">
        <f t="shared" si="1413"/>
        <v>183</v>
      </c>
      <c r="EMC34" s="195">
        <v>464</v>
      </c>
      <c r="EMD34" s="49">
        <v>0</v>
      </c>
      <c r="EME34" s="49">
        <v>330</v>
      </c>
      <c r="EMF34" s="49">
        <v>0</v>
      </c>
      <c r="EMG34" s="49"/>
      <c r="EMH34" s="49">
        <v>0</v>
      </c>
      <c r="EMI34" s="64">
        <f t="shared" si="1414"/>
        <v>794</v>
      </c>
      <c r="EMJ34" s="211">
        <f t="shared" si="1415"/>
        <v>132.33333333333334</v>
      </c>
      <c r="EMK34" s="195">
        <v>909</v>
      </c>
      <c r="EML34" s="49">
        <v>0</v>
      </c>
      <c r="EMM34" s="49">
        <v>0</v>
      </c>
      <c r="EMN34" s="49">
        <v>0</v>
      </c>
      <c r="EMO34" s="49">
        <v>0</v>
      </c>
      <c r="EMP34" s="49">
        <v>0</v>
      </c>
      <c r="EMQ34" s="64">
        <f t="shared" si="1416"/>
        <v>909</v>
      </c>
      <c r="EMR34" s="211">
        <f t="shared" si="1417"/>
        <v>151.5</v>
      </c>
      <c r="EMS34" s="195">
        <v>0</v>
      </c>
      <c r="EMT34" s="49">
        <v>0</v>
      </c>
      <c r="EMU34" s="49">
        <v>0</v>
      </c>
      <c r="EMV34" s="49">
        <v>501</v>
      </c>
      <c r="EMW34" s="49">
        <v>0</v>
      </c>
      <c r="EMX34" s="49">
        <v>1025</v>
      </c>
      <c r="EMY34" s="64">
        <f t="shared" si="1418"/>
        <v>1526</v>
      </c>
      <c r="EMZ34" s="211">
        <f t="shared" si="1419"/>
        <v>254.33333333333334</v>
      </c>
      <c r="ENA34" s="195">
        <v>0</v>
      </c>
      <c r="ENB34" s="49">
        <v>0</v>
      </c>
      <c r="ENC34" s="49">
        <v>20</v>
      </c>
      <c r="END34" s="49">
        <v>20</v>
      </c>
      <c r="ENE34" s="49">
        <v>0</v>
      </c>
      <c r="ENF34" s="49">
        <v>0</v>
      </c>
      <c r="ENG34" s="64">
        <f t="shared" si="1420"/>
        <v>40</v>
      </c>
      <c r="ENH34" s="211">
        <f t="shared" si="1421"/>
        <v>6.666666666666667</v>
      </c>
      <c r="ENI34" s="195">
        <v>0</v>
      </c>
      <c r="ENJ34" s="49"/>
      <c r="ENK34" s="49">
        <v>20</v>
      </c>
      <c r="ENL34" s="49">
        <v>0</v>
      </c>
      <c r="ENM34" s="49">
        <v>221</v>
      </c>
      <c r="ENN34" s="49">
        <v>0</v>
      </c>
      <c r="ENO34" s="64">
        <f t="shared" si="1422"/>
        <v>241</v>
      </c>
      <c r="ENP34" s="211">
        <f t="shared" si="1423"/>
        <v>40.166666666666664</v>
      </c>
      <c r="ENQ34" s="195">
        <v>0</v>
      </c>
      <c r="ENR34" s="49"/>
      <c r="ENS34" s="49">
        <v>0</v>
      </c>
      <c r="ENT34" s="49">
        <v>465</v>
      </c>
      <c r="ENU34" s="49">
        <v>0</v>
      </c>
      <c r="ENV34" s="49">
        <v>110</v>
      </c>
      <c r="ENW34" s="64">
        <f t="shared" si="1424"/>
        <v>575</v>
      </c>
      <c r="ENX34" s="211">
        <f t="shared" si="1425"/>
        <v>95.833333333333329</v>
      </c>
      <c r="ENY34" s="195">
        <v>0</v>
      </c>
      <c r="ENZ34" s="49"/>
      <c r="EOA34" s="49">
        <v>0</v>
      </c>
      <c r="EOB34" s="49">
        <v>0</v>
      </c>
      <c r="EOC34" s="49">
        <v>0</v>
      </c>
      <c r="EOD34" s="49">
        <v>0</v>
      </c>
      <c r="EOE34" s="64">
        <f t="shared" si="1426"/>
        <v>0</v>
      </c>
      <c r="EOF34" s="211">
        <f t="shared" si="1427"/>
        <v>0</v>
      </c>
      <c r="EOH34" s="195"/>
      <c r="EOI34" s="49">
        <v>0</v>
      </c>
      <c r="EOJ34" s="49">
        <v>0</v>
      </c>
      <c r="EOK34" s="49">
        <v>0</v>
      </c>
      <c r="EOL34" s="49">
        <v>0</v>
      </c>
      <c r="EOM34" s="49">
        <v>220</v>
      </c>
      <c r="EON34" s="184">
        <f t="shared" si="1428"/>
        <v>220</v>
      </c>
      <c r="EOO34" s="244">
        <v>0</v>
      </c>
      <c r="EOP34" s="49">
        <v>0</v>
      </c>
      <c r="EOQ34" s="49">
        <v>0</v>
      </c>
      <c r="EOR34" s="49">
        <v>0</v>
      </c>
      <c r="EOS34" s="49">
        <v>0</v>
      </c>
      <c r="EOT34" s="49">
        <v>108</v>
      </c>
      <c r="EOU34" s="64">
        <f t="shared" si="1429"/>
        <v>108</v>
      </c>
      <c r="EOV34" s="211">
        <f t="shared" si="1430"/>
        <v>18</v>
      </c>
      <c r="EOW34" s="195">
        <v>0</v>
      </c>
      <c r="EOX34" s="49">
        <v>0</v>
      </c>
      <c r="EOY34" s="49">
        <v>0</v>
      </c>
      <c r="EOZ34" s="49"/>
      <c r="EPA34" s="49">
        <v>0</v>
      </c>
      <c r="EPB34" s="49">
        <v>0</v>
      </c>
      <c r="EPC34" s="64">
        <f t="shared" si="1431"/>
        <v>0</v>
      </c>
      <c r="EPD34" s="211">
        <f t="shared" si="1432"/>
        <v>0</v>
      </c>
      <c r="EPE34" s="195">
        <v>124</v>
      </c>
      <c r="EPF34" s="49">
        <v>0</v>
      </c>
      <c r="EPG34" s="49">
        <v>0</v>
      </c>
      <c r="EPH34" s="49">
        <v>0</v>
      </c>
      <c r="EPI34" s="49">
        <v>0</v>
      </c>
      <c r="EPJ34" s="49">
        <v>0</v>
      </c>
      <c r="EPK34" s="64">
        <f t="shared" si="1433"/>
        <v>124</v>
      </c>
      <c r="EPL34" s="211">
        <f t="shared" si="1434"/>
        <v>20.666666666666668</v>
      </c>
      <c r="EPM34" s="195">
        <v>0</v>
      </c>
      <c r="EPN34" s="49">
        <v>0</v>
      </c>
      <c r="EPO34" s="49">
        <v>502</v>
      </c>
      <c r="EPP34" s="49">
        <v>220</v>
      </c>
      <c r="EPQ34" s="49">
        <v>0</v>
      </c>
      <c r="EPR34" s="49">
        <v>0</v>
      </c>
      <c r="EPS34" s="64">
        <f t="shared" si="1435"/>
        <v>722</v>
      </c>
      <c r="EPT34" s="211">
        <f t="shared" si="1436"/>
        <v>120.33333333333333</v>
      </c>
      <c r="EPU34" s="195">
        <v>0</v>
      </c>
      <c r="EPV34" s="49">
        <v>0</v>
      </c>
      <c r="EPW34" s="49">
        <v>0</v>
      </c>
      <c r="EPX34" s="49">
        <v>0</v>
      </c>
      <c r="EPY34" s="49">
        <f>SUMIF(SUMPK!$B:$B,$B:$B,SUMPK!$O:$O)</f>
        <v>0</v>
      </c>
      <c r="EPZ34" s="49">
        <v>0</v>
      </c>
      <c r="EQA34" s="64">
        <f t="shared" si="1437"/>
        <v>0</v>
      </c>
      <c r="EQB34" s="211">
        <f t="shared" si="1438"/>
        <v>0</v>
      </c>
      <c r="EQC34" s="195">
        <v>0</v>
      </c>
      <c r="EQD34" s="49">
        <v>0</v>
      </c>
      <c r="EQE34" s="49">
        <v>0</v>
      </c>
      <c r="EQF34" s="49">
        <v>0</v>
      </c>
      <c r="EQG34" s="49">
        <v>0</v>
      </c>
      <c r="EQH34" s="49"/>
      <c r="EQI34" s="64">
        <f t="shared" si="1439"/>
        <v>0</v>
      </c>
      <c r="EQJ34" s="211">
        <f t="shared" si="1440"/>
        <v>0</v>
      </c>
      <c r="EQK34" s="195">
        <v>0</v>
      </c>
      <c r="EQL34" s="49">
        <v>330</v>
      </c>
      <c r="EQM34" s="49">
        <v>0</v>
      </c>
      <c r="EQN34" s="49"/>
      <c r="EQO34" s="49">
        <v>316</v>
      </c>
      <c r="EQP34" s="49">
        <v>0</v>
      </c>
      <c r="EQQ34" s="64">
        <f t="shared" si="1441"/>
        <v>646</v>
      </c>
      <c r="EQR34" s="211">
        <f t="shared" si="1442"/>
        <v>107.66666666666667</v>
      </c>
      <c r="EQS34" s="195">
        <v>0</v>
      </c>
      <c r="EQT34" s="49">
        <v>0</v>
      </c>
      <c r="EQU34" s="49">
        <v>30</v>
      </c>
      <c r="EQV34" s="49">
        <v>0</v>
      </c>
      <c r="EQW34" s="49"/>
      <c r="EQX34" s="49">
        <v>0</v>
      </c>
      <c r="EQY34" s="64">
        <f t="shared" si="1443"/>
        <v>30</v>
      </c>
      <c r="EQZ34" s="211">
        <f t="shared" si="1444"/>
        <v>5</v>
      </c>
      <c r="ERA34" s="195">
        <v>0</v>
      </c>
      <c r="ERB34" s="49">
        <v>0</v>
      </c>
      <c r="ERC34" s="49">
        <v>282</v>
      </c>
      <c r="ERD34" s="49">
        <v>0</v>
      </c>
      <c r="ERE34" s="49">
        <v>0</v>
      </c>
      <c r="ERF34" s="49"/>
      <c r="ERG34" s="64">
        <f t="shared" si="1445"/>
        <v>282</v>
      </c>
      <c r="ERH34" s="211">
        <f t="shared" si="1446"/>
        <v>47</v>
      </c>
      <c r="ERI34" s="195"/>
      <c r="ERJ34" s="49">
        <v>0</v>
      </c>
      <c r="ERK34" s="49">
        <v>899</v>
      </c>
      <c r="ERL34" s="49">
        <v>0</v>
      </c>
      <c r="ERM34" s="49">
        <v>220</v>
      </c>
      <c r="ERN34" s="49">
        <v>0</v>
      </c>
      <c r="ERO34" s="64">
        <f t="shared" si="1447"/>
        <v>1119</v>
      </c>
      <c r="ERP34" s="211">
        <f t="shared" si="1448"/>
        <v>186.5</v>
      </c>
      <c r="ERQ34" s="195"/>
      <c r="ERR34" s="49">
        <v>0</v>
      </c>
      <c r="ERS34" s="49"/>
      <c r="ERT34" s="49">
        <v>0</v>
      </c>
      <c r="ERU34" s="49">
        <v>0</v>
      </c>
      <c r="ERV34" s="49">
        <v>0</v>
      </c>
      <c r="ERW34" s="64">
        <f t="shared" si="1449"/>
        <v>0</v>
      </c>
      <c r="ERX34" s="211">
        <f t="shared" si="1450"/>
        <v>0</v>
      </c>
      <c r="ERY34" s="195">
        <v>0</v>
      </c>
      <c r="ERZ34" s="49">
        <v>110</v>
      </c>
      <c r="ESA34" s="49">
        <v>0</v>
      </c>
      <c r="ESB34" s="49">
        <v>0</v>
      </c>
      <c r="ESC34" s="49">
        <v>0</v>
      </c>
      <c r="ESD34" s="49">
        <v>111</v>
      </c>
      <c r="ESE34" s="64">
        <f t="shared" si="1451"/>
        <v>221</v>
      </c>
      <c r="ESF34" s="211">
        <f t="shared" si="1452"/>
        <v>36.833333333333336</v>
      </c>
      <c r="ESG34" s="195">
        <v>0</v>
      </c>
      <c r="ESH34" s="49">
        <v>520</v>
      </c>
      <c r="ESI34" s="49">
        <v>0</v>
      </c>
      <c r="ESJ34" s="49">
        <v>109</v>
      </c>
      <c r="ESK34" s="49"/>
      <c r="ESL34" s="49">
        <v>0</v>
      </c>
      <c r="ESM34" s="64">
        <f t="shared" si="1453"/>
        <v>629</v>
      </c>
      <c r="ESN34" s="211">
        <f t="shared" si="1454"/>
        <v>104.83333333333333</v>
      </c>
      <c r="ESO34" s="458">
        <v>0</v>
      </c>
      <c r="ESP34" s="83">
        <v>0</v>
      </c>
      <c r="ESQ34" s="83">
        <v>0</v>
      </c>
      <c r="ESR34" s="83">
        <v>0</v>
      </c>
      <c r="ESS34" s="83">
        <v>0</v>
      </c>
      <c r="EST34" s="83"/>
      <c r="ESU34" s="64">
        <f t="shared" si="1455"/>
        <v>0</v>
      </c>
      <c r="ESV34" s="211">
        <f t="shared" si="1456"/>
        <v>0</v>
      </c>
      <c r="ESW34" s="195"/>
      <c r="ESX34" s="49">
        <v>0</v>
      </c>
      <c r="ESY34" s="49">
        <v>0</v>
      </c>
      <c r="ESZ34" s="49">
        <v>0</v>
      </c>
      <c r="ETA34" s="49">
        <v>0</v>
      </c>
      <c r="ETB34" s="49">
        <v>0</v>
      </c>
      <c r="ETC34" s="808">
        <f t="shared" si="1457"/>
        <v>0</v>
      </c>
      <c r="ETD34" s="211">
        <f t="shared" si="1458"/>
        <v>0</v>
      </c>
      <c r="ETE34" s="195">
        <v>0</v>
      </c>
      <c r="ETF34" s="49">
        <v>0</v>
      </c>
      <c r="ETG34" s="49">
        <v>0</v>
      </c>
      <c r="ETH34" s="49">
        <v>42</v>
      </c>
      <c r="ETI34" s="49">
        <v>0</v>
      </c>
      <c r="ETJ34" s="49">
        <v>0</v>
      </c>
      <c r="ETK34" s="808">
        <f t="shared" si="1459"/>
        <v>42</v>
      </c>
      <c r="ETL34" s="211">
        <f t="shared" si="1460"/>
        <v>7</v>
      </c>
      <c r="ETM34" s="814">
        <v>0</v>
      </c>
      <c r="ETN34" s="815">
        <v>0</v>
      </c>
      <c r="ETO34" s="815">
        <v>80</v>
      </c>
      <c r="ETP34" s="815">
        <v>0</v>
      </c>
      <c r="ETQ34" s="815">
        <v>0</v>
      </c>
      <c r="ETR34" s="815">
        <v>0</v>
      </c>
      <c r="ETS34" s="808">
        <f t="shared" si="1461"/>
        <v>80</v>
      </c>
      <c r="ETT34" s="211">
        <f t="shared" si="1462"/>
        <v>13.333333333333334</v>
      </c>
      <c r="ETU34" s="458">
        <v>0</v>
      </c>
      <c r="ETV34" s="83">
        <v>0</v>
      </c>
      <c r="ETW34" s="83">
        <v>0</v>
      </c>
      <c r="ETX34" s="83">
        <v>279</v>
      </c>
      <c r="ETY34" s="83">
        <v>0</v>
      </c>
      <c r="ETZ34" s="83">
        <v>0</v>
      </c>
      <c r="EUA34" s="808">
        <f t="shared" si="1463"/>
        <v>279</v>
      </c>
      <c r="EUB34" s="211">
        <f t="shared" si="1464"/>
        <v>46.5</v>
      </c>
      <c r="EUC34" s="458"/>
      <c r="EUD34" s="83">
        <v>0</v>
      </c>
      <c r="EUE34" s="83"/>
      <c r="EUF34" s="83">
        <v>0</v>
      </c>
      <c r="EUG34" s="83">
        <v>280</v>
      </c>
      <c r="EUH34" s="83">
        <v>0</v>
      </c>
      <c r="EUI34" s="808">
        <f t="shared" si="1465"/>
        <v>280</v>
      </c>
      <c r="EUJ34" s="211">
        <f t="shared" si="1466"/>
        <v>46.666666666666664</v>
      </c>
      <c r="EUK34" s="195"/>
      <c r="EUL34" s="49">
        <v>79</v>
      </c>
      <c r="EUM34" s="49">
        <v>0</v>
      </c>
      <c r="EUN34" s="49">
        <v>0</v>
      </c>
      <c r="EUO34" s="49">
        <v>0</v>
      </c>
      <c r="EUP34" s="49">
        <v>0</v>
      </c>
      <c r="EUQ34" s="808">
        <f t="shared" si="1467"/>
        <v>79</v>
      </c>
      <c r="EUR34" s="211">
        <f t="shared" si="1468"/>
        <v>13.166666666666666</v>
      </c>
      <c r="EUS34" s="195">
        <v>114</v>
      </c>
      <c r="EUT34" s="49">
        <v>0</v>
      </c>
      <c r="EUU34" s="49">
        <v>0</v>
      </c>
      <c r="EUV34" s="49">
        <v>0</v>
      </c>
      <c r="EUW34" s="49">
        <v>0</v>
      </c>
      <c r="EUX34" s="49"/>
      <c r="EUY34" s="808">
        <f t="shared" si="1469"/>
        <v>114</v>
      </c>
      <c r="EUZ34" s="211">
        <f t="shared" si="1470"/>
        <v>19</v>
      </c>
      <c r="EVA34" s="195">
        <v>0</v>
      </c>
      <c r="EVB34" s="49">
        <v>0</v>
      </c>
      <c r="EVC34" s="49">
        <v>0</v>
      </c>
      <c r="EVD34" s="49"/>
      <c r="EVE34" s="49">
        <v>0</v>
      </c>
      <c r="EVF34" s="49"/>
      <c r="EVG34" s="808">
        <f t="shared" si="1471"/>
        <v>0</v>
      </c>
      <c r="EVH34" s="211">
        <f t="shared" si="1472"/>
        <v>0</v>
      </c>
      <c r="EVI34" s="195">
        <v>0</v>
      </c>
      <c r="EVJ34" s="49">
        <v>0</v>
      </c>
      <c r="EVK34" s="49">
        <f>SUMIF(SUMPK!$B:$B,$B:$B,SUMPK!$O:$O)</f>
        <v>0</v>
      </c>
      <c r="EVL34" s="49"/>
      <c r="EVM34" s="49"/>
      <c r="EVN34" s="49">
        <v>0</v>
      </c>
      <c r="EVO34" s="808">
        <f t="shared" si="1473"/>
        <v>0</v>
      </c>
      <c r="EVP34" s="211">
        <f t="shared" si="1474"/>
        <v>0</v>
      </c>
      <c r="EVQ34" s="195">
        <v>101</v>
      </c>
      <c r="EVR34" s="49">
        <v>0</v>
      </c>
      <c r="EVS34" s="49">
        <v>0</v>
      </c>
      <c r="EVT34" s="49"/>
      <c r="EVU34" s="49">
        <v>0</v>
      </c>
      <c r="EVV34" s="49">
        <v>0</v>
      </c>
      <c r="EVW34" s="808">
        <f t="shared" si="1475"/>
        <v>101</v>
      </c>
      <c r="EVX34" s="211">
        <f t="shared" si="1476"/>
        <v>16.833333333333332</v>
      </c>
      <c r="EVY34" s="195">
        <v>0</v>
      </c>
      <c r="EVZ34" s="49">
        <v>500</v>
      </c>
      <c r="EWA34" s="49">
        <v>0</v>
      </c>
      <c r="EWB34" s="49">
        <v>109</v>
      </c>
      <c r="EWC34" s="49">
        <v>0</v>
      </c>
      <c r="EWD34" s="49"/>
      <c r="EWE34" s="808">
        <f t="shared" si="1477"/>
        <v>609</v>
      </c>
      <c r="EWF34" s="211">
        <f t="shared" si="1478"/>
        <v>101.5</v>
      </c>
      <c r="EWG34" s="195">
        <v>399</v>
      </c>
      <c r="EWH34" s="49">
        <v>0</v>
      </c>
      <c r="EWI34" s="49"/>
      <c r="EWJ34" s="49">
        <v>0</v>
      </c>
      <c r="EWK34" s="49">
        <v>0</v>
      </c>
      <c r="EWL34" s="49"/>
      <c r="EWM34" s="808">
        <f t="shared" si="1479"/>
        <v>399</v>
      </c>
      <c r="EWN34" s="211">
        <f t="shared" si="1480"/>
        <v>66.5</v>
      </c>
      <c r="EWO34" s="195">
        <v>0</v>
      </c>
      <c r="EWP34" s="49"/>
      <c r="EWQ34" s="49"/>
      <c r="EWR34" s="49">
        <v>110</v>
      </c>
      <c r="EWS34" s="49">
        <v>598</v>
      </c>
      <c r="EWT34" s="49">
        <v>0</v>
      </c>
      <c r="EWU34" s="808">
        <f t="shared" si="1481"/>
        <v>708</v>
      </c>
      <c r="EWV34" s="211">
        <f t="shared" si="1482"/>
        <v>118</v>
      </c>
      <c r="EWW34" s="195"/>
      <c r="EWX34" s="49"/>
      <c r="EWY34" s="49">
        <v>781</v>
      </c>
      <c r="EWZ34" s="49">
        <v>0</v>
      </c>
      <c r="EXA34" s="49">
        <v>0</v>
      </c>
      <c r="EXB34" s="49"/>
      <c r="EXC34" s="808">
        <f t="shared" si="1483"/>
        <v>781</v>
      </c>
      <c r="EXD34" s="211">
        <f t="shared" si="1484"/>
        <v>130.16666666666666</v>
      </c>
      <c r="EXE34" s="195"/>
      <c r="EXF34" s="49">
        <v>200</v>
      </c>
      <c r="EXG34" s="49">
        <v>0</v>
      </c>
      <c r="EXH34" s="49"/>
      <c r="EXI34" s="49">
        <v>0</v>
      </c>
      <c r="EXJ34" s="49">
        <v>0</v>
      </c>
      <c r="EXK34" s="808">
        <f t="shared" si="1485"/>
        <v>200</v>
      </c>
      <c r="EXL34" s="211">
        <f t="shared" si="1486"/>
        <v>33.333333333333336</v>
      </c>
      <c r="EXM34" s="458">
        <v>0</v>
      </c>
      <c r="EXN34" s="83">
        <v>0</v>
      </c>
      <c r="EXO34" s="83">
        <v>0</v>
      </c>
      <c r="EXP34" s="83">
        <v>0</v>
      </c>
      <c r="EXQ34" s="83"/>
      <c r="EXR34" s="83">
        <v>300</v>
      </c>
      <c r="EXS34" s="808">
        <f t="shared" si="1487"/>
        <v>300</v>
      </c>
      <c r="EXT34" s="211">
        <f t="shared" si="1488"/>
        <v>50</v>
      </c>
      <c r="EXU34" s="195">
        <v>0</v>
      </c>
      <c r="EXV34" s="49">
        <v>0</v>
      </c>
      <c r="EXW34" s="49">
        <v>0</v>
      </c>
      <c r="EXX34" s="49">
        <v>0</v>
      </c>
      <c r="EXY34" s="49">
        <v>105</v>
      </c>
      <c r="EXZ34" s="49">
        <v>0</v>
      </c>
      <c r="EYA34" s="808">
        <f t="shared" si="1489"/>
        <v>105</v>
      </c>
      <c r="EYB34" s="211">
        <f t="shared" si="1490"/>
        <v>17.5</v>
      </c>
      <c r="EYC34" s="195">
        <v>0</v>
      </c>
      <c r="EYD34" s="49">
        <v>340</v>
      </c>
      <c r="EYE34" s="49">
        <v>0</v>
      </c>
      <c r="EYF34" s="49"/>
      <c r="EYG34" s="49">
        <v>0</v>
      </c>
      <c r="EYH34" s="49">
        <v>0</v>
      </c>
      <c r="EYI34" s="808">
        <f t="shared" si="1491"/>
        <v>340</v>
      </c>
      <c r="EYJ34" s="211">
        <f t="shared" si="1492"/>
        <v>56.666666666666664</v>
      </c>
      <c r="EYK34" s="195">
        <v>330</v>
      </c>
      <c r="EYL34" s="49">
        <v>0</v>
      </c>
      <c r="EYM34" s="49">
        <v>0</v>
      </c>
      <c r="EYN34" s="49">
        <v>0</v>
      </c>
      <c r="EYO34" s="49">
        <v>0</v>
      </c>
      <c r="EYP34" s="49">
        <v>115</v>
      </c>
      <c r="EYQ34" s="808">
        <f t="shared" si="1493"/>
        <v>445</v>
      </c>
      <c r="EYR34" s="211">
        <f t="shared" si="1494"/>
        <v>74.166666666666671</v>
      </c>
      <c r="EYS34" s="195">
        <v>298</v>
      </c>
      <c r="EYT34" s="49">
        <v>0</v>
      </c>
      <c r="EYU34" s="49">
        <v>0</v>
      </c>
      <c r="EYV34" s="49">
        <v>0</v>
      </c>
      <c r="EYW34" s="49"/>
      <c r="EYX34" s="49"/>
      <c r="EYY34" s="872">
        <f t="shared" si="1495"/>
        <v>298</v>
      </c>
      <c r="EYZ34" s="873">
        <f t="shared" si="1496"/>
        <v>49.666666666666664</v>
      </c>
      <c r="EZA34" s="195">
        <v>335</v>
      </c>
      <c r="EZB34" s="49">
        <v>0</v>
      </c>
      <c r="EZC34" s="49">
        <v>0</v>
      </c>
      <c r="EZD34" s="49"/>
      <c r="EZE34" s="49">
        <v>0</v>
      </c>
      <c r="EZF34" s="49">
        <v>0</v>
      </c>
      <c r="EZG34" s="872">
        <f t="shared" si="1497"/>
        <v>335</v>
      </c>
      <c r="EZH34" s="873">
        <f t="shared" si="1498"/>
        <v>55.833333333333336</v>
      </c>
      <c r="EZI34" s="195">
        <v>155</v>
      </c>
      <c r="EZJ34" s="49">
        <v>0</v>
      </c>
      <c r="EZK34" s="49"/>
      <c r="EZL34" s="49"/>
      <c r="EZM34" s="49"/>
      <c r="EZN34" s="49"/>
      <c r="EZO34" s="872">
        <f t="shared" si="1499"/>
        <v>155</v>
      </c>
      <c r="EZP34" s="873">
        <f t="shared" si="1500"/>
        <v>25.833333333333332</v>
      </c>
    </row>
    <row r="35" spans="1:4072" s="8" customFormat="1" ht="13.5" thickBot="1" x14ac:dyDescent="0.25">
      <c r="A35" s="21">
        <v>6</v>
      </c>
      <c r="B35" s="297" t="s">
        <v>44</v>
      </c>
      <c r="C35" s="725" t="s">
        <v>319</v>
      </c>
      <c r="D35" s="297">
        <v>25</v>
      </c>
      <c r="E35" s="24"/>
      <c r="F35" s="24">
        <v>600</v>
      </c>
      <c r="G35" s="24"/>
      <c r="H35" s="24"/>
      <c r="I35" s="24"/>
      <c r="J35" s="360">
        <f>SUMIF(SUMPK!$B:$B,$B:$B,SUMPK!$O:$O)</f>
        <v>0</v>
      </c>
      <c r="K35" s="24">
        <f t="shared" si="1220"/>
        <v>0</v>
      </c>
      <c r="L35" s="24">
        <f t="shared" si="1505"/>
        <v>600</v>
      </c>
      <c r="M35" s="15">
        <f t="shared" ref="M35:M48" si="1627">K35+L35</f>
        <v>600</v>
      </c>
      <c r="N35" s="15">
        <v>72.333333333333329</v>
      </c>
      <c r="O35" s="276">
        <f t="shared" si="1223"/>
        <v>8.2949308755760374</v>
      </c>
      <c r="P35" s="712">
        <v>613.83333333333337</v>
      </c>
      <c r="Q35" s="276">
        <f t="shared" si="1506"/>
        <v>5.8647841433613905</v>
      </c>
      <c r="R35" s="277">
        <f t="shared" si="1507"/>
        <v>169.23076923076923</v>
      </c>
      <c r="S35" s="222">
        <v>4400</v>
      </c>
      <c r="T35" s="276">
        <f t="shared" ref="T35:T51" si="1628">IF(R35=0,0,M35/R35)</f>
        <v>3.5454545454545454</v>
      </c>
      <c r="U35" s="278"/>
      <c r="V35" s="276">
        <f t="shared" si="1227"/>
        <v>3.5454545454545454</v>
      </c>
      <c r="W35" s="279">
        <f t="shared" si="1228"/>
        <v>1</v>
      </c>
      <c r="X35" s="278"/>
      <c r="Y35" s="7"/>
      <c r="Z35" s="7"/>
      <c r="AA35" s="7"/>
      <c r="AB35" s="7"/>
      <c r="AC35" s="662">
        <v>16</v>
      </c>
      <c r="AD35" s="648"/>
      <c r="AE35" s="49"/>
      <c r="AF35" s="49"/>
      <c r="AG35" s="49"/>
      <c r="AH35" s="49"/>
      <c r="AI35" s="49"/>
      <c r="AJ35" s="42"/>
      <c r="AK35" s="43"/>
      <c r="AL35" s="48"/>
      <c r="AM35" s="49"/>
      <c r="AN35" s="49"/>
      <c r="AO35" s="49"/>
      <c r="AP35" s="49"/>
      <c r="AQ35" s="49"/>
      <c r="AR35" s="42"/>
      <c r="AS35" s="43"/>
      <c r="AT35" s="48"/>
      <c r="AU35" s="49"/>
      <c r="AV35" s="49"/>
      <c r="AW35" s="49"/>
      <c r="AX35" s="49"/>
      <c r="AY35" s="49"/>
      <c r="AZ35" s="42"/>
      <c r="BA35" s="43"/>
      <c r="BB35" s="48"/>
      <c r="BC35" s="49"/>
      <c r="BD35" s="49"/>
      <c r="BE35" s="49"/>
      <c r="BF35" s="49"/>
      <c r="BG35" s="49"/>
      <c r="BH35" s="42"/>
      <c r="BI35" s="43"/>
      <c r="BJ35" s="48"/>
      <c r="BK35" s="49"/>
      <c r="BL35" s="49"/>
      <c r="BM35" s="49"/>
      <c r="BN35" s="49"/>
      <c r="BO35" s="49"/>
      <c r="BP35" s="42"/>
      <c r="BQ35" s="43"/>
      <c r="BR35" s="48"/>
      <c r="BS35" s="49"/>
      <c r="BT35" s="49"/>
      <c r="BU35" s="49"/>
      <c r="BV35" s="49"/>
      <c r="BW35" s="49"/>
      <c r="BX35" s="42"/>
      <c r="BY35" s="43"/>
      <c r="BZ35" s="48"/>
      <c r="CA35" s="49"/>
      <c r="CB35" s="49"/>
      <c r="CC35" s="49"/>
      <c r="CD35" s="49"/>
      <c r="CE35" s="49"/>
      <c r="CF35" s="42"/>
      <c r="CG35" s="43"/>
      <c r="CH35" s="48"/>
      <c r="CI35" s="49"/>
      <c r="CJ35" s="49"/>
      <c r="CK35" s="49"/>
      <c r="CL35" s="49"/>
      <c r="CM35" s="49"/>
      <c r="CN35" s="42"/>
      <c r="CO35" s="43"/>
      <c r="CP35" s="48"/>
      <c r="CQ35" s="49"/>
      <c r="CR35" s="49"/>
      <c r="CS35" s="49"/>
      <c r="CT35" s="49"/>
      <c r="CU35" s="49"/>
      <c r="CV35" s="42"/>
      <c r="CW35" s="43"/>
      <c r="CX35" s="48"/>
      <c r="CY35" s="49"/>
      <c r="CZ35" s="49"/>
      <c r="DA35" s="49"/>
      <c r="DB35" s="49"/>
      <c r="DC35" s="49"/>
      <c r="DD35" s="42"/>
      <c r="DE35" s="43"/>
      <c r="DF35" s="48"/>
      <c r="DG35" s="49"/>
      <c r="DH35" s="49"/>
      <c r="DI35" s="49"/>
      <c r="DJ35" s="49"/>
      <c r="DK35" s="49"/>
      <c r="DL35" s="42"/>
      <c r="DM35" s="43"/>
      <c r="DN35" s="48"/>
      <c r="DO35" s="49"/>
      <c r="DP35" s="49"/>
      <c r="DQ35" s="49"/>
      <c r="DR35" s="49"/>
      <c r="DS35" s="49"/>
      <c r="DT35" s="42"/>
      <c r="DU35" s="43"/>
      <c r="DV35" s="48"/>
      <c r="DW35" s="49"/>
      <c r="DX35" s="49"/>
      <c r="DY35" s="49"/>
      <c r="DZ35" s="49"/>
      <c r="EA35" s="49"/>
      <c r="EB35" s="42"/>
      <c r="EC35" s="43"/>
      <c r="ED35" s="272"/>
      <c r="EE35" s="273"/>
      <c r="EF35" s="273"/>
      <c r="EG35" s="273"/>
      <c r="EH35" s="273"/>
      <c r="EI35" s="273"/>
      <c r="EJ35" s="75"/>
      <c r="EK35" s="76"/>
      <c r="EL35" s="48"/>
      <c r="EM35" s="49"/>
      <c r="EN35" s="49"/>
      <c r="EO35" s="49"/>
      <c r="EP35" s="49"/>
      <c r="EQ35" s="49"/>
      <c r="ER35" s="42"/>
      <c r="ES35" s="43"/>
      <c r="ET35" s="48"/>
      <c r="EU35" s="49"/>
      <c r="EV35" s="49"/>
      <c r="EW35" s="49"/>
      <c r="EX35" s="49"/>
      <c r="EY35" s="49"/>
      <c r="EZ35" s="42"/>
      <c r="FA35" s="43"/>
      <c r="FB35" s="48"/>
      <c r="FC35" s="49"/>
      <c r="FD35" s="49"/>
      <c r="FE35" s="49"/>
      <c r="FF35" s="49"/>
      <c r="FG35" s="49"/>
      <c r="FH35" s="42"/>
      <c r="FI35" s="43"/>
      <c r="FJ35" s="48"/>
      <c r="FK35" s="49"/>
      <c r="FL35" s="49"/>
      <c r="FM35" s="49"/>
      <c r="FN35" s="49"/>
      <c r="FO35" s="49"/>
      <c r="FP35" s="42"/>
      <c r="FQ35" s="43"/>
      <c r="FR35" s="48"/>
      <c r="FS35" s="49"/>
      <c r="FT35" s="49"/>
      <c r="FU35" s="49"/>
      <c r="FV35" s="49"/>
      <c r="FW35" s="49"/>
      <c r="FX35" s="42"/>
      <c r="FY35" s="43"/>
      <c r="FZ35" s="48"/>
      <c r="GA35" s="49"/>
      <c r="GB35" s="49"/>
      <c r="GC35" s="49"/>
      <c r="GD35" s="49"/>
      <c r="GE35" s="49"/>
      <c r="GF35" s="42"/>
      <c r="GG35" s="43"/>
      <c r="GH35" s="48"/>
      <c r="GI35" s="49"/>
      <c r="GJ35" s="49"/>
      <c r="GK35" s="49"/>
      <c r="GL35" s="49"/>
      <c r="GM35" s="49"/>
      <c r="GN35" s="42"/>
      <c r="GO35" s="43"/>
      <c r="GP35" s="48"/>
      <c r="GQ35" s="49"/>
      <c r="GR35" s="49"/>
      <c r="GS35" s="49"/>
      <c r="GT35" s="49"/>
      <c r="GU35" s="49"/>
      <c r="GV35" s="42"/>
      <c r="GW35" s="43"/>
      <c r="GX35" s="48"/>
      <c r="GY35" s="49"/>
      <c r="GZ35" s="49"/>
      <c r="HA35" s="49"/>
      <c r="HB35" s="49"/>
      <c r="HC35" s="49"/>
      <c r="HD35" s="42"/>
      <c r="HE35" s="43"/>
      <c r="HF35" s="48"/>
      <c r="HG35" s="49"/>
      <c r="HH35" s="49"/>
      <c r="HI35" s="49"/>
      <c r="HJ35" s="49"/>
      <c r="HK35" s="49"/>
      <c r="HL35" s="42"/>
      <c r="HM35" s="43"/>
      <c r="HN35" s="82"/>
      <c r="HO35" s="83"/>
      <c r="HP35" s="83"/>
      <c r="HQ35" s="83"/>
      <c r="HR35" s="83"/>
      <c r="HS35" s="83"/>
      <c r="HT35" s="42"/>
      <c r="HU35" s="43"/>
      <c r="HV35" s="48"/>
      <c r="HW35" s="49"/>
      <c r="HX35" s="49"/>
      <c r="HY35" s="49"/>
      <c r="HZ35" s="49"/>
      <c r="IA35" s="49"/>
      <c r="IB35" s="42"/>
      <c r="IC35" s="43"/>
      <c r="ID35" s="48"/>
      <c r="IE35" s="49"/>
      <c r="IF35" s="49"/>
      <c r="IG35" s="49"/>
      <c r="IH35" s="49"/>
      <c r="II35" s="49"/>
      <c r="IJ35" s="42"/>
      <c r="IK35" s="43"/>
      <c r="IL35" s="48"/>
      <c r="IM35" s="49"/>
      <c r="IN35" s="49"/>
      <c r="IO35" s="49"/>
      <c r="IP35" s="49"/>
      <c r="IQ35" s="49"/>
      <c r="IR35" s="67"/>
      <c r="IS35" s="68"/>
      <c r="IT35" s="48"/>
      <c r="IU35" s="49"/>
      <c r="IV35" s="49"/>
      <c r="IW35" s="49"/>
      <c r="IX35" s="49"/>
      <c r="IY35" s="49"/>
      <c r="IZ35" s="67"/>
      <c r="JA35" s="68"/>
      <c r="JB35" s="48"/>
      <c r="JC35" s="49"/>
      <c r="JD35" s="49"/>
      <c r="JE35" s="49"/>
      <c r="JF35" s="49"/>
      <c r="JG35" s="49"/>
      <c r="JH35" s="67"/>
      <c r="JI35" s="68"/>
      <c r="JJ35" s="48"/>
      <c r="JK35" s="49"/>
      <c r="JL35" s="49"/>
      <c r="JM35" s="49"/>
      <c r="JN35" s="49"/>
      <c r="JO35" s="49"/>
      <c r="JP35" s="42"/>
      <c r="JQ35" s="43"/>
      <c r="JR35" s="48"/>
      <c r="JS35" s="49"/>
      <c r="JT35" s="49"/>
      <c r="JU35" s="49"/>
      <c r="JV35" s="49"/>
      <c r="JW35" s="49"/>
      <c r="JX35" s="42"/>
      <c r="JY35" s="43"/>
      <c r="JZ35" s="48"/>
      <c r="KA35" s="49"/>
      <c r="KB35" s="49"/>
      <c r="KC35" s="49"/>
      <c r="KD35" s="49"/>
      <c r="KE35" s="49"/>
      <c r="KF35" s="42"/>
      <c r="KG35" s="43"/>
      <c r="KH35" s="48"/>
      <c r="KI35" s="49"/>
      <c r="KJ35" s="49"/>
      <c r="KK35" s="49"/>
      <c r="KL35" s="49"/>
      <c r="KM35" s="49"/>
      <c r="KN35" s="67"/>
      <c r="KO35" s="68"/>
      <c r="KP35" s="48"/>
      <c r="KQ35" s="49"/>
      <c r="KR35" s="49"/>
      <c r="KS35" s="49"/>
      <c r="KT35" s="49"/>
      <c r="KU35" s="49"/>
      <c r="KV35" s="67"/>
      <c r="KW35" s="68"/>
      <c r="KX35" s="48"/>
      <c r="KY35" s="49"/>
      <c r="KZ35" s="49"/>
      <c r="LA35" s="49"/>
      <c r="LB35" s="49"/>
      <c r="LC35" s="49"/>
      <c r="LD35" s="67"/>
      <c r="LE35" s="68"/>
      <c r="LF35" s="48"/>
      <c r="LG35" s="49"/>
      <c r="LH35" s="49"/>
      <c r="LI35" s="49"/>
      <c r="LJ35" s="49"/>
      <c r="LK35" s="49"/>
      <c r="LL35" s="67"/>
      <c r="LM35" s="68"/>
      <c r="LN35" s="48"/>
      <c r="LO35" s="49"/>
      <c r="LP35" s="49"/>
      <c r="LQ35" s="49"/>
      <c r="LR35" s="49"/>
      <c r="LS35" s="49"/>
      <c r="LT35" s="67"/>
      <c r="LU35" s="68"/>
      <c r="LV35" s="48"/>
      <c r="LW35" s="49"/>
      <c r="LX35" s="49"/>
      <c r="LY35" s="49"/>
      <c r="LZ35" s="49"/>
      <c r="MA35" s="49"/>
      <c r="MB35" s="67"/>
      <c r="MC35" s="68"/>
      <c r="MD35" s="48"/>
      <c r="ME35" s="49"/>
      <c r="MF35" s="49"/>
      <c r="MG35" s="49"/>
      <c r="MH35" s="49"/>
      <c r="MI35" s="49"/>
      <c r="MJ35" s="67"/>
      <c r="MK35" s="68"/>
      <c r="ML35" s="48"/>
      <c r="MM35" s="49"/>
      <c r="MN35" s="49"/>
      <c r="MO35" s="49"/>
      <c r="MP35" s="49"/>
      <c r="MQ35" s="49"/>
      <c r="MR35" s="67"/>
      <c r="MS35" s="68"/>
      <c r="MT35" s="48"/>
      <c r="MU35" s="49"/>
      <c r="MV35" s="49"/>
      <c r="MW35" s="49"/>
      <c r="MX35" s="49"/>
      <c r="MY35" s="49"/>
      <c r="MZ35" s="67"/>
      <c r="NA35" s="68"/>
      <c r="NB35" s="48"/>
      <c r="NC35" s="49"/>
      <c r="ND35" s="49"/>
      <c r="NE35" s="49"/>
      <c r="NF35" s="49"/>
      <c r="NG35" s="49"/>
      <c r="NH35" s="67"/>
      <c r="NI35" s="68"/>
      <c r="NJ35" s="48"/>
      <c r="NK35" s="49"/>
      <c r="NL35" s="49"/>
      <c r="NM35" s="49"/>
      <c r="NN35" s="49"/>
      <c r="NO35" s="49"/>
      <c r="NP35" s="67"/>
      <c r="NQ35" s="68"/>
      <c r="NR35" s="48"/>
      <c r="NS35" s="49"/>
      <c r="NT35" s="49"/>
      <c r="NU35" s="49"/>
      <c r="NV35" s="49"/>
      <c r="NW35" s="49"/>
      <c r="NX35" s="67"/>
      <c r="NY35" s="68"/>
      <c r="NZ35" s="48"/>
      <c r="OA35" s="49"/>
      <c r="OB35" s="49"/>
      <c r="OC35" s="49"/>
      <c r="OD35" s="49"/>
      <c r="OE35" s="49"/>
      <c r="OF35" s="67"/>
      <c r="OG35" s="68"/>
      <c r="OH35" s="48"/>
      <c r="OI35" s="49"/>
      <c r="OJ35" s="49"/>
      <c r="OK35" s="49"/>
      <c r="OL35" s="49"/>
      <c r="OM35" s="49"/>
      <c r="ON35" s="67"/>
      <c r="OO35" s="68"/>
      <c r="OP35" s="48"/>
      <c r="OQ35" s="49"/>
      <c r="OR35" s="49"/>
      <c r="OS35" s="49"/>
      <c r="OT35" s="49"/>
      <c r="OU35" s="49"/>
      <c r="OV35" s="67"/>
      <c r="OW35" s="68"/>
      <c r="OX35" s="48"/>
      <c r="OY35" s="49"/>
      <c r="OZ35" s="49"/>
      <c r="PA35" s="49"/>
      <c r="PB35" s="49"/>
      <c r="PC35" s="49"/>
      <c r="PD35" s="67"/>
      <c r="PE35" s="68"/>
      <c r="PF35" s="48"/>
      <c r="PG35" s="49"/>
      <c r="PH35" s="49"/>
      <c r="PI35" s="49"/>
      <c r="PJ35" s="49"/>
      <c r="PK35" s="49"/>
      <c r="PL35" s="67"/>
      <c r="PM35" s="68"/>
      <c r="PN35" s="239"/>
      <c r="PO35" s="1"/>
      <c r="PP35" s="1"/>
      <c r="PQ35" s="1"/>
      <c r="PR35" s="1"/>
      <c r="PS35" s="1"/>
      <c r="PT35" s="169"/>
      <c r="PU35" s="274"/>
      <c r="PV35" s="106"/>
      <c r="PW35" s="107"/>
      <c r="PX35" s="107"/>
      <c r="PY35" s="107"/>
      <c r="PZ35" s="107"/>
      <c r="QA35" s="107"/>
      <c r="QB35" s="104"/>
      <c r="QC35" s="105"/>
      <c r="QD35" s="106"/>
      <c r="QE35" s="107"/>
      <c r="QF35" s="107"/>
      <c r="QG35" s="107"/>
      <c r="QH35" s="107"/>
      <c r="QI35" s="107"/>
      <c r="QJ35" s="104"/>
      <c r="QK35" s="105"/>
      <c r="QL35" s="106"/>
      <c r="QM35" s="107"/>
      <c r="QN35" s="107"/>
      <c r="QO35" s="107"/>
      <c r="QP35" s="107"/>
      <c r="QQ35" s="107"/>
      <c r="QR35" s="104"/>
      <c r="QS35" s="105"/>
      <c r="QT35" s="106"/>
      <c r="QU35" s="107"/>
      <c r="QV35" s="107"/>
      <c r="QW35" s="107"/>
      <c r="QX35" s="107"/>
      <c r="QY35" s="107"/>
      <c r="QZ35" s="104"/>
      <c r="RA35" s="105"/>
      <c r="RB35" s="106"/>
      <c r="RC35" s="107"/>
      <c r="RD35" s="107"/>
      <c r="RE35" s="107"/>
      <c r="RF35" s="107"/>
      <c r="RG35" s="107"/>
      <c r="RH35" s="104"/>
      <c r="RI35" s="105"/>
      <c r="RJ35" s="106"/>
      <c r="RK35" s="107"/>
      <c r="RL35" s="107"/>
      <c r="RM35" s="107"/>
      <c r="RN35" s="107"/>
      <c r="RO35" s="107"/>
      <c r="RP35" s="104"/>
      <c r="RQ35" s="105"/>
      <c r="RR35" s="106"/>
      <c r="RS35" s="107"/>
      <c r="RT35" s="107"/>
      <c r="RU35" s="107"/>
      <c r="RV35" s="107"/>
      <c r="RW35" s="107"/>
      <c r="RX35" s="104"/>
      <c r="RY35" s="105"/>
      <c r="RZ35" s="106"/>
      <c r="SA35" s="107"/>
      <c r="SB35" s="107"/>
      <c r="SC35" s="107"/>
      <c r="SD35" s="107"/>
      <c r="SE35" s="107"/>
      <c r="SF35" s="104"/>
      <c r="SG35" s="105"/>
      <c r="SH35" s="106"/>
      <c r="SI35" s="107"/>
      <c r="SJ35" s="107"/>
      <c r="SK35" s="107"/>
      <c r="SL35" s="107"/>
      <c r="SM35" s="107"/>
      <c r="SN35" s="104"/>
      <c r="SO35" s="105"/>
      <c r="SP35" s="106"/>
      <c r="SQ35" s="107"/>
      <c r="SR35" s="107"/>
      <c r="SS35" s="107"/>
      <c r="ST35" s="107"/>
      <c r="SU35" s="107"/>
      <c r="SV35" s="104"/>
      <c r="SW35" s="105"/>
      <c r="SX35" s="106"/>
      <c r="SY35" s="107"/>
      <c r="SZ35" s="107"/>
      <c r="TA35" s="107"/>
      <c r="TB35" s="107"/>
      <c r="TC35" s="107"/>
      <c r="TD35" s="104"/>
      <c r="TE35" s="105"/>
      <c r="TF35" s="106"/>
      <c r="TG35" s="107"/>
      <c r="TH35" s="107"/>
      <c r="TI35" s="107"/>
      <c r="TJ35" s="107"/>
      <c r="TK35" s="107"/>
      <c r="TL35" s="104"/>
      <c r="TM35" s="105"/>
      <c r="TN35" s="106"/>
      <c r="TO35" s="107"/>
      <c r="TP35" s="107"/>
      <c r="TQ35" s="107"/>
      <c r="TR35" s="107"/>
      <c r="TS35" s="107"/>
      <c r="TT35" s="104"/>
      <c r="TU35" s="105"/>
      <c r="TV35" s="106"/>
      <c r="TW35" s="107"/>
      <c r="TX35" s="107"/>
      <c r="TY35" s="107"/>
      <c r="TZ35" s="107"/>
      <c r="UA35" s="107"/>
      <c r="UB35" s="104"/>
      <c r="UC35" s="105"/>
      <c r="UD35" s="106"/>
      <c r="UE35" s="107"/>
      <c r="UF35" s="107"/>
      <c r="UG35" s="107"/>
      <c r="UH35" s="107"/>
      <c r="UI35" s="107"/>
      <c r="UJ35" s="104"/>
      <c r="UK35" s="105"/>
      <c r="UL35" s="106"/>
      <c r="UM35" s="107"/>
      <c r="UN35" s="107"/>
      <c r="UO35" s="107"/>
      <c r="UP35" s="107"/>
      <c r="UQ35" s="107"/>
      <c r="UR35" s="107"/>
      <c r="US35" s="104"/>
      <c r="UT35" s="105"/>
      <c r="UU35" s="106"/>
      <c r="UV35" s="107"/>
      <c r="UW35" s="107"/>
      <c r="UX35" s="107"/>
      <c r="UY35" s="107"/>
      <c r="UZ35" s="107"/>
      <c r="VA35" s="104"/>
      <c r="VB35" s="105"/>
      <c r="VC35" s="164"/>
      <c r="VD35" s="107"/>
      <c r="VE35" s="107"/>
      <c r="VF35" s="107"/>
      <c r="VG35" s="107"/>
      <c r="VH35" s="107"/>
      <c r="VI35" s="104"/>
      <c r="VJ35" s="105"/>
      <c r="VK35" s="48"/>
      <c r="VL35" s="49"/>
      <c r="VM35" s="49"/>
      <c r="VN35" s="49"/>
      <c r="VO35" s="49"/>
      <c r="VP35" s="49"/>
      <c r="VQ35" s="67"/>
      <c r="VR35" s="68"/>
      <c r="VS35" s="106"/>
      <c r="VT35" s="107"/>
      <c r="VU35" s="107"/>
      <c r="VV35" s="107"/>
      <c r="VW35" s="107"/>
      <c r="VX35" s="107"/>
      <c r="VY35" s="104"/>
      <c r="VZ35" s="105"/>
      <c r="WA35" s="63"/>
      <c r="WB35" s="64"/>
      <c r="WC35" s="64"/>
      <c r="WD35" s="64"/>
      <c r="WE35" s="64"/>
      <c r="WF35" s="64"/>
      <c r="WG35" s="67"/>
      <c r="WH35" s="68"/>
      <c r="WI35" s="173"/>
      <c r="WJ35" s="174"/>
      <c r="WK35" s="174"/>
      <c r="WL35" s="174"/>
      <c r="WM35" s="174"/>
      <c r="WN35" s="174"/>
      <c r="WO35" s="104"/>
      <c r="WP35" s="105"/>
      <c r="WQ35" s="48"/>
      <c r="WR35" s="49"/>
      <c r="WS35" s="49"/>
      <c r="WT35" s="49"/>
      <c r="WU35" s="49"/>
      <c r="WV35" s="49"/>
      <c r="WW35" s="49"/>
      <c r="WX35" s="67"/>
      <c r="WY35" s="68"/>
      <c r="WZ35" s="48"/>
      <c r="XA35" s="49"/>
      <c r="XB35" s="49"/>
      <c r="XC35" s="49"/>
      <c r="XD35" s="49"/>
      <c r="XE35" s="49"/>
      <c r="XF35" s="49"/>
      <c r="XG35" s="67"/>
      <c r="XH35" s="68"/>
      <c r="XI35" s="48"/>
      <c r="XJ35" s="49"/>
      <c r="XK35" s="49"/>
      <c r="XL35" s="49"/>
      <c r="XM35" s="49"/>
      <c r="XN35" s="49"/>
      <c r="XO35" s="49"/>
      <c r="XP35" s="67"/>
      <c r="XQ35" s="68"/>
      <c r="XR35" s="48"/>
      <c r="XS35" s="49"/>
      <c r="XT35" s="49"/>
      <c r="XU35" s="49"/>
      <c r="XV35" s="49"/>
      <c r="XW35" s="49"/>
      <c r="XX35" s="49"/>
      <c r="XY35" s="67"/>
      <c r="XZ35" s="68"/>
      <c r="YA35" s="48"/>
      <c r="YB35" s="49"/>
      <c r="YC35" s="49"/>
      <c r="YD35" s="49"/>
      <c r="YE35" s="49"/>
      <c r="YF35" s="49"/>
      <c r="YG35" s="49"/>
      <c r="YH35" s="67"/>
      <c r="YI35" s="68"/>
      <c r="YJ35" s="180"/>
      <c r="YK35" s="49"/>
      <c r="YL35" s="49"/>
      <c r="YM35" s="49"/>
      <c r="YN35" s="49"/>
      <c r="YO35" s="49"/>
      <c r="YP35" s="49"/>
      <c r="YQ35" s="67"/>
      <c r="YR35" s="68"/>
      <c r="YS35" s="48"/>
      <c r="YT35" s="49"/>
      <c r="YU35" s="49"/>
      <c r="YV35" s="49"/>
      <c r="YW35" s="49"/>
      <c r="YX35" s="49"/>
      <c r="YY35" s="67"/>
      <c r="YZ35" s="68"/>
      <c r="ZA35" s="48"/>
      <c r="ZB35" s="49"/>
      <c r="ZC35" s="49"/>
      <c r="ZD35" s="49"/>
      <c r="ZE35" s="49"/>
      <c r="ZF35" s="49"/>
      <c r="ZG35" s="67"/>
      <c r="ZH35" s="68"/>
      <c r="ZI35" s="63"/>
      <c r="ZJ35" s="64"/>
      <c r="ZK35" s="64"/>
      <c r="ZL35" s="64"/>
      <c r="ZM35" s="64"/>
      <c r="ZN35" s="24"/>
      <c r="ZO35" s="67"/>
      <c r="ZP35" s="68"/>
      <c r="ZQ35" s="48"/>
      <c r="ZR35" s="49"/>
      <c r="ZS35" s="49"/>
      <c r="ZT35" s="49"/>
      <c r="ZU35" s="49"/>
      <c r="ZV35" s="49"/>
      <c r="ZW35" s="49"/>
      <c r="ZX35" s="67"/>
      <c r="ZY35" s="70"/>
      <c r="ZZ35" s="48"/>
      <c r="AAA35" s="49"/>
      <c r="AAB35" s="49"/>
      <c r="AAC35" s="49"/>
      <c r="AAD35" s="49"/>
      <c r="AAE35" s="49"/>
      <c r="AAF35" s="49"/>
      <c r="AAG35" s="67"/>
      <c r="AAH35" s="68"/>
      <c r="AAI35" s="48"/>
      <c r="AAJ35" s="49"/>
      <c r="AAK35" s="49"/>
      <c r="AAL35" s="49"/>
      <c r="AAM35" s="49"/>
      <c r="AAN35" s="49"/>
      <c r="AAO35" s="67"/>
      <c r="AAP35" s="68"/>
      <c r="AAQ35" s="48"/>
      <c r="AAR35" s="49"/>
      <c r="AAS35" s="49"/>
      <c r="AAT35" s="49"/>
      <c r="AAU35" s="49"/>
      <c r="AAV35" s="49"/>
      <c r="AAW35" s="67"/>
      <c r="AAX35" s="68"/>
      <c r="AAY35" s="48"/>
      <c r="AAZ35" s="49"/>
      <c r="ABA35" s="49"/>
      <c r="ABB35" s="49"/>
      <c r="ABC35" s="49"/>
      <c r="ABD35" s="49"/>
      <c r="ABE35" s="67"/>
      <c r="ABF35" s="68"/>
      <c r="ABG35" s="48"/>
      <c r="ABH35" s="49"/>
      <c r="ABI35" s="49"/>
      <c r="ABJ35" s="49"/>
      <c r="ABK35" s="49"/>
      <c r="ABL35" s="49"/>
      <c r="ABM35" s="67"/>
      <c r="ABN35" s="68"/>
      <c r="ABO35" s="48"/>
      <c r="ABP35" s="49"/>
      <c r="ABQ35" s="49"/>
      <c r="ABR35" s="49"/>
      <c r="ABS35" s="49"/>
      <c r="ABT35" s="49"/>
      <c r="ABU35" s="67"/>
      <c r="ABV35" s="68"/>
      <c r="ABW35" s="48"/>
      <c r="ABX35" s="49"/>
      <c r="ABY35" s="49"/>
      <c r="ABZ35" s="49"/>
      <c r="ACA35" s="49"/>
      <c r="ACB35" s="49"/>
      <c r="ACC35" s="67"/>
      <c r="ACD35" s="68"/>
      <c r="ACE35" s="24"/>
      <c r="ACF35" s="49"/>
      <c r="ACG35" s="49"/>
      <c r="ACH35" s="49"/>
      <c r="ACI35" s="49"/>
      <c r="ACJ35" s="49"/>
      <c r="ACK35" s="67"/>
      <c r="ACL35" s="68"/>
      <c r="ACM35" s="48"/>
      <c r="ACN35" s="49"/>
      <c r="ACO35" s="49"/>
      <c r="ACP35" s="49"/>
      <c r="ACQ35" s="49"/>
      <c r="ACR35" s="49"/>
      <c r="ACS35" s="67"/>
      <c r="ACT35" s="68"/>
      <c r="ACU35" s="189"/>
      <c r="ACV35" s="49"/>
      <c r="ACW35" s="49"/>
      <c r="ACX35" s="49"/>
      <c r="ACY35" s="49"/>
      <c r="ACZ35" s="49"/>
      <c r="ADA35" s="67"/>
      <c r="ADB35" s="68"/>
      <c r="ADC35" s="48"/>
      <c r="ADD35" s="49"/>
      <c r="ADE35" s="49"/>
      <c r="ADF35" s="49"/>
      <c r="ADG35" s="49"/>
      <c r="ADH35" s="49"/>
      <c r="ADI35" s="67"/>
      <c r="ADJ35" s="68"/>
      <c r="ADK35" s="48"/>
      <c r="ADL35" s="49"/>
      <c r="ADM35" s="49"/>
      <c r="ADN35" s="49"/>
      <c r="ADO35" s="49"/>
      <c r="ADP35" s="49"/>
      <c r="ADQ35" s="67"/>
      <c r="ADR35" s="68"/>
      <c r="ADS35" s="48"/>
      <c r="ADT35" s="49"/>
      <c r="ADU35" s="49"/>
      <c r="ADV35" s="49"/>
      <c r="ADW35" s="49"/>
      <c r="ADX35" s="49"/>
      <c r="ADY35" s="67"/>
      <c r="ADZ35" s="68"/>
      <c r="AEA35" s="48"/>
      <c r="AEB35" s="49"/>
      <c r="AEC35" s="49"/>
      <c r="AED35" s="49"/>
      <c r="AEE35" s="49"/>
      <c r="AEF35" s="49"/>
      <c r="AEG35" s="67"/>
      <c r="AEH35" s="68"/>
      <c r="AEI35" s="48"/>
      <c r="AEJ35" s="49"/>
      <c r="AEK35" s="49"/>
      <c r="AEL35" s="49"/>
      <c r="AEM35" s="49"/>
      <c r="AEN35" s="49"/>
      <c r="AEO35" s="67"/>
      <c r="AEP35" s="68"/>
      <c r="AEQ35" s="48"/>
      <c r="AER35" s="49"/>
      <c r="AES35" s="49"/>
      <c r="AET35" s="49"/>
      <c r="AEU35" s="49"/>
      <c r="AEV35" s="49"/>
      <c r="AEW35" s="67"/>
      <c r="AEX35" s="68"/>
      <c r="AEY35" s="48"/>
      <c r="AEZ35" s="49"/>
      <c r="AFA35" s="49"/>
      <c r="AFB35" s="49"/>
      <c r="AFC35" s="49"/>
      <c r="AFD35" s="49"/>
      <c r="AFE35" s="67"/>
      <c r="AFF35" s="68"/>
      <c r="AFG35" s="48"/>
      <c r="AFH35" s="49"/>
      <c r="AFI35" s="49"/>
      <c r="AFJ35" s="49"/>
      <c r="AFK35" s="49"/>
      <c r="AFL35" s="49"/>
      <c r="AFM35" s="67"/>
      <c r="AFN35" s="68"/>
      <c r="AFO35" s="48"/>
      <c r="AFP35" s="49"/>
      <c r="AFQ35" s="49"/>
      <c r="AFR35" s="49"/>
      <c r="AFS35" s="49"/>
      <c r="AFT35" s="49"/>
      <c r="AFU35" s="67"/>
      <c r="AFV35" s="68"/>
      <c r="AFW35" s="48"/>
      <c r="AFX35" s="49"/>
      <c r="AFY35" s="49"/>
      <c r="AFZ35" s="49"/>
      <c r="AGA35" s="49"/>
      <c r="AGB35" s="49"/>
      <c r="AGC35" s="67"/>
      <c r="AGD35" s="68"/>
      <c r="AGE35" s="48"/>
      <c r="AGF35" s="49"/>
      <c r="AGG35" s="49"/>
      <c r="AGH35" s="49"/>
      <c r="AGI35" s="49"/>
      <c r="AGJ35" s="49"/>
      <c r="AGK35" s="67"/>
      <c r="AGL35" s="68"/>
      <c r="AGM35" s="48"/>
      <c r="AGN35" s="49"/>
      <c r="AGO35" s="49"/>
      <c r="AGP35" s="49"/>
      <c r="AGQ35" s="49"/>
      <c r="AGR35" s="49"/>
      <c r="AGS35" s="49"/>
      <c r="AGT35" s="67"/>
      <c r="AGU35" s="68"/>
      <c r="AGV35" s="48"/>
      <c r="AGW35" s="49"/>
      <c r="AGX35" s="49"/>
      <c r="AGY35" s="49"/>
      <c r="AGZ35" s="49"/>
      <c r="AHA35" s="49"/>
      <c r="AHB35" s="67"/>
      <c r="AHC35" s="68"/>
      <c r="AHD35" s="48"/>
      <c r="AHE35" s="49"/>
      <c r="AHF35" s="49"/>
      <c r="AHG35" s="49"/>
      <c r="AHH35" s="49"/>
      <c r="AHI35" s="49"/>
      <c r="AHJ35" s="67"/>
      <c r="AHK35" s="68"/>
      <c r="AHL35" s="48"/>
      <c r="AHM35" s="49"/>
      <c r="AHN35" s="49"/>
      <c r="AHO35" s="49"/>
      <c r="AHP35" s="49"/>
      <c r="AHQ35" s="49"/>
      <c r="AHR35" s="67"/>
      <c r="AHS35" s="68"/>
      <c r="AHT35" s="48"/>
      <c r="AHU35" s="49"/>
      <c r="AHV35" s="49"/>
      <c r="AHW35" s="49"/>
      <c r="AHX35" s="49"/>
      <c r="AHY35" s="49"/>
      <c r="AHZ35" s="67"/>
      <c r="AIA35" s="68"/>
      <c r="AIB35" s="48"/>
      <c r="AIC35" s="49"/>
      <c r="AID35" s="49"/>
      <c r="AIE35" s="49"/>
      <c r="AIF35" s="49"/>
      <c r="AIG35" s="49"/>
      <c r="AIH35" s="67"/>
      <c r="AII35" s="68"/>
      <c r="AIJ35" s="48"/>
      <c r="AIK35" s="49"/>
      <c r="AIL35" s="49"/>
      <c r="AIM35" s="49"/>
      <c r="AIN35" s="49"/>
      <c r="AIO35" s="49"/>
      <c r="AIP35" s="67"/>
      <c r="AIQ35" s="68"/>
      <c r="AIR35" s="48"/>
      <c r="AIS35" s="49"/>
      <c r="AIT35" s="49"/>
      <c r="AIU35" s="49"/>
      <c r="AIV35" s="49"/>
      <c r="AIW35" s="49"/>
      <c r="AIX35" s="67"/>
      <c r="AIY35" s="68"/>
      <c r="AIZ35" s="54"/>
      <c r="AJA35" s="127"/>
      <c r="AJB35" s="127"/>
      <c r="AJC35" s="127"/>
      <c r="AJD35" s="127"/>
      <c r="AJE35" s="127"/>
      <c r="AJF35" s="67"/>
      <c r="AJG35" s="68"/>
      <c r="AJH35" s="48"/>
      <c r="AJI35" s="49"/>
      <c r="AJJ35" s="49"/>
      <c r="AJK35" s="49"/>
      <c r="AJL35" s="49"/>
      <c r="AJM35" s="49"/>
      <c r="AJN35" s="42"/>
      <c r="AJO35" s="43"/>
      <c r="AJP35" s="48"/>
      <c r="AJQ35" s="49"/>
      <c r="AJR35" s="49"/>
      <c r="AJS35" s="49"/>
      <c r="AJT35" s="49"/>
      <c r="AJU35" s="49"/>
      <c r="AJV35" s="42"/>
      <c r="AJW35" s="43"/>
      <c r="AJX35" s="48"/>
      <c r="AJY35" s="49"/>
      <c r="AJZ35" s="49"/>
      <c r="AKA35" s="49"/>
      <c r="AKB35" s="49"/>
      <c r="AKC35" s="49"/>
      <c r="AKD35" s="67"/>
      <c r="AKE35" s="68"/>
      <c r="AKF35" s="48"/>
      <c r="AKG35" s="49"/>
      <c r="AKH35" s="49"/>
      <c r="AKI35" s="49"/>
      <c r="AKJ35" s="49"/>
      <c r="AKK35" s="49"/>
      <c r="AKL35" s="67"/>
      <c r="AKM35" s="184"/>
      <c r="AKN35" s="195"/>
      <c r="AKO35" s="49"/>
      <c r="AKP35" s="49"/>
      <c r="AKQ35" s="49"/>
      <c r="AKR35" s="49"/>
      <c r="AKS35" s="49"/>
      <c r="AKT35" s="67"/>
      <c r="AKU35" s="184"/>
      <c r="AKV35" s="48"/>
      <c r="AKW35" s="49"/>
      <c r="AKX35" s="49"/>
      <c r="AKY35" s="49"/>
      <c r="AKZ35" s="49"/>
      <c r="ALA35" s="49"/>
      <c r="ALB35" s="67"/>
      <c r="ALC35" s="68"/>
      <c r="ALD35" s="54"/>
      <c r="ALE35" s="127"/>
      <c r="ALF35" s="127"/>
      <c r="ALG35" s="127"/>
      <c r="ALH35" s="127"/>
      <c r="ALI35" s="127"/>
      <c r="ALJ35" s="67"/>
      <c r="ALK35" s="68"/>
      <c r="ALL35" s="54"/>
      <c r="ALM35" s="127"/>
      <c r="ALN35" s="127"/>
      <c r="ALO35" s="127"/>
      <c r="ALP35" s="127"/>
      <c r="ALQ35" s="127"/>
      <c r="ALR35" s="67"/>
      <c r="ALS35" s="68"/>
      <c r="ALT35" s="48"/>
      <c r="ALU35" s="49"/>
      <c r="ALV35" s="49"/>
      <c r="ALW35" s="49"/>
      <c r="ALX35" s="49"/>
      <c r="ALY35" s="49"/>
      <c r="ALZ35" s="67"/>
      <c r="AMA35" s="68"/>
      <c r="AMB35" s="24"/>
      <c r="AMC35" s="49"/>
      <c r="AMD35" s="49"/>
      <c r="AME35" s="49"/>
      <c r="AMF35" s="49"/>
      <c r="AMG35" s="49"/>
      <c r="AMH35" s="67"/>
      <c r="AMI35" s="68"/>
      <c r="AMJ35" s="48"/>
      <c r="AMK35" s="49"/>
      <c r="AML35" s="49"/>
      <c r="AMM35" s="49"/>
      <c r="AMN35" s="49"/>
      <c r="AMO35" s="49"/>
      <c r="AMP35" s="67"/>
      <c r="AMQ35" s="68"/>
      <c r="AMR35" s="48"/>
      <c r="AMS35" s="49"/>
      <c r="AMT35" s="49"/>
      <c r="AMU35" s="49"/>
      <c r="AMV35" s="49"/>
      <c r="AMW35" s="49"/>
      <c r="AMX35" s="67"/>
      <c r="AMY35" s="68"/>
      <c r="AMZ35" s="48"/>
      <c r="ANA35" s="49"/>
      <c r="ANB35" s="49"/>
      <c r="ANC35" s="49"/>
      <c r="AND35" s="49"/>
      <c r="ANE35" s="49"/>
      <c r="ANF35" s="67"/>
      <c r="ANG35" s="68"/>
      <c r="ANH35" s="48"/>
      <c r="ANI35" s="49"/>
      <c r="ANJ35" s="49"/>
      <c r="ANK35" s="49"/>
      <c r="ANL35" s="49"/>
      <c r="ANM35" s="47"/>
      <c r="ANN35" s="67"/>
      <c r="ANO35" s="68"/>
      <c r="ANP35" s="48"/>
      <c r="ANQ35" s="49"/>
      <c r="ANR35" s="49"/>
      <c r="ANS35" s="49"/>
      <c r="ANT35" s="49"/>
      <c r="ANU35" s="49"/>
      <c r="ANV35" s="67"/>
      <c r="ANW35" s="68"/>
      <c r="ANX35" s="82"/>
      <c r="ANY35" s="83"/>
      <c r="ANZ35" s="83"/>
      <c r="AOA35" s="83"/>
      <c r="AOB35" s="83"/>
      <c r="AOC35" s="83"/>
      <c r="AOD35" s="67"/>
      <c r="AOE35" s="68"/>
      <c r="AOF35" s="48"/>
      <c r="AOG35" s="49"/>
      <c r="AOH35" s="49"/>
      <c r="AOI35" s="49"/>
      <c r="AOJ35" s="49"/>
      <c r="AOK35" s="49"/>
      <c r="AOL35" s="67"/>
      <c r="AOM35" s="68"/>
      <c r="AON35" s="48"/>
      <c r="AOO35" s="49"/>
      <c r="AOP35" s="49"/>
      <c r="AOQ35" s="49"/>
      <c r="AOR35" s="49"/>
      <c r="AOS35" s="49"/>
      <c r="AOT35" s="67"/>
      <c r="AOU35" s="68"/>
      <c r="AOV35" s="63"/>
      <c r="AOW35" s="64"/>
      <c r="AOX35" s="64"/>
      <c r="AOY35" s="64"/>
      <c r="AOZ35" s="64"/>
      <c r="APA35" s="64"/>
      <c r="APB35" s="67"/>
      <c r="APC35" s="68"/>
      <c r="APD35" s="48"/>
      <c r="APE35" s="49"/>
      <c r="APF35" s="49"/>
      <c r="APG35" s="49"/>
      <c r="APH35" s="49"/>
      <c r="API35" s="49"/>
      <c r="APJ35" s="67"/>
      <c r="APK35" s="68"/>
      <c r="APL35" s="48"/>
      <c r="APM35" s="49"/>
      <c r="APN35" s="49"/>
      <c r="APO35" s="49"/>
      <c r="APP35" s="49"/>
      <c r="APQ35" s="49"/>
      <c r="APR35" s="67"/>
      <c r="APS35" s="68"/>
      <c r="APT35" s="48"/>
      <c r="APU35" s="49"/>
      <c r="APV35" s="49"/>
      <c r="APW35" s="49"/>
      <c r="APX35" s="49"/>
      <c r="APY35" s="49"/>
      <c r="APZ35" s="67"/>
      <c r="AQA35" s="68"/>
      <c r="AQB35" s="48"/>
      <c r="AQC35" s="49"/>
      <c r="AQD35" s="49"/>
      <c r="AQE35" s="49"/>
      <c r="AQF35" s="49"/>
      <c r="AQG35" s="49"/>
      <c r="AQH35" s="67"/>
      <c r="AQI35" s="68"/>
      <c r="AQJ35" s="48"/>
      <c r="AQK35" s="49"/>
      <c r="AQL35" s="49"/>
      <c r="AQM35" s="49"/>
      <c r="AQN35" s="49"/>
      <c r="AQO35" s="49"/>
      <c r="AQP35" s="67"/>
      <c r="AQQ35" s="68"/>
      <c r="AQR35" s="48"/>
      <c r="AQS35" s="49"/>
      <c r="AQT35" s="49"/>
      <c r="AQU35" s="49"/>
      <c r="AQV35" s="49"/>
      <c r="AQW35" s="49"/>
      <c r="AQX35" s="67"/>
      <c r="AQY35" s="68"/>
      <c r="AQZ35" s="48"/>
      <c r="ARA35" s="49"/>
      <c r="ARB35" s="49"/>
      <c r="ARC35" s="49"/>
      <c r="ARD35" s="49"/>
      <c r="ARE35" s="49"/>
      <c r="ARF35" s="67"/>
      <c r="ARG35" s="68"/>
      <c r="ARH35" s="48"/>
      <c r="ARI35" s="49"/>
      <c r="ARJ35" s="49"/>
      <c r="ARK35" s="49"/>
      <c r="ARL35" s="49"/>
      <c r="ARM35" s="49"/>
      <c r="ARN35" s="67"/>
      <c r="ARO35" s="68"/>
      <c r="ARP35" s="48"/>
      <c r="ARQ35" s="49"/>
      <c r="ARR35" s="49"/>
      <c r="ARS35" s="49"/>
      <c r="ART35" s="49"/>
      <c r="ARU35" s="49"/>
      <c r="ARV35" s="67"/>
      <c r="ARW35" s="68"/>
      <c r="ARX35" s="48"/>
      <c r="ARY35" s="49"/>
      <c r="ARZ35" s="49"/>
      <c r="ASA35" s="49"/>
      <c r="ASB35" s="49"/>
      <c r="ASC35" s="49"/>
      <c r="ASD35" s="67"/>
      <c r="ASE35" s="68"/>
      <c r="ASF35" s="48"/>
      <c r="ASG35" s="49"/>
      <c r="ASH35" s="49"/>
      <c r="ASI35" s="49"/>
      <c r="ASJ35" s="49"/>
      <c r="ASK35" s="49"/>
      <c r="ASL35" s="67"/>
      <c r="ASM35" s="68"/>
      <c r="ASN35" s="48"/>
      <c r="ASO35" s="49"/>
      <c r="ASP35" s="49"/>
      <c r="ASQ35" s="49"/>
      <c r="ASR35" s="49"/>
      <c r="ASS35" s="49"/>
      <c r="AST35" s="67"/>
      <c r="ASU35" s="68"/>
      <c r="ASV35" s="48"/>
      <c r="ASW35" s="49"/>
      <c r="ASX35" s="49"/>
      <c r="ASY35" s="49"/>
      <c r="ASZ35" s="49"/>
      <c r="ATA35" s="49"/>
      <c r="ATB35" s="67"/>
      <c r="ATC35" s="68"/>
      <c r="ATD35" s="48"/>
      <c r="ATE35" s="49"/>
      <c r="ATF35" s="49"/>
      <c r="ATG35" s="49"/>
      <c r="ATH35" s="49"/>
      <c r="ATI35" s="49"/>
      <c r="ATJ35" s="67"/>
      <c r="ATK35" s="68"/>
      <c r="ATL35" s="48"/>
      <c r="ATM35" s="49"/>
      <c r="ATN35" s="49"/>
      <c r="ATO35" s="49"/>
      <c r="ATP35" s="49"/>
      <c r="ATQ35" s="49"/>
      <c r="ATR35" s="67"/>
      <c r="ATS35" s="68"/>
      <c r="ATT35" s="48"/>
      <c r="ATU35" s="49"/>
      <c r="ATV35" s="49"/>
      <c r="ATW35" s="49"/>
      <c r="ATX35" s="49"/>
      <c r="ATY35" s="49"/>
      <c r="ATZ35" s="67"/>
      <c r="AUA35" s="68"/>
      <c r="AUB35" s="48"/>
      <c r="AUC35" s="49"/>
      <c r="AUD35" s="49"/>
      <c r="AUE35" s="49"/>
      <c r="AUF35" s="49"/>
      <c r="AUG35" s="49"/>
      <c r="AUH35" s="67"/>
      <c r="AUI35" s="68"/>
      <c r="AUJ35" s="54"/>
      <c r="AUK35" s="127"/>
      <c r="AUL35" s="127"/>
      <c r="AUM35" s="127"/>
      <c r="AUN35" s="127"/>
      <c r="AUO35" s="127"/>
      <c r="AUP35" s="67"/>
      <c r="AUQ35" s="68"/>
      <c r="AUR35" s="48"/>
      <c r="AUS35" s="49"/>
      <c r="AUT35" s="49"/>
      <c r="AUU35" s="49"/>
      <c r="AUV35" s="49"/>
      <c r="AUW35" s="49"/>
      <c r="AUX35" s="67"/>
      <c r="AUY35" s="68"/>
      <c r="AUZ35" s="48"/>
      <c r="AVA35" s="49"/>
      <c r="AVB35" s="49"/>
      <c r="AVC35" s="49"/>
      <c r="AVD35" s="49"/>
      <c r="AVE35" s="49"/>
      <c r="AVF35" s="67"/>
      <c r="AVG35" s="68"/>
      <c r="AVH35" s="48"/>
      <c r="AVI35" s="49"/>
      <c r="AVJ35" s="49"/>
      <c r="AVK35" s="49"/>
      <c r="AVL35" s="49"/>
      <c r="AVM35" s="49"/>
      <c r="AVN35" s="67"/>
      <c r="AVO35" s="68"/>
      <c r="AVP35" s="48"/>
      <c r="AVQ35" s="49"/>
      <c r="AVR35" s="49"/>
      <c r="AVS35" s="49"/>
      <c r="AVT35" s="49"/>
      <c r="AVU35" s="49"/>
      <c r="AVV35" s="67"/>
      <c r="AVW35" s="68"/>
      <c r="AVX35" s="48"/>
      <c r="AVY35" s="49"/>
      <c r="AVZ35" s="49"/>
      <c r="AWA35" s="49"/>
      <c r="AWB35" s="49"/>
      <c r="AWC35" s="49"/>
      <c r="AWD35" s="67"/>
      <c r="AWE35" s="68"/>
      <c r="AWF35" s="48"/>
      <c r="AWG35" s="49"/>
      <c r="AWH35" s="49"/>
      <c r="AWI35" s="49"/>
      <c r="AWJ35" s="49"/>
      <c r="AWK35" s="49"/>
      <c r="AWL35" s="67"/>
      <c r="AWM35" s="184"/>
      <c r="AWN35" s="48"/>
      <c r="AWO35" s="49"/>
      <c r="AWP35" s="49"/>
      <c r="AWQ35" s="49"/>
      <c r="AWR35" s="49"/>
      <c r="AWS35" s="49"/>
      <c r="AWT35" s="42"/>
      <c r="AWU35" s="43"/>
      <c r="AWV35" s="48"/>
      <c r="AWW35" s="49"/>
      <c r="AWX35" s="49"/>
      <c r="AWY35" s="49"/>
      <c r="AWZ35" s="49"/>
      <c r="AXA35" s="49"/>
      <c r="AXB35" s="42"/>
      <c r="AXC35" s="43"/>
      <c r="AXD35" s="48"/>
      <c r="AXE35" s="49"/>
      <c r="AXF35" s="49"/>
      <c r="AXG35" s="49"/>
      <c r="AXH35" s="49"/>
      <c r="AXI35" s="49"/>
      <c r="AXJ35" s="42"/>
      <c r="AXK35" s="43"/>
      <c r="AXL35" s="48"/>
      <c r="AXM35" s="49"/>
      <c r="AXN35" s="49"/>
      <c r="AXO35" s="49"/>
      <c r="AXP35" s="49"/>
      <c r="AXQ35" s="49"/>
      <c r="AXR35" s="42"/>
      <c r="AXS35" s="43"/>
      <c r="AXT35" s="48"/>
      <c r="AXU35" s="49"/>
      <c r="AXV35" s="49"/>
      <c r="AXW35" s="49"/>
      <c r="AXX35" s="49"/>
      <c r="AXY35" s="49"/>
      <c r="AXZ35" s="42"/>
      <c r="AYA35" s="43"/>
      <c r="AYB35" s="48"/>
      <c r="AYC35" s="49"/>
      <c r="AYD35" s="49"/>
      <c r="AYE35" s="49"/>
      <c r="AYF35" s="49"/>
      <c r="AYG35" s="49"/>
      <c r="AYH35" s="42"/>
      <c r="AYI35" s="43"/>
      <c r="AYJ35" s="48"/>
      <c r="AYK35" s="49"/>
      <c r="AYL35" s="49"/>
      <c r="AYM35" s="49"/>
      <c r="AYN35" s="49"/>
      <c r="AYO35" s="49"/>
      <c r="AYP35" s="42"/>
      <c r="AYQ35" s="43"/>
      <c r="AYR35" s="48"/>
      <c r="AYS35" s="49"/>
      <c r="AYT35" s="49"/>
      <c r="AYU35" s="49"/>
      <c r="AYV35" s="49"/>
      <c r="AYW35" s="49"/>
      <c r="AYX35" s="42"/>
      <c r="AYY35" s="43"/>
      <c r="AYZ35" s="48"/>
      <c r="AZA35" s="49"/>
      <c r="AZB35" s="49"/>
      <c r="AZC35" s="49"/>
      <c r="AZD35" s="49"/>
      <c r="AZE35" s="49"/>
      <c r="AZF35" s="42"/>
      <c r="AZG35" s="43"/>
      <c r="AZH35" s="48"/>
      <c r="AZI35" s="49"/>
      <c r="AZJ35" s="49"/>
      <c r="AZK35" s="49"/>
      <c r="AZL35" s="49"/>
      <c r="AZM35" s="49"/>
      <c r="AZN35" s="42"/>
      <c r="AZO35" s="43"/>
      <c r="AZP35" s="48"/>
      <c r="AZQ35" s="49"/>
      <c r="AZR35" s="49"/>
      <c r="AZS35" s="49"/>
      <c r="AZT35" s="49"/>
      <c r="AZU35" s="49"/>
      <c r="AZV35" s="42"/>
      <c r="AZW35" s="43"/>
      <c r="AZX35" s="82"/>
      <c r="AZY35" s="83"/>
      <c r="AZZ35" s="83"/>
      <c r="BAA35" s="83"/>
      <c r="BAB35" s="83"/>
      <c r="BAC35" s="83"/>
      <c r="BAD35" s="42"/>
      <c r="BAE35" s="43"/>
      <c r="BAF35" s="48"/>
      <c r="BAG35" s="49"/>
      <c r="BAH35" s="49"/>
      <c r="BAI35" s="49"/>
      <c r="BAJ35" s="49"/>
      <c r="BAK35" s="49"/>
      <c r="BAL35" s="42"/>
      <c r="BAM35" s="43"/>
      <c r="BAN35" s="48"/>
      <c r="BAO35" s="49"/>
      <c r="BAP35" s="49"/>
      <c r="BAQ35" s="49"/>
      <c r="BAR35" s="49"/>
      <c r="BAS35" s="49"/>
      <c r="BAT35" s="42"/>
      <c r="BAU35" s="43"/>
      <c r="BAV35" s="48"/>
      <c r="BAW35" s="49"/>
      <c r="BAX35" s="49"/>
      <c r="BAY35" s="49"/>
      <c r="BAZ35" s="49"/>
      <c r="BBA35" s="49"/>
      <c r="BBB35" s="42"/>
      <c r="BBC35" s="43"/>
      <c r="BBD35" s="48"/>
      <c r="BBE35" s="49"/>
      <c r="BBF35" s="49"/>
      <c r="BBG35" s="49"/>
      <c r="BBH35" s="49"/>
      <c r="BBI35" s="49"/>
      <c r="BBJ35" s="42"/>
      <c r="BBK35" s="43"/>
      <c r="BBL35" s="48"/>
      <c r="BBM35" s="49"/>
      <c r="BBN35" s="49"/>
      <c r="BBO35" s="49"/>
      <c r="BBP35" s="49"/>
      <c r="BBQ35" s="49"/>
      <c r="BBR35" s="42"/>
      <c r="BBS35" s="43"/>
      <c r="BBT35" s="48"/>
      <c r="BBU35" s="49"/>
      <c r="BBV35" s="49"/>
      <c r="BBW35" s="49"/>
      <c r="BBX35" s="49"/>
      <c r="BBY35" s="49"/>
      <c r="BBZ35" s="42"/>
      <c r="BCA35" s="43"/>
      <c r="BCB35" s="48"/>
      <c r="BCC35" s="49"/>
      <c r="BCD35" s="49"/>
      <c r="BCE35" s="49"/>
      <c r="BCF35" s="49"/>
      <c r="BCG35" s="49"/>
      <c r="BCH35" s="42"/>
      <c r="BCI35" s="43"/>
      <c r="BCJ35" s="48"/>
      <c r="BCK35" s="49"/>
      <c r="BCL35" s="49"/>
      <c r="BCM35" s="49"/>
      <c r="BCN35" s="49"/>
      <c r="BCO35" s="49"/>
      <c r="BCP35" s="42"/>
      <c r="BCQ35" s="43"/>
      <c r="BCR35" s="48"/>
      <c r="BCS35" s="49"/>
      <c r="BCT35" s="49"/>
      <c r="BCU35" s="49"/>
      <c r="BCV35" s="49"/>
      <c r="BCW35" s="49"/>
      <c r="BCX35" s="42"/>
      <c r="BCY35" s="43"/>
      <c r="BCZ35" s="48"/>
      <c r="BDA35" s="49"/>
      <c r="BDB35" s="49"/>
      <c r="BDC35" s="49"/>
      <c r="BDD35" s="49"/>
      <c r="BDE35" s="49"/>
      <c r="BDF35" s="42"/>
      <c r="BDG35" s="43"/>
      <c r="BDH35" s="48"/>
      <c r="BDI35" s="49"/>
      <c r="BDJ35" s="49"/>
      <c r="BDK35" s="49"/>
      <c r="BDL35" s="49"/>
      <c r="BDM35" s="49"/>
      <c r="BDN35" s="42"/>
      <c r="BDO35" s="43"/>
      <c r="BDP35" s="48"/>
      <c r="BDQ35" s="49"/>
      <c r="BDR35" s="49"/>
      <c r="BDS35" s="49"/>
      <c r="BDT35" s="49"/>
      <c r="BDU35" s="49"/>
      <c r="BDV35" s="42"/>
      <c r="BDW35" s="43"/>
      <c r="BDX35" s="48"/>
      <c r="BDY35" s="49"/>
      <c r="BDZ35" s="49"/>
      <c r="BEA35" s="49"/>
      <c r="BEB35" s="49"/>
      <c r="BEC35" s="49"/>
      <c r="BED35" s="42"/>
      <c r="BEE35" s="43"/>
      <c r="BEF35" s="48"/>
      <c r="BEG35" s="49"/>
      <c r="BEH35" s="49"/>
      <c r="BEI35" s="49"/>
      <c r="BEJ35" s="49"/>
      <c r="BEK35" s="49"/>
      <c r="BEL35" s="42"/>
      <c r="BEM35" s="43"/>
      <c r="BEN35" s="48"/>
      <c r="BEO35" s="49"/>
      <c r="BEP35" s="49"/>
      <c r="BEQ35" s="49"/>
      <c r="BER35" s="49"/>
      <c r="BES35" s="49"/>
      <c r="BET35" s="42"/>
      <c r="BEU35" s="43"/>
      <c r="BEV35" s="82"/>
      <c r="BEW35" s="83"/>
      <c r="BEX35" s="83"/>
      <c r="BEY35" s="83"/>
      <c r="BEZ35" s="83"/>
      <c r="BFA35" s="83"/>
      <c r="BFB35" s="42"/>
      <c r="BFC35" s="43"/>
      <c r="BFD35" s="48"/>
      <c r="BFE35" s="49"/>
      <c r="BFF35" s="49"/>
      <c r="BFG35" s="49"/>
      <c r="BFH35" s="49"/>
      <c r="BFI35" s="49"/>
      <c r="BFJ35" s="42"/>
      <c r="BFK35" s="43"/>
      <c r="BFL35" s="48"/>
      <c r="BFM35" s="49"/>
      <c r="BFN35" s="49"/>
      <c r="BFO35" s="49"/>
      <c r="BFP35" s="49"/>
      <c r="BFQ35" s="49"/>
      <c r="BFR35" s="42"/>
      <c r="BFS35" s="43"/>
      <c r="BFT35" s="48"/>
      <c r="BFU35" s="49"/>
      <c r="BFV35" s="49"/>
      <c r="BFW35" s="49"/>
      <c r="BFX35" s="49"/>
      <c r="BFY35" s="49"/>
      <c r="BFZ35" s="42"/>
      <c r="BGA35" s="43"/>
      <c r="BGB35" s="48"/>
      <c r="BGC35" s="49"/>
      <c r="BGD35" s="49"/>
      <c r="BGE35" s="49"/>
      <c r="BGF35" s="49"/>
      <c r="BGG35" s="49"/>
      <c r="BGH35" s="42"/>
      <c r="BGI35" s="43"/>
      <c r="BGJ35" s="48"/>
      <c r="BGK35" s="49"/>
      <c r="BGL35" s="49"/>
      <c r="BGM35" s="49"/>
      <c r="BGN35" s="49"/>
      <c r="BGO35" s="49"/>
      <c r="BGP35" s="42"/>
      <c r="BGQ35" s="43"/>
      <c r="BGR35" s="48"/>
      <c r="BGS35" s="49"/>
      <c r="BGT35" s="49"/>
      <c r="BGU35" s="49"/>
      <c r="BGV35" s="49"/>
      <c r="BGW35" s="49"/>
      <c r="BGX35" s="42"/>
      <c r="BGY35" s="43"/>
      <c r="BGZ35" s="239"/>
      <c r="BHA35" s="1"/>
      <c r="BHB35" s="1"/>
      <c r="BHC35" s="1"/>
      <c r="BHD35" s="1"/>
      <c r="BHE35" s="1"/>
      <c r="BHF35" s="42"/>
      <c r="BHG35" s="43"/>
      <c r="BHH35" s="48"/>
      <c r="BHI35" s="49"/>
      <c r="BHJ35" s="49"/>
      <c r="BHK35" s="49"/>
      <c r="BHL35" s="49"/>
      <c r="BHM35" s="49"/>
      <c r="BHN35" s="42"/>
      <c r="BHO35" s="43"/>
      <c r="BHP35" s="48"/>
      <c r="BHQ35" s="49"/>
      <c r="BHR35" s="49"/>
      <c r="BHS35" s="49"/>
      <c r="BHT35" s="49"/>
      <c r="BHU35" s="49"/>
      <c r="BHV35" s="42"/>
      <c r="BHW35" s="43"/>
      <c r="BHX35" s="48"/>
      <c r="BHY35" s="49"/>
      <c r="BHZ35" s="49"/>
      <c r="BIA35" s="49"/>
      <c r="BIB35" s="49"/>
      <c r="BIC35" s="49"/>
      <c r="BID35" s="42"/>
      <c r="BIE35" s="43"/>
      <c r="BIF35" s="48"/>
      <c r="BIG35" s="49"/>
      <c r="BIH35" s="49"/>
      <c r="BII35" s="49"/>
      <c r="BIJ35" s="49"/>
      <c r="BIK35" s="49"/>
      <c r="BIL35" s="42"/>
      <c r="BIM35" s="43"/>
      <c r="BIN35" s="48"/>
      <c r="BIO35" s="49"/>
      <c r="BIP35" s="49"/>
      <c r="BIQ35" s="49"/>
      <c r="BIR35" s="49"/>
      <c r="BIS35" s="49"/>
      <c r="BIT35" s="42"/>
      <c r="BIU35" s="101"/>
      <c r="BIV35" s="195"/>
      <c r="BIW35" s="49"/>
      <c r="BIX35" s="49"/>
      <c r="BIY35" s="49"/>
      <c r="BIZ35" s="49"/>
      <c r="BJA35" s="49"/>
      <c r="BJB35" s="42"/>
      <c r="BJC35" s="101"/>
      <c r="BJD35" s="48"/>
      <c r="BJE35" s="49"/>
      <c r="BJF35" s="49"/>
      <c r="BJG35" s="49"/>
      <c r="BJH35" s="49"/>
      <c r="BJI35" s="49"/>
      <c r="BJJ35" s="42"/>
      <c r="BJK35" s="43"/>
      <c r="BJL35" s="48"/>
      <c r="BJM35" s="49"/>
      <c r="BJN35" s="49"/>
      <c r="BJO35" s="49"/>
      <c r="BJP35" s="49"/>
      <c r="BJQ35" s="49"/>
      <c r="BJR35" s="42"/>
      <c r="BJS35" s="43"/>
      <c r="BJT35" s="48"/>
      <c r="BJU35" s="49"/>
      <c r="BJV35" s="49"/>
      <c r="BJW35" s="49"/>
      <c r="BJX35" s="49"/>
      <c r="BJY35" s="49"/>
      <c r="BJZ35" s="42"/>
      <c r="BKA35" s="43"/>
      <c r="BKB35" s="48"/>
      <c r="BKC35" s="49"/>
      <c r="BKD35" s="49"/>
      <c r="BKE35" s="49"/>
      <c r="BKF35" s="49"/>
      <c r="BKG35" s="49"/>
      <c r="BKH35" s="67"/>
      <c r="BKI35" s="68"/>
      <c r="BKJ35" s="48"/>
      <c r="BKK35" s="49"/>
      <c r="BKL35" s="49"/>
      <c r="BKM35" s="49"/>
      <c r="BKN35" s="49"/>
      <c r="BKO35" s="49"/>
      <c r="BKP35" s="42"/>
      <c r="BKQ35" s="43"/>
      <c r="BKR35" s="48"/>
      <c r="BKS35" s="49"/>
      <c r="BKT35" s="49"/>
      <c r="BKU35" s="49"/>
      <c r="BKV35" s="49"/>
      <c r="BKW35" s="49"/>
      <c r="BKX35" s="42"/>
      <c r="BKY35" s="43"/>
      <c r="BKZ35" s="48"/>
      <c r="BLA35" s="49"/>
      <c r="BLB35" s="49"/>
      <c r="BLC35" s="49"/>
      <c r="BLD35" s="49"/>
      <c r="BLE35" s="49"/>
      <c r="BLF35" s="42"/>
      <c r="BLG35" s="43"/>
      <c r="BLH35" s="48"/>
      <c r="BLI35" s="49"/>
      <c r="BLJ35" s="49"/>
      <c r="BLK35" s="49"/>
      <c r="BLL35" s="49"/>
      <c r="BLM35" s="49"/>
      <c r="BLN35" s="42"/>
      <c r="BLO35" s="43"/>
      <c r="BLP35" s="48"/>
      <c r="BLQ35" s="49"/>
      <c r="BLR35" s="49"/>
      <c r="BLS35" s="49"/>
      <c r="BLT35" s="49"/>
      <c r="BLU35" s="49"/>
      <c r="BLV35" s="42"/>
      <c r="BLW35" s="43"/>
      <c r="BLX35" s="48"/>
      <c r="BLY35" s="49"/>
      <c r="BLZ35" s="49"/>
      <c r="BMA35" s="49"/>
      <c r="BMB35" s="49"/>
      <c r="BMC35" s="49"/>
      <c r="BMD35" s="42"/>
      <c r="BME35" s="43"/>
      <c r="BMF35" s="48"/>
      <c r="BMG35" s="49"/>
      <c r="BMH35" s="49"/>
      <c r="BMI35" s="49"/>
      <c r="BMJ35" s="49"/>
      <c r="BMK35" s="49"/>
      <c r="BML35" s="42"/>
      <c r="BMM35" s="43"/>
      <c r="BMN35" s="48"/>
      <c r="BMO35" s="49"/>
      <c r="BMP35" s="49"/>
      <c r="BMQ35" s="49"/>
      <c r="BMR35" s="49"/>
      <c r="BMS35" s="49"/>
      <c r="BMT35" s="42"/>
      <c r="BMU35" s="43"/>
      <c r="BMV35" s="48"/>
      <c r="BMW35" s="49"/>
      <c r="BMX35" s="49"/>
      <c r="BMY35" s="49"/>
      <c r="BMZ35" s="49"/>
      <c r="BNA35" s="49"/>
      <c r="BNB35" s="42"/>
      <c r="BNC35" s="43"/>
      <c r="BND35" s="48"/>
      <c r="BNE35" s="49"/>
      <c r="BNF35" s="49"/>
      <c r="BNG35" s="49"/>
      <c r="BNH35" s="49"/>
      <c r="BNI35" s="49"/>
      <c r="BNJ35" s="42"/>
      <c r="BNK35" s="43"/>
      <c r="BNL35" s="48"/>
      <c r="BNM35" s="49"/>
      <c r="BNN35" s="49"/>
      <c r="BNO35" s="49"/>
      <c r="BNP35" s="49"/>
      <c r="BNQ35" s="49"/>
      <c r="BNR35" s="42"/>
      <c r="BNS35" s="43"/>
      <c r="BNT35" s="48"/>
      <c r="BNU35" s="49"/>
      <c r="BNV35" s="49"/>
      <c r="BNW35" s="49"/>
      <c r="BNX35" s="49"/>
      <c r="BNY35" s="49"/>
      <c r="BNZ35" s="42"/>
      <c r="BOA35" s="43"/>
      <c r="BOB35" s="48"/>
      <c r="BOC35" s="49"/>
      <c r="BOD35" s="49"/>
      <c r="BOE35" s="49"/>
      <c r="BOF35" s="49"/>
      <c r="BOG35" s="49"/>
      <c r="BOH35" s="42"/>
      <c r="BOI35" s="43"/>
      <c r="BOJ35" s="48"/>
      <c r="BOK35" s="49"/>
      <c r="BOL35" s="49"/>
      <c r="BOM35" s="49"/>
      <c r="BON35" s="49"/>
      <c r="BOO35" s="49"/>
      <c r="BOP35" s="42"/>
      <c r="BOQ35" s="43"/>
      <c r="BOR35" s="48"/>
      <c r="BOS35" s="49"/>
      <c r="BOT35" s="49"/>
      <c r="BOU35" s="49"/>
      <c r="BOV35" s="49"/>
      <c r="BOW35" s="49"/>
      <c r="BOX35" s="42"/>
      <c r="BOY35" s="43"/>
      <c r="BOZ35" s="48"/>
      <c r="BPA35" s="49"/>
      <c r="BPB35" s="49"/>
      <c r="BPC35" s="49"/>
      <c r="BPD35" s="49"/>
      <c r="BPE35" s="49"/>
      <c r="BPF35" s="42"/>
      <c r="BPG35" s="43"/>
      <c r="BPH35" s="48"/>
      <c r="BPI35" s="49"/>
      <c r="BPJ35" s="49"/>
      <c r="BPK35" s="49"/>
      <c r="BPL35" s="49"/>
      <c r="BPM35" s="49"/>
      <c r="BPN35" s="42"/>
      <c r="BPO35" s="43"/>
      <c r="BPP35" s="48"/>
      <c r="BPQ35" s="49"/>
      <c r="BPR35" s="49"/>
      <c r="BPS35" s="49"/>
      <c r="BPT35" s="49"/>
      <c r="BPU35" s="49"/>
      <c r="BPV35" s="42"/>
      <c r="BPW35" s="43"/>
      <c r="BPX35" s="48"/>
      <c r="BPY35" s="49"/>
      <c r="BPZ35" s="49"/>
      <c r="BQA35" s="49"/>
      <c r="BQB35" s="49"/>
      <c r="BQC35" s="49"/>
      <c r="BQD35" s="67"/>
      <c r="BQE35" s="43"/>
      <c r="BQF35" s="48"/>
      <c r="BQG35" s="49"/>
      <c r="BQH35" s="49"/>
      <c r="BQI35" s="49"/>
      <c r="BQJ35" s="49"/>
      <c r="BQK35" s="49"/>
      <c r="BQL35" s="67"/>
      <c r="BQM35" s="43"/>
      <c r="BQN35" s="48"/>
      <c r="BQO35" s="49"/>
      <c r="BQP35" s="49"/>
      <c r="BQQ35" s="49"/>
      <c r="BQR35" s="49"/>
      <c r="BQS35" s="49"/>
      <c r="BQT35" s="67"/>
      <c r="BQU35" s="43"/>
      <c r="BQV35" s="48"/>
      <c r="BQW35" s="49"/>
      <c r="BQX35" s="49"/>
      <c r="BQY35" s="49"/>
      <c r="BQZ35" s="49"/>
      <c r="BRA35" s="49"/>
      <c r="BRB35" s="67"/>
      <c r="BRC35" s="43"/>
      <c r="BRD35" s="48"/>
      <c r="BRE35" s="49"/>
      <c r="BRF35" s="49"/>
      <c r="BRG35" s="49"/>
      <c r="BRH35" s="49"/>
      <c r="BRI35" s="49"/>
      <c r="BRJ35" s="67"/>
      <c r="BRK35" s="43"/>
      <c r="BRL35" s="63"/>
      <c r="BRM35" s="64"/>
      <c r="BRN35" s="64"/>
      <c r="BRO35" s="64"/>
      <c r="BRP35" s="64"/>
      <c r="BRQ35" s="64"/>
      <c r="BRR35" s="67"/>
      <c r="BRS35" s="68"/>
      <c r="BRT35" s="63"/>
      <c r="BRU35" s="64"/>
      <c r="BRV35" s="64"/>
      <c r="BRW35" s="64"/>
      <c r="BRX35" s="64"/>
      <c r="BRY35" s="64"/>
      <c r="BRZ35" s="67"/>
      <c r="BSA35" s="43"/>
      <c r="BSB35" s="48"/>
      <c r="BSC35" s="49"/>
      <c r="BSD35" s="49"/>
      <c r="BSE35" s="49"/>
      <c r="BSF35" s="49"/>
      <c r="BSG35" s="49"/>
      <c r="BSH35" s="67"/>
      <c r="BSI35" s="43"/>
      <c r="BSJ35" s="48"/>
      <c r="BSK35" s="49"/>
      <c r="BSL35" s="49"/>
      <c r="BSM35" s="49"/>
      <c r="BSN35" s="49"/>
      <c r="BSO35" s="49"/>
      <c r="BSP35" s="67"/>
      <c r="BSQ35" s="43"/>
      <c r="BSR35" s="48"/>
      <c r="BSS35" s="49"/>
      <c r="BST35" s="49"/>
      <c r="BSU35" s="49"/>
      <c r="BSV35" s="49"/>
      <c r="BSW35" s="49"/>
      <c r="BSX35" s="67"/>
      <c r="BSY35" s="43"/>
      <c r="BSZ35" s="48"/>
      <c r="BTA35" s="49"/>
      <c r="BTB35" s="49"/>
      <c r="BTC35" s="49"/>
      <c r="BTD35" s="49"/>
      <c r="BTE35" s="49"/>
      <c r="BTF35" s="67"/>
      <c r="BTG35" s="43"/>
      <c r="BTH35" s="48"/>
      <c r="BTI35" s="49"/>
      <c r="BTJ35" s="49"/>
      <c r="BTK35" s="49"/>
      <c r="BTL35" s="49"/>
      <c r="BTM35" s="49"/>
      <c r="BTN35" s="67"/>
      <c r="BTO35" s="68"/>
      <c r="BTP35" s="48"/>
      <c r="BTQ35" s="49"/>
      <c r="BTR35" s="49"/>
      <c r="BTS35" s="49"/>
      <c r="BTT35" s="49"/>
      <c r="BTU35" s="49"/>
      <c r="BTV35" s="67"/>
      <c r="BTW35" s="43"/>
      <c r="BTX35" s="48"/>
      <c r="BTY35" s="49"/>
      <c r="BTZ35" s="49"/>
      <c r="BUA35" s="49"/>
      <c r="BUB35" s="49"/>
      <c r="BUC35" s="49"/>
      <c r="BUD35" s="67"/>
      <c r="BUE35" s="68"/>
      <c r="BUF35" s="48"/>
      <c r="BUG35" s="49"/>
      <c r="BUH35" s="49"/>
      <c r="BUI35" s="49"/>
      <c r="BUJ35" s="49"/>
      <c r="BUK35" s="49"/>
      <c r="BUL35" s="67"/>
      <c r="BUM35" s="68"/>
      <c r="BUN35" s="48"/>
      <c r="BUO35" s="49"/>
      <c r="BUP35" s="49"/>
      <c r="BUQ35" s="49"/>
      <c r="BUR35" s="49"/>
      <c r="BUS35" s="49"/>
      <c r="BUT35" s="67"/>
      <c r="BUU35" s="68"/>
      <c r="BUV35" s="48"/>
      <c r="BUW35" s="49"/>
      <c r="BUX35" s="49"/>
      <c r="BUY35" s="49"/>
      <c r="BUZ35" s="49"/>
      <c r="BVA35" s="49"/>
      <c r="BVB35" s="67"/>
      <c r="BVC35" s="68"/>
      <c r="BVD35" s="48"/>
      <c r="BVE35" s="49"/>
      <c r="BVF35" s="49"/>
      <c r="BVG35" s="49"/>
      <c r="BVH35" s="49"/>
      <c r="BVI35" s="49"/>
      <c r="BVJ35" s="67"/>
      <c r="BVK35" s="68"/>
      <c r="BVL35" s="48"/>
      <c r="BVM35" s="49"/>
      <c r="BVN35" s="49"/>
      <c r="BVO35" s="49"/>
      <c r="BVP35" s="49"/>
      <c r="BVQ35" s="49"/>
      <c r="BVR35" s="67"/>
      <c r="BVS35" s="68"/>
      <c r="BVT35" s="48"/>
      <c r="BVU35" s="49"/>
      <c r="BVV35" s="49"/>
      <c r="BVW35" s="49"/>
      <c r="BVX35" s="49"/>
      <c r="BVY35" s="49"/>
      <c r="BVZ35" s="67"/>
      <c r="BWA35" s="68"/>
      <c r="BWB35" s="48"/>
      <c r="BWC35" s="49"/>
      <c r="BWD35" s="49"/>
      <c r="BWE35" s="49"/>
      <c r="BWF35" s="49"/>
      <c r="BWG35" s="49"/>
      <c r="BWH35" s="67"/>
      <c r="BWI35" s="68"/>
      <c r="BWJ35" s="48"/>
      <c r="BWK35" s="49"/>
      <c r="BWL35" s="49"/>
      <c r="BWM35" s="49"/>
      <c r="BWN35" s="49"/>
      <c r="BWO35" s="49"/>
      <c r="BWP35" s="67"/>
      <c r="BWQ35" s="68"/>
      <c r="BWR35" s="48"/>
      <c r="BWS35" s="49"/>
      <c r="BWT35" s="49"/>
      <c r="BWU35" s="49"/>
      <c r="BWV35" s="49"/>
      <c r="BWW35" s="49"/>
      <c r="BWX35" s="67"/>
      <c r="BWY35" s="68"/>
      <c r="BWZ35" s="48"/>
      <c r="BXA35" s="49"/>
      <c r="BXB35" s="49"/>
      <c r="BXC35" s="49"/>
      <c r="BXD35" s="49"/>
      <c r="BXE35" s="49"/>
      <c r="BXF35" s="67"/>
      <c r="BXG35" s="68"/>
      <c r="BXH35" s="48"/>
      <c r="BXI35" s="49"/>
      <c r="BXJ35" s="49"/>
      <c r="BXK35" s="49"/>
      <c r="BXL35" s="49"/>
      <c r="BXM35" s="49"/>
      <c r="BXN35" s="67"/>
      <c r="BXO35" s="68"/>
      <c r="BXP35" s="63"/>
      <c r="BXQ35" s="64"/>
      <c r="BXR35" s="64"/>
      <c r="BXS35" s="64"/>
      <c r="BXT35" s="64"/>
      <c r="BXU35" s="64"/>
      <c r="BXV35" s="67"/>
      <c r="BXW35" s="68"/>
      <c r="BXX35" s="48"/>
      <c r="BXY35" s="49"/>
      <c r="BXZ35" s="49"/>
      <c r="BYA35" s="49"/>
      <c r="BYB35" s="49"/>
      <c r="BYC35" s="49"/>
      <c r="BYD35" s="67"/>
      <c r="BYE35" s="68"/>
      <c r="BYF35" s="48"/>
      <c r="BYG35" s="49"/>
      <c r="BYH35" s="49"/>
      <c r="BYI35" s="49"/>
      <c r="BYJ35" s="49"/>
      <c r="BYK35" s="49"/>
      <c r="BYL35" s="67"/>
      <c r="BYM35" s="68"/>
      <c r="BYN35" s="48"/>
      <c r="BYO35" s="49"/>
      <c r="BYP35" s="49"/>
      <c r="BYQ35" s="49"/>
      <c r="BYR35" s="49"/>
      <c r="BYS35" s="49"/>
      <c r="BYT35" s="67"/>
      <c r="BYU35" s="68"/>
      <c r="BYV35" s="48"/>
      <c r="BYW35" s="49"/>
      <c r="BYX35" s="49"/>
      <c r="BYY35" s="49"/>
      <c r="BYZ35" s="49"/>
      <c r="BZA35" s="49"/>
      <c r="BZB35" s="67"/>
      <c r="BZC35" s="68"/>
      <c r="BZD35" s="48"/>
      <c r="BZE35" s="49"/>
      <c r="BZF35" s="49"/>
      <c r="BZG35" s="49"/>
      <c r="BZH35" s="49"/>
      <c r="BZI35" s="49"/>
      <c r="BZJ35" s="67"/>
      <c r="BZK35" s="68"/>
      <c r="BZL35" s="48"/>
      <c r="BZM35" s="49"/>
      <c r="BZN35" s="49"/>
      <c r="BZO35" s="49"/>
      <c r="BZP35" s="49"/>
      <c r="BZQ35" s="49"/>
      <c r="BZR35" s="67"/>
      <c r="BZS35" s="68"/>
      <c r="BZT35" s="48"/>
      <c r="BZU35" s="49"/>
      <c r="BZV35" s="49"/>
      <c r="BZW35" s="49"/>
      <c r="BZX35" s="49"/>
      <c r="BZY35" s="49"/>
      <c r="BZZ35" s="67"/>
      <c r="CAA35" s="68"/>
      <c r="CAB35" s="48"/>
      <c r="CAC35" s="49"/>
      <c r="CAD35" s="49"/>
      <c r="CAE35" s="49"/>
      <c r="CAF35" s="49"/>
      <c r="CAG35" s="49"/>
      <c r="CAH35" s="67"/>
      <c r="CAI35" s="68"/>
      <c r="CAJ35" s="48"/>
      <c r="CAK35" s="49"/>
      <c r="CAL35" s="49"/>
      <c r="CAM35" s="49"/>
      <c r="CAN35" s="49"/>
      <c r="CAO35" s="49"/>
      <c r="CAP35" s="67"/>
      <c r="CAQ35" s="68"/>
      <c r="CAR35" s="48"/>
      <c r="CAS35" s="49"/>
      <c r="CAT35" s="49"/>
      <c r="CAU35" s="49"/>
      <c r="CAV35" s="49"/>
      <c r="CAW35" s="49"/>
      <c r="CAX35" s="67"/>
      <c r="CAY35" s="68"/>
      <c r="CAZ35" s="48"/>
      <c r="CBA35" s="49"/>
      <c r="CBB35" s="49"/>
      <c r="CBC35" s="49"/>
      <c r="CBD35" s="49"/>
      <c r="CBE35" s="49"/>
      <c r="CBF35" s="67"/>
      <c r="CBG35" s="68"/>
      <c r="CBH35" s="48"/>
      <c r="CBI35" s="49"/>
      <c r="CBJ35" s="49"/>
      <c r="CBK35" s="49"/>
      <c r="CBL35" s="49"/>
      <c r="CBM35" s="49"/>
      <c r="CBN35" s="67"/>
      <c r="CBO35" s="68"/>
      <c r="CBP35" s="48"/>
      <c r="CBQ35" s="49"/>
      <c r="CBR35" s="49"/>
      <c r="CBS35" s="49"/>
      <c r="CBT35" s="49"/>
      <c r="CBU35" s="49"/>
      <c r="CBV35" s="67"/>
      <c r="CBW35" s="68"/>
      <c r="CBX35" s="48"/>
      <c r="CBY35" s="49"/>
      <c r="CBZ35" s="49"/>
      <c r="CCA35" s="49"/>
      <c r="CCB35" s="49"/>
      <c r="CCC35" s="49"/>
      <c r="CCD35" s="67"/>
      <c r="CCE35" s="68"/>
      <c r="CCF35" s="48"/>
      <c r="CCG35" s="49"/>
      <c r="CCH35" s="49"/>
      <c r="CCI35" s="49"/>
      <c r="CCJ35" s="49"/>
      <c r="CCK35" s="49"/>
      <c r="CCL35" s="67"/>
      <c r="CCM35" s="68"/>
      <c r="CCN35" s="48"/>
      <c r="CCO35" s="49"/>
      <c r="CCP35" s="49"/>
      <c r="CCQ35" s="49"/>
      <c r="CCR35" s="49"/>
      <c r="CCS35" s="49"/>
      <c r="CCT35" s="67"/>
      <c r="CCU35" s="68"/>
      <c r="CCV35" s="48"/>
      <c r="CCW35" s="49"/>
      <c r="CCX35" s="49"/>
      <c r="CCY35" s="49"/>
      <c r="CCZ35" s="49"/>
      <c r="CDA35" s="49"/>
      <c r="CDB35" s="67">
        <f t="shared" ref="CDB35:CDB45" si="1629">SUM(CCV35:CDA35)</f>
        <v>0</v>
      </c>
      <c r="CDC35" s="68">
        <f t="shared" ref="CDC35:CDC45" si="1630">CDB35/$CDC$5</f>
        <v>0</v>
      </c>
      <c r="CDD35" s="48"/>
      <c r="CDE35" s="49">
        <v>498</v>
      </c>
      <c r="CDF35" s="49"/>
      <c r="CDG35" s="49"/>
      <c r="CDH35" s="49"/>
      <c r="CDI35" s="49"/>
      <c r="CDJ35" s="67">
        <f t="shared" ref="CDJ35:CDJ45" si="1631">SUM(CDD35:CDI35)</f>
        <v>498</v>
      </c>
      <c r="CDK35" s="68">
        <f t="shared" ref="CDK35:CDK45" si="1632">CDJ35/$CDK$5</f>
        <v>83</v>
      </c>
      <c r="CDL35" s="48"/>
      <c r="CDM35" s="49"/>
      <c r="CDN35" s="49"/>
      <c r="CDO35" s="49"/>
      <c r="CDP35" s="49"/>
      <c r="CDQ35" s="49"/>
      <c r="CDR35" s="67">
        <f t="shared" ref="CDR35:CDR45" si="1633">SUM(CDL35:CDQ35)</f>
        <v>0</v>
      </c>
      <c r="CDS35" s="68">
        <f t="shared" ref="CDS35:CDS45" si="1634">CDR35/$CDS$5</f>
        <v>0</v>
      </c>
      <c r="CDT35" s="48"/>
      <c r="CDU35" s="49"/>
      <c r="CDV35" s="49"/>
      <c r="CDW35" s="49">
        <v>399</v>
      </c>
      <c r="CDX35" s="49"/>
      <c r="CDY35" s="49">
        <v>110</v>
      </c>
      <c r="CDZ35" s="67">
        <f t="shared" ref="CDZ35:CDZ45" si="1635">SUM(CDT35:CDY35)</f>
        <v>509</v>
      </c>
      <c r="CEA35" s="68">
        <f t="shared" ref="CEA35:CEA45" si="1636">CDZ35/$CEA$5</f>
        <v>84.833333333333329</v>
      </c>
      <c r="CEB35" s="48"/>
      <c r="CEC35" s="49"/>
      <c r="CED35" s="49"/>
      <c r="CEE35" s="49">
        <v>400</v>
      </c>
      <c r="CEF35" s="49"/>
      <c r="CEG35" s="49"/>
      <c r="CEH35" s="67">
        <f t="shared" ref="CEH35:CEH45" si="1637">SUM(CEB35:CEG35)</f>
        <v>400</v>
      </c>
      <c r="CEI35" s="68">
        <f t="shared" ref="CEI35:CEI45" si="1638">CEH35/$CEI$5</f>
        <v>66.666666666666671</v>
      </c>
      <c r="CEJ35" s="48"/>
      <c r="CEK35" s="49"/>
      <c r="CEL35" s="49">
        <v>327</v>
      </c>
      <c r="CEM35" s="49"/>
      <c r="CEN35" s="49"/>
      <c r="CEO35" s="49">
        <v>400</v>
      </c>
      <c r="CEP35" s="67">
        <f t="shared" ref="CEP35:CEP45" si="1639">SUM(CEJ35:CEO35)</f>
        <v>727</v>
      </c>
      <c r="CEQ35" s="68">
        <f t="shared" ref="CEQ35:CEQ45" si="1640">CEP35/$BXO$5</f>
        <v>121.16666666666667</v>
      </c>
      <c r="CER35" s="48"/>
      <c r="CES35" s="49">
        <v>301</v>
      </c>
      <c r="CET35" s="49"/>
      <c r="CEU35" s="49"/>
      <c r="CEV35" s="49"/>
      <c r="CEW35" s="49"/>
      <c r="CEX35" s="67">
        <f t="shared" ref="CEX35:CEX45" si="1641">SUM(CER35:CEW35)</f>
        <v>301</v>
      </c>
      <c r="CEY35" s="68">
        <f t="shared" ref="CEY35:CEY45" si="1642">CEX35/$CEY$5</f>
        <v>50.166666666666664</v>
      </c>
      <c r="CEZ35" s="48"/>
      <c r="CFA35" s="49"/>
      <c r="CFB35" s="49"/>
      <c r="CFC35" s="49">
        <v>110</v>
      </c>
      <c r="CFD35" s="49">
        <v>532</v>
      </c>
      <c r="CFE35" s="49"/>
      <c r="CFF35" s="67">
        <f t="shared" ref="CFF35:CFF45" si="1643">SUM(CEZ35:CFE35)</f>
        <v>642</v>
      </c>
      <c r="CFG35" s="68">
        <f t="shared" ref="CFG35:CFG45" si="1644">CFF35/$CFG$5</f>
        <v>107</v>
      </c>
      <c r="CFH35" s="48"/>
      <c r="CFI35" s="49"/>
      <c r="CFJ35" s="49"/>
      <c r="CFK35" s="49"/>
      <c r="CFL35" s="49"/>
      <c r="CFM35" s="49"/>
      <c r="CFN35" s="67">
        <f t="shared" ref="CFN35:CFN45" si="1645">SUM(CFH35:CFM35)</f>
        <v>0</v>
      </c>
      <c r="CFO35" s="68">
        <f t="shared" ref="CFO35:CFO45" si="1646">CFN35/$BYM$5</f>
        <v>0</v>
      </c>
      <c r="CFP35" s="48"/>
      <c r="CFQ35" s="49">
        <v>369</v>
      </c>
      <c r="CFR35" s="49"/>
      <c r="CFS35" s="49"/>
      <c r="CFT35" s="49">
        <v>8</v>
      </c>
      <c r="CFU35" s="49">
        <v>600</v>
      </c>
      <c r="CFV35" s="67">
        <f t="shared" ref="CFV35:CFV45" si="1647">SUM(CFP35:CFU35)</f>
        <v>977</v>
      </c>
      <c r="CFW35" s="68">
        <f t="shared" ref="CFW35:CFW45" si="1648">CFV35/$CFW$5</f>
        <v>162.83333333333334</v>
      </c>
      <c r="CFX35" s="48"/>
      <c r="CFY35" s="49"/>
      <c r="CFZ35" s="49"/>
      <c r="CGA35" s="49"/>
      <c r="CGB35" s="49"/>
      <c r="CGC35" s="49"/>
      <c r="CGD35" s="67">
        <f t="shared" ref="CGD35:CGD45" si="1649">SUM(CFX35:CGC35)</f>
        <v>0</v>
      </c>
      <c r="CGE35" s="68">
        <f t="shared" ref="CGE35:CGE45" si="1650">CGD35/$CGE$5</f>
        <v>0</v>
      </c>
      <c r="CGF35" s="48"/>
      <c r="CGG35" s="49"/>
      <c r="CGH35" s="49"/>
      <c r="CGI35" s="49"/>
      <c r="CGJ35" s="49"/>
      <c r="CGK35" s="49">
        <v>215</v>
      </c>
      <c r="CGL35" s="67">
        <f t="shared" ref="CGL35:CGL45" si="1651">SUM(CGF35:CGK35)</f>
        <v>215</v>
      </c>
      <c r="CGM35" s="68">
        <f t="shared" ref="CGM35:CGM45" si="1652">CGL35/$CGM$5</f>
        <v>35.833333333333336</v>
      </c>
      <c r="CGN35" s="48">
        <v>183</v>
      </c>
      <c r="CGO35" s="49"/>
      <c r="CGP35" s="49">
        <v>637</v>
      </c>
      <c r="CGQ35" s="49"/>
      <c r="CGR35" s="49"/>
      <c r="CGS35" s="49">
        <v>200</v>
      </c>
      <c r="CGT35" s="67">
        <f t="shared" ref="CGT35:CGT45" si="1653">SUM(CGN35:CGS35)</f>
        <v>1020</v>
      </c>
      <c r="CGU35" s="68">
        <f t="shared" ref="CGU35:CGU45" si="1654">CGT35/$CGU$28</f>
        <v>170</v>
      </c>
      <c r="CGV35" s="48"/>
      <c r="CGW35" s="49"/>
      <c r="CGX35" s="49"/>
      <c r="CGY35" s="49"/>
      <c r="CGZ35" s="49"/>
      <c r="CHA35" s="49">
        <v>604</v>
      </c>
      <c r="CHB35" s="67">
        <f t="shared" ref="CHB35:CHB45" si="1655">SUM(CGV35:CHA35)</f>
        <v>604</v>
      </c>
      <c r="CHC35" s="68">
        <f t="shared" ref="CHC35:CHC45" si="1656">CHB35/$CHC$5</f>
        <v>100.66666666666667</v>
      </c>
      <c r="CHD35" s="48"/>
      <c r="CHE35" s="49">
        <v>109</v>
      </c>
      <c r="CHF35" s="49"/>
      <c r="CHG35" s="49"/>
      <c r="CHH35" s="49"/>
      <c r="CHI35" s="49"/>
      <c r="CHJ35" s="67">
        <f t="shared" ref="CHJ35:CHJ45" si="1657">SUM(CHD35:CHI35)</f>
        <v>109</v>
      </c>
      <c r="CHK35" s="68">
        <f t="shared" ref="CHK35:CHK45" si="1658">CHJ35/$CHK$5</f>
        <v>18.166666666666668</v>
      </c>
      <c r="CHL35" s="48">
        <v>988</v>
      </c>
      <c r="CHM35" s="49"/>
      <c r="CHN35" s="49"/>
      <c r="CHO35" s="49"/>
      <c r="CHP35" s="49"/>
      <c r="CHQ35" s="49">
        <v>638</v>
      </c>
      <c r="CHR35" s="67">
        <f t="shared" ref="CHR35:CHR45" si="1659">SUM(CHL35:CHQ35)</f>
        <v>1626</v>
      </c>
      <c r="CHS35" s="68">
        <f t="shared" ref="CHS35:CHS45" si="1660">CHR35/$CHS$5</f>
        <v>271</v>
      </c>
      <c r="CHT35" s="48">
        <v>638</v>
      </c>
      <c r="CHU35" s="49"/>
      <c r="CHV35" s="49">
        <v>702</v>
      </c>
      <c r="CHW35" s="49"/>
      <c r="CHX35" s="49"/>
      <c r="CHY35" s="49"/>
      <c r="CHZ35" s="67">
        <f t="shared" ref="CHZ35:CHZ45" si="1661">SUM(CHT35:CHY35)</f>
        <v>1340</v>
      </c>
      <c r="CIA35" s="68">
        <f t="shared" ref="CIA35:CIA45" si="1662">CHZ35/CIA$5</f>
        <v>223.33333333333334</v>
      </c>
      <c r="CIB35" s="48">
        <v>394</v>
      </c>
      <c r="CIC35" s="49"/>
      <c r="CID35" s="49"/>
      <c r="CIE35" s="49"/>
      <c r="CIF35" s="49"/>
      <c r="CIG35" s="49"/>
      <c r="CIH35" s="67">
        <f t="shared" ref="CIH35:CIH45" si="1663">SUM(CIB35:CIG35)</f>
        <v>394</v>
      </c>
      <c r="CII35" s="68">
        <f t="shared" ref="CII35:CII45" si="1664">CIH35/$CII$5</f>
        <v>65.666666666666671</v>
      </c>
      <c r="CIJ35" s="48"/>
      <c r="CIK35" s="49">
        <v>211</v>
      </c>
      <c r="CIL35" s="49"/>
      <c r="CIM35" s="49"/>
      <c r="CIN35" s="49"/>
      <c r="CIO35" s="49"/>
      <c r="CIP35" s="67">
        <f t="shared" ref="CIP35:CIP45" si="1665">SUM(CIJ35:CIO35)</f>
        <v>211</v>
      </c>
      <c r="CIQ35" s="68">
        <f t="shared" ref="CIQ35:CIQ45" si="1666">CIP35/$CIQ$5</f>
        <v>35.166666666666664</v>
      </c>
      <c r="CIR35" s="48">
        <v>1599</v>
      </c>
      <c r="CIS35" s="49"/>
      <c r="CIT35" s="49"/>
      <c r="CIU35" s="49"/>
      <c r="CIV35" s="49"/>
      <c r="CIW35" s="49"/>
      <c r="CIX35" s="67">
        <f t="shared" ref="CIX35:CIX45" si="1667">SUM(CIR35:CIW35)</f>
        <v>1599</v>
      </c>
      <c r="CIY35" s="68">
        <f t="shared" ref="CIY35:CIY45" si="1668">CIX35/$CIY$5</f>
        <v>266.5</v>
      </c>
      <c r="CIZ35" s="63">
        <v>1000</v>
      </c>
      <c r="CJA35" s="64"/>
      <c r="CJB35" s="64"/>
      <c r="CJC35" s="64"/>
      <c r="CJD35" s="64">
        <v>199</v>
      </c>
      <c r="CJE35" s="64"/>
      <c r="CJF35" s="67">
        <f t="shared" ref="CJF35:CJF45" si="1669">SUM(CIZ35:CJE35)</f>
        <v>1199</v>
      </c>
      <c r="CJG35" s="68">
        <f t="shared" ref="CJG35:CJG45" si="1670">CJF35/$CJG$28</f>
        <v>199.83333333333334</v>
      </c>
      <c r="CJH35" s="48"/>
      <c r="CJI35" s="49">
        <v>1589</v>
      </c>
      <c r="CJJ35" s="49"/>
      <c r="CJK35" s="49">
        <v>303</v>
      </c>
      <c r="CJL35" s="49"/>
      <c r="CJM35" s="49"/>
      <c r="CJN35" s="67">
        <f t="shared" ref="CJN35:CJN45" si="1671">SUM(CJH35:CJM35)</f>
        <v>1892</v>
      </c>
      <c r="CJO35" s="184">
        <f t="shared" ref="CJO35:CJO45" si="1672">CJN35/$CJO$5</f>
        <v>315.33333333333331</v>
      </c>
      <c r="CJP35" s="48"/>
      <c r="CJQ35" s="49"/>
      <c r="CJR35" s="49"/>
      <c r="CJS35" s="49">
        <v>1100</v>
      </c>
      <c r="CJT35" s="49">
        <v>169</v>
      </c>
      <c r="CJU35" s="49"/>
      <c r="CJV35" s="67">
        <f t="shared" ref="CJV35:CJV45" si="1673">SUM(CJP35:CJU35)</f>
        <v>1269</v>
      </c>
      <c r="CJW35" s="68">
        <f t="shared" ref="CJW35:CJW45" si="1674">CJV35/$CJW$5</f>
        <v>211.5</v>
      </c>
      <c r="CJX35" s="48">
        <v>412</v>
      </c>
      <c r="CJY35" s="49"/>
      <c r="CJZ35" s="49"/>
      <c r="CKA35" s="49">
        <v>76</v>
      </c>
      <c r="CKB35" s="49"/>
      <c r="CKC35" s="49"/>
      <c r="CKD35" s="67">
        <f>SUM(CJX35:CKC35)+226</f>
        <v>714</v>
      </c>
      <c r="CKE35" s="68">
        <f t="shared" ref="CKE35:CKE45" si="1675">CKD35/$CKE$5</f>
        <v>119</v>
      </c>
      <c r="CKF35" s="48"/>
      <c r="CKG35" s="49"/>
      <c r="CKH35" s="49"/>
      <c r="CKI35" s="49"/>
      <c r="CKJ35" s="49"/>
      <c r="CKK35" s="49"/>
      <c r="CKL35" s="67">
        <f t="shared" ref="CKL35:CKL45" si="1676">SUM(CKF35:CKK35)</f>
        <v>0</v>
      </c>
      <c r="CKM35" s="68">
        <f t="shared" ref="CKM35:CKM45" si="1677">CKL35/$CKM$5</f>
        <v>0</v>
      </c>
      <c r="CKN35" s="48"/>
      <c r="CKO35" s="49">
        <v>1195</v>
      </c>
      <c r="CKP35" s="49"/>
      <c r="CKQ35" s="49"/>
      <c r="CKR35" s="49"/>
      <c r="CKS35" s="47"/>
      <c r="CKT35" s="67">
        <f t="shared" ref="CKT35:CKT45" si="1678">SUM(CKN35:CKS35)</f>
        <v>1195</v>
      </c>
      <c r="CKU35" s="68">
        <f t="shared" ref="CKU35:CKU45" si="1679">CKT35/$CKU$5</f>
        <v>199.16666666666666</v>
      </c>
      <c r="CKV35" s="48"/>
      <c r="CKW35" s="49"/>
      <c r="CKX35" s="49">
        <v>1491</v>
      </c>
      <c r="CKY35" s="49"/>
      <c r="CKZ35" s="49"/>
      <c r="CLA35" s="49">
        <v>1102</v>
      </c>
      <c r="CLB35" s="67">
        <f t="shared" ref="CLB35:CLB45" si="1680">SUM(CKV35:CLA35)</f>
        <v>2593</v>
      </c>
      <c r="CLC35" s="68">
        <f t="shared" ref="CLC35:CLC45" si="1681">CLB35/$CLC$5</f>
        <v>432.16666666666669</v>
      </c>
      <c r="CLD35" s="48"/>
      <c r="CLE35" s="49"/>
      <c r="CLF35" s="49"/>
      <c r="CLG35" s="49"/>
      <c r="CLH35" s="49"/>
      <c r="CLI35" s="49"/>
      <c r="CLJ35" s="67">
        <f t="shared" ref="CLJ35:CLJ45" si="1682">SUM(CLD35:CLI35)</f>
        <v>0</v>
      </c>
      <c r="CLK35" s="68">
        <f t="shared" ref="CLK35:CLK45" si="1683">CLJ35/$CLK$5</f>
        <v>0</v>
      </c>
      <c r="CLL35" s="48">
        <v>440</v>
      </c>
      <c r="CLM35" s="49"/>
      <c r="CLN35" s="49"/>
      <c r="CLO35" s="49"/>
      <c r="CLP35" s="49"/>
      <c r="CLQ35" s="49"/>
      <c r="CLR35" s="67">
        <f t="shared" ref="CLR35:CLR45" si="1684">SUM(CLL35:CLQ35)</f>
        <v>440</v>
      </c>
      <c r="CLS35" s="68">
        <f t="shared" ref="CLS35:CLS45" si="1685">CLR35/$CLS$5</f>
        <v>73.333333333333329</v>
      </c>
      <c r="CLT35" s="48">
        <v>300</v>
      </c>
      <c r="CLU35" s="49"/>
      <c r="CLV35" s="49"/>
      <c r="CLW35" s="49">
        <v>667</v>
      </c>
      <c r="CLX35" s="49">
        <v>594</v>
      </c>
      <c r="CLY35" s="49"/>
      <c r="CLZ35" s="67">
        <f t="shared" ref="CLZ35:CLZ45" si="1686">SUM(CLT35:CLY35)</f>
        <v>1561</v>
      </c>
      <c r="CMA35" s="68">
        <f t="shared" ref="CMA35:CMA45" si="1687">CLZ35/$CMA$5</f>
        <v>260.16666666666669</v>
      </c>
      <c r="CMB35" s="48"/>
      <c r="CMC35" s="49"/>
      <c r="CMD35" s="49"/>
      <c r="CME35" s="49"/>
      <c r="CMF35" s="49"/>
      <c r="CMG35" s="49"/>
      <c r="CMH35" s="67">
        <f t="shared" ref="CMH35:CMH45" si="1688">SUM(CMB35:CMG35)</f>
        <v>0</v>
      </c>
      <c r="CMI35" s="68">
        <f t="shared" ref="CMI35:CMI45" si="1689">CMH35/$CMI$5</f>
        <v>0</v>
      </c>
      <c r="CMJ35" s="48">
        <v>729</v>
      </c>
      <c r="CMK35" s="49"/>
      <c r="CML35" s="49"/>
      <c r="CMM35" s="49"/>
      <c r="CMN35" s="49"/>
      <c r="CMO35" s="49">
        <v>430</v>
      </c>
      <c r="CMP35" s="67">
        <f t="shared" ref="CMP35:CMP45" si="1690">SUM(CMJ35:CMO35)</f>
        <v>1159</v>
      </c>
      <c r="CMQ35" s="68">
        <f t="shared" ref="CMQ35:CMQ45" si="1691">CMP35/$CMQ$5</f>
        <v>193.16666666666666</v>
      </c>
      <c r="CMR35" s="48"/>
      <c r="CMS35" s="49">
        <v>397</v>
      </c>
      <c r="CMT35" s="49"/>
      <c r="CMU35" s="49">
        <v>469</v>
      </c>
      <c r="CMV35" s="49"/>
      <c r="CMW35" s="49"/>
      <c r="CMX35" s="67">
        <f t="shared" ref="CMX35:CMX45" si="1692">SUM(CMR35:CMW35)</f>
        <v>866</v>
      </c>
      <c r="CMY35" s="68">
        <f t="shared" ref="CMY35:CMY45" si="1693">CMX35/$CMY$5</f>
        <v>144.33333333333334</v>
      </c>
      <c r="CMZ35" s="48">
        <v>660</v>
      </c>
      <c r="CNA35" s="49"/>
      <c r="CNB35" s="49"/>
      <c r="CNC35" s="49">
        <v>811</v>
      </c>
      <c r="CND35" s="49"/>
      <c r="CNE35" s="49"/>
      <c r="CNF35" s="67">
        <f t="shared" ref="CNF35:CNF45" si="1694">SUM(CMZ35:CNE35)</f>
        <v>1471</v>
      </c>
      <c r="CNG35" s="68">
        <f t="shared" ref="CNG35:CNG45" si="1695">CNF35/$CNG$5</f>
        <v>245.16666666666666</v>
      </c>
      <c r="CNH35" s="48"/>
      <c r="CNI35" s="49">
        <v>330</v>
      </c>
      <c r="CNJ35" s="49"/>
      <c r="CNK35" s="49"/>
      <c r="CNL35" s="49">
        <v>317</v>
      </c>
      <c r="CNM35" s="49"/>
      <c r="CNN35" s="67">
        <f t="shared" ref="CNN35:CNN45" si="1696">SUM(CNH35:CNM35)</f>
        <v>647</v>
      </c>
      <c r="CNO35" s="68">
        <f t="shared" ref="CNO35:CNO45" si="1697">CNN35/$CNO$5</f>
        <v>107.83333333333333</v>
      </c>
      <c r="CNP35" s="48"/>
      <c r="CNQ35" s="49">
        <v>672</v>
      </c>
      <c r="CNR35" s="49"/>
      <c r="CNS35" s="49"/>
      <c r="CNT35" s="49">
        <v>656</v>
      </c>
      <c r="CNU35" s="49"/>
      <c r="CNV35" s="67">
        <f t="shared" ref="CNV35:CNV45" si="1698">SUM(CNP35:CNU35)</f>
        <v>1328</v>
      </c>
      <c r="CNW35" s="68">
        <f t="shared" ref="CNW35:CNW45" si="1699">CNV35/$CNW$5</f>
        <v>221.33333333333334</v>
      </c>
      <c r="CNX35" s="48"/>
      <c r="CNY35" s="49"/>
      <c r="CNZ35" s="49"/>
      <c r="COA35" s="49">
        <v>655</v>
      </c>
      <c r="COB35" s="49"/>
      <c r="COC35" s="49"/>
      <c r="COD35" s="67">
        <f t="shared" ref="COD35:COD45" si="1700">SUM(CNX35:COC35)</f>
        <v>655</v>
      </c>
      <c r="COE35" s="68">
        <f t="shared" ref="COE35:COE45" si="1701">COD35/$COE$5</f>
        <v>109.16666666666667</v>
      </c>
      <c r="COF35" s="48"/>
      <c r="COG35" s="49"/>
      <c r="COH35" s="49"/>
      <c r="COI35" s="49">
        <v>660</v>
      </c>
      <c r="COJ35" s="49"/>
      <c r="COK35" s="49"/>
      <c r="COL35" s="67">
        <f t="shared" ref="COL35:COL59" si="1702">SUM(COF35:COK35)</f>
        <v>660</v>
      </c>
      <c r="COM35" s="68">
        <f t="shared" ref="COM35:COM59" si="1703">COL35/$COM$5</f>
        <v>110</v>
      </c>
      <c r="CON35" s="48"/>
      <c r="COO35" s="49"/>
      <c r="COP35" s="49"/>
      <c r="COQ35" s="49"/>
      <c r="COR35" s="49"/>
      <c r="COS35" s="49"/>
      <c r="COT35" s="67">
        <f t="shared" ref="COT35:COT59" si="1704">SUM(CON35:COS35)</f>
        <v>0</v>
      </c>
      <c r="COU35" s="68">
        <f t="shared" ref="COU35:COU59" si="1705">COT35/$COU$5</f>
        <v>0</v>
      </c>
      <c r="COV35" s="48"/>
      <c r="COW35" s="49"/>
      <c r="COX35" s="49">
        <v>433</v>
      </c>
      <c r="COY35" s="49">
        <v>1215</v>
      </c>
      <c r="COZ35" s="49"/>
      <c r="CPA35" s="49">
        <v>0</v>
      </c>
      <c r="CPB35" s="67">
        <f t="shared" ref="CPB35:CPB59" si="1706">SUM(COV35:CPA35)</f>
        <v>1648</v>
      </c>
      <c r="CPC35" s="68">
        <f t="shared" ref="CPC35:CPC59" si="1707">CPB35/$CPC$5</f>
        <v>274.66666666666669</v>
      </c>
      <c r="CPD35" s="48"/>
      <c r="CPE35" s="49">
        <v>0</v>
      </c>
      <c r="CPF35" s="49">
        <v>654</v>
      </c>
      <c r="CPG35" s="49">
        <v>0</v>
      </c>
      <c r="CPH35" s="49">
        <v>0</v>
      </c>
      <c r="CPI35" s="49">
        <v>0</v>
      </c>
      <c r="CPJ35" s="67">
        <f t="shared" ref="CPJ35:CPJ59" si="1708">SUM(CPD35:CPI35)</f>
        <v>654</v>
      </c>
      <c r="CPK35" s="68">
        <f t="shared" ref="CPK35:CPK59" si="1709">CPJ35/$CPK$5</f>
        <v>109</v>
      </c>
      <c r="CPL35" s="48"/>
      <c r="CPM35" s="49">
        <v>0</v>
      </c>
      <c r="CPN35" s="49">
        <v>0</v>
      </c>
      <c r="CPO35" s="49"/>
      <c r="CPP35" s="49">
        <v>0</v>
      </c>
      <c r="CPQ35" s="49"/>
      <c r="CPR35" s="67">
        <f t="shared" ref="CPR35:CPR59" si="1710">SUM(CPL35:CPQ35)</f>
        <v>0</v>
      </c>
      <c r="CPS35" s="68">
        <f t="shared" ref="CPS35:CPS59" si="1711">CPR35/$CPS$5</f>
        <v>0</v>
      </c>
      <c r="CPT35" s="48">
        <v>577</v>
      </c>
      <c r="CPU35" s="49">
        <v>220</v>
      </c>
      <c r="CPV35" s="49">
        <v>429</v>
      </c>
      <c r="CPW35" s="49"/>
      <c r="CPX35" s="49">
        <v>0</v>
      </c>
      <c r="CPY35" s="49">
        <v>0</v>
      </c>
      <c r="CPZ35" s="67">
        <f t="shared" ref="CPZ35:CPZ59" si="1712">SUM(CPT35:CPY35)</f>
        <v>1226</v>
      </c>
      <c r="CQA35" s="68">
        <f t="shared" ref="CQA35:CQA59" si="1713">CPZ35/$CQA$5</f>
        <v>204.33333333333334</v>
      </c>
      <c r="CQB35" s="48">
        <v>0</v>
      </c>
      <c r="CQC35" s="49">
        <v>645</v>
      </c>
      <c r="CQD35" s="49">
        <v>0</v>
      </c>
      <c r="CQE35" s="49">
        <v>0</v>
      </c>
      <c r="CQF35" s="49">
        <v>502</v>
      </c>
      <c r="CQG35" s="49">
        <v>0</v>
      </c>
      <c r="CQH35" s="67">
        <f t="shared" ref="CQH35:CQH59" si="1714">SUM(CQB35:CQG35)</f>
        <v>1147</v>
      </c>
      <c r="CQI35" s="68">
        <f t="shared" ref="CQI35:CQI59" si="1715">CQH35/$CQI$5</f>
        <v>191.16666666666666</v>
      </c>
      <c r="CQJ35" s="82">
        <v>0</v>
      </c>
      <c r="CQK35" s="83">
        <v>0</v>
      </c>
      <c r="CQL35" s="83">
        <v>0</v>
      </c>
      <c r="CQM35" s="83">
        <v>0</v>
      </c>
      <c r="CQN35" s="83">
        <v>475</v>
      </c>
      <c r="CQO35" s="83"/>
      <c r="CQP35" s="67">
        <f t="shared" ref="CQP35:CQP59" si="1716">SUM(CQJ35:CQO35)</f>
        <v>475</v>
      </c>
      <c r="CQQ35" s="68">
        <f t="shared" ref="CQQ35:CQQ59" si="1717">CQP35/$CQQ$5</f>
        <v>79.166666666666671</v>
      </c>
      <c r="CQR35" s="239"/>
      <c r="CQS35" s="1">
        <v>0</v>
      </c>
      <c r="CQT35" s="1">
        <v>0</v>
      </c>
      <c r="CQU35" s="1">
        <v>0</v>
      </c>
      <c r="CQV35" s="1">
        <v>0</v>
      </c>
      <c r="CQW35" s="1"/>
      <c r="CQX35" s="67">
        <f t="shared" ref="CQX35:CQX59" si="1718">SUM(CQR35:CQW35)</f>
        <v>0</v>
      </c>
      <c r="CQY35" s="68">
        <f t="shared" ref="CQY35:CQY59" si="1719">CQX35/$CQY$5</f>
        <v>0</v>
      </c>
      <c r="CQZ35" s="48">
        <v>394</v>
      </c>
      <c r="CRA35" s="49"/>
      <c r="CRB35" s="49">
        <v>0</v>
      </c>
      <c r="CRC35" s="49">
        <v>0</v>
      </c>
      <c r="CRD35" s="49">
        <v>0</v>
      </c>
      <c r="CRE35" s="49">
        <v>0</v>
      </c>
      <c r="CRF35" s="67">
        <f t="shared" ref="CRF35:CRF59" si="1720">SUM(CQZ35:CRE35)</f>
        <v>394</v>
      </c>
      <c r="CRG35" s="68">
        <f t="shared" ref="CRG35:CRG59" si="1721">CRF35/$CRG$5</f>
        <v>65.666666666666671</v>
      </c>
      <c r="CRH35" s="48">
        <v>0</v>
      </c>
      <c r="CRI35" s="49">
        <v>0</v>
      </c>
      <c r="CRJ35" s="49">
        <v>440</v>
      </c>
      <c r="CRK35" s="49">
        <v>0</v>
      </c>
      <c r="CRL35" s="49">
        <v>0</v>
      </c>
      <c r="CRM35" s="49">
        <v>0</v>
      </c>
      <c r="CRN35" s="67">
        <f t="shared" ref="CRN35:CRN59" si="1722">SUM(CRH35:CRM35)</f>
        <v>440</v>
      </c>
      <c r="CRO35" s="68">
        <f t="shared" ref="CRO35:CRO59" si="1723">CRN35/$CRO$5</f>
        <v>73.333333333333329</v>
      </c>
      <c r="CRP35" s="48"/>
      <c r="CRQ35" s="49">
        <v>0</v>
      </c>
      <c r="CRR35" s="49">
        <v>0</v>
      </c>
      <c r="CRS35" s="49">
        <v>767</v>
      </c>
      <c r="CRT35" s="49">
        <v>0</v>
      </c>
      <c r="CRU35" s="49">
        <v>552</v>
      </c>
      <c r="CRV35" s="47">
        <f t="shared" ref="CRV35:CRV59" si="1724">SUM(CRP35:CRU35)</f>
        <v>1319</v>
      </c>
      <c r="CRW35" s="68">
        <f t="shared" ref="CRW35:CRW59" si="1725">CRV35/$CRW$5</f>
        <v>219.83333333333334</v>
      </c>
      <c r="CRX35" s="48">
        <v>0</v>
      </c>
      <c r="CRY35" s="49">
        <v>0</v>
      </c>
      <c r="CRZ35" s="49">
        <v>0</v>
      </c>
      <c r="CSA35" s="49">
        <v>650</v>
      </c>
      <c r="CSB35" s="49">
        <v>0</v>
      </c>
      <c r="CSC35" s="49">
        <v>0</v>
      </c>
      <c r="CSD35" s="67">
        <f t="shared" ref="CSD35:CSD59" si="1726">SUM(CRX35:CSC35)</f>
        <v>650</v>
      </c>
      <c r="CSE35" s="68">
        <f t="shared" ref="CSE35:CSE59" si="1727">CSD35/$CSE$5</f>
        <v>108.33333333333333</v>
      </c>
      <c r="CSF35" s="48">
        <v>440</v>
      </c>
      <c r="CSG35" s="49">
        <v>0</v>
      </c>
      <c r="CSH35" s="49">
        <v>0</v>
      </c>
      <c r="CSI35" s="49">
        <v>0</v>
      </c>
      <c r="CSJ35" s="49">
        <v>0</v>
      </c>
      <c r="CSK35" s="360">
        <f>SUMIF(SUMPK!$B:$B,$B:$B,SUMPK!$O:$O)</f>
        <v>0</v>
      </c>
      <c r="CSL35" s="64">
        <f t="shared" ref="CSL35:CSL59" si="1728">SUM(CSF35:CSK35)</f>
        <v>440</v>
      </c>
      <c r="CSM35" s="68">
        <f t="shared" ref="CSM35:CSM59" si="1729">CSL35/$CSM$5</f>
        <v>73.333333333333329</v>
      </c>
      <c r="CSN35" s="48">
        <v>0</v>
      </c>
      <c r="CSO35" s="49">
        <v>0</v>
      </c>
      <c r="CSP35" s="49">
        <v>629</v>
      </c>
      <c r="CSQ35" s="49"/>
      <c r="CSR35" s="49">
        <v>369</v>
      </c>
      <c r="CSS35" s="49">
        <v>0</v>
      </c>
      <c r="CST35" s="64">
        <f t="shared" ref="CST35:CST59" si="1730">SUM(CSN35:CSS35)</f>
        <v>998</v>
      </c>
      <c r="CSU35" s="68">
        <f t="shared" ref="CSU35:CSU59" si="1731">CST35/$CSU$5</f>
        <v>166.33333333333334</v>
      </c>
      <c r="CSV35" s="48">
        <v>0</v>
      </c>
      <c r="CSW35" s="49">
        <v>511</v>
      </c>
      <c r="CSX35" s="49">
        <v>342</v>
      </c>
      <c r="CSY35" s="49">
        <v>0</v>
      </c>
      <c r="CSZ35" s="49">
        <v>0</v>
      </c>
      <c r="CTA35" s="49">
        <v>0</v>
      </c>
      <c r="CTB35" s="64">
        <f t="shared" ref="CTB35:CTB59" si="1732">SUM(CSV35:CTA35)</f>
        <v>853</v>
      </c>
      <c r="CTC35" s="68">
        <f t="shared" ref="CTC35:CTC59" si="1733">CTB35/$CTC$5</f>
        <v>142.16666666666666</v>
      </c>
      <c r="CTD35" s="48">
        <v>0</v>
      </c>
      <c r="CTE35" s="49">
        <v>434</v>
      </c>
      <c r="CTF35" s="49">
        <v>0</v>
      </c>
      <c r="CTG35" s="49">
        <v>0</v>
      </c>
      <c r="CTH35" s="49"/>
      <c r="CTI35" s="49"/>
      <c r="CTJ35" s="64">
        <f t="shared" ref="CTJ35:CTJ59" si="1734">SUM(CTD35:CTI35)</f>
        <v>434</v>
      </c>
      <c r="CTK35" s="68">
        <f t="shared" ref="CTK35:CTK59" si="1735">CTJ35/$CTK$5</f>
        <v>72.333333333333329</v>
      </c>
      <c r="CTL35" s="48">
        <v>0</v>
      </c>
      <c r="CTM35" s="49">
        <v>440</v>
      </c>
      <c r="CTN35" s="49">
        <v>0</v>
      </c>
      <c r="CTO35" s="49">
        <v>0</v>
      </c>
      <c r="CTP35" s="49">
        <v>0</v>
      </c>
      <c r="CTQ35" s="49">
        <v>0</v>
      </c>
      <c r="CTR35" s="64">
        <f t="shared" ref="CTR35:CTR59" si="1736">SUM(CTL35:CTQ35)</f>
        <v>440</v>
      </c>
      <c r="CTS35" s="68">
        <f t="shared" ref="CTS35:CTS59" si="1737">CTR35/$CTS$5</f>
        <v>73.333333333333329</v>
      </c>
      <c r="CTT35" s="48">
        <v>0</v>
      </c>
      <c r="CTU35" s="49"/>
      <c r="CTV35" s="49">
        <v>675</v>
      </c>
      <c r="CTW35" s="49"/>
      <c r="CTX35" s="49">
        <v>469</v>
      </c>
      <c r="CTY35" s="49"/>
      <c r="CTZ35" s="64">
        <f t="shared" ref="CTZ35:CTZ59" si="1738">SUM(CTT35:CTY35)</f>
        <v>1144</v>
      </c>
      <c r="CUA35" s="68">
        <f t="shared" ref="CUA35:CUA59" si="1739">CTZ35/$CUA$5</f>
        <v>190.66666666666666</v>
      </c>
      <c r="CUB35" s="48">
        <v>0</v>
      </c>
      <c r="CUC35" s="49">
        <v>562</v>
      </c>
      <c r="CUD35" s="49"/>
      <c r="CUE35" s="49"/>
      <c r="CUF35" s="49">
        <v>0</v>
      </c>
      <c r="CUG35" s="49">
        <v>0</v>
      </c>
      <c r="CUH35" s="64">
        <f t="shared" ref="CUH35:CUH59" si="1740">SUM(CUB35:CUG35)</f>
        <v>562</v>
      </c>
      <c r="CUI35" s="68">
        <f t="shared" ref="CUI35:CUI59" si="1741">CUH35/$CUI$5</f>
        <v>93.666666666666671</v>
      </c>
      <c r="CUJ35" s="48">
        <v>209</v>
      </c>
      <c r="CUK35" s="49">
        <v>0</v>
      </c>
      <c r="CUL35" s="49">
        <v>0</v>
      </c>
      <c r="CUM35" s="49">
        <v>0</v>
      </c>
      <c r="CUN35" s="49">
        <v>0</v>
      </c>
      <c r="CUO35" s="49">
        <v>0</v>
      </c>
      <c r="CUP35" s="64">
        <f t="shared" ref="CUP35:CUP59" si="1742">SUM(CUJ35:CUO35)</f>
        <v>209</v>
      </c>
      <c r="CUQ35" s="68">
        <f t="shared" ref="CUQ35:CUQ59" si="1743">CUP35/$CUQ$5</f>
        <v>34.833333333333336</v>
      </c>
      <c r="CUR35" s="48">
        <v>660</v>
      </c>
      <c r="CUS35" s="49"/>
      <c r="CUT35" s="49"/>
      <c r="CUU35" s="49">
        <v>0</v>
      </c>
      <c r="CUV35" s="49">
        <v>0</v>
      </c>
      <c r="CUW35" s="49">
        <v>400</v>
      </c>
      <c r="CUX35" s="64">
        <f t="shared" ref="CUX35:CUX59" si="1744">SUM(CUR35:CUW35)</f>
        <v>1060</v>
      </c>
      <c r="CUY35" s="68">
        <f t="shared" ref="CUY35:CUY59" si="1745">CUX35/$CUY$5</f>
        <v>176.66666666666666</v>
      </c>
      <c r="CUZ35" s="48">
        <v>0</v>
      </c>
      <c r="CVA35" s="49">
        <v>468</v>
      </c>
      <c r="CVB35" s="49"/>
      <c r="CVC35" s="49">
        <v>0</v>
      </c>
      <c r="CVD35" s="49">
        <v>0</v>
      </c>
      <c r="CVE35" s="49">
        <v>0</v>
      </c>
      <c r="CVF35" s="64">
        <f t="shared" ref="CVF35:CVF59" si="1746">SUM(CUZ35:CVE35)</f>
        <v>468</v>
      </c>
      <c r="CVG35" s="68">
        <f t="shared" ref="CVG35:CVG59" si="1747">CVF35/$CVG$5</f>
        <v>78</v>
      </c>
      <c r="CVH35" s="48">
        <v>653</v>
      </c>
      <c r="CVI35" s="49">
        <v>0</v>
      </c>
      <c r="CVJ35" s="49">
        <v>0</v>
      </c>
      <c r="CVK35" s="49">
        <v>0</v>
      </c>
      <c r="CVL35" s="49">
        <v>0</v>
      </c>
      <c r="CVM35" s="49"/>
      <c r="CVN35" s="64">
        <f t="shared" ref="CVN35:CVN59" si="1748">SUM(CVH35:CVM35)</f>
        <v>653</v>
      </c>
      <c r="CVO35" s="68">
        <f t="shared" ref="CVO35:CVO59" si="1749">CVN35/$CVO$5</f>
        <v>108.83333333333333</v>
      </c>
      <c r="CVP35" s="48">
        <v>0</v>
      </c>
      <c r="CVQ35" s="49">
        <v>660</v>
      </c>
      <c r="CVR35" s="49">
        <v>0</v>
      </c>
      <c r="CVS35" s="49">
        <v>0</v>
      </c>
      <c r="CVT35" s="49">
        <v>235</v>
      </c>
      <c r="CVU35" s="49">
        <v>0</v>
      </c>
      <c r="CVV35" s="64">
        <f t="shared" ref="CVV35:CVV59" si="1750">SUM(CVP35:CVU35)</f>
        <v>895</v>
      </c>
      <c r="CVW35" s="68">
        <f t="shared" ref="CVW35:CVW59" si="1751">CVV35/$CVW$5</f>
        <v>149.16666666666666</v>
      </c>
      <c r="CVX35" s="48">
        <v>0</v>
      </c>
      <c r="CVY35" s="49">
        <v>109</v>
      </c>
      <c r="CVZ35" s="49">
        <v>0</v>
      </c>
      <c r="CWA35" s="49">
        <v>0</v>
      </c>
      <c r="CWB35" s="49">
        <v>0</v>
      </c>
      <c r="CWC35" s="49">
        <v>381</v>
      </c>
      <c r="CWD35" s="64">
        <f t="shared" ref="CWD35:CWD59" si="1752">SUM(CVX35:CWC35)</f>
        <v>490</v>
      </c>
      <c r="CWE35" s="68">
        <f t="shared" ref="CWE35:CWE59" si="1753">CWD35/$CWE$5</f>
        <v>81.666666666666671</v>
      </c>
      <c r="CWF35" s="48">
        <v>468</v>
      </c>
      <c r="CWG35" s="49">
        <v>0</v>
      </c>
      <c r="CWH35" s="49">
        <v>723</v>
      </c>
      <c r="CWI35" s="49">
        <v>0</v>
      </c>
      <c r="CWJ35" s="49">
        <v>0</v>
      </c>
      <c r="CWK35" s="49"/>
      <c r="CWL35" s="64">
        <f t="shared" ref="CWL35:CWL59" si="1754">SUM(CWF35:CWK35)</f>
        <v>1191</v>
      </c>
      <c r="CWM35" s="68">
        <f t="shared" ref="CWM35:CWM59" si="1755">CWL35/$CWM$5</f>
        <v>198.5</v>
      </c>
      <c r="CWN35" s="48">
        <v>0</v>
      </c>
      <c r="CWO35" s="49">
        <v>0</v>
      </c>
      <c r="CWP35" s="49">
        <v>578</v>
      </c>
      <c r="CWQ35" s="49">
        <v>0</v>
      </c>
      <c r="CWR35" s="49">
        <v>0</v>
      </c>
      <c r="CWS35" s="49">
        <v>0</v>
      </c>
      <c r="CWT35" s="64">
        <f t="shared" ref="CWT35:CWT59" si="1756">SUM(CWN35:CWS35)</f>
        <v>578</v>
      </c>
      <c r="CWU35" s="68">
        <f t="shared" ref="CWU35:CWU59" si="1757">CWT35/$CWU$5</f>
        <v>96.333333333333329</v>
      </c>
      <c r="CWV35" s="48">
        <v>677</v>
      </c>
      <c r="CWW35" s="49">
        <v>0</v>
      </c>
      <c r="CWX35" s="49">
        <v>0</v>
      </c>
      <c r="CWY35" s="49"/>
      <c r="CWZ35" s="49">
        <v>0</v>
      </c>
      <c r="CXA35" s="49">
        <v>0</v>
      </c>
      <c r="CXB35" s="127">
        <f t="shared" ref="CXB35:CXB59" si="1758">SUM(CWV35:CXA35)</f>
        <v>677</v>
      </c>
      <c r="CXC35" s="43">
        <f t="shared" ref="CXC35:CXC59" si="1759">CXB35/$CXC$5</f>
        <v>112.83333333333333</v>
      </c>
      <c r="CXD35" s="48">
        <v>0</v>
      </c>
      <c r="CXE35" s="49">
        <v>0</v>
      </c>
      <c r="CXF35" s="49">
        <v>640</v>
      </c>
      <c r="CXG35" s="49">
        <v>0</v>
      </c>
      <c r="CXH35" s="49">
        <v>0</v>
      </c>
      <c r="CXI35" s="49">
        <v>0</v>
      </c>
      <c r="CXJ35" s="127">
        <f t="shared" ref="CXJ35:CXJ59" si="1760">SUM(CXD35:CXI35)</f>
        <v>640</v>
      </c>
      <c r="CXK35" s="43">
        <f t="shared" ref="CXK35:CXK59" si="1761">CXJ35/$CXK$5</f>
        <v>106.66666666666667</v>
      </c>
      <c r="CXL35" s="48">
        <v>0</v>
      </c>
      <c r="CXM35" s="49">
        <v>110</v>
      </c>
      <c r="CXN35" s="49">
        <v>592</v>
      </c>
      <c r="CXO35" s="49">
        <v>0</v>
      </c>
      <c r="CXP35" s="49">
        <v>0</v>
      </c>
      <c r="CXQ35" s="49">
        <v>0</v>
      </c>
      <c r="CXR35" s="127">
        <f t="shared" ref="CXR35:CXR59" si="1762">SUM(CXL35:CXQ35)</f>
        <v>702</v>
      </c>
      <c r="CXS35" s="43">
        <f t="shared" ref="CXS35:CXS59" si="1763">CXR35/$CXS$5</f>
        <v>117</v>
      </c>
      <c r="CXT35" s="48">
        <v>0</v>
      </c>
      <c r="CXU35" s="49">
        <v>0</v>
      </c>
      <c r="CXV35" s="49">
        <v>0</v>
      </c>
      <c r="CXW35" s="49"/>
      <c r="CXX35" s="49">
        <v>0</v>
      </c>
      <c r="CXY35" s="49">
        <v>0</v>
      </c>
      <c r="CXZ35" s="127">
        <f t="shared" ref="CXZ35:CXZ59" si="1764">SUM(CXT35:CXY35)</f>
        <v>0</v>
      </c>
      <c r="CYA35" s="43">
        <f t="shared" ref="CYA35:CYA59" si="1765">CXZ35/$CYA$5</f>
        <v>0</v>
      </c>
      <c r="CYB35" s="48">
        <v>330</v>
      </c>
      <c r="CYC35" s="49">
        <v>0</v>
      </c>
      <c r="CYD35" s="49">
        <v>0</v>
      </c>
      <c r="CYE35" s="49">
        <v>0</v>
      </c>
      <c r="CYF35" s="49">
        <v>288</v>
      </c>
      <c r="CYG35" s="49">
        <v>0</v>
      </c>
      <c r="CYH35" s="127">
        <f t="shared" ref="CYH35:CYH59" si="1766">SUM(CYB35:CYG35)</f>
        <v>618</v>
      </c>
      <c r="CYI35" s="43">
        <f t="shared" ref="CYI35:CYI59" si="1767">CYH35/$CYI$5</f>
        <v>103</v>
      </c>
      <c r="CYJ35" s="48"/>
      <c r="CYK35" s="49">
        <v>289</v>
      </c>
      <c r="CYL35" s="49">
        <v>0</v>
      </c>
      <c r="CYM35" s="49">
        <v>0</v>
      </c>
      <c r="CYN35" s="49">
        <v>0</v>
      </c>
      <c r="CYO35" s="49">
        <v>220</v>
      </c>
      <c r="CYP35" s="127">
        <f t="shared" ref="CYP35:CYP59" si="1768">SUM(CYJ35:CYO35)</f>
        <v>509</v>
      </c>
      <c r="CYQ35" s="43">
        <f t="shared" ref="CYQ35:CYQ59" si="1769">CYP35/$CYQ$5</f>
        <v>84.833333333333329</v>
      </c>
      <c r="CYR35" s="48">
        <v>0</v>
      </c>
      <c r="CYS35" s="49">
        <v>0</v>
      </c>
      <c r="CYT35" s="49">
        <v>0</v>
      </c>
      <c r="CYU35" s="49">
        <v>0</v>
      </c>
      <c r="CYV35" s="49">
        <v>0</v>
      </c>
      <c r="CYW35" s="49">
        <v>626</v>
      </c>
      <c r="CYX35" s="127">
        <f t="shared" ref="CYX35:CYX59" si="1770">SUM(CYR35:CYW35)</f>
        <v>626</v>
      </c>
      <c r="CYY35" s="43">
        <f t="shared" ref="CYY35:CYY59" si="1771">CYX35/$CYY$5</f>
        <v>104.33333333333333</v>
      </c>
      <c r="CYZ35" s="48"/>
      <c r="CZA35" s="49">
        <v>220</v>
      </c>
      <c r="CZB35" s="49">
        <v>0</v>
      </c>
      <c r="CZC35" s="49">
        <v>640</v>
      </c>
      <c r="CZD35" s="49">
        <v>0</v>
      </c>
      <c r="CZE35" s="49">
        <v>0</v>
      </c>
      <c r="CZF35" s="127">
        <f t="shared" ref="CZF35:CZF59" si="1772">SUM(CYZ35:CZE35)</f>
        <v>860</v>
      </c>
      <c r="CZG35" s="43">
        <f t="shared" ref="CZG35:CZG59" si="1773">CZF35/$CZG$5</f>
        <v>172</v>
      </c>
      <c r="CZH35" s="48">
        <v>0</v>
      </c>
      <c r="CZI35" s="49">
        <v>0</v>
      </c>
      <c r="CZJ35" s="49">
        <v>0</v>
      </c>
      <c r="CZK35" s="49">
        <v>1061</v>
      </c>
      <c r="CZL35" s="49">
        <v>0</v>
      </c>
      <c r="CZM35" s="49">
        <v>0</v>
      </c>
      <c r="CZN35" s="127">
        <f t="shared" ref="CZN35:CZN59" si="1774">SUM(CZH35:CZM35)</f>
        <v>1061</v>
      </c>
      <c r="CZO35" s="43">
        <f t="shared" ref="CZO35:CZO59" si="1775">CZN35/$CZO$5</f>
        <v>176.83333333333334</v>
      </c>
      <c r="CZP35" s="48"/>
      <c r="CZQ35" s="49">
        <v>619</v>
      </c>
      <c r="CZR35" s="49"/>
      <c r="CZS35" s="49">
        <v>1049</v>
      </c>
      <c r="CZT35" s="49">
        <v>0</v>
      </c>
      <c r="CZU35" s="49">
        <v>0</v>
      </c>
      <c r="CZV35" s="127">
        <f t="shared" ref="CZV35:CZV59" si="1776">SUM(CZP35:CZU35)</f>
        <v>1668</v>
      </c>
      <c r="CZW35" s="43">
        <f t="shared" ref="CZW35:CZW59" si="1777">CZV35/$CZW$5</f>
        <v>278</v>
      </c>
      <c r="CZX35" s="48">
        <v>0</v>
      </c>
      <c r="CZY35" s="49">
        <v>0</v>
      </c>
      <c r="CZZ35" s="49">
        <v>0</v>
      </c>
      <c r="DAA35" s="49">
        <v>0</v>
      </c>
      <c r="DAB35" s="49">
        <v>149</v>
      </c>
      <c r="DAC35" s="49">
        <v>0</v>
      </c>
      <c r="DAD35" s="64">
        <f t="shared" ref="DAD35:DAD59" si="1778">SUM(CZX35:DAC35)</f>
        <v>149</v>
      </c>
      <c r="DAE35" s="68">
        <f t="shared" ref="DAE35:DAE59" si="1779">DAD35/$DAE$5</f>
        <v>24.833333333333332</v>
      </c>
      <c r="DAF35" s="48">
        <v>0</v>
      </c>
      <c r="DAG35" s="49">
        <v>0</v>
      </c>
      <c r="DAH35" s="49">
        <v>0</v>
      </c>
      <c r="DAI35" s="49">
        <v>660</v>
      </c>
      <c r="DAJ35" s="49">
        <v>0</v>
      </c>
      <c r="DAK35" s="49">
        <v>0</v>
      </c>
      <c r="DAL35" s="64">
        <f t="shared" ref="DAL35:DAL59" si="1780">SUM(DAF35:DAK35)</f>
        <v>660</v>
      </c>
      <c r="DAM35" s="68">
        <f t="shared" ref="DAM35:DAM59" si="1781">DAL35/$DAM$5</f>
        <v>110</v>
      </c>
      <c r="DAN35" s="48">
        <v>0</v>
      </c>
      <c r="DAO35" s="49">
        <v>0</v>
      </c>
      <c r="DAP35" s="49">
        <v>0</v>
      </c>
      <c r="DAQ35" s="49">
        <v>0</v>
      </c>
      <c r="DAR35" s="49">
        <v>0</v>
      </c>
      <c r="DAS35" s="49">
        <v>0</v>
      </c>
      <c r="DAT35" s="64">
        <f t="shared" ref="DAT35:DAT59" si="1782">SUM(DAN35:DAS35)</f>
        <v>0</v>
      </c>
      <c r="DAU35" s="68">
        <f t="shared" ref="DAU35:DAU59" si="1783">DAT35/$DAU$5</f>
        <v>0</v>
      </c>
      <c r="DAV35" s="48">
        <v>330</v>
      </c>
      <c r="DAW35" s="49">
        <v>423</v>
      </c>
      <c r="DAX35" s="49">
        <v>105</v>
      </c>
      <c r="DAY35" s="49">
        <v>0</v>
      </c>
      <c r="DAZ35" s="49">
        <v>340</v>
      </c>
      <c r="DBA35" s="49">
        <v>0</v>
      </c>
      <c r="DBB35" s="64">
        <f t="shared" ref="DBB35:DBB59" si="1784">SUM(DAV35:DBA35)</f>
        <v>1198</v>
      </c>
      <c r="DBC35" s="68">
        <f t="shared" ref="DBC35:DBC59" si="1785">DBB35/$DBC$5</f>
        <v>199.66666666666666</v>
      </c>
      <c r="DBD35" s="48"/>
      <c r="DBE35" s="49">
        <v>0</v>
      </c>
      <c r="DBF35" s="49">
        <v>0</v>
      </c>
      <c r="DBG35" s="49">
        <v>0</v>
      </c>
      <c r="DBH35" s="49">
        <v>0</v>
      </c>
      <c r="DBI35" s="49">
        <v>0</v>
      </c>
      <c r="DBJ35" s="64">
        <f t="shared" ref="DBJ35:DBJ59" si="1786">SUM(DBD35:DBI35)</f>
        <v>0</v>
      </c>
      <c r="DBK35" s="68">
        <f t="shared" ref="DBK35:DBK59" si="1787">DBJ35/$DBK$5</f>
        <v>0</v>
      </c>
      <c r="DBL35" s="48">
        <v>1318</v>
      </c>
      <c r="DBM35" s="49">
        <v>0</v>
      </c>
      <c r="DBN35" s="49">
        <v>0</v>
      </c>
      <c r="DBO35" s="49">
        <v>404</v>
      </c>
      <c r="DBP35" s="49">
        <v>220</v>
      </c>
      <c r="DBQ35" s="49">
        <v>0</v>
      </c>
      <c r="DBR35" s="64">
        <f t="shared" ref="DBR35:DBR59" si="1788">SUM(DBL35:DBQ35)</f>
        <v>1942</v>
      </c>
      <c r="DBS35" s="68">
        <f t="shared" ref="DBS35:DBS59" si="1789">DBR35/$DBS$5</f>
        <v>323.66666666666669</v>
      </c>
      <c r="DBT35" s="48">
        <v>0</v>
      </c>
      <c r="DBU35" s="49"/>
      <c r="DBV35" s="49"/>
      <c r="DBW35" s="49">
        <v>330</v>
      </c>
      <c r="DBX35" s="49"/>
      <c r="DBY35" s="49"/>
      <c r="DBZ35" s="64">
        <f t="shared" ref="DBZ35:DBZ59" si="1790">SUM(DBT35:DBY35)</f>
        <v>330</v>
      </c>
      <c r="DCA35" s="68">
        <f t="shared" ref="DCA35:DCA59" si="1791">DBZ35/$DCA$5</f>
        <v>66</v>
      </c>
      <c r="DCB35" s="48">
        <v>704</v>
      </c>
      <c r="DCC35" s="49"/>
      <c r="DCD35" s="49">
        <v>788</v>
      </c>
      <c r="DCE35" s="49">
        <v>0</v>
      </c>
      <c r="DCF35" s="49">
        <v>390</v>
      </c>
      <c r="DCG35" s="49">
        <v>0</v>
      </c>
      <c r="DCH35" s="64">
        <f t="shared" ref="DCH35:DCH59" si="1792">SUM(DCB35:DCG35)</f>
        <v>1882</v>
      </c>
      <c r="DCI35" s="68">
        <f t="shared" ref="DCI35:DCI59" si="1793">DCH35/$DCI$5</f>
        <v>313.66666666666669</v>
      </c>
      <c r="DCJ35" s="48"/>
      <c r="DCK35" s="49">
        <v>0</v>
      </c>
      <c r="DCL35" s="49">
        <v>0</v>
      </c>
      <c r="DCM35" s="49">
        <v>710</v>
      </c>
      <c r="DCN35" s="49">
        <v>0</v>
      </c>
      <c r="DCO35" s="49">
        <v>0</v>
      </c>
      <c r="DCP35" s="64">
        <f t="shared" ref="DCP35:DCP59" si="1794">SUM(DCJ35:DCO35)</f>
        <v>710</v>
      </c>
      <c r="DCQ35" s="68">
        <f t="shared" ref="DCQ35:DCQ59" si="1795">DCP35/$DCQ$5</f>
        <v>118.33333333333333</v>
      </c>
      <c r="DCR35" s="48">
        <v>0</v>
      </c>
      <c r="DCS35" s="49">
        <v>109</v>
      </c>
      <c r="DCT35" s="49">
        <v>0</v>
      </c>
      <c r="DCU35" s="49">
        <v>0</v>
      </c>
      <c r="DCV35" s="49">
        <v>657</v>
      </c>
      <c r="DCW35" s="49">
        <v>0</v>
      </c>
      <c r="DCX35" s="64">
        <f t="shared" ref="DCX35:DCX59" si="1796">SUM(DCR35:DCW35)</f>
        <v>766</v>
      </c>
      <c r="DCY35" s="68">
        <f t="shared" ref="DCY35:DCY59" si="1797">DCX35/$DCY$5</f>
        <v>127.66666666666667</v>
      </c>
      <c r="DCZ35" s="48">
        <v>0</v>
      </c>
      <c r="DDA35" s="49">
        <v>1003</v>
      </c>
      <c r="DDB35" s="49">
        <v>0</v>
      </c>
      <c r="DDC35" s="49">
        <v>0</v>
      </c>
      <c r="DDD35" s="49">
        <v>663</v>
      </c>
      <c r="DDE35" s="49">
        <v>0</v>
      </c>
      <c r="DDF35" s="64">
        <f t="shared" ref="DDF35:DDF59" si="1798">SUM(DCZ35:DDE35)</f>
        <v>1666</v>
      </c>
      <c r="DDG35" s="68">
        <f t="shared" ref="DDG35:DDG59" si="1799">DDF35/$DDG$5</f>
        <v>277.66666666666669</v>
      </c>
      <c r="DDH35" s="48">
        <v>0</v>
      </c>
      <c r="DDI35" s="49"/>
      <c r="DDJ35" s="49">
        <v>0</v>
      </c>
      <c r="DDK35" s="49">
        <v>0</v>
      </c>
      <c r="DDL35" s="49">
        <v>0</v>
      </c>
      <c r="DDM35" s="49">
        <v>639</v>
      </c>
      <c r="DDN35" s="127">
        <f t="shared" ref="DDN35:DDN59" si="1800">SUM(DDH35:DDM35)</f>
        <v>639</v>
      </c>
      <c r="DDO35" s="43">
        <f t="shared" ref="DDO35:DDO59" si="1801">DDN35/$DDO$5</f>
        <v>106.5</v>
      </c>
      <c r="DDP35" s="48">
        <v>0</v>
      </c>
      <c r="DDQ35" s="49">
        <v>0</v>
      </c>
      <c r="DDR35" s="49">
        <v>0</v>
      </c>
      <c r="DDS35" s="49">
        <v>0</v>
      </c>
      <c r="DDT35" s="49">
        <v>0</v>
      </c>
      <c r="DDU35" s="49"/>
      <c r="DDV35" s="127">
        <f t="shared" ref="DDV35:DDV59" si="1802">SUM(DDP35:DDU35)</f>
        <v>0</v>
      </c>
      <c r="DDW35" s="43">
        <f t="shared" ref="DDW35:DDW59" si="1803">DDV35/$DDW$5</f>
        <v>0</v>
      </c>
      <c r="DDX35" s="48">
        <v>0</v>
      </c>
      <c r="DDY35" s="49">
        <v>0</v>
      </c>
      <c r="DDZ35" s="49">
        <v>0</v>
      </c>
      <c r="DEA35" s="49">
        <v>0</v>
      </c>
      <c r="DEB35" s="49">
        <v>0</v>
      </c>
      <c r="DEC35" s="49">
        <v>0</v>
      </c>
      <c r="DED35" s="127">
        <f t="shared" ref="DED35:DED59" si="1804">SUM(DDX35:DEC35)</f>
        <v>0</v>
      </c>
      <c r="DEE35" s="43">
        <f t="shared" ref="DEE35:DEE59" si="1805">DED35/$DEE$5</f>
        <v>0</v>
      </c>
      <c r="DEF35" s="48">
        <v>0</v>
      </c>
      <c r="DEG35" s="49"/>
      <c r="DEH35" s="49">
        <v>0</v>
      </c>
      <c r="DEI35" s="49">
        <v>0</v>
      </c>
      <c r="DEJ35" s="49">
        <v>0</v>
      </c>
      <c r="DEK35" s="49">
        <f>SUMIF(SUMPK!$B:$B,$B:$B,SUMPK!$O:$O)</f>
        <v>0</v>
      </c>
      <c r="DEL35" s="127">
        <f t="shared" ref="DEL35:DEL59" si="1806">SUM(DEF35:DEK35)</f>
        <v>0</v>
      </c>
      <c r="DEM35" s="43">
        <f t="shared" ref="DEM35:DEM59" si="1807">DEL35/$DEM$5</f>
        <v>0</v>
      </c>
      <c r="DEN35" s="48">
        <v>0</v>
      </c>
      <c r="DEO35" s="49">
        <v>0</v>
      </c>
      <c r="DEP35" s="49">
        <v>0</v>
      </c>
      <c r="DEQ35" s="49">
        <v>0</v>
      </c>
      <c r="DER35" s="49"/>
      <c r="DES35" s="49"/>
      <c r="DET35" s="127">
        <f t="shared" ref="DET35:DET59" si="1808">SUM(DEN35:DES35)</f>
        <v>0</v>
      </c>
      <c r="DEU35" s="43">
        <f t="shared" ref="DEU35:DEU59" si="1809">DET35/$DEU$5</f>
        <v>0</v>
      </c>
      <c r="DEV35" s="48">
        <v>0</v>
      </c>
      <c r="DEW35" s="49">
        <v>0</v>
      </c>
      <c r="DEX35" s="49">
        <v>550</v>
      </c>
      <c r="DEY35" s="49">
        <v>0</v>
      </c>
      <c r="DEZ35" s="49">
        <v>0</v>
      </c>
      <c r="DFA35" s="49">
        <v>0</v>
      </c>
      <c r="DFB35" s="127">
        <f t="shared" ref="DFB35:DFB59" si="1810">SUM(DEV35:DFA35)</f>
        <v>550</v>
      </c>
      <c r="DFC35" s="43">
        <f t="shared" ref="DFC35:DFC59" si="1811">DFB35/$DFC$5</f>
        <v>91.666666666666671</v>
      </c>
      <c r="DFD35" s="48"/>
      <c r="DFE35" s="49">
        <v>0</v>
      </c>
      <c r="DFF35" s="49">
        <v>0</v>
      </c>
      <c r="DFG35" s="49">
        <v>0</v>
      </c>
      <c r="DFH35" s="49">
        <v>0</v>
      </c>
      <c r="DFI35" s="49">
        <v>749</v>
      </c>
      <c r="DFJ35" s="127">
        <f t="shared" ref="DFJ35:DFJ59" si="1812">SUM(DFD35:DFI35)</f>
        <v>749</v>
      </c>
      <c r="DFK35" s="43">
        <f t="shared" ref="DFK35:DFK59" si="1813">DFJ35/$DFK$5</f>
        <v>124.83333333333333</v>
      </c>
      <c r="DFL35" s="63">
        <v>220</v>
      </c>
      <c r="DFM35" s="64">
        <v>0</v>
      </c>
      <c r="DFN35" s="64">
        <v>0</v>
      </c>
      <c r="DFO35" s="64">
        <v>0</v>
      </c>
      <c r="DFP35" s="64">
        <v>0</v>
      </c>
      <c r="DFQ35" s="64">
        <v>0</v>
      </c>
      <c r="DFR35" s="64">
        <f t="shared" ref="DFR35:DFR59" si="1814">SUM(DFL35:DFQ35)</f>
        <v>220</v>
      </c>
      <c r="DFS35" s="68">
        <f t="shared" ref="DFS35:DFS59" si="1815">DFR35/$DFS$5</f>
        <v>36.666666666666664</v>
      </c>
      <c r="DFT35" s="48">
        <v>0</v>
      </c>
      <c r="DFU35" s="49">
        <v>0</v>
      </c>
      <c r="DFV35" s="49">
        <v>440</v>
      </c>
      <c r="DFW35" s="49">
        <v>0</v>
      </c>
      <c r="DFX35" s="49"/>
      <c r="DFY35" s="49">
        <v>0</v>
      </c>
      <c r="DFZ35" s="127">
        <f t="shared" ref="DFZ35:DFZ59" si="1816">SUM(DFT35:DFY35)</f>
        <v>440</v>
      </c>
      <c r="DGA35" s="43">
        <f t="shared" ref="DGA35:DGA59" si="1817">DFZ35/$DGA$5</f>
        <v>73.333333333333329</v>
      </c>
      <c r="DGB35" s="48">
        <v>0</v>
      </c>
      <c r="DGC35" s="49">
        <v>0</v>
      </c>
      <c r="DGD35" s="49">
        <v>388</v>
      </c>
      <c r="DGE35" s="49">
        <v>0</v>
      </c>
      <c r="DGF35" s="49">
        <v>0</v>
      </c>
      <c r="DGG35" s="49">
        <v>0</v>
      </c>
      <c r="DGH35" s="127">
        <f t="shared" ref="DGH35:DGH59" si="1818">SUM(DGB35:DGG35)</f>
        <v>388</v>
      </c>
      <c r="DGI35" s="43">
        <f t="shared" ref="DGI35:DGI59" si="1819">DGH35/$DGI$5</f>
        <v>64.666666666666671</v>
      </c>
      <c r="DGJ35" s="48">
        <v>0</v>
      </c>
      <c r="DGK35" s="49">
        <v>0</v>
      </c>
      <c r="DGL35" s="49">
        <v>0</v>
      </c>
      <c r="DGM35" s="49">
        <v>0</v>
      </c>
      <c r="DGN35" s="49">
        <v>331</v>
      </c>
      <c r="DGO35" s="49">
        <v>289</v>
      </c>
      <c r="DGP35" s="64">
        <f t="shared" ref="DGP35:DGP59" si="1820">SUM(DGJ35:DGO35)</f>
        <v>620</v>
      </c>
      <c r="DGQ35" s="68">
        <f t="shared" ref="DGQ35:DGQ59" si="1821">DGP35/$DGQ$5</f>
        <v>103.33333333333333</v>
      </c>
      <c r="DGR35" s="48">
        <v>0</v>
      </c>
      <c r="DGS35" s="49">
        <v>0</v>
      </c>
      <c r="DGT35" s="49">
        <v>0</v>
      </c>
      <c r="DGU35" s="49">
        <v>683</v>
      </c>
      <c r="DGV35" s="49">
        <v>110</v>
      </c>
      <c r="DGW35" s="49">
        <v>0</v>
      </c>
      <c r="DGX35" s="64">
        <f t="shared" ref="DGX35:DGX59" si="1822">SUM(DGR35:DGW35)</f>
        <v>793</v>
      </c>
      <c r="DGY35" s="68">
        <f t="shared" ref="DGY35:DGY59" si="1823">DGX35/$DGY$5</f>
        <v>132.16666666666666</v>
      </c>
      <c r="DGZ35" s="48">
        <v>1064</v>
      </c>
      <c r="DHA35" s="49">
        <v>0</v>
      </c>
      <c r="DHB35" s="49">
        <v>0</v>
      </c>
      <c r="DHC35" s="49"/>
      <c r="DHD35" s="49">
        <v>0</v>
      </c>
      <c r="DHE35" s="49">
        <v>0</v>
      </c>
      <c r="DHF35" s="64">
        <f t="shared" ref="DHF35:DHF59" si="1824">SUM(DGZ35:DHE35)</f>
        <v>1064</v>
      </c>
      <c r="DHG35" s="68">
        <f t="shared" ref="DHG35:DHG59" si="1825">DHF35/$DHG$5</f>
        <v>177.33333333333334</v>
      </c>
      <c r="DHH35" s="63">
        <v>0</v>
      </c>
      <c r="DHI35" s="64">
        <v>0</v>
      </c>
      <c r="DHJ35" s="64">
        <v>0</v>
      </c>
      <c r="DHK35" s="64">
        <v>330</v>
      </c>
      <c r="DHL35" s="64">
        <v>660</v>
      </c>
      <c r="DHM35" s="64">
        <v>0</v>
      </c>
      <c r="DHN35" s="64">
        <f t="shared" ref="DHN35:DHN59" si="1826">SUM(DHH35:DHM35)</f>
        <v>990</v>
      </c>
      <c r="DHO35" s="68">
        <f t="shared" ref="DHO35:DHO59" si="1827">DHN35/$DHO$5</f>
        <v>165</v>
      </c>
      <c r="DHP35" s="48">
        <v>220</v>
      </c>
      <c r="DHQ35" s="49">
        <v>837</v>
      </c>
      <c r="DHR35" s="49"/>
      <c r="DHS35" s="49">
        <v>0</v>
      </c>
      <c r="DHT35" s="49">
        <v>0</v>
      </c>
      <c r="DHU35" s="49">
        <v>112</v>
      </c>
      <c r="DHV35" s="64">
        <f t="shared" ref="DHV35:DHV59" si="1828">SUM(DHP35:DHU35)</f>
        <v>1169</v>
      </c>
      <c r="DHW35" s="68">
        <f t="shared" ref="DHW35:DHW59" si="1829">DHV35/$DHW$5</f>
        <v>194.83333333333334</v>
      </c>
      <c r="DHX35" s="48">
        <v>0</v>
      </c>
      <c r="DHY35" s="49">
        <v>220</v>
      </c>
      <c r="DHZ35" s="49"/>
      <c r="DIA35" s="49">
        <v>0</v>
      </c>
      <c r="DIB35" s="49">
        <v>0</v>
      </c>
      <c r="DIC35" s="49">
        <v>0</v>
      </c>
      <c r="DID35" s="64">
        <f t="shared" ref="DID35:DID59" si="1830">SUM(DHX35:DIC35)</f>
        <v>220</v>
      </c>
      <c r="DIE35" s="68">
        <f t="shared" ref="DIE35:DIE59" si="1831">DID35/$DIE$5</f>
        <v>36.666666666666664</v>
      </c>
      <c r="DIF35" s="48">
        <v>0</v>
      </c>
      <c r="DIG35" s="49">
        <v>0</v>
      </c>
      <c r="DIH35" s="49"/>
      <c r="DII35" s="49">
        <v>330</v>
      </c>
      <c r="DIJ35" s="49">
        <v>0</v>
      </c>
      <c r="DIK35" s="49"/>
      <c r="DIL35" s="64">
        <f t="shared" ref="DIL35:DIL59" si="1832">SUM(DIF35:DIK35)</f>
        <v>330</v>
      </c>
      <c r="DIM35" s="68">
        <f t="shared" ref="DIM35:DIM59" si="1833">DIL35/$DIM$5</f>
        <v>55</v>
      </c>
      <c r="DIN35" s="48">
        <v>0</v>
      </c>
      <c r="DIO35" s="49"/>
      <c r="DIP35" s="49">
        <v>0</v>
      </c>
      <c r="DIQ35" s="49"/>
      <c r="DIR35" s="49">
        <v>0</v>
      </c>
      <c r="DIS35" s="49">
        <v>109</v>
      </c>
      <c r="DIT35" s="64">
        <f t="shared" ref="DIT35:DIT59" si="1834">SUM(DIN35:DIS35)</f>
        <v>109</v>
      </c>
      <c r="DIU35" s="68">
        <f t="shared" ref="DIU35:DIU59" si="1835">DIT35/$DIU$5</f>
        <v>18.166666666666668</v>
      </c>
      <c r="DIV35" s="48">
        <v>0</v>
      </c>
      <c r="DIW35" s="49">
        <v>0</v>
      </c>
      <c r="DIX35" s="49">
        <v>0</v>
      </c>
      <c r="DIY35" s="49">
        <v>0</v>
      </c>
      <c r="DIZ35" s="49">
        <v>0</v>
      </c>
      <c r="DJA35" s="49">
        <v>0</v>
      </c>
      <c r="DJB35" s="64">
        <f t="shared" ref="DJB35:DJB59" si="1836">SUM(DIV35:DJA35)</f>
        <v>0</v>
      </c>
      <c r="DJC35" s="68">
        <f t="shared" ref="DJC35:DJC59" si="1837">DJB35/$DJC$5</f>
        <v>0</v>
      </c>
      <c r="DJD35" s="48">
        <v>0</v>
      </c>
      <c r="DJE35" s="49">
        <v>0</v>
      </c>
      <c r="DJF35" s="49">
        <v>321</v>
      </c>
      <c r="DJG35" s="49">
        <v>0</v>
      </c>
      <c r="DJH35" s="49">
        <v>0</v>
      </c>
      <c r="DJI35" s="49"/>
      <c r="DJJ35" s="64">
        <f t="shared" ref="DJJ35:DJJ59" si="1838">SUM(DJD35:DJI35)</f>
        <v>321</v>
      </c>
      <c r="DJK35" s="68">
        <f t="shared" ref="DJK35:DJK59" si="1839">DJJ35/$DJK$5</f>
        <v>53.5</v>
      </c>
      <c r="DJL35" s="48">
        <v>1058</v>
      </c>
      <c r="DJM35" s="49">
        <v>0</v>
      </c>
      <c r="DJN35" s="49">
        <v>0</v>
      </c>
      <c r="DJO35" s="49">
        <v>0</v>
      </c>
      <c r="DJP35" s="49">
        <v>0</v>
      </c>
      <c r="DJQ35" s="49">
        <v>0</v>
      </c>
      <c r="DJR35" s="64">
        <f t="shared" ref="DJR35:DJR59" si="1840">SUM(DJL35:DJQ35)</f>
        <v>1058</v>
      </c>
      <c r="DJS35" s="68">
        <f t="shared" ref="DJS35:DJS59" si="1841">DJR35/$DJS$5</f>
        <v>176.33333333333334</v>
      </c>
      <c r="DJT35" s="48"/>
      <c r="DJU35" s="49">
        <v>353</v>
      </c>
      <c r="DJV35" s="49">
        <v>0</v>
      </c>
      <c r="DJW35" s="49">
        <v>0</v>
      </c>
      <c r="DJX35" s="49">
        <v>296</v>
      </c>
      <c r="DJY35" s="49">
        <v>0</v>
      </c>
      <c r="DJZ35" s="64">
        <f t="shared" ref="DJZ35:DJZ59" si="1842">SUM(DJT35:DJY35)</f>
        <v>649</v>
      </c>
      <c r="DKA35" s="68">
        <f t="shared" ref="DKA35:DKA59" si="1843">DJZ35/$DKA$5</f>
        <v>108.16666666666667</v>
      </c>
      <c r="DKB35" s="48">
        <v>0</v>
      </c>
      <c r="DKC35" s="49">
        <v>0</v>
      </c>
      <c r="DKD35" s="49">
        <v>0</v>
      </c>
      <c r="DKE35" s="49">
        <v>104</v>
      </c>
      <c r="DKF35" s="49">
        <v>0</v>
      </c>
      <c r="DKG35" s="49">
        <v>0</v>
      </c>
      <c r="DKH35" s="64">
        <f t="shared" ref="DKH35:DKH59" si="1844">SUM(DKB35:DKG35)</f>
        <v>104</v>
      </c>
      <c r="DKI35" s="68">
        <f t="shared" ref="DKI35:DKI59" si="1845">DKH35/$DKI$5</f>
        <v>17.333333333333332</v>
      </c>
      <c r="DKJ35" s="48">
        <v>440</v>
      </c>
      <c r="DKK35" s="49">
        <v>40</v>
      </c>
      <c r="DKL35" s="49">
        <v>0</v>
      </c>
      <c r="DKM35" s="49"/>
      <c r="DKN35" s="49">
        <v>0</v>
      </c>
      <c r="DKO35" s="49"/>
      <c r="DKP35" s="64">
        <f t="shared" ref="DKP35:DKP59" si="1846">SUM(DKJ35:DKO35)</f>
        <v>480</v>
      </c>
      <c r="DKQ35" s="68">
        <f t="shared" ref="DKQ35:DKQ59" si="1847">DKP35/$DKQ$5</f>
        <v>80</v>
      </c>
      <c r="DKR35" s="48">
        <v>0</v>
      </c>
      <c r="DKS35" s="49">
        <v>660</v>
      </c>
      <c r="DKT35" s="49">
        <v>0</v>
      </c>
      <c r="DKU35" s="49">
        <v>0</v>
      </c>
      <c r="DKV35" s="49">
        <v>0</v>
      </c>
      <c r="DKW35" s="49">
        <v>0</v>
      </c>
      <c r="DKX35" s="64">
        <f t="shared" ref="DKX35:DKX59" si="1848">SUM(DKR35:DKW35)</f>
        <v>660</v>
      </c>
      <c r="DKY35" s="68">
        <f t="shared" ref="DKY35:DKY59" si="1849">DKX35/$DKY$5</f>
        <v>110</v>
      </c>
      <c r="DKZ35" s="48"/>
      <c r="DLA35" s="49">
        <v>1014</v>
      </c>
      <c r="DLB35" s="49">
        <v>0</v>
      </c>
      <c r="DLC35" s="49">
        <v>0</v>
      </c>
      <c r="DLD35" s="49"/>
      <c r="DLE35" s="49">
        <v>0</v>
      </c>
      <c r="DLF35" s="64">
        <f t="shared" ref="DLF35:DLF59" si="1850">SUM(DKZ35:DLE35)</f>
        <v>1014</v>
      </c>
      <c r="DLG35" s="68">
        <f t="shared" ref="DLG35:DLG59" si="1851">DLF35/$DLG$5</f>
        <v>169</v>
      </c>
      <c r="DLH35" s="48"/>
      <c r="DLI35" s="49">
        <v>0</v>
      </c>
      <c r="DLJ35" s="49">
        <v>0</v>
      </c>
      <c r="DLK35" s="49">
        <v>708</v>
      </c>
      <c r="DLL35" s="49"/>
      <c r="DLM35" s="49">
        <v>0</v>
      </c>
      <c r="DLN35" s="64">
        <f t="shared" ref="DLN35:DLN59" si="1852">SUM(DLH35:DLM35)</f>
        <v>708</v>
      </c>
      <c r="DLO35" s="68">
        <f t="shared" ref="DLO35:DLO59" si="1853">DLN35/$DLO$5</f>
        <v>118</v>
      </c>
      <c r="DLP35" s="48">
        <v>380</v>
      </c>
      <c r="DLQ35" s="49"/>
      <c r="DLR35" s="49">
        <v>0</v>
      </c>
      <c r="DLS35" s="49">
        <v>0</v>
      </c>
      <c r="DLT35" s="49">
        <v>0</v>
      </c>
      <c r="DLU35" s="49">
        <v>0</v>
      </c>
      <c r="DLV35" s="64">
        <f t="shared" ref="DLV35:DLV59" si="1854">SUM(DLP35:DLU35)</f>
        <v>380</v>
      </c>
      <c r="DLW35" s="68">
        <f t="shared" ref="DLW35:DLW59" si="1855">DLV35/$DLW$5</f>
        <v>63.333333333333336</v>
      </c>
      <c r="DLX35" s="48">
        <v>0</v>
      </c>
      <c r="DLY35" s="49">
        <v>0</v>
      </c>
      <c r="DLZ35" s="49"/>
      <c r="DMA35" s="49">
        <v>0</v>
      </c>
      <c r="DMB35" s="49"/>
      <c r="DMC35" s="49">
        <v>0</v>
      </c>
      <c r="DMD35" s="64">
        <f t="shared" ref="DMD35:DMD59" si="1856">SUM(DLX35:DMC35)</f>
        <v>0</v>
      </c>
      <c r="DME35" s="68">
        <f t="shared" ref="DME35:DME59" si="1857">DMD35/$DME$5</f>
        <v>0</v>
      </c>
      <c r="DMF35" s="48"/>
      <c r="DMG35" s="49">
        <v>0</v>
      </c>
      <c r="DMH35" s="49"/>
      <c r="DMI35" s="49">
        <v>0</v>
      </c>
      <c r="DMJ35" s="49">
        <v>100</v>
      </c>
      <c r="DMK35" s="49">
        <v>0</v>
      </c>
      <c r="DML35" s="64">
        <f t="shared" ref="DML35:DML59" si="1858">SUM(DMF35:DMK35)</f>
        <v>100</v>
      </c>
      <c r="DMM35" s="68">
        <f t="shared" ref="DMM35:DMM59" si="1859">DML35/$DMM$5</f>
        <v>16.666666666666668</v>
      </c>
      <c r="DMN35" s="48">
        <v>0</v>
      </c>
      <c r="DMO35" s="49"/>
      <c r="DMP35" s="49">
        <v>0</v>
      </c>
      <c r="DMQ35" s="49">
        <v>0</v>
      </c>
      <c r="DMR35" s="49">
        <v>0</v>
      </c>
      <c r="DMS35" s="49">
        <v>0</v>
      </c>
      <c r="DMT35" s="64">
        <f t="shared" ref="DMT35:DMT59" si="1860">SUM(DMN35:DMS35)</f>
        <v>0</v>
      </c>
      <c r="DMU35" s="68">
        <f t="shared" ref="DMU35:DMU59" si="1861">DMT35/$DMU$5</f>
        <v>0</v>
      </c>
      <c r="DMV35" s="48">
        <v>0</v>
      </c>
      <c r="DMW35" s="49">
        <v>0</v>
      </c>
      <c r="DMX35" s="49">
        <v>0</v>
      </c>
      <c r="DMY35" s="49">
        <v>709</v>
      </c>
      <c r="DMZ35" s="49">
        <v>0</v>
      </c>
      <c r="DNA35" s="49">
        <v>0</v>
      </c>
      <c r="DNB35" s="64">
        <f t="shared" ref="DNB35:DNB59" si="1862">SUM(DMV35:DNA35)</f>
        <v>709</v>
      </c>
      <c r="DNC35" s="68">
        <f t="shared" ref="DNC35:DNC59" si="1863">DNB35/$DNC$5</f>
        <v>118.16666666666667</v>
      </c>
      <c r="DND35" s="48">
        <v>0</v>
      </c>
      <c r="DNE35" s="49">
        <v>0</v>
      </c>
      <c r="DNF35" s="49">
        <v>0</v>
      </c>
      <c r="DNG35" s="49"/>
      <c r="DNH35" s="49">
        <v>0</v>
      </c>
      <c r="DNI35" s="49">
        <v>619</v>
      </c>
      <c r="DNJ35" s="64">
        <f t="shared" ref="DNJ35:DNJ59" si="1864">SUM(DND35:DNI35)</f>
        <v>619</v>
      </c>
      <c r="DNK35" s="68">
        <f t="shared" ref="DNK35:DNK59" si="1865">DNJ35/$DNK$5</f>
        <v>103.16666666666667</v>
      </c>
      <c r="DNL35" s="48"/>
      <c r="DNM35" s="49"/>
      <c r="DNN35" s="49">
        <v>546</v>
      </c>
      <c r="DNO35" s="49">
        <v>0</v>
      </c>
      <c r="DNP35" s="49">
        <v>0</v>
      </c>
      <c r="DNQ35" s="49">
        <v>319</v>
      </c>
      <c r="DNR35" s="64">
        <f t="shared" ref="DNR35:DNR59" si="1866">SUM(DNL35:DNQ35)</f>
        <v>865</v>
      </c>
      <c r="DNS35" s="68">
        <f t="shared" ref="DNS35:DNS59" si="1867">DNR35/$DNS$5</f>
        <v>144.16666666666666</v>
      </c>
      <c r="DNT35" s="48">
        <v>0</v>
      </c>
      <c r="DNU35" s="49">
        <v>0</v>
      </c>
      <c r="DNV35" s="49">
        <v>0</v>
      </c>
      <c r="DNW35" s="49">
        <v>330</v>
      </c>
      <c r="DNX35" s="49">
        <v>870</v>
      </c>
      <c r="DNY35" s="49">
        <v>0</v>
      </c>
      <c r="DNZ35" s="64">
        <f t="shared" ref="DNZ35:DNZ59" si="1868">SUM(DNT35:DNY35)</f>
        <v>1200</v>
      </c>
      <c r="DOA35" s="68">
        <f t="shared" ref="DOA35:DOA59" si="1869">DNZ35/$DNZ$5</f>
        <v>200</v>
      </c>
      <c r="DOB35" s="48">
        <v>0</v>
      </c>
      <c r="DOC35" s="49"/>
      <c r="DOD35" s="49">
        <v>0</v>
      </c>
      <c r="DOE35" s="49">
        <v>0</v>
      </c>
      <c r="DOF35" s="49">
        <v>800</v>
      </c>
      <c r="DOG35" s="49">
        <v>0</v>
      </c>
      <c r="DOH35" s="64">
        <f t="shared" ref="DOH35:DOH59" si="1870">SUM(DOB35:DOG35)</f>
        <v>800</v>
      </c>
      <c r="DOI35" s="68">
        <f t="shared" ref="DOI35:DOI59" si="1871">DOH35/$DOI$5</f>
        <v>133.33333333333334</v>
      </c>
      <c r="DOJ35" s="48">
        <v>581</v>
      </c>
      <c r="DOK35" s="49">
        <v>0</v>
      </c>
      <c r="DOL35" s="49">
        <v>0</v>
      </c>
      <c r="DOM35" s="49"/>
      <c r="DON35" s="49">
        <v>0</v>
      </c>
      <c r="DOO35" s="49">
        <v>1002</v>
      </c>
      <c r="DOP35" s="64">
        <f t="shared" ref="DOP35:DOP59" si="1872">SUM(DOJ35:DOO35)</f>
        <v>1583</v>
      </c>
      <c r="DOQ35" s="68">
        <f t="shared" ref="DOQ35:DOQ59" si="1873">DOP35/$DOQ$5</f>
        <v>263.83333333333331</v>
      </c>
      <c r="DOR35" s="48">
        <v>0</v>
      </c>
      <c r="DOS35" s="49">
        <v>0</v>
      </c>
      <c r="DOT35" s="49">
        <v>0</v>
      </c>
      <c r="DOU35" s="49">
        <v>0</v>
      </c>
      <c r="DOV35" s="49"/>
      <c r="DOW35" s="49">
        <v>0</v>
      </c>
      <c r="DOX35" s="64">
        <f t="shared" ref="DOX35:DOX59" si="1874">SUM(DOR35:DOW35)</f>
        <v>0</v>
      </c>
      <c r="DOY35" s="68">
        <f t="shared" ref="DOY35:DOY59" si="1875">DOX35/$DOY$5</f>
        <v>0</v>
      </c>
      <c r="DOZ35" s="48"/>
      <c r="DPA35" s="49">
        <v>680</v>
      </c>
      <c r="DPB35" s="49"/>
      <c r="DPC35" s="49">
        <v>0</v>
      </c>
      <c r="DPD35" s="49"/>
      <c r="DPE35" s="49">
        <v>0</v>
      </c>
      <c r="DPF35" s="64">
        <f t="shared" ref="DPF35:DPF59" si="1876">SUM(DOZ35:DPE35)</f>
        <v>680</v>
      </c>
      <c r="DPG35" s="68">
        <f t="shared" ref="DPG35:DPG59" si="1877">DPF35/$DPG$5</f>
        <v>113.33333333333333</v>
      </c>
      <c r="DPH35" s="48">
        <v>0</v>
      </c>
      <c r="DPI35" s="49">
        <v>180</v>
      </c>
      <c r="DPJ35" s="49">
        <v>0</v>
      </c>
      <c r="DPK35" s="49">
        <v>0</v>
      </c>
      <c r="DPL35" s="49"/>
      <c r="DPM35" s="49"/>
      <c r="DPN35" s="64">
        <f t="shared" ref="DPN35:DPN59" si="1878">SUM(DPH35:DPM35)</f>
        <v>180</v>
      </c>
      <c r="DPO35" s="68">
        <f t="shared" ref="DPO35:DPO59" si="1879">DPN35/$DPO$5</f>
        <v>30</v>
      </c>
      <c r="DPP35" s="48">
        <v>0</v>
      </c>
      <c r="DPQ35" s="49">
        <v>217</v>
      </c>
      <c r="DPR35" s="49">
        <v>0</v>
      </c>
      <c r="DPS35" s="49"/>
      <c r="DPT35" s="49"/>
      <c r="DPU35" s="49">
        <v>0</v>
      </c>
      <c r="DPV35" s="491">
        <f t="shared" ref="DPV35:DPV59" si="1880">SUM(DPP35:DPU35)</f>
        <v>217</v>
      </c>
      <c r="DPW35" s="492">
        <f t="shared" ref="DPW35:DPW59" si="1881">DPV35/$DPW$5</f>
        <v>36.166666666666664</v>
      </c>
      <c r="DPX35" s="48">
        <v>550</v>
      </c>
      <c r="DPY35" s="49">
        <v>1449</v>
      </c>
      <c r="DPZ35" s="49">
        <v>486</v>
      </c>
      <c r="DQA35" s="49">
        <v>0</v>
      </c>
      <c r="DQB35" s="49">
        <v>0</v>
      </c>
      <c r="DQC35" s="49">
        <v>0</v>
      </c>
      <c r="DQD35" s="491">
        <f t="shared" ref="DQD35:DQD59" si="1882">SUM(DPX35:DQC35)</f>
        <v>2485</v>
      </c>
      <c r="DQE35" s="492">
        <f t="shared" ref="DQE35:DQE59" si="1883">DQD35/$DQE$5</f>
        <v>414.16666666666669</v>
      </c>
      <c r="DQF35" s="48">
        <v>0</v>
      </c>
      <c r="DQG35" s="49">
        <v>0</v>
      </c>
      <c r="DQH35" s="49">
        <v>0</v>
      </c>
      <c r="DQI35" s="49"/>
      <c r="DQJ35" s="49">
        <v>0</v>
      </c>
      <c r="DQK35" s="49">
        <v>0</v>
      </c>
      <c r="DQL35" s="489">
        <f t="shared" ref="DQL35:DQL59" si="1884">SUM(DQF35:DQK35)</f>
        <v>0</v>
      </c>
      <c r="DQM35" s="492">
        <f t="shared" ref="DQM35:DQM59" si="1885">DQL35/$DQM$5</f>
        <v>0</v>
      </c>
      <c r="DQN35" s="48">
        <v>0</v>
      </c>
      <c r="DQO35" s="49">
        <v>0</v>
      </c>
      <c r="DQP35" s="49">
        <v>330</v>
      </c>
      <c r="DQQ35" s="49">
        <v>0</v>
      </c>
      <c r="DQR35" s="49">
        <v>0</v>
      </c>
      <c r="DQS35" s="49">
        <v>120</v>
      </c>
      <c r="DQT35" s="64">
        <f t="shared" ref="DQT35:DQT59" si="1886">SUM(DQN35:DQS35)</f>
        <v>450</v>
      </c>
      <c r="DQU35" s="68">
        <f t="shared" ref="DQU35:DQU59" si="1887">DQT35/$DQU$5</f>
        <v>75</v>
      </c>
      <c r="DQV35" s="48">
        <v>0</v>
      </c>
      <c r="DQW35" s="49">
        <v>0</v>
      </c>
      <c r="DQX35" s="49"/>
      <c r="DQY35" s="49">
        <v>879</v>
      </c>
      <c r="DQZ35" s="49">
        <v>0</v>
      </c>
      <c r="DRA35" s="49">
        <v>0</v>
      </c>
      <c r="DRB35" s="491">
        <f t="shared" ref="DRB35:DRB59" si="1888">SUM(DQV35:DRA35)</f>
        <v>879</v>
      </c>
      <c r="DRC35" s="492">
        <f t="shared" ref="DRC35:DRC59" si="1889">DRB35/$DRC$5</f>
        <v>146.5</v>
      </c>
      <c r="DRD35" s="48">
        <v>0</v>
      </c>
      <c r="DRE35" s="49">
        <v>0</v>
      </c>
      <c r="DRF35" s="49">
        <v>0</v>
      </c>
      <c r="DRG35" s="49">
        <v>0</v>
      </c>
      <c r="DRH35" s="49">
        <v>0</v>
      </c>
      <c r="DRI35" s="49"/>
      <c r="DRJ35" s="491">
        <f t="shared" ref="DRJ35:DRJ59" si="1890">SUM(DRD35:DRI35)</f>
        <v>0</v>
      </c>
      <c r="DRK35" s="492">
        <f t="shared" ref="DRK35:DRK59" si="1891">DRJ35/$DRK$5</f>
        <v>0</v>
      </c>
      <c r="DRL35" s="48">
        <v>450</v>
      </c>
      <c r="DRM35" s="49">
        <v>0</v>
      </c>
      <c r="DRN35" s="49">
        <v>0</v>
      </c>
      <c r="DRO35" s="49">
        <v>0</v>
      </c>
      <c r="DRP35" s="49">
        <v>330</v>
      </c>
      <c r="DRQ35" s="49"/>
      <c r="DRR35" s="64">
        <f t="shared" si="1587"/>
        <v>780</v>
      </c>
      <c r="DRS35" s="68">
        <f t="shared" si="1588"/>
        <v>130</v>
      </c>
      <c r="DRT35" s="48">
        <v>0</v>
      </c>
      <c r="DRU35" s="49">
        <v>0</v>
      </c>
      <c r="DRV35" s="49">
        <v>0</v>
      </c>
      <c r="DRW35" s="49">
        <v>0</v>
      </c>
      <c r="DRX35" s="49">
        <v>0</v>
      </c>
      <c r="DRY35" s="49"/>
      <c r="DRZ35" s="491">
        <f t="shared" si="1589"/>
        <v>0</v>
      </c>
      <c r="DSA35" s="68">
        <f t="shared" si="1590"/>
        <v>0</v>
      </c>
      <c r="DSB35" s="82">
        <v>334</v>
      </c>
      <c r="DSC35" s="83">
        <v>0</v>
      </c>
      <c r="DSD35" s="83">
        <v>0</v>
      </c>
      <c r="DSE35" s="83"/>
      <c r="DSF35" s="83">
        <v>0</v>
      </c>
      <c r="DSG35" s="83">
        <v>0</v>
      </c>
      <c r="DSH35" s="64">
        <f t="shared" si="1591"/>
        <v>334</v>
      </c>
      <c r="DSI35" s="68">
        <f t="shared" si="1592"/>
        <v>55.666666666666664</v>
      </c>
      <c r="DSJ35" s="48">
        <v>1914</v>
      </c>
      <c r="DSK35" s="49">
        <v>0</v>
      </c>
      <c r="DSL35" s="49">
        <v>0</v>
      </c>
      <c r="DSM35" s="49">
        <v>95</v>
      </c>
      <c r="DSN35" s="49">
        <v>0</v>
      </c>
      <c r="DSO35" s="49">
        <v>0</v>
      </c>
      <c r="DSP35" s="64">
        <f t="shared" si="1593"/>
        <v>2009</v>
      </c>
      <c r="DSQ35" s="68">
        <f t="shared" si="1594"/>
        <v>334.83333333333331</v>
      </c>
      <c r="DSR35" s="48"/>
      <c r="DSS35" s="49">
        <v>0</v>
      </c>
      <c r="DST35" s="49">
        <v>2</v>
      </c>
      <c r="DSU35" s="49">
        <v>0</v>
      </c>
      <c r="DSV35" s="49">
        <v>946</v>
      </c>
      <c r="DSW35" s="49">
        <v>1554</v>
      </c>
      <c r="DSX35" s="64">
        <f t="shared" si="1595"/>
        <v>2502</v>
      </c>
      <c r="DSY35" s="68">
        <f t="shared" si="1596"/>
        <v>417</v>
      </c>
      <c r="DSZ35" s="48">
        <v>0</v>
      </c>
      <c r="DTA35" s="49">
        <v>0</v>
      </c>
      <c r="DTB35" s="49">
        <v>904</v>
      </c>
      <c r="DTC35" s="49">
        <v>1081</v>
      </c>
      <c r="DTD35" s="49"/>
      <c r="DTE35" s="49">
        <v>0</v>
      </c>
      <c r="DTF35" s="64">
        <f t="shared" si="1597"/>
        <v>1985</v>
      </c>
      <c r="DTG35" s="68">
        <f t="shared" si="1598"/>
        <v>330.83333333333331</v>
      </c>
      <c r="DTH35" s="48">
        <v>0</v>
      </c>
      <c r="DTI35" s="49">
        <v>133</v>
      </c>
      <c r="DTJ35" s="49">
        <v>330</v>
      </c>
      <c r="DTK35" s="49">
        <v>334</v>
      </c>
      <c r="DTL35" s="49">
        <v>0</v>
      </c>
      <c r="DTM35" s="49">
        <v>0</v>
      </c>
      <c r="DTN35" s="64">
        <f t="shared" si="1599"/>
        <v>797</v>
      </c>
      <c r="DTO35" s="68">
        <f t="shared" si="1600"/>
        <v>132.83333333333334</v>
      </c>
      <c r="DTP35" s="48">
        <v>1210</v>
      </c>
      <c r="DTQ35" s="49">
        <v>814</v>
      </c>
      <c r="DTR35" s="49"/>
      <c r="DTS35" s="49">
        <v>0</v>
      </c>
      <c r="DTT35" s="49">
        <v>445</v>
      </c>
      <c r="DTU35" s="49">
        <v>0</v>
      </c>
      <c r="DTV35" s="64">
        <f t="shared" si="1601"/>
        <v>2469</v>
      </c>
      <c r="DTW35" s="68">
        <f t="shared" si="1602"/>
        <v>411.5</v>
      </c>
      <c r="DTX35" s="48">
        <v>0</v>
      </c>
      <c r="DTY35" s="49">
        <v>1263</v>
      </c>
      <c r="DTZ35" s="49">
        <v>0</v>
      </c>
      <c r="DUA35" s="49">
        <v>0</v>
      </c>
      <c r="DUB35" s="49">
        <v>0</v>
      </c>
      <c r="DUC35" s="49">
        <v>0</v>
      </c>
      <c r="DUD35" s="64">
        <f t="shared" si="1603"/>
        <v>1263</v>
      </c>
      <c r="DUE35" s="68">
        <f t="shared" si="1604"/>
        <v>210.5</v>
      </c>
      <c r="DUF35" s="48">
        <v>1297</v>
      </c>
      <c r="DUG35" s="49">
        <v>986</v>
      </c>
      <c r="DUH35" s="49"/>
      <c r="DUI35" s="49">
        <v>0</v>
      </c>
      <c r="DUJ35" s="49">
        <v>0</v>
      </c>
      <c r="DUK35" s="49">
        <v>0</v>
      </c>
      <c r="DUL35" s="64">
        <f t="shared" si="1605"/>
        <v>2283</v>
      </c>
      <c r="DUM35" s="68">
        <f t="shared" si="1606"/>
        <v>380.5</v>
      </c>
      <c r="DUN35" s="48"/>
      <c r="DUO35" s="49">
        <v>0</v>
      </c>
      <c r="DUP35" s="49">
        <v>2688</v>
      </c>
      <c r="DUQ35" s="49">
        <v>0</v>
      </c>
      <c r="DUR35" s="49"/>
      <c r="DUS35" s="49">
        <v>0</v>
      </c>
      <c r="DUT35" s="64">
        <f t="shared" si="1607"/>
        <v>2688</v>
      </c>
      <c r="DUU35" s="68">
        <f t="shared" si="1608"/>
        <v>448</v>
      </c>
      <c r="DUV35" s="48">
        <v>549</v>
      </c>
      <c r="DUW35" s="49">
        <v>487</v>
      </c>
      <c r="DUX35" s="49">
        <v>378</v>
      </c>
      <c r="DUY35" s="49">
        <v>567</v>
      </c>
      <c r="DUZ35" s="49">
        <v>1459</v>
      </c>
      <c r="DVA35" s="49">
        <v>0</v>
      </c>
      <c r="DVB35" s="64">
        <f t="shared" si="1609"/>
        <v>3440</v>
      </c>
      <c r="DVC35" s="68">
        <f t="shared" si="1610"/>
        <v>573.33333333333337</v>
      </c>
      <c r="DVD35" s="48"/>
      <c r="DVE35" s="49">
        <v>0</v>
      </c>
      <c r="DVF35" s="49">
        <v>770</v>
      </c>
      <c r="DVG35" s="49">
        <v>1804</v>
      </c>
      <c r="DVH35" s="49">
        <v>0</v>
      </c>
      <c r="DVI35" s="49">
        <v>0</v>
      </c>
      <c r="DVJ35" s="64">
        <f t="shared" si="1611"/>
        <v>2574</v>
      </c>
      <c r="DVK35" s="68">
        <f t="shared" si="1612"/>
        <v>429</v>
      </c>
      <c r="DVL35" s="48">
        <v>0</v>
      </c>
      <c r="DVM35" s="49">
        <v>0</v>
      </c>
      <c r="DVN35" s="49">
        <v>1578</v>
      </c>
      <c r="DVO35" s="49">
        <v>0</v>
      </c>
      <c r="DVP35" s="49">
        <v>0</v>
      </c>
      <c r="DVQ35" s="49">
        <v>0</v>
      </c>
      <c r="DVR35" s="64">
        <f t="shared" si="1613"/>
        <v>1578</v>
      </c>
      <c r="DVS35" s="68">
        <f t="shared" si="1614"/>
        <v>263</v>
      </c>
      <c r="DVT35" s="48"/>
      <c r="DVU35" s="49">
        <v>0</v>
      </c>
      <c r="DVV35" s="49">
        <v>2691</v>
      </c>
      <c r="DVW35" s="49">
        <v>0</v>
      </c>
      <c r="DVX35" s="49">
        <v>230</v>
      </c>
      <c r="DVY35" s="49">
        <v>0</v>
      </c>
      <c r="DVZ35" s="64">
        <f t="shared" si="1615"/>
        <v>2921</v>
      </c>
      <c r="DWA35" s="68">
        <f t="shared" si="1616"/>
        <v>486.83333333333331</v>
      </c>
      <c r="DWB35" s="48">
        <v>0</v>
      </c>
      <c r="DWC35" s="49">
        <v>550</v>
      </c>
      <c r="DWD35" s="49">
        <v>1971</v>
      </c>
      <c r="DWE35" s="49">
        <v>0</v>
      </c>
      <c r="DWF35" s="49">
        <v>0</v>
      </c>
      <c r="DWG35" s="49"/>
      <c r="DWH35" s="64">
        <f t="shared" si="1617"/>
        <v>2521</v>
      </c>
      <c r="DWI35" s="68">
        <f t="shared" si="1618"/>
        <v>420.16666666666669</v>
      </c>
      <c r="DWJ35" s="48">
        <v>0</v>
      </c>
      <c r="DWK35" s="49">
        <v>0</v>
      </c>
      <c r="DWL35" s="49">
        <v>0</v>
      </c>
      <c r="DWM35" s="49">
        <v>1505</v>
      </c>
      <c r="DWN35" s="49">
        <v>0</v>
      </c>
      <c r="DWO35" s="49">
        <v>0</v>
      </c>
      <c r="DWP35" s="64">
        <f t="shared" si="1619"/>
        <v>1505</v>
      </c>
      <c r="DWQ35" s="68">
        <f t="shared" si="1620"/>
        <v>250.83333333333334</v>
      </c>
      <c r="DWR35" s="48">
        <v>0</v>
      </c>
      <c r="DWS35" s="49"/>
      <c r="DWT35" s="49">
        <v>0</v>
      </c>
      <c r="DWU35" s="49">
        <v>2090</v>
      </c>
      <c r="DWV35" s="49">
        <v>1593</v>
      </c>
      <c r="DWW35" s="49">
        <v>0</v>
      </c>
      <c r="DWX35" s="64">
        <f t="shared" si="1621"/>
        <v>3683</v>
      </c>
      <c r="DWY35" s="68">
        <f t="shared" si="1622"/>
        <v>613.83333333333337</v>
      </c>
      <c r="DWZ35" s="48">
        <v>0</v>
      </c>
      <c r="DXA35" s="49">
        <v>0</v>
      </c>
      <c r="DXB35" s="49">
        <v>1320</v>
      </c>
      <c r="DXC35" s="49">
        <v>0</v>
      </c>
      <c r="DXD35" s="49"/>
      <c r="DXE35" s="49"/>
      <c r="DXF35" s="64">
        <f t="shared" si="1623"/>
        <v>1320</v>
      </c>
      <c r="DXG35" s="68">
        <f t="shared" si="1624"/>
        <v>220</v>
      </c>
      <c r="DXH35" s="48">
        <v>0</v>
      </c>
      <c r="DXI35" s="49">
        <v>0</v>
      </c>
      <c r="DXJ35" s="49">
        <v>0</v>
      </c>
      <c r="DXK35" s="49">
        <v>0</v>
      </c>
      <c r="DXL35" s="49">
        <v>0</v>
      </c>
      <c r="DXM35" s="49">
        <v>1272</v>
      </c>
      <c r="DXN35" s="64">
        <f t="shared" si="1625"/>
        <v>1272</v>
      </c>
      <c r="DXO35" s="68">
        <f t="shared" si="1626"/>
        <v>212</v>
      </c>
      <c r="DXP35" s="48">
        <v>0</v>
      </c>
      <c r="DXQ35" s="49">
        <v>0</v>
      </c>
      <c r="DXR35" s="49">
        <v>478</v>
      </c>
      <c r="DXS35" s="49">
        <v>0</v>
      </c>
      <c r="DXT35" s="49">
        <v>0</v>
      </c>
      <c r="DXU35" s="49">
        <v>0</v>
      </c>
      <c r="DXV35" s="64">
        <f t="shared" si="1320"/>
        <v>478</v>
      </c>
      <c r="DXW35" s="68">
        <f t="shared" si="1321"/>
        <v>79.666666666666671</v>
      </c>
      <c r="DXX35" s="48">
        <v>518</v>
      </c>
      <c r="DXY35" s="49">
        <v>0</v>
      </c>
      <c r="DXZ35" s="49">
        <v>0</v>
      </c>
      <c r="DYA35" s="49">
        <v>0</v>
      </c>
      <c r="DYB35" s="49">
        <v>2042</v>
      </c>
      <c r="DYC35" s="49">
        <v>80</v>
      </c>
      <c r="DYD35" s="64">
        <f t="shared" si="1322"/>
        <v>2640</v>
      </c>
      <c r="DYE35" s="68">
        <f t="shared" si="1323"/>
        <v>440</v>
      </c>
      <c r="DYF35" s="48">
        <v>810</v>
      </c>
      <c r="DYG35" s="49">
        <v>0</v>
      </c>
      <c r="DYH35" s="49">
        <v>0</v>
      </c>
      <c r="DYI35" s="49">
        <v>0</v>
      </c>
      <c r="DYJ35" s="49">
        <v>0</v>
      </c>
      <c r="DYK35" s="49"/>
      <c r="DYL35" s="64">
        <f t="shared" si="1324"/>
        <v>810</v>
      </c>
      <c r="DYM35" s="68">
        <f t="shared" si="1325"/>
        <v>135</v>
      </c>
      <c r="DYN35" s="48">
        <v>0</v>
      </c>
      <c r="DYO35" s="49">
        <v>1862</v>
      </c>
      <c r="DYP35" s="49">
        <v>0</v>
      </c>
      <c r="DYQ35" s="49">
        <v>720</v>
      </c>
      <c r="DYR35" s="49"/>
      <c r="DYS35" s="49"/>
      <c r="DYT35" s="64">
        <f t="shared" si="1326"/>
        <v>2582</v>
      </c>
      <c r="DYU35" s="68">
        <f t="shared" si="1327"/>
        <v>430.33333333333331</v>
      </c>
      <c r="DYV35" s="48">
        <v>0</v>
      </c>
      <c r="DYW35" s="49">
        <v>1613</v>
      </c>
      <c r="DYX35" s="49">
        <v>0</v>
      </c>
      <c r="DYY35" s="49">
        <v>0</v>
      </c>
      <c r="DYZ35" s="49">
        <v>0</v>
      </c>
      <c r="DZA35" s="49">
        <v>401</v>
      </c>
      <c r="DZB35" s="64">
        <f t="shared" si="1328"/>
        <v>2014</v>
      </c>
      <c r="DZC35" s="68">
        <f t="shared" si="1329"/>
        <v>335.66666666666669</v>
      </c>
      <c r="DZD35" s="48">
        <v>0</v>
      </c>
      <c r="DZE35" s="49">
        <v>821</v>
      </c>
      <c r="DZF35" s="49">
        <v>0</v>
      </c>
      <c r="DZG35" s="49">
        <v>0</v>
      </c>
      <c r="DZH35" s="49">
        <v>0</v>
      </c>
      <c r="DZI35" s="49">
        <v>0</v>
      </c>
      <c r="DZJ35" s="64">
        <f t="shared" si="1330"/>
        <v>821</v>
      </c>
      <c r="DZK35" s="68">
        <f t="shared" si="1331"/>
        <v>136.83333333333334</v>
      </c>
      <c r="DZL35" s="48">
        <v>0</v>
      </c>
      <c r="DZM35" s="49">
        <v>680</v>
      </c>
      <c r="DZN35" s="49"/>
      <c r="DZO35" s="49">
        <v>0</v>
      </c>
      <c r="DZP35" s="49">
        <v>1320</v>
      </c>
      <c r="DZQ35" s="49">
        <v>0</v>
      </c>
      <c r="DZR35" s="64">
        <f t="shared" si="1332"/>
        <v>2000</v>
      </c>
      <c r="DZS35" s="68">
        <f t="shared" si="1333"/>
        <v>333.33333333333331</v>
      </c>
      <c r="DZT35" s="48">
        <v>0</v>
      </c>
      <c r="DZU35" s="49">
        <v>628</v>
      </c>
      <c r="DZV35" s="49"/>
      <c r="DZW35" s="49">
        <v>0</v>
      </c>
      <c r="DZX35" s="49">
        <v>0</v>
      </c>
      <c r="DZY35" s="49">
        <v>0</v>
      </c>
      <c r="DZZ35" s="64">
        <f t="shared" si="1334"/>
        <v>628</v>
      </c>
      <c r="EAA35" s="68">
        <f t="shared" si="1335"/>
        <v>104.66666666666667</v>
      </c>
      <c r="EAB35" s="48"/>
      <c r="EAC35" s="49">
        <v>0</v>
      </c>
      <c r="EAD35" s="49">
        <v>2693</v>
      </c>
      <c r="EAE35" s="49"/>
      <c r="EAF35" s="49">
        <v>554</v>
      </c>
      <c r="EAG35" s="49">
        <v>220</v>
      </c>
      <c r="EAH35" s="64">
        <f t="shared" si="1336"/>
        <v>3467</v>
      </c>
      <c r="EAI35" s="68">
        <f t="shared" si="1337"/>
        <v>577.83333333333337</v>
      </c>
      <c r="EAJ35" s="48">
        <v>546</v>
      </c>
      <c r="EAK35" s="49">
        <v>0</v>
      </c>
      <c r="EAL35" s="49">
        <v>0</v>
      </c>
      <c r="EAM35" s="49">
        <v>0</v>
      </c>
      <c r="EAN35" s="49">
        <v>0</v>
      </c>
      <c r="EAO35" s="49">
        <v>0</v>
      </c>
      <c r="EAP35" s="64">
        <f t="shared" si="1338"/>
        <v>546</v>
      </c>
      <c r="EAQ35" s="68">
        <f t="shared" si="1339"/>
        <v>91</v>
      </c>
      <c r="EAR35" s="48">
        <v>0</v>
      </c>
      <c r="EAS35" s="49">
        <v>1430</v>
      </c>
      <c r="EAT35" s="49">
        <v>0</v>
      </c>
      <c r="EAU35" s="49">
        <v>0</v>
      </c>
      <c r="EAV35" s="49">
        <v>467</v>
      </c>
      <c r="EAW35" s="49">
        <v>0</v>
      </c>
      <c r="EAX35" s="64">
        <f t="shared" si="1340"/>
        <v>1897</v>
      </c>
      <c r="EAY35" s="68">
        <f t="shared" si="1341"/>
        <v>316.16666666666669</v>
      </c>
      <c r="EAZ35" s="48">
        <v>0</v>
      </c>
      <c r="EBA35" s="49"/>
      <c r="EBB35" s="49">
        <v>0</v>
      </c>
      <c r="EBC35" s="49">
        <v>0</v>
      </c>
      <c r="EBD35" s="49">
        <v>0</v>
      </c>
      <c r="EBE35" s="49">
        <v>0</v>
      </c>
      <c r="EBF35" s="64">
        <f t="shared" si="1342"/>
        <v>0</v>
      </c>
      <c r="EBG35" s="68">
        <f t="shared" si="1343"/>
        <v>0</v>
      </c>
      <c r="EBH35" s="48">
        <v>0</v>
      </c>
      <c r="EBI35" s="49">
        <v>0</v>
      </c>
      <c r="EBJ35" s="49">
        <v>0</v>
      </c>
      <c r="EBK35" s="49">
        <v>0</v>
      </c>
      <c r="EBL35" s="49">
        <v>1338</v>
      </c>
      <c r="EBM35" s="49">
        <v>0</v>
      </c>
      <c r="EBN35" s="64">
        <f t="shared" si="1344"/>
        <v>1338</v>
      </c>
      <c r="EBO35" s="68">
        <f t="shared" si="1345"/>
        <v>223</v>
      </c>
      <c r="EBP35" s="48">
        <v>0</v>
      </c>
      <c r="EBQ35" s="49">
        <v>0</v>
      </c>
      <c r="EBR35" s="49"/>
      <c r="EBS35" s="49">
        <v>0</v>
      </c>
      <c r="EBT35" s="49"/>
      <c r="EBU35" s="49"/>
      <c r="EBV35" s="64">
        <f t="shared" si="1346"/>
        <v>0</v>
      </c>
      <c r="EBW35" s="68">
        <f t="shared" si="1347"/>
        <v>0</v>
      </c>
      <c r="EBX35" s="48">
        <v>0</v>
      </c>
      <c r="EBY35" s="49">
        <v>0</v>
      </c>
      <c r="EBZ35" s="49">
        <v>0</v>
      </c>
      <c r="ECA35" s="49">
        <v>1002</v>
      </c>
      <c r="ECB35" s="49">
        <v>317</v>
      </c>
      <c r="ECC35" s="49">
        <v>0</v>
      </c>
      <c r="ECD35" s="64">
        <f t="shared" si="1348"/>
        <v>1319</v>
      </c>
      <c r="ECE35" s="68">
        <f t="shared" si="1349"/>
        <v>219.83333333333334</v>
      </c>
      <c r="ECF35" s="48">
        <v>0</v>
      </c>
      <c r="ECG35" s="49">
        <v>0</v>
      </c>
      <c r="ECH35" s="49">
        <v>0</v>
      </c>
      <c r="ECI35" s="49">
        <v>0</v>
      </c>
      <c r="ECJ35" s="49">
        <v>347</v>
      </c>
      <c r="ECK35" s="49"/>
      <c r="ECL35" s="64">
        <f t="shared" si="1350"/>
        <v>347</v>
      </c>
      <c r="ECM35" s="68">
        <f t="shared" si="1351"/>
        <v>57.833333333333336</v>
      </c>
      <c r="ECN35" s="48">
        <v>412</v>
      </c>
      <c r="ECO35" s="49">
        <v>0</v>
      </c>
      <c r="ECP35" s="49">
        <v>0</v>
      </c>
      <c r="ECQ35" s="49"/>
      <c r="ECR35" s="49">
        <v>0</v>
      </c>
      <c r="ECS35" s="49">
        <v>0</v>
      </c>
      <c r="ECT35" s="64">
        <f t="shared" si="1352"/>
        <v>412</v>
      </c>
      <c r="ECU35" s="68">
        <f t="shared" si="1353"/>
        <v>68.666666666666671</v>
      </c>
      <c r="ECV35" s="48">
        <v>0</v>
      </c>
      <c r="ECW35" s="49">
        <v>0</v>
      </c>
      <c r="ECX35" s="49">
        <v>0</v>
      </c>
      <c r="ECY35" s="49">
        <v>820</v>
      </c>
      <c r="ECZ35" s="49"/>
      <c r="EDA35" s="49"/>
      <c r="EDB35" s="64">
        <f t="shared" si="1354"/>
        <v>820</v>
      </c>
      <c r="EDC35" s="68">
        <f t="shared" si="1355"/>
        <v>136.66666666666666</v>
      </c>
      <c r="EDD35" s="48"/>
      <c r="EDE35" s="49">
        <v>0</v>
      </c>
      <c r="EDF35" s="49">
        <v>0</v>
      </c>
      <c r="EDG35" s="49">
        <v>1320</v>
      </c>
      <c r="EDH35" s="49"/>
      <c r="EDI35" s="49"/>
      <c r="EDJ35" s="64">
        <f t="shared" si="1356"/>
        <v>1320</v>
      </c>
      <c r="EDK35" s="68">
        <f t="shared" si="1357"/>
        <v>220</v>
      </c>
      <c r="EDL35" s="48">
        <v>0</v>
      </c>
      <c r="EDM35" s="49">
        <v>0</v>
      </c>
      <c r="EDN35" s="49"/>
      <c r="EDO35" s="49">
        <v>0</v>
      </c>
      <c r="EDP35" s="49">
        <v>0</v>
      </c>
      <c r="EDQ35" s="49">
        <v>0</v>
      </c>
      <c r="EDR35" s="64">
        <f t="shared" si="1358"/>
        <v>0</v>
      </c>
      <c r="EDS35" s="68">
        <f t="shared" si="1359"/>
        <v>0</v>
      </c>
      <c r="EDT35" s="48">
        <v>729</v>
      </c>
      <c r="EDU35" s="49">
        <v>0</v>
      </c>
      <c r="EDV35" s="49">
        <v>0</v>
      </c>
      <c r="EDW35" s="49">
        <v>0</v>
      </c>
      <c r="EDX35" s="49">
        <v>0</v>
      </c>
      <c r="EDY35" s="49"/>
      <c r="EDZ35" s="64">
        <f t="shared" si="1360"/>
        <v>729</v>
      </c>
      <c r="EEA35" s="68">
        <f t="shared" si="1361"/>
        <v>121.5</v>
      </c>
      <c r="EEB35" s="48">
        <v>0</v>
      </c>
      <c r="EEC35" s="49">
        <v>0</v>
      </c>
      <c r="EED35" s="49">
        <v>1320</v>
      </c>
      <c r="EEE35" s="49">
        <v>0</v>
      </c>
      <c r="EEF35" s="49">
        <v>0</v>
      </c>
      <c r="EEG35" s="49"/>
      <c r="EEH35" s="64">
        <f t="shared" si="1362"/>
        <v>1320</v>
      </c>
      <c r="EEI35" s="68">
        <f t="shared" si="1363"/>
        <v>220</v>
      </c>
      <c r="EEJ35" s="48">
        <v>185</v>
      </c>
      <c r="EEK35" s="49">
        <v>80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64"/>
        <v>265</v>
      </c>
      <c r="EEQ35" s="68">
        <f t="shared" si="1365"/>
        <v>44.166666666666664</v>
      </c>
      <c r="EER35" s="48">
        <v>0</v>
      </c>
      <c r="EES35" s="49">
        <v>0</v>
      </c>
      <c r="EET35" s="49">
        <v>0</v>
      </c>
      <c r="EEU35" s="49">
        <v>0</v>
      </c>
      <c r="EEV35" s="49">
        <v>1356</v>
      </c>
      <c r="EEW35" s="49"/>
      <c r="EEX35" s="64">
        <f t="shared" si="1366"/>
        <v>1356</v>
      </c>
      <c r="EEY35" s="68">
        <f t="shared" si="1367"/>
        <v>226</v>
      </c>
      <c r="EEZ35" s="48">
        <v>0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68"/>
        <v>0</v>
      </c>
      <c r="EFG35" s="68">
        <f t="shared" si="1369"/>
        <v>0</v>
      </c>
      <c r="EFH35" s="48">
        <v>0</v>
      </c>
      <c r="EFI35" s="49">
        <v>0</v>
      </c>
      <c r="EFJ35" s="49">
        <v>2204</v>
      </c>
      <c r="EFK35" s="49">
        <v>0</v>
      </c>
      <c r="EFL35" s="49">
        <v>0</v>
      </c>
      <c r="EFM35" s="49">
        <v>0</v>
      </c>
      <c r="EFN35" s="64">
        <f t="shared" si="1370"/>
        <v>2204</v>
      </c>
      <c r="EFO35" s="68">
        <f t="shared" si="1371"/>
        <v>367.33333333333331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72"/>
        <v>0</v>
      </c>
      <c r="EFW35" s="68">
        <f t="shared" si="1373"/>
        <v>0</v>
      </c>
      <c r="EFX35" s="48">
        <v>0</v>
      </c>
      <c r="EFY35" s="49">
        <v>1171</v>
      </c>
      <c r="EFZ35" s="49"/>
      <c r="EGA35" s="49">
        <v>0</v>
      </c>
      <c r="EGB35" s="49">
        <v>0</v>
      </c>
      <c r="EGC35" s="49">
        <v>0</v>
      </c>
      <c r="EGD35" s="64">
        <f t="shared" si="1374"/>
        <v>1171</v>
      </c>
      <c r="EGE35" s="68">
        <f t="shared" si="1375"/>
        <v>195.16666666666666</v>
      </c>
      <c r="EGF35" s="48">
        <v>0</v>
      </c>
      <c r="EGG35" s="49">
        <v>0</v>
      </c>
      <c r="EGH35" s="49"/>
      <c r="EGI35" s="49">
        <v>0</v>
      </c>
      <c r="EGJ35" s="49">
        <v>0</v>
      </c>
      <c r="EGK35" s="49">
        <v>0</v>
      </c>
      <c r="EGL35" s="64">
        <f t="shared" si="1376"/>
        <v>0</v>
      </c>
      <c r="EGM35" s="68">
        <f t="shared" si="1377"/>
        <v>0</v>
      </c>
      <c r="EGN35" s="48">
        <v>504</v>
      </c>
      <c r="EGO35" s="49">
        <v>0</v>
      </c>
      <c r="EGP35" s="49"/>
      <c r="EGQ35" s="49">
        <v>0</v>
      </c>
      <c r="EGR35" s="49">
        <v>0</v>
      </c>
      <c r="EGS35" s="49">
        <v>0</v>
      </c>
      <c r="EGT35" s="64">
        <f t="shared" si="1378"/>
        <v>504</v>
      </c>
      <c r="EGU35" s="68">
        <f t="shared" si="1379"/>
        <v>84</v>
      </c>
      <c r="EGV35" s="48">
        <v>0</v>
      </c>
      <c r="EGW35" s="49">
        <v>0</v>
      </c>
      <c r="EGX35" s="49">
        <v>0</v>
      </c>
      <c r="EGY35" s="49">
        <v>0</v>
      </c>
      <c r="EGZ35" s="49">
        <v>0</v>
      </c>
      <c r="EHA35" s="49">
        <v>0</v>
      </c>
      <c r="EHB35" s="64">
        <f t="shared" si="1380"/>
        <v>0</v>
      </c>
      <c r="EHC35" s="68">
        <f t="shared" si="1381"/>
        <v>0</v>
      </c>
      <c r="EHD35" s="48">
        <v>0</v>
      </c>
      <c r="EHE35" s="49">
        <v>0</v>
      </c>
      <c r="EHF35" s="49"/>
      <c r="EHG35" s="49">
        <v>0</v>
      </c>
      <c r="EHH35" s="49">
        <v>0</v>
      </c>
      <c r="EHI35" s="49">
        <v>0</v>
      </c>
      <c r="EHJ35" s="64">
        <f t="shared" si="1382"/>
        <v>0</v>
      </c>
      <c r="EHK35" s="68">
        <f t="shared" si="1383"/>
        <v>0</v>
      </c>
      <c r="EHL35" s="48">
        <v>0</v>
      </c>
      <c r="EHM35" s="49">
        <v>0</v>
      </c>
      <c r="EHN35" s="49"/>
      <c r="EHO35" s="49">
        <v>0</v>
      </c>
      <c r="EHP35" s="49"/>
      <c r="EHQ35" s="49">
        <v>0</v>
      </c>
      <c r="EHR35" s="64">
        <f t="shared" si="1384"/>
        <v>0</v>
      </c>
      <c r="EHS35" s="68">
        <f t="shared" si="1385"/>
        <v>0</v>
      </c>
      <c r="EHT35" s="48">
        <v>0</v>
      </c>
      <c r="EHU35" s="49">
        <v>0</v>
      </c>
      <c r="EHV35" s="49"/>
      <c r="EHW35" s="49">
        <v>0</v>
      </c>
      <c r="EHX35" s="49">
        <v>0</v>
      </c>
      <c r="EHY35" s="49">
        <v>0</v>
      </c>
      <c r="EHZ35" s="64">
        <f t="shared" si="1386"/>
        <v>0</v>
      </c>
      <c r="EIA35" s="68">
        <f t="shared" si="1387"/>
        <v>0</v>
      </c>
      <c r="EIB35" s="48">
        <v>0</v>
      </c>
      <c r="EIC35" s="49">
        <v>0</v>
      </c>
      <c r="EID35" s="49">
        <v>0</v>
      </c>
      <c r="EIE35" s="49">
        <v>908</v>
      </c>
      <c r="EIF35" s="49">
        <v>0</v>
      </c>
      <c r="EIG35" s="49">
        <v>0</v>
      </c>
      <c r="EIH35" s="64">
        <f t="shared" si="1388"/>
        <v>908</v>
      </c>
      <c r="EII35" s="68">
        <f t="shared" si="1389"/>
        <v>151.33333333333334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0</v>
      </c>
      <c r="EIP35" s="64">
        <f t="shared" si="1390"/>
        <v>0</v>
      </c>
      <c r="EIQ35" s="68">
        <f t="shared" si="1391"/>
        <v>0</v>
      </c>
      <c r="EIR35" s="48">
        <v>0</v>
      </c>
      <c r="EIS35" s="49">
        <v>0</v>
      </c>
      <c r="EIT35" s="49">
        <v>0</v>
      </c>
      <c r="EIU35" s="49">
        <v>0</v>
      </c>
      <c r="EIV35" s="49">
        <v>0</v>
      </c>
      <c r="EIW35" s="49">
        <v>0</v>
      </c>
      <c r="EIX35" s="64">
        <f t="shared" si="1392"/>
        <v>0</v>
      </c>
      <c r="EIY35" s="68">
        <f t="shared" si="1393"/>
        <v>0</v>
      </c>
      <c r="EIZ35" s="48">
        <v>0</v>
      </c>
      <c r="EJA35" s="49">
        <v>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394"/>
        <v>0</v>
      </c>
      <c r="EJG35" s="68">
        <f t="shared" si="1395"/>
        <v>0</v>
      </c>
      <c r="EJH35" s="48">
        <v>0</v>
      </c>
      <c r="EJI35" s="49">
        <v>0</v>
      </c>
      <c r="EJJ35" s="49"/>
      <c r="EJK35" s="49">
        <v>0</v>
      </c>
      <c r="EJL35" s="49"/>
      <c r="EJM35" s="49"/>
      <c r="EJN35" s="64">
        <f t="shared" si="1396"/>
        <v>0</v>
      </c>
      <c r="EJO35" s="68">
        <f t="shared" si="1397"/>
        <v>0</v>
      </c>
      <c r="EJP35" s="48">
        <v>0</v>
      </c>
      <c r="EJQ35" s="49">
        <v>0</v>
      </c>
      <c r="EJR35" s="49">
        <v>0</v>
      </c>
      <c r="EJS35" s="49">
        <v>0</v>
      </c>
      <c r="EJT35" s="49">
        <v>0</v>
      </c>
      <c r="EJU35" s="49">
        <v>0</v>
      </c>
      <c r="EJV35" s="64">
        <f t="shared" si="1398"/>
        <v>0</v>
      </c>
      <c r="EJW35" s="68">
        <f t="shared" si="1399"/>
        <v>0</v>
      </c>
      <c r="EJX35" s="48">
        <v>0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00"/>
        <v>0</v>
      </c>
      <c r="EKE35" s="68">
        <f t="shared" si="1401"/>
        <v>0</v>
      </c>
      <c r="EKF35" s="48">
        <v>0</v>
      </c>
      <c r="EKG35" s="49">
        <v>0</v>
      </c>
      <c r="EKH35" s="49">
        <v>0</v>
      </c>
      <c r="EKI35" s="49"/>
      <c r="EKJ35" s="49">
        <v>0</v>
      </c>
      <c r="EKK35" s="49">
        <v>0</v>
      </c>
      <c r="EKL35" s="64">
        <f t="shared" si="1402"/>
        <v>0</v>
      </c>
      <c r="EKM35" s="68">
        <f t="shared" si="1403"/>
        <v>0</v>
      </c>
      <c r="EKN35" s="48">
        <v>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04"/>
        <v>0</v>
      </c>
      <c r="EKU35" s="184">
        <f t="shared" si="1405"/>
        <v>0</v>
      </c>
      <c r="EKV35" s="665"/>
      <c r="EKW35" s="195">
        <v>0</v>
      </c>
      <c r="EKX35" s="49">
        <v>0</v>
      </c>
      <c r="EKY35" s="49">
        <v>110</v>
      </c>
      <c r="EKZ35" s="49">
        <v>127</v>
      </c>
      <c r="ELA35" s="49">
        <v>0</v>
      </c>
      <c r="ELB35" s="49">
        <v>0</v>
      </c>
      <c r="ELC35" s="64">
        <f t="shared" si="1406"/>
        <v>237</v>
      </c>
      <c r="ELD35" s="211">
        <f t="shared" si="1407"/>
        <v>39.5</v>
      </c>
      <c r="ELE35" s="195">
        <v>0</v>
      </c>
      <c r="ELF35" s="49">
        <v>721</v>
      </c>
      <c r="ELG35" s="49">
        <v>0</v>
      </c>
      <c r="ELH35" s="49">
        <v>0</v>
      </c>
      <c r="ELI35" s="49">
        <v>0</v>
      </c>
      <c r="ELJ35" s="49">
        <v>0</v>
      </c>
      <c r="ELK35" s="64">
        <f t="shared" si="1408"/>
        <v>721</v>
      </c>
      <c r="ELL35" s="211">
        <f t="shared" si="1409"/>
        <v>120.16666666666667</v>
      </c>
      <c r="ELM35" s="195">
        <v>0</v>
      </c>
      <c r="ELN35" s="49">
        <v>250</v>
      </c>
      <c r="ELO35" s="49">
        <v>0</v>
      </c>
      <c r="ELP35" s="49">
        <v>0</v>
      </c>
      <c r="ELQ35" s="49">
        <v>0</v>
      </c>
      <c r="ELR35" s="49">
        <v>0</v>
      </c>
      <c r="ELS35" s="64">
        <f t="shared" si="1410"/>
        <v>250</v>
      </c>
      <c r="ELT35" s="211">
        <f t="shared" si="1411"/>
        <v>41.666666666666664</v>
      </c>
      <c r="ELU35" s="195">
        <v>298</v>
      </c>
      <c r="ELV35" s="49">
        <v>0</v>
      </c>
      <c r="ELW35" s="49">
        <v>0</v>
      </c>
      <c r="ELX35" s="49">
        <v>0</v>
      </c>
      <c r="ELY35" s="49">
        <v>0</v>
      </c>
      <c r="ELZ35" s="49">
        <v>0</v>
      </c>
      <c r="EMA35" s="64">
        <f t="shared" si="1412"/>
        <v>298</v>
      </c>
      <c r="EMB35" s="211">
        <f t="shared" si="1413"/>
        <v>49.666666666666664</v>
      </c>
      <c r="EMC35" s="195">
        <v>0</v>
      </c>
      <c r="EMD35" s="49">
        <v>300</v>
      </c>
      <c r="EME35" s="49">
        <v>0</v>
      </c>
      <c r="EMF35" s="49">
        <v>596</v>
      </c>
      <c r="EMG35" s="49"/>
      <c r="EMH35" s="49">
        <v>0</v>
      </c>
      <c r="EMI35" s="64">
        <f t="shared" si="1414"/>
        <v>896</v>
      </c>
      <c r="EMJ35" s="211">
        <f t="shared" si="1415"/>
        <v>149.33333333333334</v>
      </c>
      <c r="EMK35" s="195">
        <v>0</v>
      </c>
      <c r="EML35" s="49">
        <v>799</v>
      </c>
      <c r="EMM35" s="49">
        <v>0</v>
      </c>
      <c r="EMN35" s="49">
        <v>0</v>
      </c>
      <c r="EMO35" s="49">
        <v>667</v>
      </c>
      <c r="EMP35" s="49">
        <v>0</v>
      </c>
      <c r="EMQ35" s="64">
        <f t="shared" si="1416"/>
        <v>1466</v>
      </c>
      <c r="EMR35" s="211">
        <f t="shared" si="1417"/>
        <v>244.33333333333334</v>
      </c>
      <c r="EMS35" s="195">
        <v>0</v>
      </c>
      <c r="EMT35" s="49">
        <v>0</v>
      </c>
      <c r="EMU35" s="49">
        <v>0</v>
      </c>
      <c r="EMV35" s="49">
        <v>335</v>
      </c>
      <c r="EMW35" s="49">
        <v>0</v>
      </c>
      <c r="EMX35" s="49">
        <v>0</v>
      </c>
      <c r="EMY35" s="64">
        <f t="shared" si="1418"/>
        <v>335</v>
      </c>
      <c r="EMZ35" s="211">
        <f t="shared" si="1419"/>
        <v>55.833333333333336</v>
      </c>
      <c r="ENA35" s="195">
        <v>0</v>
      </c>
      <c r="ENB35" s="49">
        <v>0</v>
      </c>
      <c r="ENC35" s="49">
        <v>0</v>
      </c>
      <c r="END35" s="49">
        <v>0</v>
      </c>
      <c r="ENE35" s="49">
        <v>0</v>
      </c>
      <c r="ENF35" s="49">
        <v>0</v>
      </c>
      <c r="ENG35" s="64">
        <f t="shared" si="1420"/>
        <v>0</v>
      </c>
      <c r="ENH35" s="211">
        <f t="shared" si="1421"/>
        <v>0</v>
      </c>
      <c r="ENI35" s="195">
        <v>0</v>
      </c>
      <c r="ENJ35" s="49"/>
      <c r="ENK35" s="49">
        <v>0</v>
      </c>
      <c r="ENL35" s="49">
        <v>0</v>
      </c>
      <c r="ENM35" s="49">
        <v>0</v>
      </c>
      <c r="ENN35" s="49">
        <v>0</v>
      </c>
      <c r="ENO35" s="64">
        <f t="shared" si="1422"/>
        <v>0</v>
      </c>
      <c r="ENP35" s="211">
        <f t="shared" si="1423"/>
        <v>0</v>
      </c>
      <c r="ENQ35" s="195">
        <v>0</v>
      </c>
      <c r="ENR35" s="49"/>
      <c r="ENS35" s="49">
        <v>0</v>
      </c>
      <c r="ENT35" s="49">
        <v>0</v>
      </c>
      <c r="ENU35" s="49">
        <v>0</v>
      </c>
      <c r="ENV35" s="49">
        <v>0</v>
      </c>
      <c r="ENW35" s="64">
        <f t="shared" si="1424"/>
        <v>0</v>
      </c>
      <c r="ENX35" s="211">
        <f t="shared" si="1425"/>
        <v>0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26"/>
        <v>0</v>
      </c>
      <c r="EOF35" s="211">
        <f t="shared" si="1427"/>
        <v>0</v>
      </c>
      <c r="EOG35" s="1"/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0</v>
      </c>
      <c r="EON35" s="184">
        <f t="shared" si="1428"/>
        <v>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823</v>
      </c>
      <c r="EOU35" s="64">
        <f t="shared" si="1429"/>
        <v>823</v>
      </c>
      <c r="EOV35" s="211">
        <f t="shared" si="1430"/>
        <v>137.16666666666666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31"/>
        <v>0</v>
      </c>
      <c r="EPD35" s="211">
        <f t="shared" si="1432"/>
        <v>0</v>
      </c>
      <c r="EPE35" s="195">
        <v>0</v>
      </c>
      <c r="EPF35" s="49">
        <v>0</v>
      </c>
      <c r="EPG35" s="49">
        <v>0</v>
      </c>
      <c r="EPH35" s="49">
        <v>0</v>
      </c>
      <c r="EPI35" s="49">
        <v>885</v>
      </c>
      <c r="EPJ35" s="49">
        <v>0</v>
      </c>
      <c r="EPK35" s="64">
        <f t="shared" si="1433"/>
        <v>885</v>
      </c>
      <c r="EPL35" s="211">
        <f t="shared" si="1434"/>
        <v>147.5</v>
      </c>
      <c r="EPM35" s="195">
        <v>0</v>
      </c>
      <c r="EPN35" s="49">
        <v>0</v>
      </c>
      <c r="EPO35" s="49">
        <v>0</v>
      </c>
      <c r="EPP35" s="49">
        <v>0</v>
      </c>
      <c r="EPQ35" s="49">
        <v>0</v>
      </c>
      <c r="EPR35" s="49">
        <v>0</v>
      </c>
      <c r="EPS35" s="64">
        <f t="shared" si="1435"/>
        <v>0</v>
      </c>
      <c r="EPT35" s="211">
        <f t="shared" si="1436"/>
        <v>0</v>
      </c>
      <c r="EPU35" s="195">
        <v>0</v>
      </c>
      <c r="EPV35" s="49">
        <v>1007</v>
      </c>
      <c r="EPW35" s="49">
        <v>1070</v>
      </c>
      <c r="EPX35" s="49">
        <v>0</v>
      </c>
      <c r="EPY35" s="49">
        <f>SUMIF(SUMPK!$B:$B,$B:$B,SUMPK!$O:$O)</f>
        <v>0</v>
      </c>
      <c r="EPZ35" s="49">
        <v>656</v>
      </c>
      <c r="EQA35" s="64">
        <f t="shared" si="1437"/>
        <v>2733</v>
      </c>
      <c r="EQB35" s="211">
        <f t="shared" si="1438"/>
        <v>455.5</v>
      </c>
      <c r="EQC35" s="195">
        <v>0</v>
      </c>
      <c r="EQD35" s="49">
        <v>0</v>
      </c>
      <c r="EQE35" s="49">
        <v>0</v>
      </c>
      <c r="EQF35" s="49">
        <v>870</v>
      </c>
      <c r="EQG35" s="49">
        <v>0</v>
      </c>
      <c r="EQH35" s="49"/>
      <c r="EQI35" s="64">
        <f t="shared" si="1439"/>
        <v>870</v>
      </c>
      <c r="EQJ35" s="211">
        <f t="shared" si="1440"/>
        <v>145</v>
      </c>
      <c r="EQK35" s="195">
        <v>0</v>
      </c>
      <c r="EQL35" s="49">
        <v>0</v>
      </c>
      <c r="EQM35" s="49">
        <v>0</v>
      </c>
      <c r="EQN35" s="49"/>
      <c r="EQO35" s="49">
        <v>0</v>
      </c>
      <c r="EQP35" s="49">
        <v>0</v>
      </c>
      <c r="EQQ35" s="64">
        <f t="shared" si="1441"/>
        <v>0</v>
      </c>
      <c r="EQR35" s="211">
        <f t="shared" si="1442"/>
        <v>0</v>
      </c>
      <c r="EQS35" s="195">
        <v>578</v>
      </c>
      <c r="EQT35" s="49">
        <v>739</v>
      </c>
      <c r="EQU35" s="49">
        <v>0</v>
      </c>
      <c r="EQV35" s="49">
        <v>0</v>
      </c>
      <c r="EQW35" s="49"/>
      <c r="EQX35" s="49">
        <v>0</v>
      </c>
      <c r="EQY35" s="64">
        <f t="shared" si="1443"/>
        <v>1317</v>
      </c>
      <c r="EQZ35" s="211">
        <f t="shared" si="1444"/>
        <v>219.5</v>
      </c>
      <c r="ERA35" s="195">
        <v>0</v>
      </c>
      <c r="ERB35" s="49">
        <v>0</v>
      </c>
      <c r="ERC35" s="49">
        <v>836</v>
      </c>
      <c r="ERD35" s="49">
        <v>0</v>
      </c>
      <c r="ERE35" s="49">
        <v>221</v>
      </c>
      <c r="ERF35" s="49"/>
      <c r="ERG35" s="64">
        <f t="shared" si="1445"/>
        <v>1057</v>
      </c>
      <c r="ERH35" s="211">
        <f t="shared" si="1446"/>
        <v>176.16666666666666</v>
      </c>
      <c r="ERI35" s="195"/>
      <c r="ERJ35" s="49">
        <v>0</v>
      </c>
      <c r="ERK35" s="49">
        <v>0</v>
      </c>
      <c r="ERL35" s="49">
        <v>0</v>
      </c>
      <c r="ERM35" s="49">
        <v>0</v>
      </c>
      <c r="ERN35" s="49">
        <v>0</v>
      </c>
      <c r="ERO35" s="64">
        <f t="shared" si="1447"/>
        <v>0</v>
      </c>
      <c r="ERP35" s="211">
        <f t="shared" si="1448"/>
        <v>0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49"/>
        <v>0</v>
      </c>
      <c r="ERX35" s="211">
        <f t="shared" si="1450"/>
        <v>0</v>
      </c>
      <c r="ERY35" s="195">
        <v>0</v>
      </c>
      <c r="ERZ35" s="49">
        <v>0</v>
      </c>
      <c r="ESA35" s="49">
        <v>0</v>
      </c>
      <c r="ESB35" s="49">
        <v>0</v>
      </c>
      <c r="ESC35" s="49">
        <v>0</v>
      </c>
      <c r="ESD35" s="49">
        <v>0</v>
      </c>
      <c r="ESE35" s="64">
        <f t="shared" si="1451"/>
        <v>0</v>
      </c>
      <c r="ESF35" s="211">
        <f t="shared" si="1452"/>
        <v>0</v>
      </c>
      <c r="ESG35" s="195">
        <v>790</v>
      </c>
      <c r="ESH35" s="49">
        <v>0</v>
      </c>
      <c r="ESI35" s="49">
        <v>0</v>
      </c>
      <c r="ESJ35" s="49">
        <v>0</v>
      </c>
      <c r="ESK35" s="49"/>
      <c r="ESL35" s="49">
        <v>0</v>
      </c>
      <c r="ESM35" s="64">
        <f t="shared" si="1453"/>
        <v>790</v>
      </c>
      <c r="ESN35" s="211">
        <f t="shared" si="1454"/>
        <v>131.66666666666666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55"/>
        <v>0</v>
      </c>
      <c r="ESV35" s="211">
        <f t="shared" si="1456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57"/>
        <v>0</v>
      </c>
      <c r="ETD35" s="211">
        <f t="shared" si="1458"/>
        <v>0</v>
      </c>
      <c r="ETE35" s="195">
        <v>0</v>
      </c>
      <c r="ETF35" s="49">
        <v>0</v>
      </c>
      <c r="ETG35" s="49">
        <v>0</v>
      </c>
      <c r="ETH35" s="49">
        <v>0</v>
      </c>
      <c r="ETI35" s="49">
        <v>0</v>
      </c>
      <c r="ETJ35" s="49">
        <v>0</v>
      </c>
      <c r="ETK35" s="808">
        <f t="shared" si="1459"/>
        <v>0</v>
      </c>
      <c r="ETL35" s="211">
        <f t="shared" si="1460"/>
        <v>0</v>
      </c>
      <c r="ETM35" s="814">
        <v>0</v>
      </c>
      <c r="ETN35" s="815">
        <v>0</v>
      </c>
      <c r="ETO35" s="815">
        <v>0</v>
      </c>
      <c r="ETP35" s="815">
        <v>0</v>
      </c>
      <c r="ETQ35" s="815">
        <v>0</v>
      </c>
      <c r="ETR35" s="815">
        <v>0</v>
      </c>
      <c r="ETS35" s="808">
        <f t="shared" si="1461"/>
        <v>0</v>
      </c>
      <c r="ETT35" s="211">
        <f t="shared" si="1462"/>
        <v>0</v>
      </c>
      <c r="ETU35" s="458">
        <v>0</v>
      </c>
      <c r="ETV35" s="83">
        <v>0</v>
      </c>
      <c r="ETW35" s="83">
        <v>0</v>
      </c>
      <c r="ETX35" s="83">
        <v>0</v>
      </c>
      <c r="ETY35" s="83">
        <v>0</v>
      </c>
      <c r="ETZ35" s="83">
        <v>0</v>
      </c>
      <c r="EUA35" s="808">
        <f t="shared" si="1463"/>
        <v>0</v>
      </c>
      <c r="EUB35" s="211">
        <f t="shared" si="1464"/>
        <v>0</v>
      </c>
      <c r="EUC35" s="458"/>
      <c r="EUD35" s="83">
        <v>0</v>
      </c>
      <c r="EUE35" s="83"/>
      <c r="EUF35" s="83">
        <v>0</v>
      </c>
      <c r="EUG35" s="83">
        <v>0</v>
      </c>
      <c r="EUH35" s="83">
        <v>0</v>
      </c>
      <c r="EUI35" s="808">
        <f t="shared" si="1465"/>
        <v>0</v>
      </c>
      <c r="EUJ35" s="211">
        <f t="shared" si="1466"/>
        <v>0</v>
      </c>
      <c r="EUK35" s="195"/>
      <c r="EUL35" s="49">
        <v>0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67"/>
        <v>0</v>
      </c>
      <c r="EUR35" s="211">
        <f t="shared" si="1468"/>
        <v>0</v>
      </c>
      <c r="EUS35" s="195">
        <v>0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69"/>
        <v>0</v>
      </c>
      <c r="EUZ35" s="211">
        <f t="shared" si="1470"/>
        <v>0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71"/>
        <v>0</v>
      </c>
      <c r="EVH35" s="211">
        <f t="shared" si="1472"/>
        <v>0</v>
      </c>
      <c r="EVI35" s="195">
        <v>0</v>
      </c>
      <c r="EVJ35" s="49">
        <v>0</v>
      </c>
      <c r="EVK35" s="49">
        <f>SUMIF(SUMPK!$B:$B,$B:$B,SUMPK!$O:$O)</f>
        <v>0</v>
      </c>
      <c r="EVL35" s="49"/>
      <c r="EVM35" s="49"/>
      <c r="EVN35" s="49">
        <v>0</v>
      </c>
      <c r="EVO35" s="808">
        <f t="shared" si="1473"/>
        <v>0</v>
      </c>
      <c r="EVP35" s="211">
        <f t="shared" si="1474"/>
        <v>0</v>
      </c>
      <c r="EVQ35" s="195">
        <v>0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75"/>
        <v>0</v>
      </c>
      <c r="EVX35" s="211">
        <f t="shared" si="1476"/>
        <v>0</v>
      </c>
      <c r="EVY35" s="195">
        <v>0</v>
      </c>
      <c r="EVZ35" s="49">
        <v>0</v>
      </c>
      <c r="EWA35" s="49">
        <v>0</v>
      </c>
      <c r="EWB35" s="49">
        <v>0</v>
      </c>
      <c r="EWC35" s="49">
        <v>0</v>
      </c>
      <c r="EWD35" s="49"/>
      <c r="EWE35" s="808">
        <f t="shared" si="1477"/>
        <v>0</v>
      </c>
      <c r="EWF35" s="211">
        <f t="shared" si="1478"/>
        <v>0</v>
      </c>
      <c r="EWG35" s="195">
        <v>0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79"/>
        <v>0</v>
      </c>
      <c r="EWN35" s="211">
        <f t="shared" si="1480"/>
        <v>0</v>
      </c>
      <c r="EWO35" s="195">
        <v>0</v>
      </c>
      <c r="EWP35" s="49"/>
      <c r="EWQ35" s="49"/>
      <c r="EWR35" s="49">
        <v>0</v>
      </c>
      <c r="EWS35" s="49">
        <v>121</v>
      </c>
      <c r="EWT35" s="49">
        <v>0</v>
      </c>
      <c r="EWU35" s="808">
        <f t="shared" si="1481"/>
        <v>121</v>
      </c>
      <c r="EWV35" s="211">
        <f t="shared" si="1482"/>
        <v>20.166666666666668</v>
      </c>
      <c r="EWW35" s="195"/>
      <c r="EWX35" s="49"/>
      <c r="EWY35" s="49">
        <v>0</v>
      </c>
      <c r="EWZ35" s="49">
        <v>0</v>
      </c>
      <c r="EXA35" s="49">
        <v>0</v>
      </c>
      <c r="EXB35" s="49"/>
      <c r="EXC35" s="808">
        <f t="shared" si="1483"/>
        <v>0</v>
      </c>
      <c r="EXD35" s="211">
        <f t="shared" si="1484"/>
        <v>0</v>
      </c>
      <c r="EXE35" s="195"/>
      <c r="EXF35" s="49">
        <v>0</v>
      </c>
      <c r="EXG35" s="49">
        <v>0</v>
      </c>
      <c r="EXH35" s="49"/>
      <c r="EXI35" s="49">
        <v>422</v>
      </c>
      <c r="EXJ35" s="49">
        <v>0</v>
      </c>
      <c r="EXK35" s="808">
        <f t="shared" si="1485"/>
        <v>422</v>
      </c>
      <c r="EXL35" s="211">
        <f t="shared" si="1486"/>
        <v>70.333333333333329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0</v>
      </c>
      <c r="EXS35" s="808">
        <f t="shared" si="1487"/>
        <v>0</v>
      </c>
      <c r="EXT35" s="211">
        <f t="shared" si="1488"/>
        <v>0</v>
      </c>
      <c r="EXU35" s="195">
        <v>0</v>
      </c>
      <c r="EXV35" s="49">
        <v>0</v>
      </c>
      <c r="EXW35" s="49">
        <v>0</v>
      </c>
      <c r="EXX35" s="49">
        <v>0</v>
      </c>
      <c r="EXY35" s="49">
        <v>0</v>
      </c>
      <c r="EXZ35" s="49">
        <v>0</v>
      </c>
      <c r="EYA35" s="808">
        <f t="shared" si="1489"/>
        <v>0</v>
      </c>
      <c r="EYB35" s="211">
        <f t="shared" si="1490"/>
        <v>0</v>
      </c>
      <c r="EYC35" s="195">
        <v>0</v>
      </c>
      <c r="EYD35" s="49"/>
      <c r="EYE35" s="49">
        <v>0</v>
      </c>
      <c r="EYF35" s="49"/>
      <c r="EYG35" s="49">
        <v>0</v>
      </c>
      <c r="EYH35" s="49">
        <v>0</v>
      </c>
      <c r="EYI35" s="808">
        <f t="shared" si="1491"/>
        <v>0</v>
      </c>
      <c r="EYJ35" s="211">
        <f t="shared" si="1492"/>
        <v>0</v>
      </c>
      <c r="EYK35" s="195">
        <v>0</v>
      </c>
      <c r="EYL35" s="49">
        <v>197</v>
      </c>
      <c r="EYM35" s="49">
        <v>0</v>
      </c>
      <c r="EYN35" s="49">
        <v>0</v>
      </c>
      <c r="EYO35" s="49">
        <v>0</v>
      </c>
      <c r="EYP35" s="49">
        <v>0</v>
      </c>
      <c r="EYQ35" s="808">
        <f t="shared" si="1493"/>
        <v>197</v>
      </c>
      <c r="EYR35" s="211">
        <f t="shared" si="1494"/>
        <v>32.833333333333336</v>
      </c>
      <c r="EYS35" s="195">
        <v>0</v>
      </c>
      <c r="EYT35" s="49">
        <v>70</v>
      </c>
      <c r="EYU35" s="49">
        <v>0</v>
      </c>
      <c r="EYV35" s="49">
        <v>0</v>
      </c>
      <c r="EYW35" s="49"/>
      <c r="EYX35" s="49"/>
      <c r="EYY35" s="872">
        <f t="shared" si="1495"/>
        <v>70</v>
      </c>
      <c r="EYZ35" s="873">
        <f t="shared" si="1496"/>
        <v>11.666666666666666</v>
      </c>
      <c r="EZA35" s="195">
        <v>434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497"/>
        <v>434</v>
      </c>
      <c r="EZH35" s="873">
        <f t="shared" si="1498"/>
        <v>72.333333333333329</v>
      </c>
      <c r="EZI35" s="195">
        <v>271</v>
      </c>
      <c r="EZJ35" s="49">
        <v>0</v>
      </c>
      <c r="EZK35" s="49"/>
      <c r="EZL35" s="49"/>
      <c r="EZM35" s="49"/>
      <c r="EZN35" s="49"/>
      <c r="EZO35" s="872">
        <f t="shared" si="1499"/>
        <v>271</v>
      </c>
      <c r="EZP35" s="873">
        <f t="shared" si="1500"/>
        <v>45.166666666666664</v>
      </c>
    </row>
    <row r="36" spans="1:4072" s="8" customFormat="1" ht="13.5" thickBot="1" x14ac:dyDescent="0.25">
      <c r="A36" s="21">
        <v>7</v>
      </c>
      <c r="B36" s="297" t="s">
        <v>33</v>
      </c>
      <c r="C36" s="725" t="s">
        <v>320</v>
      </c>
      <c r="D36" s="297">
        <v>25</v>
      </c>
      <c r="E36" s="24"/>
      <c r="F36" s="24">
        <v>2491</v>
      </c>
      <c r="G36" s="24"/>
      <c r="H36" s="24"/>
      <c r="I36" s="24"/>
      <c r="J36" s="360">
        <f>SUMIF(SUMPK!$B:$B,$B:$B,SUMPK!$O:$O)</f>
        <v>0</v>
      </c>
      <c r="K36" s="24">
        <f t="shared" si="1220"/>
        <v>0</v>
      </c>
      <c r="L36" s="24">
        <f t="shared" si="1505"/>
        <v>2491</v>
      </c>
      <c r="M36" s="15">
        <f t="shared" si="1627"/>
        <v>2491</v>
      </c>
      <c r="N36" s="15">
        <v>16.666666666666668</v>
      </c>
      <c r="O36" s="276">
        <f t="shared" si="1223"/>
        <v>149.45999999999998</v>
      </c>
      <c r="P36" s="712">
        <v>55.166666666666664</v>
      </c>
      <c r="Q36" s="276">
        <f t="shared" si="1506"/>
        <v>270.92447129909368</v>
      </c>
      <c r="R36" s="277">
        <f t="shared" si="1507"/>
        <v>92.307692307692307</v>
      </c>
      <c r="S36" s="222">
        <v>2400</v>
      </c>
      <c r="T36" s="276">
        <f t="shared" si="1628"/>
        <v>26.985833333333332</v>
      </c>
      <c r="U36" s="278"/>
      <c r="V36" s="276">
        <f t="shared" si="1227"/>
        <v>26.985833333333332</v>
      </c>
      <c r="W36" s="279">
        <f t="shared" si="1228"/>
        <v>1</v>
      </c>
      <c r="X36" s="278"/>
      <c r="Y36" s="7"/>
      <c r="Z36" s="7"/>
      <c r="AA36" s="7"/>
      <c r="AB36" s="7"/>
      <c r="AC36" s="662">
        <v>17</v>
      </c>
      <c r="AD36" s="649">
        <v>200</v>
      </c>
      <c r="AE36" s="49"/>
      <c r="AF36" s="49"/>
      <c r="AG36" s="49"/>
      <c r="AH36" s="49"/>
      <c r="AI36" s="49">
        <v>299</v>
      </c>
      <c r="AJ36" s="42">
        <f t="shared" ref="AJ36:AJ45" si="1892">SUM(AD36:AI36)</f>
        <v>499</v>
      </c>
      <c r="AK36" s="43">
        <f t="shared" ref="AK36:AK45" si="1893">AJ36/$AK$5</f>
        <v>83.166666666666671</v>
      </c>
      <c r="AL36" s="48"/>
      <c r="AM36" s="49"/>
      <c r="AN36" s="49">
        <v>1186</v>
      </c>
      <c r="AO36" s="49"/>
      <c r="AP36" s="49"/>
      <c r="AQ36" s="49"/>
      <c r="AR36" s="42">
        <f t="shared" ref="AR36:AR45" si="1894">SUM(AL36:AQ36)</f>
        <v>1186</v>
      </c>
      <c r="AS36" s="43">
        <f t="shared" ref="AS36:AS45" si="1895">AR36/$AK$5</f>
        <v>197.66666666666666</v>
      </c>
      <c r="AT36" s="48"/>
      <c r="AU36" s="49"/>
      <c r="AV36" s="49">
        <v>199</v>
      </c>
      <c r="AW36" s="49"/>
      <c r="AX36" s="49"/>
      <c r="AY36" s="49"/>
      <c r="AZ36" s="42">
        <f t="shared" ref="AZ36:AZ45" si="1896">SUM(AT36:AY36)</f>
        <v>199</v>
      </c>
      <c r="BA36" s="43">
        <f t="shared" ref="BA36:BA45" si="1897">AZ36/$AK$5</f>
        <v>33.166666666666664</v>
      </c>
      <c r="BB36" s="48">
        <v>481</v>
      </c>
      <c r="BC36" s="49"/>
      <c r="BD36" s="49"/>
      <c r="BE36" s="49">
        <v>399</v>
      </c>
      <c r="BF36" s="49">
        <v>801</v>
      </c>
      <c r="BG36" s="49"/>
      <c r="BH36" s="42">
        <f t="shared" ref="BH36:BH45" si="1898">SUM(BB36:BG36)</f>
        <v>1681</v>
      </c>
      <c r="BI36" s="43">
        <f t="shared" ref="BI36:BI45" si="1899">BH36/$BI$5</f>
        <v>280.16666666666669</v>
      </c>
      <c r="BJ36" s="48"/>
      <c r="BK36" s="49">
        <v>407</v>
      </c>
      <c r="BL36" s="49"/>
      <c r="BM36" s="49"/>
      <c r="BN36" s="49">
        <v>399</v>
      </c>
      <c r="BO36" s="49"/>
      <c r="BP36" s="42">
        <f t="shared" ref="BP36:BP45" si="1900">SUM(BJ36:BO36)</f>
        <v>806</v>
      </c>
      <c r="BQ36" s="43">
        <f t="shared" ref="BQ36:BQ45" si="1901">BP36/$BI$5</f>
        <v>134.33333333333334</v>
      </c>
      <c r="BR36" s="48"/>
      <c r="BS36" s="49"/>
      <c r="BT36" s="49">
        <v>788</v>
      </c>
      <c r="BU36" s="49"/>
      <c r="BV36" s="49">
        <v>800</v>
      </c>
      <c r="BW36" s="49"/>
      <c r="BX36" s="42">
        <f t="shared" ref="BX36:BX45" si="1902">SUM(BR36:BW36)</f>
        <v>1588</v>
      </c>
      <c r="BY36" s="43">
        <f t="shared" ref="BY36:BY45" si="1903">BX36/$BI$5</f>
        <v>264.66666666666669</v>
      </c>
      <c r="BZ36" s="48"/>
      <c r="CA36" s="49"/>
      <c r="CB36" s="49"/>
      <c r="CC36" s="49"/>
      <c r="CD36" s="49"/>
      <c r="CE36" s="49"/>
      <c r="CF36" s="42">
        <f t="shared" ref="CF36:CF45" si="1904">SUM(BZ36:CE36)</f>
        <v>0</v>
      </c>
      <c r="CG36" s="43">
        <f t="shared" ref="CG36:CG45" si="1905">CF36/$BI$5</f>
        <v>0</v>
      </c>
      <c r="CH36" s="48"/>
      <c r="CI36" s="49">
        <v>203</v>
      </c>
      <c r="CJ36" s="49"/>
      <c r="CK36" s="49"/>
      <c r="CL36" s="49"/>
      <c r="CM36" s="49">
        <v>999</v>
      </c>
      <c r="CN36" s="42">
        <f t="shared" ref="CN36:CN45" si="1906">SUM(CH36:CM36)</f>
        <v>1202</v>
      </c>
      <c r="CO36" s="43">
        <f t="shared" ref="CO36:CO45" si="1907">CN36/$BI$5</f>
        <v>200.33333333333334</v>
      </c>
      <c r="CP36" s="48"/>
      <c r="CQ36" s="49"/>
      <c r="CR36" s="49"/>
      <c r="CS36" s="49"/>
      <c r="CT36" s="49">
        <v>500</v>
      </c>
      <c r="CU36" s="49"/>
      <c r="CV36" s="42">
        <f t="shared" ref="CV36:CV45" si="1908">SUM(CP36:CU36)</f>
        <v>500</v>
      </c>
      <c r="CW36" s="43">
        <f t="shared" ref="CW36:CW45" si="1909">CV36/$BI$5</f>
        <v>83.333333333333329</v>
      </c>
      <c r="CX36" s="48"/>
      <c r="CY36" s="49"/>
      <c r="CZ36" s="49"/>
      <c r="DA36" s="49"/>
      <c r="DB36" s="49"/>
      <c r="DC36" s="49"/>
      <c r="DD36" s="42">
        <f t="shared" ref="DD36:DD45" si="1910">SUM(CX36:DC36)</f>
        <v>0</v>
      </c>
      <c r="DE36" s="43">
        <f t="shared" ref="DE36:DE45" si="1911">DD36/$BI$5</f>
        <v>0</v>
      </c>
      <c r="DF36" s="48">
        <v>600</v>
      </c>
      <c r="DG36" s="49"/>
      <c r="DH36" s="49"/>
      <c r="DI36" s="49">
        <v>596</v>
      </c>
      <c r="DJ36" s="49"/>
      <c r="DK36" s="49">
        <v>200</v>
      </c>
      <c r="DL36" s="42">
        <f t="shared" ref="DL36:DL45" si="1912">SUM(DF36:DK36)</f>
        <v>1396</v>
      </c>
      <c r="DM36" s="43">
        <f t="shared" ref="DM36:DM45" si="1913">DL36/$BI$5</f>
        <v>232.66666666666666</v>
      </c>
      <c r="DN36" s="48"/>
      <c r="DO36" s="49">
        <v>397</v>
      </c>
      <c r="DP36" s="49"/>
      <c r="DQ36" s="49"/>
      <c r="DR36" s="49"/>
      <c r="DS36" s="49">
        <v>594</v>
      </c>
      <c r="DT36" s="42">
        <f t="shared" ref="DT36:DT45" si="1914">SUM(DN36:DS36)</f>
        <v>991</v>
      </c>
      <c r="DU36" s="43">
        <f t="shared" ref="DU36:DU45" si="1915">DT36/$BI$5</f>
        <v>165.16666666666666</v>
      </c>
      <c r="DV36" s="48"/>
      <c r="DW36" s="49"/>
      <c r="DX36" s="49"/>
      <c r="DY36" s="49"/>
      <c r="DZ36" s="49">
        <v>600</v>
      </c>
      <c r="EA36" s="49"/>
      <c r="EB36" s="42">
        <f t="shared" ref="EB36:EB45" si="1916">SUM(DV36:EA36)</f>
        <v>600</v>
      </c>
      <c r="EC36" s="43">
        <f t="shared" ref="EC36:EC45" si="1917">EB36/$BI$5</f>
        <v>100</v>
      </c>
      <c r="ED36" s="48"/>
      <c r="EE36" s="49">
        <v>616</v>
      </c>
      <c r="EF36" s="49"/>
      <c r="EG36" s="49"/>
      <c r="EH36" s="49"/>
      <c r="EI36" s="49">
        <v>404</v>
      </c>
      <c r="EJ36" s="42">
        <f t="shared" ref="EJ36:EJ45" si="1918">SUM(ED36:EI36)</f>
        <v>1020</v>
      </c>
      <c r="EK36" s="43">
        <f t="shared" ref="EK36:EK45" si="1919">EJ36/$BI$5</f>
        <v>170</v>
      </c>
      <c r="EL36" s="48"/>
      <c r="EM36" s="49">
        <v>200</v>
      </c>
      <c r="EN36" s="49"/>
      <c r="EO36" s="49"/>
      <c r="EP36" s="49"/>
      <c r="EQ36" s="49">
        <v>770</v>
      </c>
      <c r="ER36" s="42">
        <f t="shared" ref="ER36:ER45" si="1920">SUM(EL36:EQ36)</f>
        <v>970</v>
      </c>
      <c r="ES36" s="43">
        <f t="shared" ref="ES36:ES45" si="1921">ER36/$BI$5</f>
        <v>161.66666666666666</v>
      </c>
      <c r="ET36" s="48"/>
      <c r="EU36" s="49">
        <v>400</v>
      </c>
      <c r="EV36" s="49"/>
      <c r="EW36" s="49"/>
      <c r="EX36" s="49"/>
      <c r="EY36" s="49">
        <v>600</v>
      </c>
      <c r="EZ36" s="42">
        <f t="shared" ref="EZ36:EZ45" si="1922">SUM(ET36:EY36)</f>
        <v>1000</v>
      </c>
      <c r="FA36" s="43">
        <f t="shared" ref="FA36:FA45" si="1923">EZ36/$BI$5</f>
        <v>166.66666666666666</v>
      </c>
      <c r="FB36" s="48"/>
      <c r="FC36" s="49">
        <v>400</v>
      </c>
      <c r="FD36" s="49"/>
      <c r="FE36" s="49">
        <v>800</v>
      </c>
      <c r="FF36" s="49"/>
      <c r="FG36" s="49"/>
      <c r="FH36" s="42">
        <f t="shared" ref="FH36:FH45" si="1924">SUM(FB36:FG36)</f>
        <v>1200</v>
      </c>
      <c r="FI36" s="43">
        <f t="shared" ref="FI36:FI45" si="1925">FH36/$BI$5</f>
        <v>200</v>
      </c>
      <c r="FJ36" s="48">
        <v>200</v>
      </c>
      <c r="FK36" s="49"/>
      <c r="FL36" s="49"/>
      <c r="FM36" s="49"/>
      <c r="FN36" s="49"/>
      <c r="FO36" s="49">
        <v>200</v>
      </c>
      <c r="FP36" s="42">
        <f t="shared" ref="FP36:FP45" si="1926">SUM(FJ36:FO36)</f>
        <v>400</v>
      </c>
      <c r="FQ36" s="43">
        <f t="shared" ref="FQ36:FQ45" si="1927">FP36/$BI$5</f>
        <v>66.666666666666671</v>
      </c>
      <c r="FR36" s="48"/>
      <c r="FS36" s="49">
        <v>417</v>
      </c>
      <c r="FT36" s="49"/>
      <c r="FU36" s="49">
        <v>200</v>
      </c>
      <c r="FV36" s="49"/>
      <c r="FW36" s="49"/>
      <c r="FX36" s="42">
        <f t="shared" ref="FX36:FX45" si="1928">SUM(FR36:FW36)</f>
        <v>617</v>
      </c>
      <c r="FY36" s="43">
        <f t="shared" ref="FY36:FY45" si="1929">FX36/$BI$5</f>
        <v>102.83333333333333</v>
      </c>
      <c r="FZ36" s="48">
        <v>381</v>
      </c>
      <c r="GA36" s="49">
        <v>400</v>
      </c>
      <c r="GB36" s="49"/>
      <c r="GC36" s="49"/>
      <c r="GD36" s="49">
        <v>776</v>
      </c>
      <c r="GE36" s="49"/>
      <c r="GF36" s="42">
        <f t="shared" ref="GF36:GF45" si="1930">SUM(FZ36:GE36)</f>
        <v>1557</v>
      </c>
      <c r="GG36" s="43">
        <f t="shared" ref="GG36:GG45" si="1931">GF36/$BI$5</f>
        <v>259.5</v>
      </c>
      <c r="GH36" s="48"/>
      <c r="GI36" s="49"/>
      <c r="GJ36" s="49">
        <v>397</v>
      </c>
      <c r="GK36" s="49"/>
      <c r="GL36" s="49">
        <v>600</v>
      </c>
      <c r="GM36" s="49"/>
      <c r="GN36" s="42">
        <f t="shared" ref="GN36:GN45" si="1932">SUM(GH36:GM36)</f>
        <v>997</v>
      </c>
      <c r="GO36" s="43">
        <f t="shared" ref="GO36:GO45" si="1933">GN36/$BI$5</f>
        <v>166.16666666666666</v>
      </c>
      <c r="GP36" s="48"/>
      <c r="GQ36" s="49">
        <v>402</v>
      </c>
      <c r="GR36" s="49"/>
      <c r="GS36" s="49"/>
      <c r="GT36" s="49"/>
      <c r="GU36" s="49"/>
      <c r="GV36" s="42">
        <f t="shared" ref="GV36:GV45" si="1934">SUM(GP36:GU36)</f>
        <v>402</v>
      </c>
      <c r="GW36" s="43">
        <f t="shared" ref="GW36:GW45" si="1935">GV36/$BI$5</f>
        <v>67</v>
      </c>
      <c r="GX36" s="48"/>
      <c r="GY36" s="49">
        <v>400</v>
      </c>
      <c r="GZ36" s="49"/>
      <c r="HA36" s="49"/>
      <c r="HB36" s="49">
        <v>1200</v>
      </c>
      <c r="HC36" s="49"/>
      <c r="HD36" s="42">
        <f t="shared" ref="HD36:HD45" si="1936">SUM(GX36:HC36)</f>
        <v>1600</v>
      </c>
      <c r="HE36" s="43">
        <f t="shared" ref="HE36:HE45" si="1937">HD36/$BI$5</f>
        <v>266.66666666666669</v>
      </c>
      <c r="HF36" s="48"/>
      <c r="HG36" s="49"/>
      <c r="HH36" s="49">
        <v>197</v>
      </c>
      <c r="HI36" s="49"/>
      <c r="HJ36" s="49"/>
      <c r="HK36" s="49"/>
      <c r="HL36" s="42">
        <f t="shared" ref="HL36:HL45" si="1938">SUM(HF36:HK36)</f>
        <v>197</v>
      </c>
      <c r="HM36" s="43">
        <f t="shared" ref="HM36:HM45" si="1939">HL36/$BI$5</f>
        <v>32.833333333333336</v>
      </c>
      <c r="HN36" s="82"/>
      <c r="HO36" s="83"/>
      <c r="HP36" s="83"/>
      <c r="HQ36" s="83">
        <v>299</v>
      </c>
      <c r="HR36" s="83"/>
      <c r="HS36" s="83"/>
      <c r="HT36" s="42">
        <f t="shared" ref="HT36:HT45" si="1940">SUM(HN36:HS36)</f>
        <v>299</v>
      </c>
      <c r="HU36" s="43">
        <f t="shared" ref="HU36:HU45" si="1941">HT36/$AK$5</f>
        <v>49.833333333333336</v>
      </c>
      <c r="HV36" s="48"/>
      <c r="HW36" s="49">
        <v>200</v>
      </c>
      <c r="HX36" s="49"/>
      <c r="HY36" s="49"/>
      <c r="HZ36" s="49"/>
      <c r="IA36" s="49">
        <v>400</v>
      </c>
      <c r="IB36" s="42">
        <f t="shared" ref="IB36:IB45" si="1942">SUM(HV36:IA36)</f>
        <v>600</v>
      </c>
      <c r="IC36" s="43">
        <f t="shared" ref="IC36:IC45" si="1943">IB36/$AK$5</f>
        <v>100</v>
      </c>
      <c r="ID36" s="48"/>
      <c r="IE36" s="49"/>
      <c r="IF36" s="49">
        <v>800</v>
      </c>
      <c r="IG36" s="49"/>
      <c r="IH36" s="49"/>
      <c r="II36" s="49">
        <v>200</v>
      </c>
      <c r="IJ36" s="42">
        <f t="shared" ref="IJ36:IJ45" si="1944">SUM(ID36:II36)</f>
        <v>1000</v>
      </c>
      <c r="IK36" s="43">
        <f t="shared" ref="IK36:IK45" si="1945">IJ36/$AK$5</f>
        <v>166.66666666666666</v>
      </c>
      <c r="IL36" s="48"/>
      <c r="IM36" s="49"/>
      <c r="IN36" s="49"/>
      <c r="IO36" s="49"/>
      <c r="IP36" s="49"/>
      <c r="IQ36" s="49">
        <v>399</v>
      </c>
      <c r="IR36" s="67">
        <f t="shared" ref="IR36:IR45" si="1946">SUM(IL36:IQ36)</f>
        <v>399</v>
      </c>
      <c r="IS36" s="68">
        <f t="shared" ref="IS36:IS45" si="1947">IR36/$IS$5</f>
        <v>66.5</v>
      </c>
      <c r="IT36" s="48"/>
      <c r="IU36" s="49"/>
      <c r="IV36" s="49">
        <v>400</v>
      </c>
      <c r="IW36" s="49"/>
      <c r="IX36" s="49"/>
      <c r="IY36" s="49">
        <v>100</v>
      </c>
      <c r="IZ36" s="67">
        <f t="shared" ref="IZ36:IZ45" si="1948">SUM(IT36:IY36)</f>
        <v>500</v>
      </c>
      <c r="JA36" s="68">
        <f t="shared" ref="JA36:JA45" si="1949">IZ36/$IS$5</f>
        <v>83.333333333333329</v>
      </c>
      <c r="JB36" s="48"/>
      <c r="JC36" s="49">
        <v>400</v>
      </c>
      <c r="JD36" s="49"/>
      <c r="JE36" s="49"/>
      <c r="JF36" s="49">
        <v>204</v>
      </c>
      <c r="JG36" s="49"/>
      <c r="JH36" s="67">
        <f t="shared" ref="JH36:JH45" si="1950">SUM(JB36:JG36)</f>
        <v>604</v>
      </c>
      <c r="JI36" s="68">
        <f t="shared" ref="JI36:JI45" si="1951">JH36/$IS$5</f>
        <v>100.66666666666667</v>
      </c>
      <c r="JJ36" s="48">
        <v>400</v>
      </c>
      <c r="JK36" s="49"/>
      <c r="JL36" s="49">
        <v>208</v>
      </c>
      <c r="JM36" s="49"/>
      <c r="JN36" s="49">
        <v>310</v>
      </c>
      <c r="JO36" s="49"/>
      <c r="JP36" s="42">
        <f t="shared" ref="JP36:JP45" si="1952">SUM(JJ36:JO36)</f>
        <v>918</v>
      </c>
      <c r="JQ36" s="43">
        <f t="shared" ref="JQ36:JQ45" si="1953">JP36/$JQ$5</f>
        <v>153</v>
      </c>
      <c r="JR36" s="48"/>
      <c r="JS36" s="49">
        <v>427</v>
      </c>
      <c r="JT36" s="49">
        <v>600</v>
      </c>
      <c r="JU36" s="49"/>
      <c r="JV36" s="49">
        <v>799</v>
      </c>
      <c r="JW36" s="49"/>
      <c r="JX36" s="42">
        <f t="shared" ref="JX36:JX45" si="1954">SUM(JR36:JW36)</f>
        <v>1826</v>
      </c>
      <c r="JY36" s="43">
        <f t="shared" ref="JY36:JY45" si="1955">JX36/$JQ$5</f>
        <v>304.33333333333331</v>
      </c>
      <c r="JZ36" s="48"/>
      <c r="KA36" s="49">
        <v>400</v>
      </c>
      <c r="KB36" s="49"/>
      <c r="KC36" s="49"/>
      <c r="KD36" s="49">
        <v>200</v>
      </c>
      <c r="KE36" s="49"/>
      <c r="KF36" s="42">
        <f t="shared" ref="KF36:KF45" si="1956">SUM(JZ36:KE36)</f>
        <v>600</v>
      </c>
      <c r="KG36" s="43">
        <f t="shared" ref="KG36:KG45" si="1957">KF36/$JQ$5</f>
        <v>100</v>
      </c>
      <c r="KH36" s="48"/>
      <c r="KI36" s="49">
        <v>403</v>
      </c>
      <c r="KJ36" s="49"/>
      <c r="KK36" s="49">
        <v>400</v>
      </c>
      <c r="KL36" s="49"/>
      <c r="KM36" s="49"/>
      <c r="KN36" s="67">
        <f t="shared" ref="KN36:KN45" si="1958">SUM(KH36:KM36)</f>
        <v>803</v>
      </c>
      <c r="KO36" s="68">
        <f t="shared" ref="KO36:KO45" si="1959">KN36/$KN$5</f>
        <v>133.83333333333334</v>
      </c>
      <c r="KP36" s="48"/>
      <c r="KQ36" s="49"/>
      <c r="KR36" s="49">
        <v>801</v>
      </c>
      <c r="KS36" s="49">
        <v>402</v>
      </c>
      <c r="KT36" s="49"/>
      <c r="KU36" s="49"/>
      <c r="KV36" s="67">
        <f t="shared" ref="KV36:KV45" si="1960">SUM(KP36:KU36)</f>
        <v>1203</v>
      </c>
      <c r="KW36" s="68">
        <f t="shared" ref="KW36:KW45" si="1961">KV36/$KN$5</f>
        <v>200.5</v>
      </c>
      <c r="KX36" s="48">
        <v>400</v>
      </c>
      <c r="KY36" s="49">
        <v>806</v>
      </c>
      <c r="KZ36" s="49"/>
      <c r="LA36" s="49">
        <v>400</v>
      </c>
      <c r="LB36" s="49"/>
      <c r="LC36" s="49"/>
      <c r="LD36" s="67">
        <f t="shared" ref="LD36:LD45" si="1962">SUM(KX36:LC36)</f>
        <v>1606</v>
      </c>
      <c r="LE36" s="68">
        <f t="shared" ref="LE36:LE45" si="1963">LD36/$KN$5</f>
        <v>267.66666666666669</v>
      </c>
      <c r="LF36" s="48"/>
      <c r="LG36" s="49"/>
      <c r="LH36" s="49">
        <v>600</v>
      </c>
      <c r="LI36" s="49"/>
      <c r="LJ36" s="49"/>
      <c r="LK36" s="49"/>
      <c r="LL36" s="67">
        <f t="shared" ref="LL36:LL45" si="1964">SUM(LF36:LK36)</f>
        <v>600</v>
      </c>
      <c r="LM36" s="68">
        <f t="shared" ref="LM36:LM45" si="1965">LL36/$KN$5</f>
        <v>100</v>
      </c>
      <c r="LN36" s="48">
        <v>500</v>
      </c>
      <c r="LO36" s="49"/>
      <c r="LP36" s="49"/>
      <c r="LQ36" s="49">
        <v>403</v>
      </c>
      <c r="LR36" s="49">
        <v>2028</v>
      </c>
      <c r="LS36" s="49"/>
      <c r="LT36" s="67">
        <f t="shared" ref="LT36:LT45" si="1966">SUM(LN36:LS36)</f>
        <v>2931</v>
      </c>
      <c r="LU36" s="68">
        <f t="shared" ref="LU36:LU45" si="1967">LT36/$KN$5</f>
        <v>488.5</v>
      </c>
      <c r="LV36" s="48"/>
      <c r="LW36" s="49"/>
      <c r="LX36" s="49"/>
      <c r="LY36" s="49"/>
      <c r="LZ36" s="49"/>
      <c r="MA36" s="49"/>
      <c r="MB36" s="67">
        <f t="shared" ref="MB36:MB45" si="1968">SUM(LV36:MA36)</f>
        <v>0</v>
      </c>
      <c r="MC36" s="68">
        <f t="shared" ref="MC36:MC45" si="1969">MB36/$KN$5</f>
        <v>0</v>
      </c>
      <c r="MD36" s="48"/>
      <c r="ME36" s="49"/>
      <c r="MF36" s="49"/>
      <c r="MG36" s="49"/>
      <c r="MH36" s="49"/>
      <c r="MI36" s="49"/>
      <c r="MJ36" s="67">
        <f t="shared" ref="MJ36:MJ45" si="1970">SUM(MD36:MI36)</f>
        <v>0</v>
      </c>
      <c r="MK36" s="68">
        <f t="shared" ref="MK36:MK45" si="1971">MJ36/$KN$5</f>
        <v>0</v>
      </c>
      <c r="ML36" s="48"/>
      <c r="MM36" s="49"/>
      <c r="MN36" s="49">
        <v>175</v>
      </c>
      <c r="MO36" s="49"/>
      <c r="MP36" s="49"/>
      <c r="MQ36" s="49">
        <v>403</v>
      </c>
      <c r="MR36" s="67">
        <f t="shared" ref="MR36:MR45" si="1972">SUM(ML36:MQ36)</f>
        <v>578</v>
      </c>
      <c r="MS36" s="68">
        <f t="shared" ref="MS36:MS45" si="1973">MR36/$KN$5</f>
        <v>96.333333333333329</v>
      </c>
      <c r="MT36" s="48"/>
      <c r="MU36" s="49"/>
      <c r="MV36" s="49">
        <v>203</v>
      </c>
      <c r="MW36" s="49"/>
      <c r="MX36" s="49"/>
      <c r="MY36" s="49"/>
      <c r="MZ36" s="67">
        <f t="shared" ref="MZ36:MZ45" si="1974">SUM(MT36:MY36)</f>
        <v>203</v>
      </c>
      <c r="NA36" s="68">
        <f t="shared" ref="NA36:NA45" si="1975">MZ36/$KN$5</f>
        <v>33.833333333333336</v>
      </c>
      <c r="NB36" s="48">
        <v>404</v>
      </c>
      <c r="NC36" s="49"/>
      <c r="ND36" s="49"/>
      <c r="NE36" s="49">
        <v>402</v>
      </c>
      <c r="NF36" s="49"/>
      <c r="NG36" s="49"/>
      <c r="NH36" s="67">
        <f t="shared" ref="NH36:NH45" si="1976">SUM(NB36:NG36)</f>
        <v>806</v>
      </c>
      <c r="NI36" s="68">
        <f t="shared" ref="NI36:NI45" si="1977">NH36/$KN$5</f>
        <v>134.33333333333334</v>
      </c>
      <c r="NJ36" s="48">
        <v>300</v>
      </c>
      <c r="NK36" s="49"/>
      <c r="NL36" s="49">
        <v>300</v>
      </c>
      <c r="NM36" s="49"/>
      <c r="NN36" s="49"/>
      <c r="NO36" s="49">
        <v>240</v>
      </c>
      <c r="NP36" s="67">
        <f t="shared" ref="NP36:NP45" si="1978">SUM(NJ36:NO36)</f>
        <v>840</v>
      </c>
      <c r="NQ36" s="68">
        <f t="shared" ref="NQ36:NQ45" si="1979">NP36/$KN$5</f>
        <v>140</v>
      </c>
      <c r="NR36" s="48"/>
      <c r="NS36" s="49">
        <v>400</v>
      </c>
      <c r="NT36" s="49"/>
      <c r="NU36" s="49"/>
      <c r="NV36" s="49"/>
      <c r="NW36" s="49">
        <v>794</v>
      </c>
      <c r="NX36" s="67">
        <f t="shared" ref="NX36:NX45" si="1980">SUM(NR36:NW36)</f>
        <v>1194</v>
      </c>
      <c r="NY36" s="68">
        <f t="shared" ref="NY36:NY45" si="1981">NX36/$KN$5</f>
        <v>199</v>
      </c>
      <c r="NZ36" s="48"/>
      <c r="OA36" s="49"/>
      <c r="OB36" s="49"/>
      <c r="OC36" s="49">
        <v>400</v>
      </c>
      <c r="OD36" s="49"/>
      <c r="OE36" s="49"/>
      <c r="OF36" s="67">
        <f t="shared" ref="OF36:OF45" si="1982">SUM(NZ36:OE36)</f>
        <v>400</v>
      </c>
      <c r="OG36" s="68">
        <f t="shared" ref="OG36:OG45" si="1983">OF36/$KN$5</f>
        <v>66.666666666666671</v>
      </c>
      <c r="OH36" s="48"/>
      <c r="OI36" s="49"/>
      <c r="OJ36" s="49"/>
      <c r="OK36" s="49"/>
      <c r="OL36" s="49"/>
      <c r="OM36" s="49"/>
      <c r="ON36" s="67">
        <f t="shared" ref="ON36:ON45" si="1984">SUM(OH36:OM36)</f>
        <v>0</v>
      </c>
      <c r="OO36" s="68">
        <f t="shared" ref="OO36:OO45" si="1985">ON36/$KN$5</f>
        <v>0</v>
      </c>
      <c r="OP36" s="48">
        <v>401</v>
      </c>
      <c r="OQ36" s="49"/>
      <c r="OR36" s="49"/>
      <c r="OS36" s="49"/>
      <c r="OT36" s="49">
        <v>600</v>
      </c>
      <c r="OU36" s="49"/>
      <c r="OV36" s="67">
        <f t="shared" ref="OV36:OV45" si="1986">SUM(OP36:OU36)</f>
        <v>1001</v>
      </c>
      <c r="OW36" s="68">
        <f t="shared" ref="OW36:OW45" si="1987">OV36/$KN$5</f>
        <v>166.83333333333334</v>
      </c>
      <c r="OX36" s="48"/>
      <c r="OY36" s="49">
        <v>410</v>
      </c>
      <c r="OZ36" s="49"/>
      <c r="PA36" s="49"/>
      <c r="PB36" s="49"/>
      <c r="PC36" s="49">
        <v>401</v>
      </c>
      <c r="PD36" s="67">
        <f t="shared" ref="PD36:PD45" si="1988">SUM(OX36:PC36)</f>
        <v>811</v>
      </c>
      <c r="PE36" s="68">
        <f t="shared" ref="PE36:PE45" si="1989">PD36/$PE$5</f>
        <v>135.16666666666666</v>
      </c>
      <c r="PF36" s="48"/>
      <c r="PG36" s="49"/>
      <c r="PH36" s="49">
        <v>1000</v>
      </c>
      <c r="PI36" s="49"/>
      <c r="PJ36" s="49"/>
      <c r="PK36" s="49"/>
      <c r="PL36" s="67">
        <f t="shared" ref="PL36:PL45" si="1990">SUM(PF36:PK36)</f>
        <v>1000</v>
      </c>
      <c r="PM36" s="68">
        <f t="shared" ref="PM36:PM45" si="1991">PL36/$PE$5</f>
        <v>166.66666666666666</v>
      </c>
      <c r="PN36" s="48"/>
      <c r="PO36" s="49"/>
      <c r="PP36" s="49">
        <v>403</v>
      </c>
      <c r="PQ36" s="49"/>
      <c r="PR36" s="49"/>
      <c r="PS36" s="49"/>
      <c r="PT36" s="67">
        <f t="shared" ref="PT36:PT45" si="1992">SUM(PN36:PS36)</f>
        <v>403</v>
      </c>
      <c r="PU36" s="68">
        <f t="shared" ref="PU36:PU45" si="1993">PT36/$PE$5</f>
        <v>67.166666666666671</v>
      </c>
      <c r="PV36" s="106"/>
      <c r="PW36" s="107">
        <v>400</v>
      </c>
      <c r="PX36" s="107"/>
      <c r="PY36" s="107"/>
      <c r="PZ36" s="107"/>
      <c r="QA36" s="107">
        <v>800</v>
      </c>
      <c r="QB36" s="104">
        <f t="shared" ref="QB36:QB45" si="1994">SUM(PV36:QA36)</f>
        <v>1200</v>
      </c>
      <c r="QC36" s="105">
        <f t="shared" ref="QC36:QC45" si="1995">QB36/$PU$5</f>
        <v>200</v>
      </c>
      <c r="QD36" s="106"/>
      <c r="QE36" s="107"/>
      <c r="QF36" s="107"/>
      <c r="QG36" s="107"/>
      <c r="QH36" s="107"/>
      <c r="QI36" s="107"/>
      <c r="QJ36" s="104">
        <f t="shared" ref="QJ36:QJ45" si="1996">SUM(QD36:QI36)</f>
        <v>0</v>
      </c>
      <c r="QK36" s="105">
        <f t="shared" ref="QK36:QK45" si="1997">QJ36/$PU$5</f>
        <v>0</v>
      </c>
      <c r="QL36" s="106"/>
      <c r="QM36" s="107">
        <v>400</v>
      </c>
      <c r="QN36" s="107"/>
      <c r="QO36" s="107">
        <v>200</v>
      </c>
      <c r="QP36" s="107"/>
      <c r="QQ36" s="107"/>
      <c r="QR36" s="104">
        <f t="shared" ref="QR36:QR45" si="1998">SUM(QL36:QQ36)</f>
        <v>600</v>
      </c>
      <c r="QS36" s="105">
        <f t="shared" ref="QS36:QS45" si="1999">QR36/$PU$5</f>
        <v>100</v>
      </c>
      <c r="QT36" s="106"/>
      <c r="QU36" s="107">
        <v>206</v>
      </c>
      <c r="QV36" s="107"/>
      <c r="QW36" s="107"/>
      <c r="QX36" s="107">
        <v>400</v>
      </c>
      <c r="QY36" s="107"/>
      <c r="QZ36" s="104">
        <f t="shared" ref="QZ36:QZ45" si="2000">SUM(QT36:QY36)</f>
        <v>606</v>
      </c>
      <c r="RA36" s="105">
        <f t="shared" ref="RA36:RA45" si="2001">QZ36/$PU$5</f>
        <v>101</v>
      </c>
      <c r="RB36" s="106">
        <v>458</v>
      </c>
      <c r="RC36" s="107"/>
      <c r="RD36" s="107">
        <v>431</v>
      </c>
      <c r="RE36" s="107">
        <v>407</v>
      </c>
      <c r="RF36" s="107"/>
      <c r="RG36" s="107"/>
      <c r="RH36" s="104">
        <f t="shared" ref="RH36:RH45" si="2002">SUM(RB36:RG36)</f>
        <v>1296</v>
      </c>
      <c r="RI36" s="105">
        <f t="shared" ref="RI36:RI45" si="2003">RH36/$PU$5</f>
        <v>216</v>
      </c>
      <c r="RJ36" s="106"/>
      <c r="RK36" s="107"/>
      <c r="RL36" s="107"/>
      <c r="RM36" s="107"/>
      <c r="RN36" s="107"/>
      <c r="RO36" s="107"/>
      <c r="RP36" s="104">
        <f t="shared" ref="RP36:RP45" si="2004">SUM(RJ36:RO36)</f>
        <v>0</v>
      </c>
      <c r="RQ36" s="105">
        <f t="shared" ref="RQ36:RQ45" si="2005">RP36/$PU$5</f>
        <v>0</v>
      </c>
      <c r="RR36" s="106">
        <v>189</v>
      </c>
      <c r="RS36" s="107"/>
      <c r="RT36" s="107">
        <v>1598</v>
      </c>
      <c r="RU36" s="107"/>
      <c r="RV36" s="107"/>
      <c r="RW36" s="107"/>
      <c r="RX36" s="104">
        <f t="shared" ref="RX36:RX45" si="2006">SUM(RR36:RW36)</f>
        <v>1787</v>
      </c>
      <c r="RY36" s="105">
        <f t="shared" ref="RY36:RY45" si="2007">RX36/$PU$5</f>
        <v>297.83333333333331</v>
      </c>
      <c r="RZ36" s="106"/>
      <c r="SA36" s="107"/>
      <c r="SB36" s="107"/>
      <c r="SC36" s="107"/>
      <c r="SD36" s="107"/>
      <c r="SE36" s="107"/>
      <c r="SF36" s="104">
        <f t="shared" ref="SF36:SF45" si="2008">SUM(RZ36:SE36)</f>
        <v>0</v>
      </c>
      <c r="SG36" s="105">
        <f t="shared" ref="SG36:SG45" si="2009">SF36/$PU$5</f>
        <v>0</v>
      </c>
      <c r="SH36" s="106">
        <v>797</v>
      </c>
      <c r="SI36" s="107"/>
      <c r="SJ36" s="107">
        <v>200</v>
      </c>
      <c r="SK36" s="107"/>
      <c r="SL36" s="107"/>
      <c r="SM36" s="107">
        <v>199</v>
      </c>
      <c r="SN36" s="104">
        <f t="shared" ref="SN36:SN45" si="2010">SUM(SH36:SM36)</f>
        <v>1196</v>
      </c>
      <c r="SO36" s="105">
        <f t="shared" ref="SO36:SO45" si="2011">SN36/$PU$5</f>
        <v>199.33333333333334</v>
      </c>
      <c r="SP36" s="106">
        <v>600</v>
      </c>
      <c r="SQ36" s="107"/>
      <c r="SR36" s="107">
        <v>300</v>
      </c>
      <c r="SS36" s="107"/>
      <c r="ST36" s="107"/>
      <c r="SU36" s="107"/>
      <c r="SV36" s="104">
        <f t="shared" ref="SV36:SV45" si="2012">SUM(SP36:SU36)</f>
        <v>900</v>
      </c>
      <c r="SW36" s="105">
        <f t="shared" ref="SW36:SW45" si="2013">SV36/$PU$5</f>
        <v>150</v>
      </c>
      <c r="SX36" s="106"/>
      <c r="SY36" s="107"/>
      <c r="SZ36" s="107">
        <v>597</v>
      </c>
      <c r="TA36" s="107"/>
      <c r="TB36" s="107">
        <v>200</v>
      </c>
      <c r="TC36" s="107">
        <v>300</v>
      </c>
      <c r="TD36" s="104">
        <f t="shared" ref="TD36:TD45" si="2014">SUM(SX36:TC36)</f>
        <v>1097</v>
      </c>
      <c r="TE36" s="105">
        <f t="shared" ref="TE36:TE45" si="2015">TD36/$PU$5</f>
        <v>182.83333333333334</v>
      </c>
      <c r="TF36" s="106"/>
      <c r="TG36" s="107"/>
      <c r="TH36" s="107"/>
      <c r="TI36" s="107"/>
      <c r="TJ36" s="107"/>
      <c r="TK36" s="107"/>
      <c r="TL36" s="104">
        <f t="shared" ref="TL36:TL45" si="2016">SUM(TF36:TK36)</f>
        <v>0</v>
      </c>
      <c r="TM36" s="105">
        <f t="shared" ref="TM36:TM45" si="2017">TL36/$PU$5</f>
        <v>0</v>
      </c>
      <c r="TN36" s="130"/>
      <c r="TO36" s="107"/>
      <c r="TP36" s="107">
        <v>301</v>
      </c>
      <c r="TQ36" s="107"/>
      <c r="TR36" s="107"/>
      <c r="TS36" s="107">
        <v>200</v>
      </c>
      <c r="TT36" s="104">
        <f t="shared" ref="TT36:TT45" si="2018">SUM(TN36:TS36)</f>
        <v>501</v>
      </c>
      <c r="TU36" s="105">
        <f t="shared" ref="TU36:TU45" si="2019">TT36/$PU$5</f>
        <v>83.5</v>
      </c>
      <c r="TV36" s="106"/>
      <c r="TW36" s="107"/>
      <c r="TX36" s="107">
        <v>598</v>
      </c>
      <c r="TY36" s="107"/>
      <c r="TZ36" s="107">
        <v>200</v>
      </c>
      <c r="UA36" s="107"/>
      <c r="UB36" s="104">
        <f t="shared" ref="UB36:UB45" si="2020">SUM(TV36:UA36)</f>
        <v>798</v>
      </c>
      <c r="UC36" s="105">
        <f t="shared" ref="UC36:UC45" si="2021">UB36/$PU$5</f>
        <v>133</v>
      </c>
      <c r="UD36" s="106"/>
      <c r="UE36" s="107"/>
      <c r="UF36" s="107">
        <v>404</v>
      </c>
      <c r="UG36" s="107"/>
      <c r="UH36" s="107"/>
      <c r="UI36" s="107">
        <v>401</v>
      </c>
      <c r="UJ36" s="104">
        <f t="shared" ref="UJ36:UJ45" si="2022">SUM(UD36:UI36)</f>
        <v>805</v>
      </c>
      <c r="UK36" s="105">
        <f t="shared" ref="UK36:UK45" si="2023">UJ36/$PU$5</f>
        <v>134.16666666666666</v>
      </c>
      <c r="UL36" s="106">
        <v>200</v>
      </c>
      <c r="UM36" s="107"/>
      <c r="UN36" s="107"/>
      <c r="UO36" s="107"/>
      <c r="UP36" s="107"/>
      <c r="UQ36" s="107"/>
      <c r="UR36" s="107"/>
      <c r="US36" s="104">
        <f t="shared" si="1579"/>
        <v>200</v>
      </c>
      <c r="UT36" s="105">
        <f t="shared" ref="UT36:UT45" si="2024">US36/$PU$5</f>
        <v>33.333333333333336</v>
      </c>
      <c r="UU36" s="106">
        <v>600</v>
      </c>
      <c r="UV36" s="107"/>
      <c r="UW36" s="107"/>
      <c r="UX36" s="107"/>
      <c r="UY36" s="107">
        <v>200</v>
      </c>
      <c r="UZ36" s="107"/>
      <c r="VA36" s="104">
        <f t="shared" ref="VA36:VA45" si="2025">SUM(UU36:UZ36)</f>
        <v>800</v>
      </c>
      <c r="VB36" s="105">
        <f t="shared" ref="VB36:VB45" si="2026">VA36/$VB$5</f>
        <v>133.33333333333334</v>
      </c>
      <c r="VC36" s="106"/>
      <c r="VD36" s="107"/>
      <c r="VE36" s="107"/>
      <c r="VF36" s="107">
        <v>434</v>
      </c>
      <c r="VG36" s="107"/>
      <c r="VH36" s="107">
        <v>600</v>
      </c>
      <c r="VI36" s="104">
        <f t="shared" ref="VI36:VI45" si="2027">SUM(VC36:VH36)</f>
        <v>1034</v>
      </c>
      <c r="VJ36" s="105">
        <f t="shared" ref="VJ36:VJ45" si="2028">VI36/$VJ$5</f>
        <v>172.33333333333334</v>
      </c>
      <c r="VK36" s="48"/>
      <c r="VL36" s="49"/>
      <c r="VM36" s="49"/>
      <c r="VN36" s="49">
        <v>354</v>
      </c>
      <c r="VO36" s="49"/>
      <c r="VP36" s="49">
        <v>400</v>
      </c>
      <c r="VQ36" s="67">
        <f t="shared" ref="VQ36:VQ45" si="2029">SUM(VK36:VP36)</f>
        <v>754</v>
      </c>
      <c r="VR36" s="68">
        <f t="shared" ref="VR36:VR45" si="2030">VQ36/$VJ$5</f>
        <v>125.66666666666667</v>
      </c>
      <c r="VS36" s="106"/>
      <c r="VT36" s="107">
        <v>600</v>
      </c>
      <c r="VU36" s="107"/>
      <c r="VV36" s="107"/>
      <c r="VW36" s="107"/>
      <c r="VX36" s="107"/>
      <c r="VY36" s="104">
        <f t="shared" ref="VY36:VY45" si="2031">SUM(VS36:VX36)</f>
        <v>600</v>
      </c>
      <c r="VZ36" s="105">
        <f t="shared" ref="VZ36:VZ45" si="2032">VY36/$VJ$5</f>
        <v>100</v>
      </c>
      <c r="WA36" s="63">
        <v>598</v>
      </c>
      <c r="WB36" s="64"/>
      <c r="WC36" s="64"/>
      <c r="WD36" s="64"/>
      <c r="WE36" s="64"/>
      <c r="WF36" s="64"/>
      <c r="WG36" s="67">
        <f t="shared" ref="WG36:WG45" si="2033">SUM(WA36:WF36)</f>
        <v>598</v>
      </c>
      <c r="WH36" s="68">
        <f t="shared" ref="WH36:WH45" si="2034">WG36/$VJ$5</f>
        <v>99.666666666666671</v>
      </c>
      <c r="WI36" s="106">
        <v>400</v>
      </c>
      <c r="WJ36" s="107"/>
      <c r="WK36" s="107"/>
      <c r="WL36" s="107"/>
      <c r="WM36" s="107">
        <v>200</v>
      </c>
      <c r="WN36" s="107"/>
      <c r="WO36" s="104">
        <f t="shared" ref="WO36:WO45" si="2035">SUM(WI36:WN36)</f>
        <v>600</v>
      </c>
      <c r="WP36" s="105">
        <f t="shared" ref="WP36:WP45" si="2036">WO36/$VJ$5</f>
        <v>100</v>
      </c>
      <c r="WQ36" s="48">
        <v>200</v>
      </c>
      <c r="WR36" s="49"/>
      <c r="WS36" s="49">
        <v>201</v>
      </c>
      <c r="WT36" s="49"/>
      <c r="WU36" s="49"/>
      <c r="WV36" s="49">
        <v>400</v>
      </c>
      <c r="WW36" s="49">
        <v>400</v>
      </c>
      <c r="WX36" s="67">
        <f t="shared" ref="WX36:WX45" si="2037">SUM(WR36:WW36)</f>
        <v>1001</v>
      </c>
      <c r="WY36" s="68">
        <f t="shared" ref="WY36:WY45" si="2038">WX36/$VJ$5</f>
        <v>166.83333333333334</v>
      </c>
      <c r="WZ36" s="48"/>
      <c r="XA36" s="49"/>
      <c r="XB36" s="49"/>
      <c r="XC36" s="49"/>
      <c r="XD36" s="49">
        <v>600</v>
      </c>
      <c r="XE36" s="49"/>
      <c r="XF36" s="49"/>
      <c r="XG36" s="67">
        <f t="shared" ref="XG36:XG45" si="2039">SUM(XA36:XF36)</f>
        <v>600</v>
      </c>
      <c r="XH36" s="68">
        <f t="shared" ref="XH36:XH45" si="2040">XG36/$VJ$5</f>
        <v>100</v>
      </c>
      <c r="XI36" s="48"/>
      <c r="XJ36" s="49">
        <v>389</v>
      </c>
      <c r="XK36" s="49"/>
      <c r="XL36" s="49">
        <v>620</v>
      </c>
      <c r="XM36" s="49"/>
      <c r="XN36" s="49"/>
      <c r="XO36" s="49"/>
      <c r="XP36" s="67">
        <f t="shared" ref="XP36:XP45" si="2041">SUM(XJ36:XO36)</f>
        <v>1009</v>
      </c>
      <c r="XQ36" s="68">
        <f t="shared" ref="XQ36:XQ45" si="2042">XP36/$VJ$5</f>
        <v>168.16666666666666</v>
      </c>
      <c r="XR36" s="48">
        <v>200</v>
      </c>
      <c r="XS36" s="49"/>
      <c r="XT36" s="49"/>
      <c r="XU36" s="49"/>
      <c r="XV36" s="49"/>
      <c r="XW36" s="49"/>
      <c r="XX36" s="49"/>
      <c r="XY36" s="67">
        <f t="shared" ref="XY36:XY45" si="2043">SUM(XS36:XX36)</f>
        <v>0</v>
      </c>
      <c r="XZ36" s="68">
        <f t="shared" ref="XZ36:XZ45" si="2044">XY36/$VJ$5</f>
        <v>0</v>
      </c>
      <c r="YA36" s="48"/>
      <c r="YB36" s="49">
        <v>199</v>
      </c>
      <c r="YC36" s="49"/>
      <c r="YD36" s="49"/>
      <c r="YE36" s="49">
        <v>197</v>
      </c>
      <c r="YF36" s="49"/>
      <c r="YG36" s="49"/>
      <c r="YH36" s="67">
        <f t="shared" ref="YH36:YH45" si="2045">SUM(YB36:YG36)</f>
        <v>396</v>
      </c>
      <c r="YI36" s="68">
        <f t="shared" ref="YI36:YI45" si="2046">YH36/$VJ$5</f>
        <v>66</v>
      </c>
      <c r="YJ36" s="48"/>
      <c r="YK36" s="49">
        <v>199</v>
      </c>
      <c r="YL36" s="49"/>
      <c r="YM36" s="49">
        <v>200</v>
      </c>
      <c r="YN36" s="49"/>
      <c r="YO36" s="49"/>
      <c r="YP36" s="49">
        <v>389</v>
      </c>
      <c r="YQ36" s="67">
        <f t="shared" ref="YQ36:YQ45" si="2047">SUM(YJ36:YP36)</f>
        <v>788</v>
      </c>
      <c r="YR36" s="68">
        <f t="shared" ref="YR36:YR45" si="2048">YQ36/$VJ$5</f>
        <v>131.33333333333334</v>
      </c>
      <c r="YS36" s="48"/>
      <c r="YT36" s="49"/>
      <c r="YU36" s="49"/>
      <c r="YV36" s="49">
        <v>300</v>
      </c>
      <c r="YW36" s="49">
        <v>100</v>
      </c>
      <c r="YX36" s="49">
        <v>200</v>
      </c>
      <c r="YY36" s="67">
        <f t="shared" ref="YY36:YY45" si="2049">SUM(YS36:YX36)</f>
        <v>600</v>
      </c>
      <c r="YZ36" s="68">
        <f t="shared" ref="YZ36:YZ45" si="2050">YY36/$VJ$5</f>
        <v>100</v>
      </c>
      <c r="ZA36" s="48"/>
      <c r="ZB36" s="49">
        <v>413</v>
      </c>
      <c r="ZC36" s="49">
        <v>200</v>
      </c>
      <c r="ZD36" s="49"/>
      <c r="ZE36" s="49"/>
      <c r="ZF36" s="49"/>
      <c r="ZG36" s="67">
        <f t="shared" ref="ZG36:ZG45" si="2051">SUM(ZA36:ZF36)</f>
        <v>613</v>
      </c>
      <c r="ZH36" s="68">
        <f t="shared" ref="ZH36:ZH45" si="2052">ZG36/$VJ$5</f>
        <v>102.16666666666667</v>
      </c>
      <c r="ZI36" s="48">
        <v>200</v>
      </c>
      <c r="ZJ36" s="49"/>
      <c r="ZK36" s="49"/>
      <c r="ZL36" s="49"/>
      <c r="ZM36" s="49"/>
      <c r="ZN36" s="24">
        <v>199</v>
      </c>
      <c r="ZO36" s="67">
        <f t="shared" ref="ZO36:ZO45" si="2053">SUM(ZI36:ZN36)</f>
        <v>399</v>
      </c>
      <c r="ZP36" s="68">
        <f t="shared" ref="ZP36:ZP45" si="2054">ZO36/$VJ$5</f>
        <v>66.5</v>
      </c>
      <c r="ZQ36" s="48"/>
      <c r="ZR36" s="49">
        <v>400</v>
      </c>
      <c r="ZS36" s="49"/>
      <c r="ZT36" s="49"/>
      <c r="ZU36" s="49"/>
      <c r="ZV36" s="49">
        <v>571</v>
      </c>
      <c r="ZW36" s="49">
        <v>400</v>
      </c>
      <c r="ZX36" s="67">
        <f t="shared" ref="ZX36:ZX45" si="2055">SUM(ZQ36:ZW36)</f>
        <v>1371</v>
      </c>
      <c r="ZY36" s="70">
        <f t="shared" ref="ZY36:ZY45" si="2056">ZX36/$VJ$5</f>
        <v>228.5</v>
      </c>
      <c r="ZZ36" s="48"/>
      <c r="AAA36" s="49"/>
      <c r="AAB36" s="49">
        <v>400</v>
      </c>
      <c r="AAC36" s="49">
        <v>200</v>
      </c>
      <c r="AAD36" s="49"/>
      <c r="AAE36" s="49"/>
      <c r="AAF36" s="49">
        <v>197</v>
      </c>
      <c r="AAG36" s="67">
        <f t="shared" ref="AAG36:AAG45" si="2057">SUM(ZZ36:AAF36)</f>
        <v>797</v>
      </c>
      <c r="AAH36" s="68">
        <f t="shared" ref="AAH36:AAH45" si="2058">AAG36/$VJ$5</f>
        <v>132.83333333333334</v>
      </c>
      <c r="AAI36" s="48"/>
      <c r="AAJ36" s="49"/>
      <c r="AAK36" s="49"/>
      <c r="AAL36" s="49"/>
      <c r="AAM36" s="49">
        <v>800</v>
      </c>
      <c r="AAN36" s="49"/>
      <c r="AAO36" s="67">
        <f t="shared" ref="AAO36:AAO45" si="2059">SUM(AAI36:AAN36)</f>
        <v>800</v>
      </c>
      <c r="AAP36" s="68">
        <f t="shared" ref="AAP36:AAP45" si="2060">AAO36/$VJ$5</f>
        <v>133.33333333333334</v>
      </c>
      <c r="AAQ36" s="48">
        <v>380</v>
      </c>
      <c r="AAR36" s="49"/>
      <c r="AAS36" s="49">
        <v>197</v>
      </c>
      <c r="AAT36" s="49">
        <v>597</v>
      </c>
      <c r="AAU36" s="49"/>
      <c r="AAV36" s="49"/>
      <c r="AAW36" s="67">
        <f t="shared" ref="AAW36:AAW45" si="2061">SUM(AAQ36:AAV36)</f>
        <v>1174</v>
      </c>
      <c r="AAX36" s="68">
        <f t="shared" ref="AAX36:AAX45" si="2062">AAW36/$VJ$5</f>
        <v>195.66666666666666</v>
      </c>
      <c r="AAY36" s="48"/>
      <c r="AAZ36" s="49">
        <v>100</v>
      </c>
      <c r="ABA36" s="49"/>
      <c r="ABB36" s="49">
        <v>199</v>
      </c>
      <c r="ABC36" s="49">
        <v>200</v>
      </c>
      <c r="ABD36" s="49"/>
      <c r="ABE36" s="67">
        <f t="shared" ref="ABE36:ABE45" si="2063">SUM(AAY36:ABD36)</f>
        <v>499</v>
      </c>
      <c r="ABF36" s="68">
        <f t="shared" ref="ABF36:ABF45" si="2064">ABE36/$VJ$5</f>
        <v>83.166666666666671</v>
      </c>
      <c r="ABG36" s="48">
        <v>438</v>
      </c>
      <c r="ABH36" s="49"/>
      <c r="ABI36" s="49">
        <v>200</v>
      </c>
      <c r="ABJ36" s="49"/>
      <c r="ABK36" s="49"/>
      <c r="ABL36" s="49">
        <v>800</v>
      </c>
      <c r="ABM36" s="67">
        <f t="shared" ref="ABM36:ABM45" si="2065">SUM(ABG36:ABL36)</f>
        <v>1438</v>
      </c>
      <c r="ABN36" s="68">
        <f t="shared" ref="ABN36:ABN45" si="2066">ABM36/$VJ$5</f>
        <v>239.66666666666666</v>
      </c>
      <c r="ABO36" s="48"/>
      <c r="ABP36" s="49"/>
      <c r="ABQ36" s="49"/>
      <c r="ABR36" s="49"/>
      <c r="ABS36" s="49">
        <v>100</v>
      </c>
      <c r="ABT36" s="49">
        <v>201</v>
      </c>
      <c r="ABU36" s="67">
        <f t="shared" ref="ABU36:ABU45" si="2067">SUM(ABO36:ABT36)</f>
        <v>301</v>
      </c>
      <c r="ABV36" s="68">
        <f t="shared" ref="ABV36:ABV45" si="2068">ABU36/$VJ$5</f>
        <v>50.166666666666664</v>
      </c>
      <c r="ABW36" s="48">
        <v>406</v>
      </c>
      <c r="ABX36" s="49"/>
      <c r="ABY36" s="49">
        <v>400</v>
      </c>
      <c r="ABZ36" s="49"/>
      <c r="ACA36" s="49"/>
      <c r="ACB36" s="49"/>
      <c r="ACC36" s="67">
        <f t="shared" ref="ACC36:ACC45" si="2069">SUM(ABW36:ACB36)</f>
        <v>806</v>
      </c>
      <c r="ACD36" s="68">
        <f t="shared" ref="ACD36:ACD45" si="2070">ACC36/$VJ$5</f>
        <v>134.33333333333334</v>
      </c>
      <c r="ACE36" s="24"/>
      <c r="ACF36" s="49">
        <v>100</v>
      </c>
      <c r="ACG36" s="49"/>
      <c r="ACH36" s="49">
        <v>660</v>
      </c>
      <c r="ACI36" s="49"/>
      <c r="ACJ36" s="49"/>
      <c r="ACK36" s="67">
        <f t="shared" ref="ACK36:ACK45" si="2071">SUM(ACE36:ACJ36)</f>
        <v>760</v>
      </c>
      <c r="ACL36" s="68">
        <f t="shared" ref="ACL36:ACL45" si="2072">ACK36/$VJ$5</f>
        <v>126.66666666666667</v>
      </c>
      <c r="ACM36" s="48"/>
      <c r="ACN36" s="49"/>
      <c r="ACO36" s="49">
        <v>99</v>
      </c>
      <c r="ACP36" s="49"/>
      <c r="ACQ36" s="49"/>
      <c r="ACR36" s="49"/>
      <c r="ACS36" s="67">
        <f t="shared" ref="ACS36:ACS45" si="2073">SUM(ACM36:ACR36)</f>
        <v>99</v>
      </c>
      <c r="ACT36" s="68">
        <f t="shared" ref="ACT36:ACT45" si="2074">ACS36/$VJ$5</f>
        <v>16.5</v>
      </c>
      <c r="ACU36" s="48"/>
      <c r="ACV36" s="49">
        <v>220</v>
      </c>
      <c r="ACW36" s="49"/>
      <c r="ACX36" s="49">
        <v>450</v>
      </c>
      <c r="ACY36" s="49"/>
      <c r="ACZ36" s="49">
        <v>488</v>
      </c>
      <c r="ADA36" s="67">
        <f t="shared" ref="ADA36:ADA45" si="2075">SUM(ACU36:ACZ36)</f>
        <v>1158</v>
      </c>
      <c r="ADB36" s="68">
        <f t="shared" ref="ADB36:ADB45" si="2076">ADA36/$VJ$5</f>
        <v>193</v>
      </c>
      <c r="ADC36" s="48"/>
      <c r="ADD36" s="49">
        <v>213</v>
      </c>
      <c r="ADE36" s="49"/>
      <c r="ADF36" s="49">
        <v>593</v>
      </c>
      <c r="ADG36" s="49"/>
      <c r="ADH36" s="49"/>
      <c r="ADI36" s="67">
        <f t="shared" ref="ADI36:ADI45" si="2077">SUM(ADC36:ADH36)</f>
        <v>806</v>
      </c>
      <c r="ADJ36" s="68">
        <f t="shared" ref="ADJ36:ADJ45" si="2078">ADI36/$VJ$5</f>
        <v>134.33333333333334</v>
      </c>
      <c r="ADK36" s="48">
        <v>213</v>
      </c>
      <c r="ADL36" s="49">
        <v>214</v>
      </c>
      <c r="ADM36" s="49"/>
      <c r="ADN36" s="49"/>
      <c r="ADO36" s="49"/>
      <c r="ADP36" s="49"/>
      <c r="ADQ36" s="67">
        <f t="shared" ref="ADQ36:ADQ45" si="2079">SUM(ADK36:ADP36)</f>
        <v>427</v>
      </c>
      <c r="ADR36" s="68">
        <f t="shared" ref="ADR36:ADR45" si="2080">ADQ36/$VJ$5</f>
        <v>71.166666666666671</v>
      </c>
      <c r="ADS36" s="48"/>
      <c r="ADT36" s="49"/>
      <c r="ADU36" s="49"/>
      <c r="ADV36" s="49"/>
      <c r="ADW36" s="49"/>
      <c r="ADX36" s="49"/>
      <c r="ADY36" s="67">
        <f t="shared" ref="ADY36:ADY45" si="2081">SUM(ADS36:ADX36)</f>
        <v>0</v>
      </c>
      <c r="ADZ36" s="68">
        <f t="shared" ref="ADZ36:ADZ45" si="2082">ADY36/$VJ$5</f>
        <v>0</v>
      </c>
      <c r="AEA36" s="48">
        <v>200</v>
      </c>
      <c r="AEB36" s="49"/>
      <c r="AEC36" s="49">
        <v>199</v>
      </c>
      <c r="AED36" s="49"/>
      <c r="AEE36" s="49">
        <v>220</v>
      </c>
      <c r="AEF36" s="49"/>
      <c r="AEG36" s="67">
        <f t="shared" ref="AEG36:AEG45" si="2083">SUM(AEA36:AEF36)</f>
        <v>619</v>
      </c>
      <c r="AEH36" s="68">
        <f t="shared" ref="AEH36:AEH45" si="2084">AEG36/$VJ$5</f>
        <v>103.16666666666667</v>
      </c>
      <c r="AEI36" s="48">
        <v>399</v>
      </c>
      <c r="AEJ36" s="49"/>
      <c r="AEK36" s="49"/>
      <c r="AEL36" s="49">
        <v>444</v>
      </c>
      <c r="AEM36" s="49"/>
      <c r="AEN36" s="49"/>
      <c r="AEO36" s="67">
        <f t="shared" ref="AEO36:AEO45" si="2085">SUM(AEI36:AEN36)</f>
        <v>843</v>
      </c>
      <c r="AEP36" s="68">
        <f t="shared" ref="AEP36:AEP45" si="2086">AEO36/$VJ$5</f>
        <v>140.5</v>
      </c>
      <c r="AEQ36" s="48">
        <v>440</v>
      </c>
      <c r="AER36" s="49"/>
      <c r="AES36" s="49">
        <v>198</v>
      </c>
      <c r="AET36" s="49"/>
      <c r="AEU36" s="49">
        <v>220</v>
      </c>
      <c r="AEV36" s="49"/>
      <c r="AEW36" s="67">
        <f t="shared" ref="AEW36:AEW45" si="2087">SUM(AEQ36:AEV36)</f>
        <v>858</v>
      </c>
      <c r="AEX36" s="68">
        <f t="shared" ref="AEX36:AEX45" si="2088">AEW36/$VJ$5</f>
        <v>143</v>
      </c>
      <c r="AEY36" s="48"/>
      <c r="AEZ36" s="49">
        <v>330</v>
      </c>
      <c r="AFA36" s="49"/>
      <c r="AFB36" s="49"/>
      <c r="AFC36" s="49"/>
      <c r="AFD36" s="49"/>
      <c r="AFE36" s="67">
        <f t="shared" ref="AFE36:AFE45" si="2089">SUM(AEY36:AFD36)</f>
        <v>330</v>
      </c>
      <c r="AFF36" s="68">
        <f t="shared" ref="AFF36:AFF45" si="2090">AFE36/$VJ$5</f>
        <v>55</v>
      </c>
      <c r="AFG36" s="48">
        <v>301</v>
      </c>
      <c r="AFH36" s="49">
        <v>220</v>
      </c>
      <c r="AFI36" s="49"/>
      <c r="AFJ36" s="49"/>
      <c r="AFK36" s="49">
        <v>98</v>
      </c>
      <c r="AFL36" s="49"/>
      <c r="AFM36" s="67">
        <f t="shared" ref="AFM36:AFM45" si="2091">SUM(AFG36:AFL36)</f>
        <v>619</v>
      </c>
      <c r="AFN36" s="68">
        <f t="shared" ref="AFN36:AFN45" si="2092">AFM36/$VJ$5</f>
        <v>103.16666666666667</v>
      </c>
      <c r="AFO36" s="48"/>
      <c r="AFP36" s="49">
        <v>330</v>
      </c>
      <c r="AFQ36" s="49"/>
      <c r="AFR36" s="49"/>
      <c r="AFS36" s="49"/>
      <c r="AFT36" s="49">
        <v>190</v>
      </c>
      <c r="AFU36" s="67">
        <f t="shared" ref="AFU36:AFU45" si="2093">SUM(AFO36:AFT36)</f>
        <v>520</v>
      </c>
      <c r="AFV36" s="68">
        <f t="shared" ref="AFV36:AFV45" si="2094">AFU36/$VJ$5</f>
        <v>86.666666666666671</v>
      </c>
      <c r="AFW36" s="48"/>
      <c r="AFX36" s="49"/>
      <c r="AFY36" s="49"/>
      <c r="AFZ36" s="49">
        <v>401</v>
      </c>
      <c r="AGA36" s="49"/>
      <c r="AGB36" s="49"/>
      <c r="AGC36" s="67">
        <f t="shared" ref="AGC36:AGC45" si="2095">SUM(AFW36:AGB36)</f>
        <v>401</v>
      </c>
      <c r="AGD36" s="68">
        <f t="shared" ref="AGD36:AGD45" si="2096">AGC36/$VJ$5</f>
        <v>66.833333333333329</v>
      </c>
      <c r="AGE36" s="48">
        <v>658</v>
      </c>
      <c r="AGF36" s="49"/>
      <c r="AGG36" s="49"/>
      <c r="AGH36" s="49"/>
      <c r="AGI36" s="49">
        <v>220</v>
      </c>
      <c r="AGJ36" s="49"/>
      <c r="AGK36" s="67">
        <f t="shared" ref="AGK36:AGK45" si="2097">SUM(AGE36:AGJ36)</f>
        <v>878</v>
      </c>
      <c r="AGL36" s="68">
        <f t="shared" ref="AGL36:AGL45" si="2098">AGK36/$VJ$5</f>
        <v>146.33333333333334</v>
      </c>
      <c r="AGM36" s="48"/>
      <c r="AGN36" s="49"/>
      <c r="AGO36" s="49"/>
      <c r="AGP36" s="49">
        <v>218</v>
      </c>
      <c r="AGQ36" s="49">
        <v>220</v>
      </c>
      <c r="AGR36" s="49"/>
      <c r="AGS36" s="49"/>
      <c r="AGT36" s="67">
        <f t="shared" ref="AGT36:AGT45" si="2099">SUM(AGN36:AGS36)</f>
        <v>438</v>
      </c>
      <c r="AGU36" s="68">
        <f t="shared" ref="AGU36:AGU45" si="2100">AGT36/$VJ$5</f>
        <v>73</v>
      </c>
      <c r="AGV36" s="48">
        <v>440</v>
      </c>
      <c r="AGW36" s="49"/>
      <c r="AGX36" s="49"/>
      <c r="AGY36" s="49"/>
      <c r="AGZ36" s="49">
        <v>660</v>
      </c>
      <c r="AHA36" s="49"/>
      <c r="AHB36" s="67">
        <f t="shared" ref="AHB36:AHB45" si="2101">SUM(AGV36:AHA36)</f>
        <v>1100</v>
      </c>
      <c r="AHC36" s="68">
        <f t="shared" ref="AHC36:AHC45" si="2102">AHB36/$AEZ$6</f>
        <v>37.931034482758619</v>
      </c>
      <c r="AHD36" s="48">
        <v>218</v>
      </c>
      <c r="AHE36" s="49"/>
      <c r="AHF36" s="49"/>
      <c r="AHG36" s="49"/>
      <c r="AHH36" s="49"/>
      <c r="AHI36" s="49"/>
      <c r="AHJ36" s="67">
        <f t="shared" ref="AHJ36:AHJ45" si="2103">SUM(AHD36:AHI36)</f>
        <v>218</v>
      </c>
      <c r="AHK36" s="68">
        <f t="shared" ref="AHK36:AHK45" si="2104">AHJ36/$AEZ$6</f>
        <v>7.5172413793103452</v>
      </c>
      <c r="AHL36" s="48"/>
      <c r="AHM36" s="49">
        <v>220</v>
      </c>
      <c r="AHN36" s="49"/>
      <c r="AHO36" s="49">
        <v>330</v>
      </c>
      <c r="AHP36" s="49"/>
      <c r="AHQ36" s="49"/>
      <c r="AHR36" s="67">
        <f t="shared" ref="AHR36:AHR45" si="2105">SUM(AHL36:AHQ36)</f>
        <v>550</v>
      </c>
      <c r="AHS36" s="68">
        <f t="shared" ref="AHS36:AHS45" si="2106">AHR36/$AEZ$6</f>
        <v>18.96551724137931</v>
      </c>
      <c r="AHT36" s="48"/>
      <c r="AHU36" s="49"/>
      <c r="AHV36" s="49">
        <v>440</v>
      </c>
      <c r="AHW36" s="49"/>
      <c r="AHX36" s="49">
        <v>440</v>
      </c>
      <c r="AHY36" s="49">
        <v>110</v>
      </c>
      <c r="AHZ36" s="67">
        <f t="shared" ref="AHZ36:AHZ45" si="2107">SUM(AHT36:AHY36)</f>
        <v>990</v>
      </c>
      <c r="AIA36" s="68">
        <f t="shared" ref="AIA36:AIA45" si="2108">AHZ36/$AEZ$6</f>
        <v>34.137931034482762</v>
      </c>
      <c r="AIB36" s="48"/>
      <c r="AIC36" s="49"/>
      <c r="AID36" s="49"/>
      <c r="AIE36" s="49"/>
      <c r="AIF36" s="49"/>
      <c r="AIG36" s="49"/>
      <c r="AIH36" s="67">
        <f t="shared" ref="AIH36:AIH45" si="2109">SUM(AIB36:AIG36)</f>
        <v>0</v>
      </c>
      <c r="AII36" s="68">
        <f t="shared" ref="AII36:AII45" si="2110">AIH36/$AEZ$6</f>
        <v>0</v>
      </c>
      <c r="AIJ36" s="48">
        <v>220</v>
      </c>
      <c r="AIK36" s="49"/>
      <c r="AIL36" s="49"/>
      <c r="AIM36" s="49">
        <v>439</v>
      </c>
      <c r="AIN36" s="49"/>
      <c r="AIO36" s="49">
        <v>436</v>
      </c>
      <c r="AIP36" s="67">
        <f t="shared" ref="AIP36:AIP45" si="2111">SUM(AIJ36:AIO36)</f>
        <v>1095</v>
      </c>
      <c r="AIQ36" s="68">
        <f t="shared" ref="AIQ36:AIQ45" si="2112">AIP36/$AEZ$6</f>
        <v>37.758620689655174</v>
      </c>
      <c r="AIR36" s="48"/>
      <c r="AIS36" s="49"/>
      <c r="AIT36" s="49">
        <v>220</v>
      </c>
      <c r="AIU36" s="49">
        <v>440</v>
      </c>
      <c r="AIV36" s="49"/>
      <c r="AIW36" s="49"/>
      <c r="AIX36" s="67">
        <f t="shared" ref="AIX36:AIX45" si="2113">SUM(AIR36:AIW36)</f>
        <v>660</v>
      </c>
      <c r="AIY36" s="68">
        <f t="shared" ref="AIY36:AIY45" si="2114">AIX36/$AEZ$6</f>
        <v>22.758620689655171</v>
      </c>
      <c r="AIZ36" s="48"/>
      <c r="AJA36" s="49">
        <v>500</v>
      </c>
      <c r="AJB36" s="49"/>
      <c r="AJC36" s="49"/>
      <c r="AJD36" s="49"/>
      <c r="AJE36" s="49"/>
      <c r="AJF36" s="67">
        <f t="shared" ref="AJF36:AJF45" si="2115">SUM(AIZ36:AJE36)</f>
        <v>500</v>
      </c>
      <c r="AJG36" s="68">
        <f t="shared" ref="AJG36:AJG45" si="2116">AJF36/$AEZ$6</f>
        <v>17.241379310344829</v>
      </c>
      <c r="AJH36" s="48"/>
      <c r="AJI36" s="49"/>
      <c r="AJJ36" s="49"/>
      <c r="AJK36" s="49"/>
      <c r="AJL36" s="49"/>
      <c r="AJM36" s="49"/>
      <c r="AJN36" s="42">
        <f t="shared" ref="AJN36:AJN45" si="2117">SUM(AJH36:AJM36)</f>
        <v>0</v>
      </c>
      <c r="AJO36" s="43">
        <f t="shared" ref="AJO36:AJO45" si="2118">AJN36/$AEZ$6</f>
        <v>0</v>
      </c>
      <c r="AJP36" s="48">
        <v>213</v>
      </c>
      <c r="AJQ36" s="49"/>
      <c r="AJR36" s="49">
        <v>330</v>
      </c>
      <c r="AJS36" s="49">
        <v>407</v>
      </c>
      <c r="AJT36" s="49"/>
      <c r="AJU36" s="49"/>
      <c r="AJV36" s="42">
        <f t="shared" ref="AJV36:AJV45" si="2119">SUM(AJP36:AJU36)</f>
        <v>950</v>
      </c>
      <c r="AJW36" s="43">
        <f t="shared" ref="AJW36:AJW45" si="2120">AJV36/$AEZ$6</f>
        <v>32.758620689655174</v>
      </c>
      <c r="AJX36" s="48">
        <v>220</v>
      </c>
      <c r="AJY36" s="49"/>
      <c r="AJZ36" s="49"/>
      <c r="AKA36" s="49"/>
      <c r="AKB36" s="49">
        <v>435</v>
      </c>
      <c r="AKC36" s="49"/>
      <c r="AKD36" s="67">
        <f t="shared" ref="AKD36:AKD45" si="2121">SUM(AJX36:AKC36)</f>
        <v>655</v>
      </c>
      <c r="AKE36" s="68">
        <f t="shared" ref="AKE36:AKE45" si="2122">AKD36/$AEZ$6</f>
        <v>22.586206896551722</v>
      </c>
      <c r="AKF36" s="48">
        <v>429</v>
      </c>
      <c r="AKG36" s="49"/>
      <c r="AKH36" s="49">
        <v>401</v>
      </c>
      <c r="AKI36" s="49"/>
      <c r="AKJ36" s="49"/>
      <c r="AKK36" s="49"/>
      <c r="AKL36" s="67">
        <f t="shared" ref="AKL36:AKL45" si="2123">SUM(AKF36:AKK36)</f>
        <v>830</v>
      </c>
      <c r="AKM36" s="184">
        <f t="shared" ref="AKM36:AKM45" si="2124">AKL36/$AKM$5</f>
        <v>138.33333333333334</v>
      </c>
      <c r="AKN36" s="195"/>
      <c r="AKO36" s="49">
        <v>220</v>
      </c>
      <c r="AKP36" s="49"/>
      <c r="AKQ36" s="49"/>
      <c r="AKR36" s="49"/>
      <c r="AKS36" s="49"/>
      <c r="AKT36" s="67">
        <f t="shared" ref="AKT36:AKT45" si="2125">SUM(AKN36:AKS36)</f>
        <v>220</v>
      </c>
      <c r="AKU36" s="184">
        <f t="shared" ref="AKU36:AKU45" si="2126">AKT36/$AKM$5</f>
        <v>36.666666666666664</v>
      </c>
      <c r="AKV36" s="48">
        <v>220</v>
      </c>
      <c r="AKW36" s="49">
        <v>330</v>
      </c>
      <c r="AKX36" s="49"/>
      <c r="AKY36" s="49"/>
      <c r="AKZ36" s="49"/>
      <c r="ALA36" s="49"/>
      <c r="ALB36" s="67">
        <f t="shared" ref="ALB36:ALB45" si="2127">SUM(AKV36:ALA36)</f>
        <v>550</v>
      </c>
      <c r="ALC36" s="68">
        <f t="shared" ref="ALC36:ALC45" si="2128">ALB36/$AKM$5</f>
        <v>91.666666666666671</v>
      </c>
      <c r="ALD36" s="48"/>
      <c r="ALE36" s="49"/>
      <c r="ALF36" s="49">
        <v>220</v>
      </c>
      <c r="ALG36" s="49"/>
      <c r="ALH36" s="49">
        <v>220</v>
      </c>
      <c r="ALI36" s="49"/>
      <c r="ALJ36" s="67">
        <f t="shared" ref="ALJ36:ALJ45" si="2129">SUM(ALD36:ALI36)</f>
        <v>440</v>
      </c>
      <c r="ALK36" s="68">
        <f t="shared" ref="ALK36:ALK45" si="2130">ALJ36/$AKM$5</f>
        <v>73.333333333333329</v>
      </c>
      <c r="ALL36" s="48"/>
      <c r="ALM36" s="49">
        <v>110</v>
      </c>
      <c r="ALN36" s="49"/>
      <c r="ALO36" s="49"/>
      <c r="ALP36" s="49"/>
      <c r="ALQ36" s="49">
        <v>440</v>
      </c>
      <c r="ALR36" s="67">
        <f t="shared" ref="ALR36:ALR45" si="2131">SUM(ALL36:ALQ36)</f>
        <v>550</v>
      </c>
      <c r="ALS36" s="68">
        <f t="shared" ref="ALS36:ALS45" si="2132">ALR36/$AKM$5</f>
        <v>91.666666666666671</v>
      </c>
      <c r="ALT36" s="48"/>
      <c r="ALU36" s="49"/>
      <c r="ALV36" s="49"/>
      <c r="ALW36" s="49"/>
      <c r="ALX36" s="49"/>
      <c r="ALY36" s="49">
        <v>400</v>
      </c>
      <c r="ALZ36" s="67">
        <f t="shared" ref="ALZ36:ALZ45" si="2133">SUM(ALT36:ALY36)</f>
        <v>400</v>
      </c>
      <c r="AMA36" s="68">
        <f t="shared" ref="AMA36:AMA45" si="2134">ALZ36/$AKM$5</f>
        <v>66.666666666666671</v>
      </c>
      <c r="AMB36" s="24">
        <v>440</v>
      </c>
      <c r="AMC36" s="49"/>
      <c r="AMD36" s="49"/>
      <c r="AME36" s="49"/>
      <c r="AMF36" s="49"/>
      <c r="AMG36" s="49"/>
      <c r="AMH36" s="67">
        <f t="shared" ref="AMH36:AMH45" si="2135">SUM(AMB36:AMG36)</f>
        <v>440</v>
      </c>
      <c r="AMI36" s="68">
        <f t="shared" ref="AMI36:AMI45" si="2136">AMH36/$AKM$5</f>
        <v>73.333333333333329</v>
      </c>
      <c r="AMJ36" s="48"/>
      <c r="AMK36" s="49"/>
      <c r="AML36" s="49"/>
      <c r="AMM36" s="49"/>
      <c r="AMN36" s="49">
        <v>220</v>
      </c>
      <c r="AMO36" s="49"/>
      <c r="AMP36" s="67">
        <f t="shared" ref="AMP36:AMP45" si="2137">SUM(AMJ36:AMO36)</f>
        <v>220</v>
      </c>
      <c r="AMQ36" s="68">
        <f t="shared" ref="AMQ36:AMQ45" si="2138">AMP36/$AKM$5</f>
        <v>36.666666666666664</v>
      </c>
      <c r="AMR36" s="48"/>
      <c r="AMS36" s="49"/>
      <c r="AMT36" s="49"/>
      <c r="AMU36" s="49">
        <v>218</v>
      </c>
      <c r="AMV36" s="49"/>
      <c r="AMW36" s="49">
        <v>219</v>
      </c>
      <c r="AMX36" s="67">
        <f t="shared" ref="AMX36:AMX45" si="2139">SUM(AMR36:AMW36)</f>
        <v>437</v>
      </c>
      <c r="AMY36" s="68">
        <f t="shared" ref="AMY36:AMY45" si="2140">AMX36/$AKM$5</f>
        <v>72.833333333333329</v>
      </c>
      <c r="AMZ36" s="48"/>
      <c r="ANA36" s="49"/>
      <c r="ANB36" s="49"/>
      <c r="ANC36" s="49"/>
      <c r="AND36" s="49"/>
      <c r="ANE36" s="49"/>
      <c r="ANF36" s="67">
        <f t="shared" ref="ANF36:ANF45" si="2141">SUM(AMZ36:ANE36)</f>
        <v>0</v>
      </c>
      <c r="ANG36" s="68">
        <f t="shared" ref="ANG36:ANG45" si="2142">ANF36/$AKM$5</f>
        <v>0</v>
      </c>
      <c r="ANH36" s="48"/>
      <c r="ANI36" s="49"/>
      <c r="ANJ36" s="49"/>
      <c r="ANK36" s="49"/>
      <c r="ANL36" s="49"/>
      <c r="ANM36" s="49"/>
      <c r="ANN36" s="67">
        <f t="shared" ref="ANN36:ANN45" si="2143">SUM(ANH36:ANM36)</f>
        <v>0</v>
      </c>
      <c r="ANO36" s="68">
        <f t="shared" ref="ANO36:ANO45" si="2144">ANN36/$AKM$5</f>
        <v>0</v>
      </c>
      <c r="ANP36" s="48"/>
      <c r="ANQ36" s="49"/>
      <c r="ANR36" s="49"/>
      <c r="ANS36" s="49">
        <v>220</v>
      </c>
      <c r="ANT36" s="49"/>
      <c r="ANU36" s="49"/>
      <c r="ANV36" s="67">
        <f t="shared" ref="ANV36:ANV45" si="2145">SUM(ANP36:ANU36)</f>
        <v>220</v>
      </c>
      <c r="ANW36" s="68">
        <f t="shared" ref="ANW36:ANW45" si="2146">ANV36/$AKM$5</f>
        <v>36.666666666666664</v>
      </c>
      <c r="ANX36" s="82"/>
      <c r="ANY36" s="83">
        <v>879</v>
      </c>
      <c r="ANZ36" s="83"/>
      <c r="AOA36" s="83"/>
      <c r="AOB36" s="83"/>
      <c r="AOC36" s="83"/>
      <c r="AOD36" s="67">
        <f t="shared" ref="AOD36:AOD45" si="2147">SUM(ANX36:AOC36)</f>
        <v>879</v>
      </c>
      <c r="AOE36" s="68">
        <f t="shared" ref="AOE36:AOE45" si="2148">AOD36/$AKM$5</f>
        <v>146.5</v>
      </c>
      <c r="AOF36" s="48"/>
      <c r="AOG36" s="49"/>
      <c r="AOH36" s="49">
        <v>442</v>
      </c>
      <c r="AOI36" s="49"/>
      <c r="AOJ36" s="49"/>
      <c r="AOK36" s="49"/>
      <c r="AOL36" s="67">
        <f t="shared" ref="AOL36:AOL45" si="2149">SUM(AOF36:AOK36)</f>
        <v>442</v>
      </c>
      <c r="AOM36" s="68">
        <f t="shared" ref="AOM36:AOM45" si="2150">AOL36/$AKM$5</f>
        <v>73.666666666666671</v>
      </c>
      <c r="AON36" s="48"/>
      <c r="AOO36" s="49">
        <v>20</v>
      </c>
      <c r="AOP36" s="49">
        <v>200</v>
      </c>
      <c r="AOQ36" s="49"/>
      <c r="AOR36" s="49">
        <v>440</v>
      </c>
      <c r="AOS36" s="49"/>
      <c r="AOT36" s="67">
        <f t="shared" ref="AOT36:AOT45" si="2151">SUM(AON36:AOS36)</f>
        <v>660</v>
      </c>
      <c r="AOU36" s="68">
        <f t="shared" ref="AOU36:AOU45" si="2152">AOT36/$AKM$5</f>
        <v>110</v>
      </c>
      <c r="AOV36" s="48"/>
      <c r="AOW36" s="49"/>
      <c r="AOX36" s="49"/>
      <c r="AOY36" s="49">
        <v>111</v>
      </c>
      <c r="AOZ36" s="49"/>
      <c r="APA36" s="49"/>
      <c r="APB36" s="67">
        <f t="shared" ref="APB36:APB45" si="2153">SUM(AOV36:APA36)</f>
        <v>111</v>
      </c>
      <c r="APC36" s="68">
        <f t="shared" ref="APC36:APC45" si="2154">APB36/$AKM$5</f>
        <v>18.5</v>
      </c>
      <c r="APD36" s="48">
        <v>330</v>
      </c>
      <c r="APE36" s="49"/>
      <c r="APF36" s="49"/>
      <c r="APG36" s="49"/>
      <c r="APH36" s="49">
        <v>471</v>
      </c>
      <c r="API36" s="49"/>
      <c r="APJ36" s="67">
        <f t="shared" ref="APJ36:APJ45" si="2155">SUM(APD36:API36)</f>
        <v>801</v>
      </c>
      <c r="APK36" s="68">
        <f t="shared" ref="APK36:APK45" si="2156">APJ36/$AKM$5</f>
        <v>133.5</v>
      </c>
      <c r="APL36" s="48"/>
      <c r="APM36" s="49"/>
      <c r="APN36" s="49"/>
      <c r="APO36" s="49">
        <v>220</v>
      </c>
      <c r="APP36" s="49"/>
      <c r="APQ36" s="49"/>
      <c r="APR36" s="67">
        <f t="shared" ref="APR36:APR45" si="2157">SUM(APL36:APQ36)</f>
        <v>220</v>
      </c>
      <c r="APS36" s="68">
        <f t="shared" ref="APS36:APS45" si="2158">APR36/$AKM$5</f>
        <v>36.666666666666664</v>
      </c>
      <c r="APT36" s="48"/>
      <c r="APU36" s="49"/>
      <c r="APV36" s="49"/>
      <c r="APW36" s="49">
        <v>330</v>
      </c>
      <c r="APX36" s="49"/>
      <c r="APY36" s="49"/>
      <c r="APZ36" s="67">
        <f t="shared" ref="APZ36:APZ45" si="2159">SUM(APT36:APY36)</f>
        <v>330</v>
      </c>
      <c r="AQA36" s="68">
        <f t="shared" ref="AQA36:AQA45" si="2160">APZ36/$AKM$5</f>
        <v>55</v>
      </c>
      <c r="AQB36" s="48">
        <v>440</v>
      </c>
      <c r="AQC36" s="49"/>
      <c r="AQD36" s="49"/>
      <c r="AQE36" s="49"/>
      <c r="AQF36" s="49"/>
      <c r="AQG36" s="49">
        <v>550</v>
      </c>
      <c r="AQH36" s="67">
        <f t="shared" ref="AQH36:AQH45" si="2161">SUM(AQB36:AQG36)</f>
        <v>990</v>
      </c>
      <c r="AQI36" s="68">
        <f t="shared" ref="AQI36:AQI45" si="2162">AQH36/$AKM$5</f>
        <v>165</v>
      </c>
      <c r="AQJ36" s="48"/>
      <c r="AQK36" s="49"/>
      <c r="AQL36" s="49">
        <v>330</v>
      </c>
      <c r="AQM36" s="49">
        <v>330</v>
      </c>
      <c r="AQN36" s="49"/>
      <c r="AQO36" s="49"/>
      <c r="AQP36" s="67">
        <f t="shared" ref="AQP36:AQP45" si="2163">SUM(AQJ36:AQO36)</f>
        <v>660</v>
      </c>
      <c r="AQQ36" s="68">
        <f t="shared" ref="AQQ36:AQQ45" si="2164">AQP36/$AKM$5</f>
        <v>110</v>
      </c>
      <c r="AQR36" s="48">
        <v>295</v>
      </c>
      <c r="AQS36" s="49"/>
      <c r="AQT36" s="49"/>
      <c r="AQU36" s="49"/>
      <c r="AQV36" s="49"/>
      <c r="AQW36" s="49">
        <v>330</v>
      </c>
      <c r="AQX36" s="67">
        <f t="shared" ref="AQX36:AQX45" si="2165">SUM(AQR36:AQW36)</f>
        <v>625</v>
      </c>
      <c r="AQY36" s="68">
        <f t="shared" ref="AQY36:AQY45" si="2166">AQX36/$AKM$5</f>
        <v>104.16666666666667</v>
      </c>
      <c r="AQZ36" s="48">
        <v>330</v>
      </c>
      <c r="ARA36" s="49"/>
      <c r="ARB36" s="49"/>
      <c r="ARC36" s="49"/>
      <c r="ARD36" s="49"/>
      <c r="ARE36" s="49"/>
      <c r="ARF36" s="67">
        <f t="shared" ref="ARF36:ARF45" si="2167">SUM(AQZ36:ARE36)</f>
        <v>330</v>
      </c>
      <c r="ARG36" s="68">
        <f t="shared" ref="ARG36:ARG45" si="2168">ARF36/$AKM$5</f>
        <v>55</v>
      </c>
      <c r="ARH36" s="48">
        <v>440</v>
      </c>
      <c r="ARI36" s="49"/>
      <c r="ARJ36" s="49"/>
      <c r="ARK36" s="49"/>
      <c r="ARL36" s="49"/>
      <c r="ARM36" s="49">
        <v>200</v>
      </c>
      <c r="ARN36" s="67">
        <f t="shared" ref="ARN36:ARN45" si="2169">SUM(ARH36:ARM36)</f>
        <v>640</v>
      </c>
      <c r="ARO36" s="68">
        <f t="shared" ref="ARO36:ARO45" si="2170">ARN36/$ARO$5</f>
        <v>106.66666666666667</v>
      </c>
      <c r="ARP36" s="48"/>
      <c r="ARQ36" s="49"/>
      <c r="ARR36" s="49">
        <v>440</v>
      </c>
      <c r="ARS36" s="49"/>
      <c r="ART36" s="49"/>
      <c r="ARU36" s="49"/>
      <c r="ARV36" s="67">
        <f t="shared" ref="ARV36:ARV45" si="2171">SUM(ARP36:ARU36)</f>
        <v>440</v>
      </c>
      <c r="ARW36" s="68">
        <f t="shared" ref="ARW36:ARW45" si="2172">ARV36/$ARO$5</f>
        <v>73.333333333333329</v>
      </c>
      <c r="ARX36" s="48"/>
      <c r="ARY36" s="49">
        <v>108</v>
      </c>
      <c r="ARZ36" s="49">
        <v>220</v>
      </c>
      <c r="ASA36" s="49"/>
      <c r="ASB36" s="49"/>
      <c r="ASC36" s="49"/>
      <c r="ASD36" s="67">
        <f t="shared" ref="ASD36:ASD45" si="2173">SUM(ARX36:ASC36)</f>
        <v>328</v>
      </c>
      <c r="ASE36" s="68">
        <f t="shared" ref="ASE36:ASE45" si="2174">ASD36/$ARO$5</f>
        <v>54.666666666666664</v>
      </c>
      <c r="ASF36" s="48">
        <v>440</v>
      </c>
      <c r="ASG36" s="49">
        <v>110</v>
      </c>
      <c r="ASH36" s="49"/>
      <c r="ASI36" s="49"/>
      <c r="ASJ36" s="49"/>
      <c r="ASK36" s="49"/>
      <c r="ASL36" s="67">
        <f t="shared" ref="ASL36:ASL45" si="2175">SUM(ASF36:ASK36)</f>
        <v>550</v>
      </c>
      <c r="ASM36" s="68">
        <f t="shared" ref="ASM36:ASM45" si="2176">ASL36/$ARO$5</f>
        <v>91.666666666666671</v>
      </c>
      <c r="ASN36" s="48"/>
      <c r="ASO36" s="49"/>
      <c r="ASP36" s="49">
        <v>440</v>
      </c>
      <c r="ASQ36" s="49"/>
      <c r="ASR36" s="49">
        <v>440</v>
      </c>
      <c r="ASS36" s="49"/>
      <c r="AST36" s="67">
        <f t="shared" ref="AST36:AST45" si="2177">SUM(ASN36:ASS36)</f>
        <v>880</v>
      </c>
      <c r="ASU36" s="68">
        <f t="shared" ref="ASU36:ASU45" si="2178">AST36/$ARO$5</f>
        <v>146.66666666666666</v>
      </c>
      <c r="ASV36" s="48"/>
      <c r="ASW36" s="49"/>
      <c r="ASX36" s="49">
        <v>110</v>
      </c>
      <c r="ASY36" s="49"/>
      <c r="ASZ36" s="49"/>
      <c r="ATA36" s="49"/>
      <c r="ATB36" s="67">
        <f t="shared" ref="ATB36:ATB45" si="2179">SUM(ASV36:ATA36)</f>
        <v>110</v>
      </c>
      <c r="ATC36" s="68">
        <f t="shared" ref="ATC36:ATC45" si="2180">ATB36/$ARO$5</f>
        <v>18.333333333333332</v>
      </c>
      <c r="ATD36" s="48"/>
      <c r="ATE36" s="49"/>
      <c r="ATF36" s="49"/>
      <c r="ATG36" s="49"/>
      <c r="ATH36" s="49">
        <v>440</v>
      </c>
      <c r="ATI36" s="49"/>
      <c r="ATJ36" s="67">
        <f t="shared" ref="ATJ36:ATJ45" si="2181">SUM(ATD36:ATI36)</f>
        <v>440</v>
      </c>
      <c r="ATK36" s="68">
        <f t="shared" ref="ATK36:ATK45" si="2182">ATJ36/$ARO$5</f>
        <v>73.333333333333329</v>
      </c>
      <c r="ATL36" s="48"/>
      <c r="ATM36" s="49"/>
      <c r="ATN36" s="49">
        <v>440</v>
      </c>
      <c r="ATO36" s="49"/>
      <c r="ATP36" s="49"/>
      <c r="ATQ36" s="49"/>
      <c r="ATR36" s="67">
        <f t="shared" ref="ATR36:ATR45" si="2183">SUM(ATL36:ATQ36)</f>
        <v>440</v>
      </c>
      <c r="ATS36" s="68">
        <f t="shared" ref="ATS36:ATS45" si="2184">ATR36/$ARO$5</f>
        <v>73.333333333333329</v>
      </c>
      <c r="ATT36" s="48"/>
      <c r="ATU36" s="49"/>
      <c r="ATV36" s="49">
        <v>220</v>
      </c>
      <c r="ATW36" s="49"/>
      <c r="ATX36" s="49"/>
      <c r="ATY36" s="49"/>
      <c r="ATZ36" s="67">
        <f t="shared" ref="ATZ36:ATZ45" si="2185">SUM(ATT36:ATY36)</f>
        <v>220</v>
      </c>
      <c r="AUA36" s="68">
        <f t="shared" ref="AUA36:AUA45" si="2186">ATZ36/$ARO$5</f>
        <v>36.666666666666664</v>
      </c>
      <c r="AUB36" s="48"/>
      <c r="AUC36" s="49"/>
      <c r="AUD36" s="49"/>
      <c r="AUE36" s="49"/>
      <c r="AUF36" s="49">
        <v>440</v>
      </c>
      <c r="AUG36" s="49"/>
      <c r="AUH36" s="67">
        <f t="shared" ref="AUH36:AUH45" si="2187">SUM(AUB36:AUG36)</f>
        <v>440</v>
      </c>
      <c r="AUI36" s="68">
        <f t="shared" ref="AUI36:AUI45" si="2188">AUH36/$ARO$5</f>
        <v>73.333333333333329</v>
      </c>
      <c r="AUJ36" s="48"/>
      <c r="AUK36" s="49">
        <v>440</v>
      </c>
      <c r="AUL36" s="49"/>
      <c r="AUM36" s="49"/>
      <c r="AUN36" s="49"/>
      <c r="AUO36" s="49"/>
      <c r="AUP36" s="67">
        <f t="shared" ref="AUP36:AUP45" si="2189">SUM(AUJ36:AUO36)</f>
        <v>440</v>
      </c>
      <c r="AUQ36" s="68">
        <f t="shared" ref="AUQ36:AUQ45" si="2190">AUP36/$ARO$5</f>
        <v>73.333333333333329</v>
      </c>
      <c r="AUR36" s="48"/>
      <c r="AUS36" s="49">
        <v>110</v>
      </c>
      <c r="AUT36" s="49"/>
      <c r="AUU36" s="49"/>
      <c r="AUV36" s="49"/>
      <c r="AUW36" s="49"/>
      <c r="AUX36" s="67">
        <f t="shared" ref="AUX36:AUX45" si="2191">SUM(AUR36:AUW36)</f>
        <v>110</v>
      </c>
      <c r="AUY36" s="68">
        <f t="shared" ref="AUY36:AUY45" si="2192">AUX36/$ARO$5</f>
        <v>18.333333333333332</v>
      </c>
      <c r="AUZ36" s="48"/>
      <c r="AVA36" s="49"/>
      <c r="AVB36" s="49">
        <v>220</v>
      </c>
      <c r="AVC36" s="49"/>
      <c r="AVD36" s="49"/>
      <c r="AVE36" s="49">
        <v>330</v>
      </c>
      <c r="AVF36" s="67">
        <f t="shared" ref="AVF36:AVF45" si="2193">SUM(AUZ36:AVE36)</f>
        <v>550</v>
      </c>
      <c r="AVG36" s="68">
        <f t="shared" ref="AVG36:AVG45" si="2194">AVF36/$ARO$5</f>
        <v>91.666666666666671</v>
      </c>
      <c r="AVH36" s="48"/>
      <c r="AVI36" s="49"/>
      <c r="AVJ36" s="49"/>
      <c r="AVK36" s="49"/>
      <c r="AVL36" s="49"/>
      <c r="AVM36" s="49"/>
      <c r="AVN36" s="67">
        <f t="shared" ref="AVN36:AVN45" si="2195">SUM(AVH36:AVM36)</f>
        <v>0</v>
      </c>
      <c r="AVO36" s="68">
        <f t="shared" ref="AVO36:AVO45" si="2196">AVN36/$ARO$5</f>
        <v>0</v>
      </c>
      <c r="AVP36" s="48"/>
      <c r="AVQ36" s="49">
        <v>110</v>
      </c>
      <c r="AVR36" s="49">
        <v>220</v>
      </c>
      <c r="AVS36" s="49"/>
      <c r="AVT36" s="49"/>
      <c r="AVU36" s="49"/>
      <c r="AVV36" s="67">
        <f t="shared" ref="AVV36:AVV45" si="2197">SUM(AVP36:AVU36)</f>
        <v>330</v>
      </c>
      <c r="AVW36" s="68">
        <f t="shared" ref="AVW36:AVW45" si="2198">AVV36/$ARO$5</f>
        <v>55</v>
      </c>
      <c r="AVX36" s="48"/>
      <c r="AVY36" s="49"/>
      <c r="AVZ36" s="49"/>
      <c r="AWA36" s="49"/>
      <c r="AWB36" s="49">
        <v>330</v>
      </c>
      <c r="AWC36" s="49"/>
      <c r="AWD36" s="67">
        <f t="shared" ref="AWD36:AWD45" si="2199">SUM(AVX36:AWC36)</f>
        <v>330</v>
      </c>
      <c r="AWE36" s="68">
        <f t="shared" ref="AWE36:AWE45" si="2200">AWD36/$ARO$5</f>
        <v>55</v>
      </c>
      <c r="AWF36" s="48"/>
      <c r="AWG36" s="49"/>
      <c r="AWH36" s="49"/>
      <c r="AWI36" s="49"/>
      <c r="AWJ36" s="49"/>
      <c r="AWK36" s="49"/>
      <c r="AWL36" s="67">
        <f t="shared" ref="AWL36:AWL45" si="2201">SUM(AWF36:AWK36)</f>
        <v>0</v>
      </c>
      <c r="AWM36" s="184">
        <f t="shared" ref="AWM36:AWM45" si="2202">AWL36/$ARO$5</f>
        <v>0</v>
      </c>
      <c r="AWN36" s="48"/>
      <c r="AWO36" s="49">
        <v>220</v>
      </c>
      <c r="AWP36" s="49"/>
      <c r="AWQ36" s="49"/>
      <c r="AWR36" s="49"/>
      <c r="AWS36" s="49"/>
      <c r="AWT36" s="42">
        <f t="shared" ref="AWT36:AWT60" si="2203">SUM(AWN36:AWS36)</f>
        <v>220</v>
      </c>
      <c r="AWU36" s="43">
        <f t="shared" ref="AWU36:AWU60" si="2204">AWT36/$ARO$5</f>
        <v>36.666666666666664</v>
      </c>
      <c r="AWV36" s="48"/>
      <c r="AWW36" s="49"/>
      <c r="AWX36" s="49"/>
      <c r="AWY36" s="49"/>
      <c r="AWZ36" s="49"/>
      <c r="AXA36" s="49"/>
      <c r="AXB36" s="42">
        <f t="shared" ref="AXB36:AXB60" si="2205">SUM(AWV36:AXA36)</f>
        <v>0</v>
      </c>
      <c r="AXC36" s="43">
        <f t="shared" ref="AXC36:AXC60" si="2206">AXB36/$ARO$5</f>
        <v>0</v>
      </c>
      <c r="AXD36" s="48">
        <v>220</v>
      </c>
      <c r="AXE36" s="49"/>
      <c r="AXF36" s="49"/>
      <c r="AXG36" s="49"/>
      <c r="AXH36" s="49"/>
      <c r="AXI36" s="49"/>
      <c r="AXJ36" s="42">
        <f t="shared" ref="AXJ36:AXJ45" si="2207">SUM(AXD36:AXI36)</f>
        <v>220</v>
      </c>
      <c r="AXK36" s="43">
        <f t="shared" ref="AXK36:AXK45" si="2208">AXJ36/$ARO$5</f>
        <v>36.666666666666664</v>
      </c>
      <c r="AXL36" s="48"/>
      <c r="AXM36" s="49">
        <v>220</v>
      </c>
      <c r="AXN36" s="49"/>
      <c r="AXO36" s="49"/>
      <c r="AXP36" s="49"/>
      <c r="AXQ36" s="49"/>
      <c r="AXR36" s="42">
        <f t="shared" ref="AXR36:AXR45" si="2209">SUM(AXL36:AXQ36)</f>
        <v>220</v>
      </c>
      <c r="AXS36" s="43">
        <f t="shared" ref="AXS36:AXS45" si="2210">AXR36/$ARO$5</f>
        <v>36.666666666666664</v>
      </c>
      <c r="AXT36" s="48"/>
      <c r="AXU36" s="49"/>
      <c r="AXV36" s="49">
        <v>110</v>
      </c>
      <c r="AXW36" s="49"/>
      <c r="AXX36" s="49"/>
      <c r="AXY36" s="49">
        <v>108</v>
      </c>
      <c r="AXZ36" s="42">
        <f t="shared" ref="AXZ36:AXZ45" si="2211">SUM(AXT36:AXY36)</f>
        <v>218</v>
      </c>
      <c r="AYA36" s="43">
        <f t="shared" ref="AYA36:AYA45" si="2212">AXZ36/$ARO$5</f>
        <v>36.333333333333336</v>
      </c>
      <c r="AYB36" s="48">
        <v>108</v>
      </c>
      <c r="AYC36" s="49"/>
      <c r="AYD36" s="49"/>
      <c r="AYE36" s="49">
        <v>220</v>
      </c>
      <c r="AYF36" s="49"/>
      <c r="AYG36" s="49">
        <v>110</v>
      </c>
      <c r="AYH36" s="42">
        <f t="shared" ref="AYH36:AYH45" si="2213">SUM(AYB36:AYG36)</f>
        <v>438</v>
      </c>
      <c r="AYI36" s="43">
        <f t="shared" ref="AYI36:AYI45" si="2214">AYH36/$ARO$5</f>
        <v>73</v>
      </c>
      <c r="AYJ36" s="48"/>
      <c r="AYK36" s="49">
        <v>229</v>
      </c>
      <c r="AYL36" s="49"/>
      <c r="AYM36" s="49"/>
      <c r="AYN36" s="49"/>
      <c r="AYO36" s="49"/>
      <c r="AYP36" s="42">
        <f t="shared" ref="AYP36:AYP45" si="2215">SUM(AYJ36:AYO36)</f>
        <v>229</v>
      </c>
      <c r="AYQ36" s="43">
        <f t="shared" ref="AYQ36:AYQ45" si="2216">AYP36/$ARO$5</f>
        <v>38.166666666666664</v>
      </c>
      <c r="AYR36" s="48"/>
      <c r="AYS36" s="49"/>
      <c r="AYT36" s="49"/>
      <c r="AYU36" s="49"/>
      <c r="AYV36" s="49"/>
      <c r="AYW36" s="49"/>
      <c r="AYX36" s="42">
        <f t="shared" ref="AYX36:AYX45" si="2217">SUM(AYR36:AYW36)</f>
        <v>0</v>
      </c>
      <c r="AYY36" s="43">
        <f t="shared" ref="AYY36:AYY45" si="2218">AYX36/$ARO$5</f>
        <v>0</v>
      </c>
      <c r="AYZ36" s="48"/>
      <c r="AZA36" s="49"/>
      <c r="AZB36" s="49"/>
      <c r="AZC36" s="49"/>
      <c r="AZD36" s="49"/>
      <c r="AZE36" s="49"/>
      <c r="AZF36" s="42">
        <f t="shared" ref="AZF36:AZF45" si="2219">SUM(AYZ36:AZE36)</f>
        <v>0</v>
      </c>
      <c r="AZG36" s="43">
        <f t="shared" ref="AZG36:AZG45" si="2220">AZF36/$ARO$5</f>
        <v>0</v>
      </c>
      <c r="AZH36" s="48"/>
      <c r="AZI36" s="49"/>
      <c r="AZJ36" s="49"/>
      <c r="AZK36" s="49">
        <v>220</v>
      </c>
      <c r="AZL36" s="49"/>
      <c r="AZM36" s="49"/>
      <c r="AZN36" s="42">
        <f t="shared" ref="AZN36:AZN45" si="2221">SUM(AZH36:AZM36)</f>
        <v>220</v>
      </c>
      <c r="AZO36" s="43">
        <f t="shared" ref="AZO36:AZO45" si="2222">AZN36/$ARO$5</f>
        <v>36.666666666666664</v>
      </c>
      <c r="AZP36" s="48">
        <v>330</v>
      </c>
      <c r="AZQ36" s="49">
        <v>330</v>
      </c>
      <c r="AZR36" s="49"/>
      <c r="AZS36" s="49"/>
      <c r="AZT36" s="49"/>
      <c r="AZU36" s="49"/>
      <c r="AZV36" s="42">
        <f t="shared" ref="AZV36:AZV45" si="2223">SUM(AZP36:AZU36)</f>
        <v>660</v>
      </c>
      <c r="AZW36" s="43">
        <f t="shared" ref="AZW36:AZW45" si="2224">AZV36/$ARO$5</f>
        <v>110</v>
      </c>
      <c r="AZX36" s="82"/>
      <c r="AZY36" s="83"/>
      <c r="AZZ36" s="83"/>
      <c r="BAA36" s="83"/>
      <c r="BAB36" s="83"/>
      <c r="BAC36" s="83"/>
      <c r="BAD36" s="42">
        <f t="shared" ref="BAD36:BAD45" si="2225">SUM(AZX36:BAC36)</f>
        <v>0</v>
      </c>
      <c r="BAE36" s="43">
        <f t="shared" ref="BAE36:BAE45" si="2226">BAD36/$ARO$5</f>
        <v>0</v>
      </c>
      <c r="BAF36" s="48"/>
      <c r="BAG36" s="49"/>
      <c r="BAH36" s="49"/>
      <c r="BAI36" s="49"/>
      <c r="BAJ36" s="49">
        <v>219</v>
      </c>
      <c r="BAK36" s="49"/>
      <c r="BAL36" s="42">
        <f t="shared" ref="BAL36:BAL45" si="2227">SUM(BAF36:BAK36)</f>
        <v>219</v>
      </c>
      <c r="BAM36" s="43">
        <f t="shared" ref="BAM36:BAM45" si="2228">BAL36/$BAM$5</f>
        <v>36.5</v>
      </c>
      <c r="BAN36" s="48"/>
      <c r="BAO36" s="49"/>
      <c r="BAP36" s="49"/>
      <c r="BAQ36" s="49"/>
      <c r="BAR36" s="49">
        <v>220</v>
      </c>
      <c r="BAS36" s="49"/>
      <c r="BAT36" s="42">
        <f t="shared" ref="BAT36:BAT45" si="2229">SUM(BAN36:BAS36)</f>
        <v>220</v>
      </c>
      <c r="BAU36" s="43">
        <f t="shared" ref="BAU36:BAU45" si="2230">BAT36/$BAM$5</f>
        <v>36.666666666666664</v>
      </c>
      <c r="BAV36" s="48"/>
      <c r="BAW36" s="49"/>
      <c r="BAX36" s="49"/>
      <c r="BAY36" s="49"/>
      <c r="BAZ36" s="49"/>
      <c r="BBA36" s="49"/>
      <c r="BBB36" s="42">
        <f t="shared" ref="BBB36:BBB45" si="2231">SUM(BAV36:BBA36)</f>
        <v>0</v>
      </c>
      <c r="BBC36" s="43">
        <f t="shared" ref="BBC36:BBC45" si="2232">BBB36/$BBC$5</f>
        <v>0</v>
      </c>
      <c r="BBD36" s="48"/>
      <c r="BBE36" s="49">
        <v>110</v>
      </c>
      <c r="BBF36" s="49"/>
      <c r="BBG36" s="49"/>
      <c r="BBH36" s="49"/>
      <c r="BBI36" s="49"/>
      <c r="BBJ36" s="42">
        <f t="shared" ref="BBJ36:BBJ45" si="2233">SUM(BBD36:BBI36)</f>
        <v>110</v>
      </c>
      <c r="BBK36" s="43">
        <f t="shared" ref="BBK36:BBK45" si="2234">BBJ36/$BBC$5</f>
        <v>18.333333333333332</v>
      </c>
      <c r="BBL36" s="48"/>
      <c r="BBM36" s="49">
        <v>106</v>
      </c>
      <c r="BBN36" s="49">
        <v>220</v>
      </c>
      <c r="BBO36" s="49"/>
      <c r="BBP36" s="49"/>
      <c r="BBQ36" s="49"/>
      <c r="BBR36" s="42">
        <f t="shared" ref="BBR36:BBR45" si="2235">SUM(BBL36:BBQ36)</f>
        <v>326</v>
      </c>
      <c r="BBS36" s="43">
        <f t="shared" ref="BBS36:BBS45" si="2236">BBR36/$BBC$5</f>
        <v>54.333333333333336</v>
      </c>
      <c r="BBT36" s="48"/>
      <c r="BBU36" s="49"/>
      <c r="BBV36" s="49">
        <v>215</v>
      </c>
      <c r="BBW36" s="49"/>
      <c r="BBX36" s="49"/>
      <c r="BBY36" s="49"/>
      <c r="BBZ36" s="42">
        <f t="shared" ref="BBZ36:BBZ45" si="2237">SUM(BBT36:BBY36)</f>
        <v>215</v>
      </c>
      <c r="BCA36" s="43">
        <f t="shared" ref="BCA36:BCA45" si="2238">BBZ36/$BBC$5</f>
        <v>35.833333333333336</v>
      </c>
      <c r="BCB36" s="48"/>
      <c r="BCC36" s="49"/>
      <c r="BCD36" s="49"/>
      <c r="BCE36" s="49"/>
      <c r="BCF36" s="49"/>
      <c r="BCG36" s="49"/>
      <c r="BCH36" s="42">
        <f t="shared" ref="BCH36:BCH45" si="2239">SUM(BCB36:BCG36)</f>
        <v>0</v>
      </c>
      <c r="BCI36" s="43">
        <f t="shared" ref="BCI36:BCI45" si="2240">BCH36/$BBC$5</f>
        <v>0</v>
      </c>
      <c r="BCJ36" s="48">
        <v>214</v>
      </c>
      <c r="BCK36" s="49"/>
      <c r="BCL36" s="49"/>
      <c r="BCM36" s="49"/>
      <c r="BCN36" s="49"/>
      <c r="BCO36" s="49"/>
      <c r="BCP36" s="42">
        <f t="shared" ref="BCP36:BCP45" si="2241">SUM(BCJ36:BCO36)</f>
        <v>214</v>
      </c>
      <c r="BCQ36" s="43">
        <f t="shared" ref="BCQ36:BCQ45" si="2242">BCP36/$BBC$5</f>
        <v>35.666666666666664</v>
      </c>
      <c r="BCR36" s="48"/>
      <c r="BCS36" s="49"/>
      <c r="BCT36" s="49"/>
      <c r="BCU36" s="49"/>
      <c r="BCV36" s="49"/>
      <c r="BCW36" s="49">
        <v>220</v>
      </c>
      <c r="BCX36" s="42">
        <f t="shared" ref="BCX36:BCX45" si="2243">SUM(BCR36:BCW36)</f>
        <v>220</v>
      </c>
      <c r="BCY36" s="43">
        <f t="shared" ref="BCY36:BCY45" si="2244">BCX36/$BBC$5</f>
        <v>36.666666666666664</v>
      </c>
      <c r="BCZ36" s="48"/>
      <c r="BDA36" s="49"/>
      <c r="BDB36" s="49"/>
      <c r="BDC36" s="49"/>
      <c r="BDD36" s="49"/>
      <c r="BDE36" s="49"/>
      <c r="BDF36" s="42">
        <f t="shared" ref="BDF36:BDF45" si="2245">SUM(BCZ36:BDE36)</f>
        <v>0</v>
      </c>
      <c r="BDG36" s="43">
        <f t="shared" ref="BDG36:BDG45" si="2246">BDF36/$BBC$5</f>
        <v>0</v>
      </c>
      <c r="BDH36" s="48"/>
      <c r="BDI36" s="49"/>
      <c r="BDJ36" s="49"/>
      <c r="BDK36" s="49"/>
      <c r="BDL36" s="49"/>
      <c r="BDM36" s="49"/>
      <c r="BDN36" s="42">
        <f t="shared" ref="BDN36:BDN45" si="2247">SUM(BDH36:BDM36)</f>
        <v>0</v>
      </c>
      <c r="BDO36" s="43">
        <f t="shared" ref="BDO36:BDO45" si="2248">BDN36/$BBC$5</f>
        <v>0</v>
      </c>
      <c r="BDP36" s="48">
        <v>222</v>
      </c>
      <c r="BDQ36" s="49"/>
      <c r="BDR36" s="49"/>
      <c r="BDS36" s="49"/>
      <c r="BDT36" s="49">
        <v>111</v>
      </c>
      <c r="BDU36" s="49">
        <v>108</v>
      </c>
      <c r="BDV36" s="42">
        <f t="shared" ref="BDV36:BDV45" si="2249">SUM(BDP36:BDU36)</f>
        <v>441</v>
      </c>
      <c r="BDW36" s="43">
        <f t="shared" ref="BDW36:BDW45" si="2250">BDV36/$BBC$5</f>
        <v>73.5</v>
      </c>
      <c r="BDX36" s="48"/>
      <c r="BDY36" s="49"/>
      <c r="BDZ36" s="49"/>
      <c r="BEA36" s="49">
        <v>110</v>
      </c>
      <c r="BEB36" s="49"/>
      <c r="BEC36" s="49"/>
      <c r="BED36" s="42">
        <f t="shared" ref="BED36:BED45" si="2251">SUM(BDX36:BEC36)</f>
        <v>110</v>
      </c>
      <c r="BEE36" s="43">
        <f t="shared" ref="BEE36:BEE45" si="2252">BED36/$BBC$5</f>
        <v>18.333333333333332</v>
      </c>
      <c r="BEF36" s="48"/>
      <c r="BEG36" s="49"/>
      <c r="BEH36" s="49">
        <v>100</v>
      </c>
      <c r="BEI36" s="49">
        <v>110</v>
      </c>
      <c r="BEJ36" s="49"/>
      <c r="BEK36" s="49"/>
      <c r="BEL36" s="42">
        <f t="shared" ref="BEL36:BEL45" si="2253">SUM(BEF36:BEK36)</f>
        <v>210</v>
      </c>
      <c r="BEM36" s="43">
        <f t="shared" ref="BEM36:BEM45" si="2254">BEL36/$BBC$5</f>
        <v>35</v>
      </c>
      <c r="BEN36" s="48"/>
      <c r="BEO36" s="49">
        <v>110</v>
      </c>
      <c r="BEP36" s="49"/>
      <c r="BEQ36" s="49"/>
      <c r="BER36" s="49"/>
      <c r="BES36" s="49"/>
      <c r="BET36" s="42">
        <f t="shared" ref="BET36:BET45" si="2255">SUM(BEN36:BES36)</f>
        <v>110</v>
      </c>
      <c r="BEU36" s="43">
        <f t="shared" ref="BEU36:BEU45" si="2256">BET36/$BBC$5</f>
        <v>18.333333333333332</v>
      </c>
      <c r="BEV36" s="82"/>
      <c r="BEW36" s="83">
        <v>219</v>
      </c>
      <c r="BEX36" s="83">
        <v>108</v>
      </c>
      <c r="BEY36" s="83"/>
      <c r="BEZ36" s="83"/>
      <c r="BFA36" s="83"/>
      <c r="BFB36" s="42">
        <f t="shared" ref="BFB36:BFB45" si="2257">SUM(BEV36:BFA36)</f>
        <v>327</v>
      </c>
      <c r="BFC36" s="43">
        <f t="shared" ref="BFC36:BFC45" si="2258">BFB36/$BBC$5</f>
        <v>54.5</v>
      </c>
      <c r="BFD36" s="48"/>
      <c r="BFE36" s="49"/>
      <c r="BFF36" s="49"/>
      <c r="BFG36" s="49"/>
      <c r="BFH36" s="49"/>
      <c r="BFI36" s="49">
        <v>220</v>
      </c>
      <c r="BFJ36" s="42">
        <f t="shared" ref="BFJ36:BFJ45" si="2259">SUM(BFD36:BFI36)</f>
        <v>220</v>
      </c>
      <c r="BFK36" s="43">
        <f t="shared" ref="BFK36:BFK45" si="2260">BFJ36/$BBC$5</f>
        <v>36.666666666666664</v>
      </c>
      <c r="BFL36" s="48"/>
      <c r="BFM36" s="49"/>
      <c r="BFN36" s="49"/>
      <c r="BFO36" s="49"/>
      <c r="BFP36" s="49"/>
      <c r="BFQ36" s="49"/>
      <c r="BFR36" s="42">
        <f t="shared" ref="BFR36:BFR45" si="2261">SUM(BFL36:BFQ36)</f>
        <v>0</v>
      </c>
      <c r="BFS36" s="43">
        <f t="shared" ref="BFS36:BFS45" si="2262">BFR36/$BBC$5</f>
        <v>0</v>
      </c>
      <c r="BFT36" s="48">
        <v>220</v>
      </c>
      <c r="BFU36" s="49"/>
      <c r="BFV36" s="49"/>
      <c r="BFW36" s="49">
        <v>120</v>
      </c>
      <c r="BFX36" s="49"/>
      <c r="BFY36" s="49"/>
      <c r="BFZ36" s="42">
        <f t="shared" ref="BFZ36:BFZ45" si="2263">SUM(BFT36:BFY36)</f>
        <v>340</v>
      </c>
      <c r="BGA36" s="43">
        <f t="shared" ref="BGA36:BGA45" si="2264">BFZ36/$BBC$5</f>
        <v>56.666666666666664</v>
      </c>
      <c r="BGB36" s="48"/>
      <c r="BGC36" s="49"/>
      <c r="BGD36" s="49">
        <v>29</v>
      </c>
      <c r="BGE36" s="49"/>
      <c r="BGF36" s="49">
        <v>220</v>
      </c>
      <c r="BGG36" s="49"/>
      <c r="BGH36" s="42">
        <f t="shared" ref="BGH36:BGH45" si="2265">SUM(BGB36:BGG36)</f>
        <v>249</v>
      </c>
      <c r="BGI36" s="43">
        <f t="shared" ref="BGI36:BGI45" si="2266">BGH36/$BBC$5</f>
        <v>41.5</v>
      </c>
      <c r="BGJ36" s="48"/>
      <c r="BGK36" s="49"/>
      <c r="BGL36" s="49">
        <v>220</v>
      </c>
      <c r="BGM36" s="49"/>
      <c r="BGN36" s="49"/>
      <c r="BGO36" s="49"/>
      <c r="BGP36" s="42">
        <f t="shared" ref="BGP36:BGP45" si="2267">SUM(BGJ36:BGO36)</f>
        <v>220</v>
      </c>
      <c r="BGQ36" s="43">
        <f t="shared" ref="BGQ36:BGQ45" si="2268">BGP36/$BBC$5</f>
        <v>36.666666666666664</v>
      </c>
      <c r="BGR36" s="48"/>
      <c r="BGS36" s="49"/>
      <c r="BGT36" s="49"/>
      <c r="BGU36" s="49">
        <v>220</v>
      </c>
      <c r="BGV36" s="49"/>
      <c r="BGW36" s="49"/>
      <c r="BGX36" s="42">
        <f t="shared" ref="BGX36:BGX45" si="2269">SUM(BGR36:BGW36)</f>
        <v>220</v>
      </c>
      <c r="BGY36" s="43">
        <f t="shared" ref="BGY36:BGY45" si="2270">BGX36/$BBC$5</f>
        <v>36.666666666666664</v>
      </c>
      <c r="BGZ36" s="239"/>
      <c r="BHA36" s="1"/>
      <c r="BHB36" s="1"/>
      <c r="BHC36" s="1">
        <v>110</v>
      </c>
      <c r="BHD36" s="1"/>
      <c r="BHE36" s="1"/>
      <c r="BHF36" s="42">
        <f t="shared" ref="BHF36:BHF45" si="2271">SUM(BGZ36:BHE36)</f>
        <v>110</v>
      </c>
      <c r="BHG36" s="43">
        <f t="shared" ref="BHG36:BHG45" si="2272">BHF36/$BBC$5</f>
        <v>18.333333333333332</v>
      </c>
      <c r="BHH36" s="48"/>
      <c r="BHI36" s="49">
        <v>109</v>
      </c>
      <c r="BHJ36" s="49"/>
      <c r="BHK36" s="49"/>
      <c r="BHL36" s="49"/>
      <c r="BHM36" s="49"/>
      <c r="BHN36" s="42">
        <f t="shared" ref="BHN36:BHN45" si="2273">SUM(BHH36:BHM36)</f>
        <v>109</v>
      </c>
      <c r="BHO36" s="43">
        <f t="shared" ref="BHO36:BHO45" si="2274">BHN36/$BBC$5</f>
        <v>18.166666666666668</v>
      </c>
      <c r="BHP36" s="48"/>
      <c r="BHQ36" s="49">
        <v>110</v>
      </c>
      <c r="BHR36" s="49"/>
      <c r="BHS36" s="49"/>
      <c r="BHT36" s="49"/>
      <c r="BHU36" s="49">
        <v>110</v>
      </c>
      <c r="BHV36" s="42">
        <f t="shared" ref="BHV36:BHV45" si="2275">SUM(BHP36:BHU36)</f>
        <v>220</v>
      </c>
      <c r="BHW36" s="43">
        <f t="shared" ref="BHW36:BHW45" si="2276">BHV36/$BBC$5</f>
        <v>36.666666666666664</v>
      </c>
      <c r="BHX36" s="48"/>
      <c r="BHY36" s="49">
        <v>220</v>
      </c>
      <c r="BHZ36" s="49"/>
      <c r="BIA36" s="49"/>
      <c r="BIB36" s="49"/>
      <c r="BIC36" s="49">
        <v>107</v>
      </c>
      <c r="BID36" s="42">
        <f t="shared" ref="BID36:BID45" si="2277">SUM(BHX36:BIC36)</f>
        <v>327</v>
      </c>
      <c r="BIE36" s="43">
        <f t="shared" ref="BIE36:BIE45" si="2278">BID36/$BBC$5</f>
        <v>54.5</v>
      </c>
      <c r="BIF36" s="48"/>
      <c r="BIG36" s="49"/>
      <c r="BIH36" s="49"/>
      <c r="BII36" s="49"/>
      <c r="BIJ36" s="49"/>
      <c r="BIK36" s="49"/>
      <c r="BIL36" s="42">
        <f t="shared" ref="BIL36:BIL45" si="2279">SUM(BIF36:BIK36)</f>
        <v>0</v>
      </c>
      <c r="BIM36" s="43">
        <f t="shared" ref="BIM36:BIM45" si="2280">BIL36/$BBC$5</f>
        <v>0</v>
      </c>
      <c r="BIN36" s="48">
        <v>340</v>
      </c>
      <c r="BIO36" s="49"/>
      <c r="BIP36" s="49"/>
      <c r="BIQ36" s="49"/>
      <c r="BIR36" s="49"/>
      <c r="BIS36" s="49"/>
      <c r="BIT36" s="42">
        <f t="shared" ref="BIT36:BIT45" si="2281">SUM(BIN36:BIS36)</f>
        <v>340</v>
      </c>
      <c r="BIU36" s="101">
        <f t="shared" ref="BIU36:BIU45" si="2282">BIT36/$BBC$5</f>
        <v>56.666666666666664</v>
      </c>
      <c r="BIV36" s="195"/>
      <c r="BIW36" s="49"/>
      <c r="BIX36" s="49">
        <v>110</v>
      </c>
      <c r="BIY36" s="49">
        <v>110</v>
      </c>
      <c r="BIZ36" s="49"/>
      <c r="BJA36" s="49"/>
      <c r="BJB36" s="42">
        <f t="shared" ref="BJB36:BJB45" si="2283">SUM(BIV36:BJA36)</f>
        <v>220</v>
      </c>
      <c r="BJC36" s="101">
        <f t="shared" ref="BJC36:BJC45" si="2284">BJB36/$BBC$5</f>
        <v>36.666666666666664</v>
      </c>
      <c r="BJD36" s="48"/>
      <c r="BJE36" s="49"/>
      <c r="BJF36" s="49">
        <v>172</v>
      </c>
      <c r="BJG36" s="49"/>
      <c r="BJH36" s="49"/>
      <c r="BJI36" s="49"/>
      <c r="BJJ36" s="42">
        <f t="shared" ref="BJJ36:BJJ45" si="2285">SUM(BJD36:BJI36)</f>
        <v>172</v>
      </c>
      <c r="BJK36" s="43">
        <f t="shared" ref="BJK36:BJK45" si="2286">BJJ36/$BBC$5</f>
        <v>28.666666666666668</v>
      </c>
      <c r="BJL36" s="48"/>
      <c r="BJM36" s="49">
        <v>110</v>
      </c>
      <c r="BJN36" s="49"/>
      <c r="BJO36" s="49"/>
      <c r="BJP36" s="49"/>
      <c r="BJQ36" s="49"/>
      <c r="BJR36" s="42">
        <f t="shared" ref="BJR36:BJR45" si="2287">SUM(BJL36:BJQ36)</f>
        <v>110</v>
      </c>
      <c r="BJS36" s="43">
        <f t="shared" ref="BJS36:BJS45" si="2288">BJR36/$BBC$5</f>
        <v>18.333333333333332</v>
      </c>
      <c r="BJT36" s="48"/>
      <c r="BJU36" s="49"/>
      <c r="BJV36" s="49"/>
      <c r="BJW36" s="49"/>
      <c r="BJX36" s="49"/>
      <c r="BJY36" s="49">
        <v>220</v>
      </c>
      <c r="BJZ36" s="42">
        <f t="shared" ref="BJZ36:BJZ45" si="2289">SUM(BJT36:BJY36)</f>
        <v>220</v>
      </c>
      <c r="BKA36" s="43">
        <f t="shared" ref="BKA36:BKA45" si="2290">BJZ36/$BKA$4</f>
        <v>44</v>
      </c>
      <c r="BKB36" s="48"/>
      <c r="BKC36" s="49">
        <v>199</v>
      </c>
      <c r="BKD36" s="49"/>
      <c r="BKE36" s="49"/>
      <c r="BKF36" s="49"/>
      <c r="BKG36" s="49"/>
      <c r="BKH36" s="67">
        <f t="shared" ref="BKH36:BKH45" si="2291">SUM(BKB36:BKG36)</f>
        <v>199</v>
      </c>
      <c r="BKI36" s="68">
        <f t="shared" ref="BKI36:BKI45" si="2292">BKH36/$BKI$5</f>
        <v>33.166666666666664</v>
      </c>
      <c r="BKJ36" s="48"/>
      <c r="BKK36" s="49"/>
      <c r="BKL36" s="49"/>
      <c r="BKM36" s="49"/>
      <c r="BKN36" s="49"/>
      <c r="BKO36" s="49"/>
      <c r="BKP36" s="42">
        <f t="shared" ref="BKP36:BKP45" si="2293">SUM(BKJ36:BKO36)</f>
        <v>0</v>
      </c>
      <c r="BKQ36" s="43">
        <f t="shared" ref="BKQ36:BKQ45" si="2294">BKP36/$BKQ$5</f>
        <v>0</v>
      </c>
      <c r="BKR36" s="48"/>
      <c r="BKS36" s="49"/>
      <c r="BKT36" s="49">
        <v>225</v>
      </c>
      <c r="BKU36" s="49"/>
      <c r="BKV36" s="49"/>
      <c r="BKW36" s="49"/>
      <c r="BKX36" s="42">
        <f t="shared" ref="BKX36:BKX45" si="2295">SUM(BKR36:BKW36)</f>
        <v>225</v>
      </c>
      <c r="BKY36" s="43">
        <f t="shared" ref="BKY36:BKY45" si="2296">BKX36/$BKY$5</f>
        <v>37.5</v>
      </c>
      <c r="BKZ36" s="48"/>
      <c r="BLA36" s="49"/>
      <c r="BLB36" s="49"/>
      <c r="BLC36" s="49">
        <v>220</v>
      </c>
      <c r="BLD36" s="49"/>
      <c r="BLE36" s="49"/>
      <c r="BLF36" s="42">
        <f t="shared" ref="BLF36:BLF45" si="2297">SUM(BKZ36:BLE36)</f>
        <v>220</v>
      </c>
      <c r="BLG36" s="43">
        <f t="shared" ref="BLG36:BLG45" si="2298">BLF36/$BLG$5</f>
        <v>36.666666666666664</v>
      </c>
      <c r="BLH36" s="48"/>
      <c r="BLI36" s="49"/>
      <c r="BLJ36" s="49"/>
      <c r="BLK36" s="49"/>
      <c r="BLL36" s="49"/>
      <c r="BLM36" s="49"/>
      <c r="BLN36" s="42">
        <f t="shared" ref="BLN36:BLN45" si="2299">SUM(BLH36:BLM36)</f>
        <v>0</v>
      </c>
      <c r="BLO36" s="43">
        <f t="shared" ref="BLO36:BLO45" si="2300">BLN36/$BLO$5</f>
        <v>0</v>
      </c>
      <c r="BLP36" s="48">
        <v>216</v>
      </c>
      <c r="BLQ36" s="49"/>
      <c r="BLR36" s="49"/>
      <c r="BLS36" s="49"/>
      <c r="BLT36" s="49"/>
      <c r="BLU36" s="49"/>
      <c r="BLV36" s="42">
        <f t="shared" ref="BLV36:BLV45" si="2301">SUM(BLP36:BLU36)</f>
        <v>216</v>
      </c>
      <c r="BLW36" s="43">
        <f t="shared" ref="BLW36:BLW45" si="2302">BLV36/$BLW$5</f>
        <v>36</v>
      </c>
      <c r="BLX36" s="48">
        <v>330</v>
      </c>
      <c r="BLY36" s="49"/>
      <c r="BLZ36" s="49"/>
      <c r="BMA36" s="49"/>
      <c r="BMB36" s="49"/>
      <c r="BMC36" s="49"/>
      <c r="BMD36" s="42">
        <f t="shared" ref="BMD36:BMD45" si="2303">SUM(BLX36:BMC36)</f>
        <v>330</v>
      </c>
      <c r="BME36" s="43">
        <f t="shared" ref="BME36:BME45" si="2304">BMD36/$BME$5</f>
        <v>55</v>
      </c>
      <c r="BMF36" s="48"/>
      <c r="BMG36" s="49"/>
      <c r="BMH36" s="49"/>
      <c r="BMI36" s="49">
        <v>110</v>
      </c>
      <c r="BMJ36" s="49"/>
      <c r="BMK36" s="49"/>
      <c r="BML36" s="42">
        <f t="shared" ref="BML36:BML45" si="2305">SUM(BMF36:BMK36)</f>
        <v>110</v>
      </c>
      <c r="BMM36" s="43">
        <f t="shared" ref="BMM36:BMM45" si="2306">BML36/$BMM$5</f>
        <v>18.333333333333332</v>
      </c>
      <c r="BMN36" s="48">
        <v>110</v>
      </c>
      <c r="BMO36" s="49"/>
      <c r="BMP36" s="49"/>
      <c r="BMQ36" s="49"/>
      <c r="BMR36" s="49"/>
      <c r="BMS36" s="49"/>
      <c r="BMT36" s="42">
        <f t="shared" ref="BMT36:BMT45" si="2307">SUM(BMN36:BMS36)</f>
        <v>110</v>
      </c>
      <c r="BMU36" s="43">
        <f t="shared" ref="BMU36:BMU45" si="2308">BMT36/$BMU$5</f>
        <v>18.333333333333332</v>
      </c>
      <c r="BMV36" s="48">
        <v>179</v>
      </c>
      <c r="BMW36" s="49">
        <v>208</v>
      </c>
      <c r="BMX36" s="49"/>
      <c r="BMY36" s="49"/>
      <c r="BMZ36" s="49">
        <v>110</v>
      </c>
      <c r="BNA36" s="49"/>
      <c r="BNB36" s="42">
        <f t="shared" ref="BNB36:BNB45" si="2309">SUM(BMV36:BNA36)</f>
        <v>497</v>
      </c>
      <c r="BNC36" s="43">
        <f t="shared" ref="BNC36:BNC45" si="2310">BNB36/$BNC$5</f>
        <v>82.833333333333329</v>
      </c>
      <c r="BND36" s="48"/>
      <c r="BNE36" s="49"/>
      <c r="BNF36" s="49"/>
      <c r="BNG36" s="49"/>
      <c r="BNH36" s="49">
        <v>220</v>
      </c>
      <c r="BNI36" s="49"/>
      <c r="BNJ36" s="42">
        <f t="shared" ref="BNJ36:BNJ45" si="2311">SUM(BND36:BNI36)</f>
        <v>220</v>
      </c>
      <c r="BNK36" s="43">
        <f t="shared" ref="BNK36:BNK45" si="2312">BNJ36/$BNK$5</f>
        <v>36.666666666666664</v>
      </c>
      <c r="BNL36" s="48"/>
      <c r="BNM36" s="49"/>
      <c r="BNN36" s="49">
        <v>109</v>
      </c>
      <c r="BNO36" s="49"/>
      <c r="BNP36" s="49"/>
      <c r="BNQ36" s="49"/>
      <c r="BNR36" s="42">
        <f t="shared" ref="BNR36:BNR45" si="2313">SUM(BNL36:BNQ36)</f>
        <v>109</v>
      </c>
      <c r="BNS36" s="43">
        <f t="shared" ref="BNS36:BNS45" si="2314">BNR36/$BNS$5</f>
        <v>18.166666666666668</v>
      </c>
      <c r="BNT36" s="48"/>
      <c r="BNU36" s="49"/>
      <c r="BNV36" s="49"/>
      <c r="BNW36" s="49"/>
      <c r="BNX36" s="49"/>
      <c r="BNY36" s="49"/>
      <c r="BNZ36" s="42">
        <f t="shared" ref="BNZ36:BNZ45" si="2315">SUM(BNT36:BNY36)</f>
        <v>0</v>
      </c>
      <c r="BOA36" s="43">
        <f t="shared" ref="BOA36:BOA45" si="2316">BNZ36/$BOA$5</f>
        <v>0</v>
      </c>
      <c r="BOB36" s="48">
        <v>220</v>
      </c>
      <c r="BOC36" s="49"/>
      <c r="BOD36" s="49"/>
      <c r="BOE36" s="49"/>
      <c r="BOF36" s="49"/>
      <c r="BOG36" s="49"/>
      <c r="BOH36" s="42">
        <f t="shared" ref="BOH36:BOH45" si="2317">SUM(BOB36:BOG36)</f>
        <v>220</v>
      </c>
      <c r="BOI36" s="43">
        <f t="shared" ref="BOI36:BOI45" si="2318">BOH36/BOA$5</f>
        <v>36.666666666666664</v>
      </c>
      <c r="BOJ36" s="48"/>
      <c r="BOK36" s="49"/>
      <c r="BOL36" s="49"/>
      <c r="BOM36" s="49">
        <v>200</v>
      </c>
      <c r="BON36" s="49"/>
      <c r="BOO36" s="49"/>
      <c r="BOP36" s="42">
        <f t="shared" ref="BOP36:BOP45" si="2319">SUM(BOJ36:BOO36)</f>
        <v>200</v>
      </c>
      <c r="BOQ36" s="43">
        <f t="shared" ref="BOQ36:BOQ45" si="2320">BOP36/BOI$5</f>
        <v>33.333333333333336</v>
      </c>
      <c r="BOR36" s="48"/>
      <c r="BOS36" s="49">
        <v>110</v>
      </c>
      <c r="BOT36" s="49"/>
      <c r="BOU36" s="49"/>
      <c r="BOV36" s="49">
        <v>108</v>
      </c>
      <c r="BOW36" s="49"/>
      <c r="BOX36" s="42">
        <f t="shared" ref="BOX36:BOX45" si="2321">SUM(BOR36:BOW36)</f>
        <v>218</v>
      </c>
      <c r="BOY36" s="43">
        <f t="shared" ref="BOY36:BOY45" si="2322">BOX36/$BOY$5</f>
        <v>36.333333333333336</v>
      </c>
      <c r="BOZ36" s="48">
        <v>107</v>
      </c>
      <c r="BPA36" s="49"/>
      <c r="BPB36" s="49"/>
      <c r="BPC36" s="49">
        <v>110</v>
      </c>
      <c r="BPD36" s="49"/>
      <c r="BPE36" s="49"/>
      <c r="BPF36" s="42">
        <f t="shared" ref="BPF36:BPF45" si="2323">SUM(BOZ36:BPE36)</f>
        <v>217</v>
      </c>
      <c r="BPG36" s="43">
        <f t="shared" ref="BPG36:BPG45" si="2324">BPF36/$BPG$5</f>
        <v>36.166666666666664</v>
      </c>
      <c r="BPH36" s="48"/>
      <c r="BPI36" s="49"/>
      <c r="BPJ36" s="49">
        <v>110</v>
      </c>
      <c r="BPK36" s="49"/>
      <c r="BPL36" s="49"/>
      <c r="BPM36" s="49">
        <v>221</v>
      </c>
      <c r="BPN36" s="42">
        <f t="shared" ref="BPN36:BPN45" si="2325">SUM(BPH36:BPM36)</f>
        <v>331</v>
      </c>
      <c r="BPO36" s="43">
        <f t="shared" ref="BPO36:BPO45" si="2326">BPN36/$BPO$5</f>
        <v>55.166666666666664</v>
      </c>
      <c r="BPP36" s="48"/>
      <c r="BPQ36" s="49">
        <v>110</v>
      </c>
      <c r="BPR36" s="49"/>
      <c r="BPS36" s="49"/>
      <c r="BPT36" s="49"/>
      <c r="BPU36" s="49"/>
      <c r="BPV36" s="42">
        <f t="shared" ref="BPV36:BPV45" si="2327">SUM(BPP36:BPU36)</f>
        <v>110</v>
      </c>
      <c r="BPW36" s="43">
        <f t="shared" ref="BPW36:BPW45" si="2328">BPV36/$BPW$5</f>
        <v>18.333333333333332</v>
      </c>
      <c r="BPX36" s="48"/>
      <c r="BPY36" s="49"/>
      <c r="BPZ36" s="49"/>
      <c r="BQA36" s="49"/>
      <c r="BQB36" s="49">
        <v>97</v>
      </c>
      <c r="BQC36" s="49"/>
      <c r="BQD36" s="67">
        <f t="shared" ref="BQD36:BQD45" si="2329">SUM(BPX36:BQC36)</f>
        <v>97</v>
      </c>
      <c r="BQE36" s="43">
        <f t="shared" ref="BQE36:BQE45" si="2330">BQD36/$BQE$5</f>
        <v>16.166666666666668</v>
      </c>
      <c r="BQF36" s="48"/>
      <c r="BQG36" s="49">
        <v>343</v>
      </c>
      <c r="BQH36" s="49">
        <v>120</v>
      </c>
      <c r="BQI36" s="49"/>
      <c r="BQJ36" s="49"/>
      <c r="BQK36" s="49"/>
      <c r="BQL36" s="67">
        <f t="shared" ref="BQL36:BQL45" si="2331">SUM(BQF36:BQK36)</f>
        <v>463</v>
      </c>
      <c r="BQM36" s="43">
        <f t="shared" ref="BQM36:BQM45" si="2332">BQL36/$BQM$5</f>
        <v>77.166666666666671</v>
      </c>
      <c r="BQN36" s="48"/>
      <c r="BQO36" s="49"/>
      <c r="BQP36" s="49"/>
      <c r="BQQ36" s="49">
        <v>110</v>
      </c>
      <c r="BQR36" s="49"/>
      <c r="BQS36" s="49"/>
      <c r="BQT36" s="67">
        <f t="shared" ref="BQT36:BQT45" si="2333">SUM(BQN36:BQS36)</f>
        <v>110</v>
      </c>
      <c r="BQU36" s="43">
        <f t="shared" ref="BQU36:BQU45" si="2334">BQT36/$BQU$5</f>
        <v>18.333333333333332</v>
      </c>
      <c r="BQV36" s="48"/>
      <c r="BQW36" s="49"/>
      <c r="BQX36" s="49"/>
      <c r="BQY36" s="49"/>
      <c r="BQZ36" s="49">
        <v>120</v>
      </c>
      <c r="BRA36" s="49"/>
      <c r="BRB36" s="67">
        <f t="shared" ref="BRB36:BRB45" si="2335">SUM(BQV36:BRA36)</f>
        <v>120</v>
      </c>
      <c r="BRC36" s="43">
        <f t="shared" ref="BRC36:BRC45" si="2336">BRB36/$BKI$5</f>
        <v>20</v>
      </c>
      <c r="BRD36" s="48">
        <v>109</v>
      </c>
      <c r="BRE36" s="49"/>
      <c r="BRF36" s="49">
        <v>220</v>
      </c>
      <c r="BRG36" s="49"/>
      <c r="BRH36" s="49"/>
      <c r="BRI36" s="49"/>
      <c r="BRJ36" s="67">
        <f t="shared" ref="BRJ36:BRJ45" si="2337">SUM(BRD36:BRI36)</f>
        <v>329</v>
      </c>
      <c r="BRK36" s="43">
        <f t="shared" ref="BRK36:BRK45" si="2338">BRJ36/$BRK$5</f>
        <v>54.833333333333336</v>
      </c>
      <c r="BRL36" s="48"/>
      <c r="BRM36" s="49"/>
      <c r="BRN36" s="49"/>
      <c r="BRO36" s="49"/>
      <c r="BRP36" s="49"/>
      <c r="BRQ36" s="49">
        <v>220</v>
      </c>
      <c r="BRR36" s="67">
        <f t="shared" ref="BRR36:BRR45" si="2339">SUM(BRL36:BRQ36)</f>
        <v>220</v>
      </c>
      <c r="BRS36" s="68">
        <f t="shared" ref="BRS36:BRS45" si="2340">BRR36/$BRS$5</f>
        <v>36.666666666666664</v>
      </c>
      <c r="BRT36" s="63"/>
      <c r="BRU36" s="64"/>
      <c r="BRV36" s="64"/>
      <c r="BRW36" s="64"/>
      <c r="BRX36" s="64"/>
      <c r="BRY36" s="64"/>
      <c r="BRZ36" s="67">
        <f t="shared" ref="BRZ36:BRZ45" si="2341">SUM(BRT36:BRY36)</f>
        <v>0</v>
      </c>
      <c r="BSA36" s="43">
        <f t="shared" ref="BSA36:BSA45" si="2342">BRZ36/$BSA$5</f>
        <v>0</v>
      </c>
      <c r="BSB36" s="48"/>
      <c r="BSC36" s="49">
        <v>110</v>
      </c>
      <c r="BSD36" s="49"/>
      <c r="BSE36" s="49"/>
      <c r="BSF36" s="49">
        <v>106</v>
      </c>
      <c r="BSG36" s="49"/>
      <c r="BSH36" s="67">
        <f t="shared" ref="BSH36:BSH45" si="2343">SUM(BSB36:BSG36)</f>
        <v>216</v>
      </c>
      <c r="BSI36" s="43">
        <f t="shared" ref="BSI36:BSI45" si="2344">BSH36/$BSI$5</f>
        <v>36</v>
      </c>
      <c r="BSJ36" s="48"/>
      <c r="BSK36" s="49"/>
      <c r="BSL36" s="49"/>
      <c r="BSM36" s="49"/>
      <c r="BSN36" s="49"/>
      <c r="BSO36" s="49">
        <v>220</v>
      </c>
      <c r="BSP36" s="67">
        <f t="shared" ref="BSP36:BSP45" si="2345">SUM(BSJ36:BSO36)</f>
        <v>220</v>
      </c>
      <c r="BSQ36" s="43">
        <f t="shared" ref="BSQ36:BSQ45" si="2346">BSP36/$BSQ$5</f>
        <v>36.666666666666664</v>
      </c>
      <c r="BSR36" s="48"/>
      <c r="BSS36" s="49"/>
      <c r="BST36" s="49">
        <v>102</v>
      </c>
      <c r="BSU36" s="49"/>
      <c r="BSV36" s="49"/>
      <c r="BSW36" s="49"/>
      <c r="BSX36" s="67">
        <f t="shared" ref="BSX36:BSX45" si="2347">SUM(BSR36:BSW36)</f>
        <v>102</v>
      </c>
      <c r="BSY36" s="43">
        <f t="shared" ref="BSY36:BSY45" si="2348">BSX36/$BSY$5</f>
        <v>17</v>
      </c>
      <c r="BSZ36" s="48">
        <v>220</v>
      </c>
      <c r="BTA36" s="49"/>
      <c r="BTB36" s="49"/>
      <c r="BTC36" s="49"/>
      <c r="BTD36" s="49">
        <v>102</v>
      </c>
      <c r="BTE36" s="49"/>
      <c r="BTF36" s="67">
        <f t="shared" ref="BTF36:BTF45" si="2349">SUM(BSZ36:BTE36)</f>
        <v>322</v>
      </c>
      <c r="BTG36" s="43">
        <f t="shared" ref="BTG36:BTG45" si="2350">BTF36/$BTG$5</f>
        <v>53.666666666666664</v>
      </c>
      <c r="BTH36" s="48"/>
      <c r="BTI36" s="49"/>
      <c r="BTJ36" s="49"/>
      <c r="BTK36" s="49"/>
      <c r="BTL36" s="49"/>
      <c r="BTM36" s="49"/>
      <c r="BTN36" s="67">
        <f t="shared" ref="BTN36:BTN45" si="2351">SUM(BTH36:BTM36)</f>
        <v>0</v>
      </c>
      <c r="BTO36" s="68">
        <f t="shared" ref="BTO36:BTO45" si="2352">BTN36/$BTO$5</f>
        <v>0</v>
      </c>
      <c r="BTP36" s="48"/>
      <c r="BTQ36" s="49"/>
      <c r="BTR36" s="49"/>
      <c r="BTS36" s="49"/>
      <c r="BTT36" s="49"/>
      <c r="BTU36" s="49">
        <v>544</v>
      </c>
      <c r="BTV36" s="67">
        <f t="shared" ref="BTV36:BTV45" si="2353">SUM(BTP36:BTU36)</f>
        <v>544</v>
      </c>
      <c r="BTW36" s="43">
        <f t="shared" ref="BTW36:BTW45" si="2354">BTV36/$BTW$5</f>
        <v>90.666666666666671</v>
      </c>
      <c r="BTX36" s="48"/>
      <c r="BTY36" s="49"/>
      <c r="BTZ36" s="49"/>
      <c r="BUA36" s="49"/>
      <c r="BUB36" s="49"/>
      <c r="BUC36" s="49"/>
      <c r="BUD36" s="67">
        <f t="shared" ref="BUD36:BUD45" si="2355">SUM(BTX36:BUC36)</f>
        <v>0</v>
      </c>
      <c r="BUE36" s="68">
        <f t="shared" ref="BUE36:BUE45" si="2356">BUD36/$BUE$5</f>
        <v>0</v>
      </c>
      <c r="BUF36" s="48"/>
      <c r="BUG36" s="49">
        <v>110</v>
      </c>
      <c r="BUH36" s="49"/>
      <c r="BUI36" s="49"/>
      <c r="BUJ36" s="49">
        <v>110</v>
      </c>
      <c r="BUK36" s="49"/>
      <c r="BUL36" s="67">
        <f t="shared" ref="BUL36:BUL45" si="2357">SUM(BUF36:BUK36)</f>
        <v>220</v>
      </c>
      <c r="BUM36" s="68">
        <f t="shared" ref="BUM36:BUM45" si="2358">BUL36/$BUM$5</f>
        <v>36.666666666666664</v>
      </c>
      <c r="BUN36" s="48">
        <v>220</v>
      </c>
      <c r="BUO36" s="49"/>
      <c r="BUP36" s="49"/>
      <c r="BUQ36" s="49"/>
      <c r="BUR36" s="49"/>
      <c r="BUS36" s="49">
        <v>110</v>
      </c>
      <c r="BUT36" s="67">
        <f t="shared" ref="BUT36:BUT45" si="2359">SUM(BUN36:BUS36)</f>
        <v>330</v>
      </c>
      <c r="BUU36" s="68">
        <f t="shared" ref="BUU36:BUU45" si="2360">BUT36/$BUU$5</f>
        <v>55</v>
      </c>
      <c r="BUV36" s="48"/>
      <c r="BUW36" s="49"/>
      <c r="BUX36" s="49"/>
      <c r="BUY36" s="49"/>
      <c r="BUZ36" s="49">
        <v>99</v>
      </c>
      <c r="BVA36" s="49"/>
      <c r="BVB36" s="67">
        <f t="shared" ref="BVB36:BVB45" si="2361">SUM(BUV36:BVA36)</f>
        <v>99</v>
      </c>
      <c r="BVC36" s="68">
        <f t="shared" ref="BVC36:BVC45" si="2362">BVB36/$BVC$5</f>
        <v>16.5</v>
      </c>
      <c r="BVD36" s="48"/>
      <c r="BVE36" s="49">
        <v>107</v>
      </c>
      <c r="BVF36" s="49"/>
      <c r="BVG36" s="49"/>
      <c r="BVH36" s="49"/>
      <c r="BVI36" s="49"/>
      <c r="BVJ36" s="67">
        <f t="shared" ref="BVJ36:BVJ45" si="2363">SUM(BVD36:BVI36)</f>
        <v>107</v>
      </c>
      <c r="BVK36" s="68">
        <f t="shared" ref="BVK36:BVK45" si="2364">BVJ36/$BVK$5</f>
        <v>17.833333333333332</v>
      </c>
      <c r="BVL36" s="48">
        <v>219</v>
      </c>
      <c r="BVM36" s="49"/>
      <c r="BVN36" s="49"/>
      <c r="BVO36" s="49"/>
      <c r="BVP36" s="49"/>
      <c r="BVQ36" s="49"/>
      <c r="BVR36" s="67">
        <f t="shared" ref="BVR36:BVR45" si="2365">SUM(BVL36:BVQ36)</f>
        <v>219</v>
      </c>
      <c r="BVS36" s="68">
        <f t="shared" ref="BVS36:BVS45" si="2366">BVR36/$BVS$5</f>
        <v>36.5</v>
      </c>
      <c r="BVT36" s="48"/>
      <c r="BVU36" s="49">
        <v>329</v>
      </c>
      <c r="BVV36" s="49"/>
      <c r="BVW36" s="49"/>
      <c r="BVX36" s="49">
        <v>225</v>
      </c>
      <c r="BVY36" s="49"/>
      <c r="BVZ36" s="67">
        <f t="shared" ref="BVZ36:BVZ45" si="2367">SUM(BVT36:BVY36)</f>
        <v>554</v>
      </c>
      <c r="BWA36" s="68">
        <f t="shared" ref="BWA36:BWA45" si="2368">BVZ36/$BWA$5</f>
        <v>92.333333333333329</v>
      </c>
      <c r="BWB36" s="48"/>
      <c r="BWC36" s="49"/>
      <c r="BWD36" s="49">
        <v>110</v>
      </c>
      <c r="BWE36" s="49"/>
      <c r="BWF36" s="49">
        <v>108</v>
      </c>
      <c r="BWG36" s="49"/>
      <c r="BWH36" s="67">
        <f t="shared" ref="BWH36:BWH45" si="2369">SUM(BWB36:BWG36)</f>
        <v>218</v>
      </c>
      <c r="BWI36" s="68">
        <f t="shared" ref="BWI36:BWI45" si="2370">BWH36/$BWI$5</f>
        <v>36.333333333333336</v>
      </c>
      <c r="BWJ36" s="48"/>
      <c r="BWK36" s="49"/>
      <c r="BWL36" s="49"/>
      <c r="BWM36" s="49">
        <v>199</v>
      </c>
      <c r="BWN36" s="49">
        <v>222</v>
      </c>
      <c r="BWO36" s="49"/>
      <c r="BWP36" s="67">
        <f t="shared" ref="BWP36:BWP45" si="2371">SUM(BWJ36:BWO36)</f>
        <v>421</v>
      </c>
      <c r="BWQ36" s="68">
        <f t="shared" ref="BWQ36:BWQ45" si="2372">BWP36/$BWI$5</f>
        <v>70.166666666666671</v>
      </c>
      <c r="BWR36" s="48"/>
      <c r="BWS36" s="49"/>
      <c r="BWT36" s="49"/>
      <c r="BWU36" s="49"/>
      <c r="BWV36" s="49"/>
      <c r="BWW36" s="49"/>
      <c r="BWX36" s="67">
        <f t="shared" ref="BWX36:BWX45" si="2373">SUM(BWR36:BWW36)</f>
        <v>0</v>
      </c>
      <c r="BWY36" s="68">
        <f t="shared" ref="BWY36:BWY45" si="2374">BWX36/$BWY$5</f>
        <v>0</v>
      </c>
      <c r="BWZ36" s="48">
        <v>220</v>
      </c>
      <c r="BXA36" s="49"/>
      <c r="BXB36" s="49"/>
      <c r="BXC36" s="49"/>
      <c r="BXD36" s="49"/>
      <c r="BXE36" s="49">
        <v>223</v>
      </c>
      <c r="BXF36" s="67">
        <f t="shared" ref="BXF36:BXF45" si="2375">SUM(BWZ36:BXE36)</f>
        <v>443</v>
      </c>
      <c r="BXG36" s="68">
        <f t="shared" ref="BXG36:BXG45" si="2376">BXF36/$BXG$5</f>
        <v>73.833333333333329</v>
      </c>
      <c r="BXH36" s="48"/>
      <c r="BXI36" s="49"/>
      <c r="BXJ36" s="49">
        <v>110</v>
      </c>
      <c r="BXK36" s="49"/>
      <c r="BXL36" s="49"/>
      <c r="BXM36" s="49"/>
      <c r="BXN36" s="67">
        <f t="shared" ref="BXN36:BXN45" si="2377">SUM(BXH36:BXM36)</f>
        <v>110</v>
      </c>
      <c r="BXO36" s="68">
        <f t="shared" ref="BXO36:BXO45" si="2378">BXN36/$BXO$5</f>
        <v>18.333333333333332</v>
      </c>
      <c r="BXP36" s="48">
        <v>220</v>
      </c>
      <c r="BXQ36" s="49"/>
      <c r="BXR36" s="49"/>
      <c r="BXS36" s="49"/>
      <c r="BXT36" s="49"/>
      <c r="BXU36" s="49"/>
      <c r="BXV36" s="67">
        <f t="shared" ref="BXV36:BXV45" si="2379">SUM(BXP36:BXU36)</f>
        <v>220</v>
      </c>
      <c r="BXW36" s="68">
        <f t="shared" si="1584"/>
        <v>36.666666666666664</v>
      </c>
      <c r="BXX36" s="48"/>
      <c r="BXY36" s="49">
        <v>220</v>
      </c>
      <c r="BXZ36" s="49"/>
      <c r="BYA36" s="49">
        <v>110</v>
      </c>
      <c r="BYB36" s="49"/>
      <c r="BYC36" s="49"/>
      <c r="BYD36" s="67">
        <f t="shared" ref="BYD36:BYD45" si="2380">SUM(BXX36:BYC36)</f>
        <v>330</v>
      </c>
      <c r="BYE36" s="68">
        <f t="shared" ref="BYE36:BYE45" si="2381">BYD36/$BYE$5</f>
        <v>55</v>
      </c>
      <c r="BYF36" s="48">
        <v>110</v>
      </c>
      <c r="BYG36" s="49"/>
      <c r="BYH36" s="49"/>
      <c r="BYI36" s="49"/>
      <c r="BYJ36" s="49">
        <v>196</v>
      </c>
      <c r="BYK36" s="49"/>
      <c r="BYL36" s="67">
        <f t="shared" ref="BYL36:BYL45" si="2382">SUM(BYF36:BYK36)</f>
        <v>306</v>
      </c>
      <c r="BYM36" s="68">
        <f t="shared" ref="BYM36:BYM45" si="2383">BYL36/$BYM$5</f>
        <v>51</v>
      </c>
      <c r="BYN36" s="48"/>
      <c r="BYO36" s="49"/>
      <c r="BYP36" s="49">
        <v>109</v>
      </c>
      <c r="BYQ36" s="49">
        <v>220</v>
      </c>
      <c r="BYR36" s="49">
        <v>329</v>
      </c>
      <c r="BYS36" s="49"/>
      <c r="BYT36" s="67">
        <f t="shared" ref="BYT36:BYT45" si="2384">SUM(BYN36:BYS36)</f>
        <v>658</v>
      </c>
      <c r="BYU36" s="68">
        <f t="shared" ref="BYU36:BYU45" si="2385">BYT36/$BYU$5</f>
        <v>109.66666666666667</v>
      </c>
      <c r="BYV36" s="48">
        <v>200</v>
      </c>
      <c r="BYW36" s="49"/>
      <c r="BYX36" s="49"/>
      <c r="BYY36" s="49"/>
      <c r="BYZ36" s="49"/>
      <c r="BZA36" s="49"/>
      <c r="BZB36" s="67">
        <f t="shared" ref="BZB36:BZB45" si="2386">SUM(BYV36:BZA36)</f>
        <v>200</v>
      </c>
      <c r="BZC36" s="68">
        <f t="shared" ref="BZC36:BZC45" si="2387">BZB36/$BYU$5</f>
        <v>33.333333333333336</v>
      </c>
      <c r="BZD36" s="48"/>
      <c r="BZE36" s="49">
        <v>330</v>
      </c>
      <c r="BZF36" s="49">
        <v>442</v>
      </c>
      <c r="BZG36" s="49"/>
      <c r="BZH36" s="49"/>
      <c r="BZI36" s="49"/>
      <c r="BZJ36" s="67">
        <f t="shared" ref="BZJ36:BZJ45" si="2388">SUM(BZD36:BZI36)</f>
        <v>772</v>
      </c>
      <c r="BZK36" s="68">
        <f t="shared" ref="BZK36:BZK45" si="2389">BZJ36/$BZK$5</f>
        <v>128.66666666666666</v>
      </c>
      <c r="BZL36" s="48">
        <v>329</v>
      </c>
      <c r="BZM36" s="49">
        <v>220</v>
      </c>
      <c r="BZN36" s="49"/>
      <c r="BZO36" s="49">
        <v>220</v>
      </c>
      <c r="BZP36" s="49"/>
      <c r="BZQ36" s="49"/>
      <c r="BZR36" s="67">
        <f t="shared" ref="BZR36:BZR45" si="2390">SUM(BZL36:BZQ36)</f>
        <v>769</v>
      </c>
      <c r="BZS36" s="68">
        <f t="shared" ref="BZS36:BZS45" si="2391">BZR36/$BZS$5</f>
        <v>128.16666666666666</v>
      </c>
      <c r="BZT36" s="48"/>
      <c r="BZU36" s="49"/>
      <c r="BZV36" s="49">
        <v>230</v>
      </c>
      <c r="BZW36" s="49"/>
      <c r="BZX36" s="49"/>
      <c r="BZY36" s="49">
        <v>330</v>
      </c>
      <c r="BZZ36" s="67">
        <f t="shared" ref="BZZ36:BZZ45" si="2392">SUM(BZT36:BZY36)</f>
        <v>560</v>
      </c>
      <c r="CAA36" s="68">
        <f t="shared" ref="CAA36:CAA45" si="2393">BZZ36/$CAA$5</f>
        <v>93.333333333333329</v>
      </c>
      <c r="CAB36" s="48"/>
      <c r="CAC36" s="49">
        <v>127</v>
      </c>
      <c r="CAD36" s="49"/>
      <c r="CAE36" s="49"/>
      <c r="CAF36" s="49"/>
      <c r="CAG36" s="49"/>
      <c r="CAH36" s="67">
        <f t="shared" ref="CAH36:CAH45" si="2394">SUM(CAB36:CAG36)</f>
        <v>127</v>
      </c>
      <c r="CAI36" s="68">
        <f t="shared" ref="CAI36:CAI45" si="2395">CAH36/$CAI$5</f>
        <v>21.166666666666668</v>
      </c>
      <c r="CAJ36" s="48">
        <v>108</v>
      </c>
      <c r="CAK36" s="49"/>
      <c r="CAL36" s="49">
        <v>318</v>
      </c>
      <c r="CAM36" s="49"/>
      <c r="CAN36" s="49"/>
      <c r="CAO36" s="49"/>
      <c r="CAP36" s="67">
        <f t="shared" ref="CAP36:CAP45" si="2396">SUM(CAJ36:CAO36)</f>
        <v>426</v>
      </c>
      <c r="CAQ36" s="68">
        <f t="shared" ref="CAQ36:CAQ45" si="2397">CAP36/$CAQ$5</f>
        <v>71</v>
      </c>
      <c r="CAR36" s="48"/>
      <c r="CAS36" s="49">
        <v>206</v>
      </c>
      <c r="CAT36" s="49"/>
      <c r="CAU36" s="49"/>
      <c r="CAV36" s="49"/>
      <c r="CAW36" s="49"/>
      <c r="CAX36" s="67">
        <f t="shared" ref="CAX36:CAX45" si="2398">SUM(CAR36:CAW36)</f>
        <v>206</v>
      </c>
      <c r="CAY36" s="68">
        <f t="shared" ref="CAY36:CAY45" si="2399">CAX36/$CAY$5</f>
        <v>34.333333333333336</v>
      </c>
      <c r="CAZ36" s="48">
        <v>329</v>
      </c>
      <c r="CBA36" s="49"/>
      <c r="CBB36" s="49"/>
      <c r="CBC36" s="49">
        <v>220</v>
      </c>
      <c r="CBD36" s="49"/>
      <c r="CBE36" s="49">
        <v>107</v>
      </c>
      <c r="CBF36" s="67">
        <f t="shared" ref="CBF36:CBF45" si="2400">SUM(CAZ36:CBE36)</f>
        <v>656</v>
      </c>
      <c r="CBG36" s="68">
        <f t="shared" ref="CBG36:CBG45" si="2401">CBF36/$CBG$5</f>
        <v>109.33333333333333</v>
      </c>
      <c r="CBH36" s="48"/>
      <c r="CBI36" s="49">
        <v>110</v>
      </c>
      <c r="CBJ36" s="49"/>
      <c r="CBK36" s="49"/>
      <c r="CBL36" s="49">
        <v>240</v>
      </c>
      <c r="CBM36" s="49">
        <v>110</v>
      </c>
      <c r="CBN36" s="67">
        <f t="shared" ref="CBN36:CBN45" si="2402">SUM(CBH36:CBM36)</f>
        <v>460</v>
      </c>
      <c r="CBO36" s="68">
        <f t="shared" ref="CBO36:CBO45" si="2403">CBN36/$CBG$5</f>
        <v>76.666666666666671</v>
      </c>
      <c r="CBP36" s="48"/>
      <c r="CBQ36" s="49"/>
      <c r="CBR36" s="49"/>
      <c r="CBS36" s="49">
        <v>327</v>
      </c>
      <c r="CBT36" s="49"/>
      <c r="CBU36" s="49"/>
      <c r="CBV36" s="67">
        <f t="shared" ref="CBV36:CBV45" si="2404">SUM(CBP36:CBU36)</f>
        <v>327</v>
      </c>
      <c r="CBW36" s="68">
        <f t="shared" ref="CBW36:CBW45" si="2405">CBV36/$CBW$5</f>
        <v>54.5</v>
      </c>
      <c r="CBX36" s="48"/>
      <c r="CBY36" s="49"/>
      <c r="CBZ36" s="49"/>
      <c r="CCA36" s="49"/>
      <c r="CCB36" s="49"/>
      <c r="CCC36" s="49">
        <v>109</v>
      </c>
      <c r="CCD36" s="67">
        <f t="shared" ref="CCD36:CCD45" si="2406">SUM(CBX36:CCC36)</f>
        <v>109</v>
      </c>
      <c r="CCE36" s="68">
        <f t="shared" ref="CCE36:CCE45" si="2407">CCD36/$CCE$5</f>
        <v>18.166666666666668</v>
      </c>
      <c r="CCF36" s="48">
        <v>110</v>
      </c>
      <c r="CCG36" s="49"/>
      <c r="CCH36" s="49">
        <v>110</v>
      </c>
      <c r="CCI36" s="49"/>
      <c r="CCJ36" s="49"/>
      <c r="CCK36" s="49"/>
      <c r="CCL36" s="67">
        <f t="shared" ref="CCL36:CCL45" si="2408">SUM(CCF36:CCK36)</f>
        <v>220</v>
      </c>
      <c r="CCM36" s="68">
        <f t="shared" ref="CCM36:CCM45" si="2409">CCL36/$CCM$5</f>
        <v>36.666666666666664</v>
      </c>
      <c r="CCN36" s="48"/>
      <c r="CCO36" s="49"/>
      <c r="CCP36" s="49"/>
      <c r="CCQ36" s="49"/>
      <c r="CCR36" s="49"/>
      <c r="CCS36" s="49"/>
      <c r="CCT36" s="67">
        <f t="shared" ref="CCT36:CCT45" si="2410">SUM(CCN36:CCS36)</f>
        <v>0</v>
      </c>
      <c r="CCU36" s="68">
        <f t="shared" ref="CCU36:CCU45" si="2411">CCT36/$CCU$5</f>
        <v>0</v>
      </c>
      <c r="CCV36" s="48"/>
      <c r="CCW36" s="49"/>
      <c r="CCX36" s="49"/>
      <c r="CCY36" s="49">
        <v>439</v>
      </c>
      <c r="CCZ36" s="49"/>
      <c r="CDA36" s="49"/>
      <c r="CDB36" s="67">
        <f t="shared" si="1629"/>
        <v>439</v>
      </c>
      <c r="CDC36" s="68">
        <f t="shared" si="1630"/>
        <v>73.166666666666671</v>
      </c>
      <c r="CDD36" s="48"/>
      <c r="CDE36" s="49">
        <v>220</v>
      </c>
      <c r="CDF36" s="49"/>
      <c r="CDG36" s="49"/>
      <c r="CDH36" s="49"/>
      <c r="CDI36" s="49">
        <v>812</v>
      </c>
      <c r="CDJ36" s="67">
        <f t="shared" si="1631"/>
        <v>1032</v>
      </c>
      <c r="CDK36" s="68">
        <f t="shared" si="1632"/>
        <v>172</v>
      </c>
      <c r="CDL36" s="48">
        <v>200</v>
      </c>
      <c r="CDM36" s="49"/>
      <c r="CDN36" s="49"/>
      <c r="CDO36" s="49"/>
      <c r="CDP36" s="49"/>
      <c r="CDQ36" s="49"/>
      <c r="CDR36" s="67">
        <f t="shared" si="1633"/>
        <v>200</v>
      </c>
      <c r="CDS36" s="68">
        <f t="shared" si="1634"/>
        <v>33.333333333333336</v>
      </c>
      <c r="CDT36" s="48"/>
      <c r="CDU36" s="49"/>
      <c r="CDV36" s="49"/>
      <c r="CDW36" s="49">
        <v>219</v>
      </c>
      <c r="CDX36" s="49"/>
      <c r="CDY36" s="49"/>
      <c r="CDZ36" s="67">
        <f t="shared" si="1635"/>
        <v>219</v>
      </c>
      <c r="CEA36" s="68">
        <f t="shared" si="1636"/>
        <v>36.5</v>
      </c>
      <c r="CEB36" s="48"/>
      <c r="CEC36" s="49"/>
      <c r="CED36" s="49"/>
      <c r="CEE36" s="49"/>
      <c r="CEF36" s="49"/>
      <c r="CEG36" s="49"/>
      <c r="CEH36" s="67">
        <f t="shared" si="1637"/>
        <v>0</v>
      </c>
      <c r="CEI36" s="68">
        <f t="shared" si="1638"/>
        <v>0</v>
      </c>
      <c r="CEJ36" s="48"/>
      <c r="CEK36" s="49"/>
      <c r="CEL36" s="49"/>
      <c r="CEM36" s="49">
        <v>318</v>
      </c>
      <c r="CEN36" s="49"/>
      <c r="CEO36" s="49"/>
      <c r="CEP36" s="67">
        <f t="shared" si="1639"/>
        <v>318</v>
      </c>
      <c r="CEQ36" s="68">
        <f t="shared" si="1640"/>
        <v>53</v>
      </c>
      <c r="CER36" s="48"/>
      <c r="CES36" s="49">
        <v>220</v>
      </c>
      <c r="CET36" s="49"/>
      <c r="CEU36" s="49"/>
      <c r="CEV36" s="49"/>
      <c r="CEW36" s="49"/>
      <c r="CEX36" s="67">
        <f t="shared" si="1641"/>
        <v>220</v>
      </c>
      <c r="CEY36" s="68">
        <f t="shared" si="1642"/>
        <v>36.666666666666664</v>
      </c>
      <c r="CEZ36" s="48"/>
      <c r="CFA36" s="49">
        <v>371</v>
      </c>
      <c r="CFB36" s="49"/>
      <c r="CFC36" s="49">
        <v>199</v>
      </c>
      <c r="CFD36" s="49"/>
      <c r="CFE36" s="49"/>
      <c r="CFF36" s="67">
        <f t="shared" si="1643"/>
        <v>570</v>
      </c>
      <c r="CFG36" s="68">
        <f t="shared" si="1644"/>
        <v>95</v>
      </c>
      <c r="CFH36" s="48"/>
      <c r="CFI36" s="49"/>
      <c r="CFJ36" s="49"/>
      <c r="CFK36" s="49"/>
      <c r="CFL36" s="49"/>
      <c r="CFM36" s="49"/>
      <c r="CFN36" s="67">
        <f t="shared" si="1645"/>
        <v>0</v>
      </c>
      <c r="CFO36" s="68">
        <f t="shared" si="1646"/>
        <v>0</v>
      </c>
      <c r="CFP36" s="48"/>
      <c r="CFQ36" s="49">
        <v>342</v>
      </c>
      <c r="CFR36" s="49">
        <v>90</v>
      </c>
      <c r="CFS36" s="49"/>
      <c r="CFT36" s="49"/>
      <c r="CFU36" s="49"/>
      <c r="CFV36" s="67">
        <f t="shared" si="1647"/>
        <v>432</v>
      </c>
      <c r="CFW36" s="68">
        <f t="shared" si="1648"/>
        <v>72</v>
      </c>
      <c r="CFX36" s="48"/>
      <c r="CFY36" s="49">
        <v>10</v>
      </c>
      <c r="CFZ36" s="49"/>
      <c r="CGA36" s="49"/>
      <c r="CGB36" s="49"/>
      <c r="CGC36" s="49"/>
      <c r="CGD36" s="67">
        <f t="shared" si="1649"/>
        <v>10</v>
      </c>
      <c r="CGE36" s="68">
        <f t="shared" si="1650"/>
        <v>1.6666666666666667</v>
      </c>
      <c r="CGF36" s="48"/>
      <c r="CGG36" s="49">
        <v>217</v>
      </c>
      <c r="CGH36" s="49"/>
      <c r="CGI36" s="49"/>
      <c r="CGJ36" s="49"/>
      <c r="CGK36" s="49"/>
      <c r="CGL36" s="67">
        <f t="shared" si="1651"/>
        <v>217</v>
      </c>
      <c r="CGM36" s="68">
        <f t="shared" si="1652"/>
        <v>36.166666666666664</v>
      </c>
      <c r="CGN36" s="48">
        <v>88</v>
      </c>
      <c r="CGO36" s="49"/>
      <c r="CGP36" s="49"/>
      <c r="CGQ36" s="49"/>
      <c r="CGR36" s="49"/>
      <c r="CGS36" s="49">
        <v>208</v>
      </c>
      <c r="CGT36" s="67">
        <f t="shared" si="1653"/>
        <v>296</v>
      </c>
      <c r="CGU36" s="68">
        <f t="shared" si="1654"/>
        <v>49.333333333333336</v>
      </c>
      <c r="CGV36" s="48"/>
      <c r="CGW36" s="49"/>
      <c r="CGX36" s="49"/>
      <c r="CGY36" s="49"/>
      <c r="CGZ36" s="49"/>
      <c r="CHA36" s="49"/>
      <c r="CHB36" s="67">
        <f t="shared" si="1655"/>
        <v>0</v>
      </c>
      <c r="CHC36" s="68">
        <f t="shared" si="1656"/>
        <v>0</v>
      </c>
      <c r="CHD36" s="48">
        <v>108</v>
      </c>
      <c r="CHE36" s="49"/>
      <c r="CHF36" s="49"/>
      <c r="CHG36" s="49"/>
      <c r="CHH36" s="49"/>
      <c r="CHI36" s="49"/>
      <c r="CHJ36" s="67">
        <f t="shared" si="1657"/>
        <v>108</v>
      </c>
      <c r="CHK36" s="68">
        <f t="shared" si="1658"/>
        <v>18</v>
      </c>
      <c r="CHL36" s="48"/>
      <c r="CHM36" s="49"/>
      <c r="CHN36" s="49"/>
      <c r="CHO36" s="49">
        <v>330</v>
      </c>
      <c r="CHP36" s="49"/>
      <c r="CHQ36" s="49"/>
      <c r="CHR36" s="67">
        <f t="shared" si="1659"/>
        <v>330</v>
      </c>
      <c r="CHS36" s="68">
        <f t="shared" si="1660"/>
        <v>55</v>
      </c>
      <c r="CHT36" s="48"/>
      <c r="CHU36" s="49"/>
      <c r="CHV36" s="49"/>
      <c r="CHW36" s="49"/>
      <c r="CHX36" s="49"/>
      <c r="CHY36" s="49"/>
      <c r="CHZ36" s="67">
        <f t="shared" si="1661"/>
        <v>0</v>
      </c>
      <c r="CIA36" s="68">
        <f t="shared" si="1662"/>
        <v>0</v>
      </c>
      <c r="CIB36" s="48"/>
      <c r="CIC36" s="49"/>
      <c r="CID36" s="49">
        <v>359</v>
      </c>
      <c r="CIE36" s="49"/>
      <c r="CIF36" s="49"/>
      <c r="CIG36" s="49"/>
      <c r="CIH36" s="67">
        <f t="shared" si="1663"/>
        <v>359</v>
      </c>
      <c r="CII36" s="68">
        <f t="shared" si="1664"/>
        <v>59.833333333333336</v>
      </c>
      <c r="CIJ36" s="48"/>
      <c r="CIK36" s="49"/>
      <c r="CIL36" s="49"/>
      <c r="CIM36" s="49"/>
      <c r="CIN36" s="49"/>
      <c r="CIO36" s="49"/>
      <c r="CIP36" s="67">
        <f t="shared" si="1665"/>
        <v>0</v>
      </c>
      <c r="CIQ36" s="68">
        <f t="shared" si="1666"/>
        <v>0</v>
      </c>
      <c r="CIR36" s="48"/>
      <c r="CIS36" s="49"/>
      <c r="CIT36" s="49"/>
      <c r="CIU36" s="49"/>
      <c r="CIV36" s="49"/>
      <c r="CIW36" s="49"/>
      <c r="CIX36" s="67">
        <f t="shared" si="1667"/>
        <v>0</v>
      </c>
      <c r="CIY36" s="68">
        <f t="shared" si="1668"/>
        <v>0</v>
      </c>
      <c r="CIZ36" s="63"/>
      <c r="CJA36" s="64"/>
      <c r="CJB36" s="64">
        <v>111</v>
      </c>
      <c r="CJC36" s="64">
        <v>171</v>
      </c>
      <c r="CJD36" s="64"/>
      <c r="CJE36" s="64"/>
      <c r="CJF36" s="67">
        <f t="shared" si="1669"/>
        <v>282</v>
      </c>
      <c r="CJG36" s="68">
        <f t="shared" si="1670"/>
        <v>47</v>
      </c>
      <c r="CJH36" s="48"/>
      <c r="CJI36" s="49">
        <v>115</v>
      </c>
      <c r="CJJ36" s="49">
        <v>116</v>
      </c>
      <c r="CJK36" s="49"/>
      <c r="CJL36" s="49"/>
      <c r="CJM36" s="49"/>
      <c r="CJN36" s="67">
        <f t="shared" si="1671"/>
        <v>231</v>
      </c>
      <c r="CJO36" s="184">
        <f t="shared" si="1672"/>
        <v>38.5</v>
      </c>
      <c r="CJP36" s="48"/>
      <c r="CJQ36" s="49"/>
      <c r="CJR36" s="49">
        <v>109</v>
      </c>
      <c r="CJS36" s="49"/>
      <c r="CJT36" s="49"/>
      <c r="CJU36" s="49"/>
      <c r="CJV36" s="67">
        <f t="shared" si="1673"/>
        <v>109</v>
      </c>
      <c r="CJW36" s="68">
        <f t="shared" si="1674"/>
        <v>18.166666666666668</v>
      </c>
      <c r="CJX36" s="48"/>
      <c r="CJY36" s="49"/>
      <c r="CJZ36" s="49"/>
      <c r="CKA36" s="49"/>
      <c r="CKB36" s="49"/>
      <c r="CKC36" s="49"/>
      <c r="CKD36" s="67">
        <v>220</v>
      </c>
      <c r="CKE36" s="68">
        <f t="shared" si="1675"/>
        <v>36.666666666666664</v>
      </c>
      <c r="CKF36" s="48">
        <v>110</v>
      </c>
      <c r="CKG36" s="49">
        <v>110</v>
      </c>
      <c r="CKH36" s="49"/>
      <c r="CKI36" s="49"/>
      <c r="CKJ36" s="49"/>
      <c r="CKK36" s="49">
        <v>107</v>
      </c>
      <c r="CKL36" s="67">
        <f t="shared" si="1676"/>
        <v>327</v>
      </c>
      <c r="CKM36" s="68">
        <f t="shared" si="1677"/>
        <v>54.5</v>
      </c>
      <c r="CKN36" s="48"/>
      <c r="CKO36" s="49">
        <v>4</v>
      </c>
      <c r="CKP36" s="49"/>
      <c r="CKQ36" s="49"/>
      <c r="CKR36" s="49"/>
      <c r="CKS36" s="47"/>
      <c r="CKT36" s="67">
        <f t="shared" si="1678"/>
        <v>4</v>
      </c>
      <c r="CKU36" s="68">
        <f t="shared" si="1679"/>
        <v>0.66666666666666663</v>
      </c>
      <c r="CKV36" s="48">
        <v>206</v>
      </c>
      <c r="CKW36" s="49"/>
      <c r="CKX36" s="49"/>
      <c r="CKY36" s="49"/>
      <c r="CKZ36" s="49">
        <v>200</v>
      </c>
      <c r="CLA36" s="49"/>
      <c r="CLB36" s="67">
        <f t="shared" si="1680"/>
        <v>406</v>
      </c>
      <c r="CLC36" s="68">
        <f t="shared" si="1681"/>
        <v>67.666666666666671</v>
      </c>
      <c r="CLD36" s="48"/>
      <c r="CLE36" s="49"/>
      <c r="CLF36" s="49"/>
      <c r="CLG36" s="49"/>
      <c r="CLH36" s="49"/>
      <c r="CLI36" s="49"/>
      <c r="CLJ36" s="67">
        <f t="shared" si="1682"/>
        <v>0</v>
      </c>
      <c r="CLK36" s="68">
        <f t="shared" si="1683"/>
        <v>0</v>
      </c>
      <c r="CLL36" s="48">
        <v>54</v>
      </c>
      <c r="CLM36" s="49">
        <v>224</v>
      </c>
      <c r="CLN36" s="49">
        <v>219</v>
      </c>
      <c r="CLO36" s="49"/>
      <c r="CLP36" s="49"/>
      <c r="CLQ36" s="49"/>
      <c r="CLR36" s="67">
        <f t="shared" si="1684"/>
        <v>497</v>
      </c>
      <c r="CLS36" s="68">
        <f t="shared" si="1685"/>
        <v>82.833333333333329</v>
      </c>
      <c r="CLT36" s="48"/>
      <c r="CLU36" s="49"/>
      <c r="CLV36" s="49"/>
      <c r="CLW36" s="49"/>
      <c r="CLX36" s="49"/>
      <c r="CLY36" s="49"/>
      <c r="CLZ36" s="67">
        <f t="shared" si="1686"/>
        <v>0</v>
      </c>
      <c r="CMA36" s="68">
        <f t="shared" si="1687"/>
        <v>0</v>
      </c>
      <c r="CMB36" s="48"/>
      <c r="CMC36" s="49">
        <v>200</v>
      </c>
      <c r="CMD36" s="49"/>
      <c r="CME36" s="49"/>
      <c r="CMF36" s="49"/>
      <c r="CMG36" s="49"/>
      <c r="CMH36" s="67">
        <f t="shared" si="1688"/>
        <v>200</v>
      </c>
      <c r="CMI36" s="68">
        <f t="shared" si="1689"/>
        <v>33.333333333333336</v>
      </c>
      <c r="CMJ36" s="48">
        <v>218</v>
      </c>
      <c r="CMK36" s="49"/>
      <c r="CML36" s="49"/>
      <c r="CMM36" s="49"/>
      <c r="CMN36" s="49"/>
      <c r="CMO36" s="49"/>
      <c r="CMP36" s="67">
        <f t="shared" si="1690"/>
        <v>218</v>
      </c>
      <c r="CMQ36" s="68">
        <f t="shared" si="1691"/>
        <v>36.333333333333336</v>
      </c>
      <c r="CMR36" s="48">
        <v>109</v>
      </c>
      <c r="CMS36" s="49"/>
      <c r="CMT36" s="49"/>
      <c r="CMU36" s="49">
        <v>220</v>
      </c>
      <c r="CMV36" s="49"/>
      <c r="CMW36" s="49"/>
      <c r="CMX36" s="67">
        <f t="shared" si="1692"/>
        <v>329</v>
      </c>
      <c r="CMY36" s="68">
        <f t="shared" si="1693"/>
        <v>54.833333333333336</v>
      </c>
      <c r="CMZ36" s="48"/>
      <c r="CNA36" s="49">
        <v>157</v>
      </c>
      <c r="CNB36" s="49"/>
      <c r="CNC36" s="49"/>
      <c r="CND36" s="49"/>
      <c r="CNE36" s="49"/>
      <c r="CNF36" s="67">
        <f t="shared" si="1694"/>
        <v>157</v>
      </c>
      <c r="CNG36" s="68">
        <f t="shared" si="1695"/>
        <v>26.166666666666668</v>
      </c>
      <c r="CNH36" s="48"/>
      <c r="CNI36" s="49"/>
      <c r="CNJ36" s="49"/>
      <c r="CNK36" s="49"/>
      <c r="CNL36" s="49">
        <v>222</v>
      </c>
      <c r="CNM36" s="49"/>
      <c r="CNN36" s="67">
        <f t="shared" si="1696"/>
        <v>222</v>
      </c>
      <c r="CNO36" s="68">
        <f t="shared" si="1697"/>
        <v>37</v>
      </c>
      <c r="CNP36" s="48"/>
      <c r="CNQ36" s="49"/>
      <c r="CNR36" s="49">
        <v>110</v>
      </c>
      <c r="CNS36" s="49"/>
      <c r="CNT36" s="49"/>
      <c r="CNU36" s="49"/>
      <c r="CNV36" s="67">
        <f t="shared" si="1698"/>
        <v>110</v>
      </c>
      <c r="CNW36" s="68">
        <f t="shared" si="1699"/>
        <v>18.333333333333332</v>
      </c>
      <c r="CNX36" s="48"/>
      <c r="CNY36" s="49"/>
      <c r="CNZ36" s="49"/>
      <c r="COA36" s="49"/>
      <c r="COB36" s="49">
        <v>110</v>
      </c>
      <c r="COC36" s="49"/>
      <c r="COD36" s="67">
        <f t="shared" si="1700"/>
        <v>110</v>
      </c>
      <c r="COE36" s="68">
        <f t="shared" si="1701"/>
        <v>18.333333333333332</v>
      </c>
      <c r="COF36" s="48"/>
      <c r="COG36" s="49"/>
      <c r="COH36" s="49"/>
      <c r="COI36" s="49"/>
      <c r="COJ36" s="49">
        <v>159</v>
      </c>
      <c r="COK36" s="49"/>
      <c r="COL36" s="67">
        <f t="shared" si="1702"/>
        <v>159</v>
      </c>
      <c r="COM36" s="68">
        <f t="shared" si="1703"/>
        <v>26.5</v>
      </c>
      <c r="CON36" s="48"/>
      <c r="COO36" s="49"/>
      <c r="COP36" s="49"/>
      <c r="COQ36" s="49">
        <v>109</v>
      </c>
      <c r="COR36" s="49"/>
      <c r="COS36" s="49"/>
      <c r="COT36" s="67">
        <f t="shared" si="1704"/>
        <v>109</v>
      </c>
      <c r="COU36" s="68">
        <f t="shared" si="1705"/>
        <v>18.166666666666668</v>
      </c>
      <c r="COV36" s="48">
        <v>148</v>
      </c>
      <c r="COW36" s="49"/>
      <c r="COX36" s="49"/>
      <c r="COY36" s="49"/>
      <c r="COZ36" s="49"/>
      <c r="CPA36" s="49">
        <v>0</v>
      </c>
      <c r="CPB36" s="67">
        <f t="shared" si="1706"/>
        <v>148</v>
      </c>
      <c r="CPC36" s="68">
        <f t="shared" si="1707"/>
        <v>24.666666666666668</v>
      </c>
      <c r="CPD36" s="48"/>
      <c r="CPE36" s="49">
        <v>0</v>
      </c>
      <c r="CPF36" s="49">
        <v>0</v>
      </c>
      <c r="CPG36" s="49">
        <v>0</v>
      </c>
      <c r="CPH36" s="49">
        <v>0</v>
      </c>
      <c r="CPI36" s="49">
        <v>225</v>
      </c>
      <c r="CPJ36" s="67">
        <f t="shared" si="1708"/>
        <v>225</v>
      </c>
      <c r="CPK36" s="68">
        <f t="shared" si="1709"/>
        <v>37.5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si="1710"/>
        <v>0</v>
      </c>
      <c r="CPS36" s="68">
        <f t="shared" si="1711"/>
        <v>0</v>
      </c>
      <c r="CPT36" s="48">
        <v>130</v>
      </c>
      <c r="CPU36" s="49">
        <v>0</v>
      </c>
      <c r="CPV36" s="49">
        <v>0</v>
      </c>
      <c r="CPW36" s="49"/>
      <c r="CPX36" s="49">
        <v>155</v>
      </c>
      <c r="CPY36" s="49">
        <v>0</v>
      </c>
      <c r="CPZ36" s="67">
        <f t="shared" si="1712"/>
        <v>285</v>
      </c>
      <c r="CQA36" s="68">
        <f t="shared" si="1713"/>
        <v>47.5</v>
      </c>
      <c r="CQB36" s="48">
        <v>0</v>
      </c>
      <c r="CQC36" s="49">
        <v>0</v>
      </c>
      <c r="CQD36" s="49">
        <v>0</v>
      </c>
      <c r="CQE36" s="49">
        <v>0</v>
      </c>
      <c r="CQF36" s="49">
        <v>0</v>
      </c>
      <c r="CQG36" s="49">
        <v>0</v>
      </c>
      <c r="CQH36" s="67">
        <f t="shared" si="1714"/>
        <v>0</v>
      </c>
      <c r="CQI36" s="68">
        <f t="shared" si="1715"/>
        <v>0</v>
      </c>
      <c r="CQJ36" s="82">
        <v>107</v>
      </c>
      <c r="CQK36" s="83">
        <v>0</v>
      </c>
      <c r="CQL36" s="83">
        <v>231</v>
      </c>
      <c r="CQM36" s="83">
        <v>0</v>
      </c>
      <c r="CQN36" s="83"/>
      <c r="CQO36" s="83"/>
      <c r="CQP36" s="67">
        <f t="shared" si="1716"/>
        <v>338</v>
      </c>
      <c r="CQQ36" s="68">
        <f t="shared" si="1717"/>
        <v>56.333333333333336</v>
      </c>
      <c r="CQR36" s="239"/>
      <c r="CQS36" s="1">
        <v>0</v>
      </c>
      <c r="CQT36" s="1">
        <v>0</v>
      </c>
      <c r="CQU36" s="1">
        <v>0</v>
      </c>
      <c r="CQV36" s="1">
        <v>221</v>
      </c>
      <c r="CQW36" s="1"/>
      <c r="CQX36" s="67">
        <f t="shared" si="1718"/>
        <v>221</v>
      </c>
      <c r="CQY36" s="68">
        <f t="shared" si="1719"/>
        <v>36.833333333333336</v>
      </c>
      <c r="CQZ36" s="48">
        <v>0</v>
      </c>
      <c r="CRA36" s="49"/>
      <c r="CRB36" s="49">
        <v>0</v>
      </c>
      <c r="CRC36" s="49">
        <v>0</v>
      </c>
      <c r="CRD36" s="49">
        <v>221</v>
      </c>
      <c r="CRE36" s="49">
        <v>0</v>
      </c>
      <c r="CRF36" s="67">
        <f t="shared" si="1720"/>
        <v>221</v>
      </c>
      <c r="CRG36" s="68">
        <f t="shared" si="1721"/>
        <v>36.833333333333336</v>
      </c>
      <c r="CRH36" s="48">
        <v>0</v>
      </c>
      <c r="CRI36" s="49">
        <v>0</v>
      </c>
      <c r="CRJ36" s="49">
        <v>0</v>
      </c>
      <c r="CRK36" s="49">
        <v>0</v>
      </c>
      <c r="CRL36" s="49">
        <v>221</v>
      </c>
      <c r="CRM36" s="49">
        <v>2</v>
      </c>
      <c r="CRN36" s="67">
        <f t="shared" si="1722"/>
        <v>223</v>
      </c>
      <c r="CRO36" s="68">
        <f t="shared" si="1723"/>
        <v>37.166666666666664</v>
      </c>
      <c r="CRP36" s="48"/>
      <c r="CRQ36" s="49">
        <v>0</v>
      </c>
      <c r="CRR36" s="49">
        <v>222</v>
      </c>
      <c r="CRS36" s="49">
        <v>0</v>
      </c>
      <c r="CRT36" s="49">
        <v>0</v>
      </c>
      <c r="CRU36" s="49">
        <v>0</v>
      </c>
      <c r="CRV36" s="47">
        <f t="shared" si="1724"/>
        <v>222</v>
      </c>
      <c r="CRW36" s="68">
        <f t="shared" si="1725"/>
        <v>37</v>
      </c>
      <c r="CRX36" s="48">
        <v>0</v>
      </c>
      <c r="CRY36" s="49">
        <v>0</v>
      </c>
      <c r="CRZ36" s="49">
        <v>0</v>
      </c>
      <c r="CSA36" s="49">
        <v>0</v>
      </c>
      <c r="CSB36" s="49">
        <v>0</v>
      </c>
      <c r="CSC36" s="49">
        <v>0</v>
      </c>
      <c r="CSD36" s="67">
        <f t="shared" si="1726"/>
        <v>0</v>
      </c>
      <c r="CSE36" s="68">
        <f t="shared" si="1727"/>
        <v>0</v>
      </c>
      <c r="CSF36" s="48">
        <v>0</v>
      </c>
      <c r="CSG36" s="49">
        <v>0</v>
      </c>
      <c r="CSH36" s="49">
        <v>0</v>
      </c>
      <c r="CSI36" s="49">
        <v>189</v>
      </c>
      <c r="CSJ36" s="49">
        <v>133</v>
      </c>
      <c r="CSK36" s="360">
        <f>SUMIF(SUMPK!$B:$B,$B:$B,SUMPK!$O:$O)</f>
        <v>0</v>
      </c>
      <c r="CSL36" s="64">
        <f t="shared" si="1728"/>
        <v>322</v>
      </c>
      <c r="CSM36" s="68">
        <f t="shared" si="1729"/>
        <v>53.666666666666664</v>
      </c>
      <c r="CSN36" s="48">
        <v>0</v>
      </c>
      <c r="CSO36" s="49">
        <v>0</v>
      </c>
      <c r="CSP36" s="49">
        <v>0</v>
      </c>
      <c r="CSQ36" s="49">
        <v>110</v>
      </c>
      <c r="CSR36" s="49">
        <v>0</v>
      </c>
      <c r="CSS36" s="49">
        <v>0</v>
      </c>
      <c r="CST36" s="64">
        <f t="shared" si="1730"/>
        <v>110</v>
      </c>
      <c r="CSU36" s="68">
        <f t="shared" si="1731"/>
        <v>18.333333333333332</v>
      </c>
      <c r="CSV36" s="48">
        <v>0</v>
      </c>
      <c r="CSW36" s="49">
        <v>0</v>
      </c>
      <c r="CSX36" s="49">
        <v>0</v>
      </c>
      <c r="CSY36" s="49">
        <v>0</v>
      </c>
      <c r="CSZ36" s="49">
        <v>0</v>
      </c>
      <c r="CTA36" s="49">
        <v>219</v>
      </c>
      <c r="CTB36" s="64">
        <f t="shared" si="1732"/>
        <v>219</v>
      </c>
      <c r="CTC36" s="68">
        <f t="shared" si="1733"/>
        <v>36.5</v>
      </c>
      <c r="CTD36" s="48">
        <v>0</v>
      </c>
      <c r="CTE36" s="49">
        <v>0</v>
      </c>
      <c r="CTF36" s="49">
        <v>0</v>
      </c>
      <c r="CTG36" s="49">
        <v>0</v>
      </c>
      <c r="CTH36" s="49"/>
      <c r="CTI36" s="49"/>
      <c r="CTJ36" s="64">
        <f t="shared" si="1734"/>
        <v>0</v>
      </c>
      <c r="CTK36" s="68">
        <f t="shared" si="1735"/>
        <v>0</v>
      </c>
      <c r="CTL36" s="48">
        <v>0</v>
      </c>
      <c r="CTM36" s="49">
        <v>0</v>
      </c>
      <c r="CTN36" s="49">
        <v>0</v>
      </c>
      <c r="CTO36" s="49">
        <v>110</v>
      </c>
      <c r="CTP36" s="49">
        <v>0</v>
      </c>
      <c r="CTQ36" s="49">
        <v>0</v>
      </c>
      <c r="CTR36" s="64">
        <f t="shared" si="1736"/>
        <v>110</v>
      </c>
      <c r="CTS36" s="68">
        <f t="shared" si="1737"/>
        <v>18.333333333333332</v>
      </c>
      <c r="CTT36" s="48">
        <v>110</v>
      </c>
      <c r="CTU36" s="49"/>
      <c r="CTV36" s="49">
        <v>0</v>
      </c>
      <c r="CTW36" s="49"/>
      <c r="CTX36" s="49">
        <v>0</v>
      </c>
      <c r="CTY36" s="49"/>
      <c r="CTZ36" s="64">
        <f t="shared" si="1738"/>
        <v>110</v>
      </c>
      <c r="CUA36" s="68">
        <f t="shared" si="1739"/>
        <v>18.333333333333332</v>
      </c>
      <c r="CUB36" s="48">
        <v>0</v>
      </c>
      <c r="CUC36" s="49">
        <v>2</v>
      </c>
      <c r="CUD36" s="49"/>
      <c r="CUE36" s="49"/>
      <c r="CUF36" s="49">
        <v>0</v>
      </c>
      <c r="CUG36" s="49">
        <v>109</v>
      </c>
      <c r="CUH36" s="64">
        <f t="shared" si="1740"/>
        <v>111</v>
      </c>
      <c r="CUI36" s="68">
        <f t="shared" si="1741"/>
        <v>18.5</v>
      </c>
      <c r="CUJ36" s="48">
        <v>0</v>
      </c>
      <c r="CUK36" s="49">
        <v>0</v>
      </c>
      <c r="CUL36" s="49">
        <v>0</v>
      </c>
      <c r="CUM36" s="49">
        <v>0</v>
      </c>
      <c r="CUN36" s="49">
        <v>219</v>
      </c>
      <c r="CUO36" s="49">
        <v>0</v>
      </c>
      <c r="CUP36" s="64">
        <f t="shared" si="1742"/>
        <v>219</v>
      </c>
      <c r="CUQ36" s="68">
        <f t="shared" si="1743"/>
        <v>36.5</v>
      </c>
      <c r="CUR36" s="48">
        <v>0</v>
      </c>
      <c r="CUS36" s="49"/>
      <c r="CUT36" s="49"/>
      <c r="CUU36" s="49">
        <v>0</v>
      </c>
      <c r="CUV36" s="49">
        <v>0</v>
      </c>
      <c r="CUW36" s="49">
        <v>111</v>
      </c>
      <c r="CUX36" s="64">
        <f t="shared" si="1744"/>
        <v>111</v>
      </c>
      <c r="CUY36" s="68">
        <f t="shared" si="1745"/>
        <v>18.5</v>
      </c>
      <c r="CUZ36" s="48">
        <v>0</v>
      </c>
      <c r="CVA36" s="49">
        <v>0</v>
      </c>
      <c r="CVB36" s="49"/>
      <c r="CVC36" s="49">
        <v>110</v>
      </c>
      <c r="CVD36" s="49">
        <v>0</v>
      </c>
      <c r="CVE36" s="49">
        <v>110</v>
      </c>
      <c r="CVF36" s="64">
        <f t="shared" si="1746"/>
        <v>220</v>
      </c>
      <c r="CVG36" s="68">
        <f t="shared" si="1747"/>
        <v>36.666666666666664</v>
      </c>
      <c r="CVH36" s="48">
        <v>0</v>
      </c>
      <c r="CVI36" s="49">
        <v>0</v>
      </c>
      <c r="CVJ36" s="49">
        <v>0</v>
      </c>
      <c r="CVK36" s="49">
        <v>4</v>
      </c>
      <c r="CVL36" s="49">
        <v>184</v>
      </c>
      <c r="CVM36" s="49"/>
      <c r="CVN36" s="64">
        <f t="shared" si="1748"/>
        <v>188</v>
      </c>
      <c r="CVO36" s="68">
        <f t="shared" si="1749"/>
        <v>31.333333333333332</v>
      </c>
      <c r="CVP36" s="48">
        <v>111</v>
      </c>
      <c r="CVQ36" s="49">
        <v>0</v>
      </c>
      <c r="CVR36" s="49">
        <v>0</v>
      </c>
      <c r="CVS36" s="49">
        <v>0</v>
      </c>
      <c r="CVT36" s="49">
        <v>110</v>
      </c>
      <c r="CVU36" s="49">
        <v>0</v>
      </c>
      <c r="CVV36" s="64">
        <f t="shared" si="1750"/>
        <v>221</v>
      </c>
      <c r="CVW36" s="68">
        <f t="shared" si="1751"/>
        <v>36.833333333333336</v>
      </c>
      <c r="CVX36" s="48">
        <v>0</v>
      </c>
      <c r="CVY36" s="49">
        <v>0</v>
      </c>
      <c r="CVZ36" s="49">
        <v>110</v>
      </c>
      <c r="CWA36" s="49">
        <v>0</v>
      </c>
      <c r="CWB36" s="49">
        <v>0</v>
      </c>
      <c r="CWC36" s="49">
        <v>100</v>
      </c>
      <c r="CWD36" s="64">
        <f t="shared" si="1752"/>
        <v>210</v>
      </c>
      <c r="CWE36" s="68">
        <f t="shared" si="1753"/>
        <v>35</v>
      </c>
      <c r="CWF36" s="48">
        <v>0</v>
      </c>
      <c r="CWG36" s="49">
        <v>220</v>
      </c>
      <c r="CWH36" s="49">
        <v>0</v>
      </c>
      <c r="CWI36" s="49">
        <v>0</v>
      </c>
      <c r="CWJ36" s="49">
        <v>0</v>
      </c>
      <c r="CWK36" s="49"/>
      <c r="CWL36" s="64">
        <f t="shared" si="1754"/>
        <v>220</v>
      </c>
      <c r="CWM36" s="68">
        <f t="shared" si="1755"/>
        <v>36.666666666666664</v>
      </c>
      <c r="CWN36" s="48">
        <v>0</v>
      </c>
      <c r="CWO36" s="49">
        <v>0</v>
      </c>
      <c r="CWP36" s="49">
        <v>0</v>
      </c>
      <c r="CWQ36" s="49">
        <v>0</v>
      </c>
      <c r="CWR36" s="49">
        <v>330</v>
      </c>
      <c r="CWS36" s="49">
        <v>0</v>
      </c>
      <c r="CWT36" s="64">
        <f t="shared" si="1756"/>
        <v>330</v>
      </c>
      <c r="CWU36" s="68">
        <f t="shared" si="1757"/>
        <v>55</v>
      </c>
      <c r="CWV36" s="48">
        <v>331</v>
      </c>
      <c r="CWW36" s="49">
        <v>2</v>
      </c>
      <c r="CWX36" s="49">
        <v>0</v>
      </c>
      <c r="CWY36" s="49"/>
      <c r="CWZ36" s="49">
        <v>0</v>
      </c>
      <c r="CXA36" s="49">
        <v>0</v>
      </c>
      <c r="CXB36" s="127">
        <f t="shared" si="1758"/>
        <v>333</v>
      </c>
      <c r="CXC36" s="43">
        <f t="shared" si="1759"/>
        <v>55.5</v>
      </c>
      <c r="CXD36" s="48">
        <v>0</v>
      </c>
      <c r="CXE36" s="49">
        <v>0</v>
      </c>
      <c r="CXF36" s="49">
        <v>0</v>
      </c>
      <c r="CXG36" s="49">
        <v>0</v>
      </c>
      <c r="CXH36" s="49">
        <v>109</v>
      </c>
      <c r="CXI36" s="49">
        <v>0</v>
      </c>
      <c r="CXJ36" s="127">
        <f t="shared" si="1760"/>
        <v>109</v>
      </c>
      <c r="CXK36" s="43">
        <f t="shared" si="1761"/>
        <v>18.166666666666668</v>
      </c>
      <c r="CXL36" s="48">
        <v>220</v>
      </c>
      <c r="CXM36" s="49">
        <v>0</v>
      </c>
      <c r="CXN36" s="49">
        <v>0</v>
      </c>
      <c r="CXO36" s="49">
        <v>0</v>
      </c>
      <c r="CXP36" s="49">
        <v>0</v>
      </c>
      <c r="CXQ36" s="49">
        <v>220</v>
      </c>
      <c r="CXR36" s="127">
        <f t="shared" si="1762"/>
        <v>440</v>
      </c>
      <c r="CXS36" s="43">
        <f t="shared" si="1763"/>
        <v>73.333333333333329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si="1764"/>
        <v>0</v>
      </c>
      <c r="CYA36" s="43">
        <f t="shared" si="1765"/>
        <v>0</v>
      </c>
      <c r="CYB36" s="48">
        <v>222</v>
      </c>
      <c r="CYC36" s="49">
        <v>0</v>
      </c>
      <c r="CYD36" s="49">
        <v>0</v>
      </c>
      <c r="CYE36" s="49">
        <v>0</v>
      </c>
      <c r="CYF36" s="49">
        <v>0</v>
      </c>
      <c r="CYG36" s="49">
        <v>0</v>
      </c>
      <c r="CYH36" s="127">
        <f t="shared" si="1766"/>
        <v>222</v>
      </c>
      <c r="CYI36" s="43">
        <f t="shared" si="1767"/>
        <v>37</v>
      </c>
      <c r="CYJ36" s="48"/>
      <c r="CYK36" s="49">
        <v>0</v>
      </c>
      <c r="CYL36" s="49">
        <v>110</v>
      </c>
      <c r="CYM36" s="49">
        <v>331</v>
      </c>
      <c r="CYN36" s="49">
        <v>0</v>
      </c>
      <c r="CYO36" s="49">
        <v>0</v>
      </c>
      <c r="CYP36" s="127">
        <f t="shared" si="1768"/>
        <v>441</v>
      </c>
      <c r="CYQ36" s="43">
        <f t="shared" si="1769"/>
        <v>73.5</v>
      </c>
      <c r="CYR36" s="48">
        <v>188</v>
      </c>
      <c r="CYS36" s="49">
        <v>0</v>
      </c>
      <c r="CYT36" s="49">
        <v>111</v>
      </c>
      <c r="CYU36" s="49">
        <v>220</v>
      </c>
      <c r="CYV36" s="49">
        <v>220</v>
      </c>
      <c r="CYW36" s="49">
        <v>0</v>
      </c>
      <c r="CYX36" s="127">
        <f t="shared" si="1770"/>
        <v>739</v>
      </c>
      <c r="CYY36" s="43">
        <f t="shared" si="1771"/>
        <v>123.16666666666667</v>
      </c>
      <c r="CYZ36" s="48"/>
      <c r="CZA36" s="49">
        <v>0</v>
      </c>
      <c r="CZB36" s="49">
        <v>0</v>
      </c>
      <c r="CZC36" s="49">
        <v>374</v>
      </c>
      <c r="CZD36" s="49">
        <v>0</v>
      </c>
      <c r="CZE36" s="49">
        <v>0</v>
      </c>
      <c r="CZF36" s="127">
        <f t="shared" si="1772"/>
        <v>374</v>
      </c>
      <c r="CZG36" s="43">
        <f t="shared" si="1773"/>
        <v>74.8</v>
      </c>
      <c r="CZH36" s="48">
        <v>0</v>
      </c>
      <c r="CZI36" s="49">
        <v>110</v>
      </c>
      <c r="CZJ36" s="49">
        <v>222</v>
      </c>
      <c r="CZK36" s="49">
        <v>0</v>
      </c>
      <c r="CZL36" s="49">
        <v>329</v>
      </c>
      <c r="CZM36" s="49">
        <v>220</v>
      </c>
      <c r="CZN36" s="127">
        <f t="shared" si="1774"/>
        <v>881</v>
      </c>
      <c r="CZO36" s="43">
        <f t="shared" si="1775"/>
        <v>146.83333333333334</v>
      </c>
      <c r="CZP36" s="48"/>
      <c r="CZQ36" s="49">
        <v>0</v>
      </c>
      <c r="CZR36" s="49"/>
      <c r="CZS36" s="49">
        <v>220</v>
      </c>
      <c r="CZT36" s="49">
        <v>0</v>
      </c>
      <c r="CZU36" s="49">
        <v>108</v>
      </c>
      <c r="CZV36" s="127">
        <f t="shared" si="1776"/>
        <v>328</v>
      </c>
      <c r="CZW36" s="43">
        <f t="shared" si="1777"/>
        <v>54.666666666666664</v>
      </c>
      <c r="CZX36" s="48">
        <v>0</v>
      </c>
      <c r="CZY36" s="49">
        <v>221</v>
      </c>
      <c r="CZZ36" s="49">
        <v>121</v>
      </c>
      <c r="DAA36" s="49">
        <v>0</v>
      </c>
      <c r="DAB36" s="49"/>
      <c r="DAC36" s="49">
        <v>110</v>
      </c>
      <c r="DAD36" s="64">
        <f t="shared" si="1778"/>
        <v>452</v>
      </c>
      <c r="DAE36" s="68">
        <f t="shared" si="1779"/>
        <v>75.333333333333329</v>
      </c>
      <c r="DAF36" s="48">
        <v>357</v>
      </c>
      <c r="DAG36" s="49">
        <v>0</v>
      </c>
      <c r="DAH36" s="49">
        <v>0</v>
      </c>
      <c r="DAI36" s="49">
        <v>110</v>
      </c>
      <c r="DAJ36" s="49">
        <v>0</v>
      </c>
      <c r="DAK36" s="49">
        <v>0</v>
      </c>
      <c r="DAL36" s="64">
        <f t="shared" si="1780"/>
        <v>467</v>
      </c>
      <c r="DAM36" s="68">
        <f t="shared" si="1781"/>
        <v>77.833333333333329</v>
      </c>
      <c r="DAN36" s="48">
        <v>0</v>
      </c>
      <c r="DAO36" s="49">
        <v>110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si="1782"/>
        <v>110</v>
      </c>
      <c r="DAU36" s="68">
        <f t="shared" si="1783"/>
        <v>18.333333333333332</v>
      </c>
      <c r="DAV36" s="48"/>
      <c r="DAW36" s="49">
        <v>0</v>
      </c>
      <c r="DAX36" s="49">
        <v>0</v>
      </c>
      <c r="DAY36" s="49">
        <v>333</v>
      </c>
      <c r="DAZ36" s="49">
        <v>0</v>
      </c>
      <c r="DBA36" s="49">
        <v>0</v>
      </c>
      <c r="DBB36" s="64">
        <f t="shared" si="1784"/>
        <v>333</v>
      </c>
      <c r="DBC36" s="68">
        <f t="shared" si="1785"/>
        <v>55.5</v>
      </c>
      <c r="DBD36" s="48"/>
      <c r="DBE36" s="49">
        <v>221</v>
      </c>
      <c r="DBF36" s="49">
        <v>126</v>
      </c>
      <c r="DBG36" s="49">
        <v>0</v>
      </c>
      <c r="DBH36" s="49">
        <v>0</v>
      </c>
      <c r="DBI36" s="49">
        <v>0</v>
      </c>
      <c r="DBJ36" s="64">
        <f t="shared" si="1786"/>
        <v>347</v>
      </c>
      <c r="DBK36" s="68">
        <f t="shared" si="1787"/>
        <v>57.833333333333336</v>
      </c>
      <c r="DBL36" s="48">
        <v>0</v>
      </c>
      <c r="DBM36" s="49">
        <v>321</v>
      </c>
      <c r="DBN36" s="49">
        <v>0</v>
      </c>
      <c r="DBO36" s="49">
        <v>0</v>
      </c>
      <c r="DBP36" s="49"/>
      <c r="DBQ36" s="49">
        <v>330</v>
      </c>
      <c r="DBR36" s="64">
        <f t="shared" si="1788"/>
        <v>651</v>
      </c>
      <c r="DBS36" s="68">
        <f t="shared" si="1789"/>
        <v>108.5</v>
      </c>
      <c r="DBT36" s="48">
        <v>0</v>
      </c>
      <c r="DBU36" s="49"/>
      <c r="DBV36" s="49"/>
      <c r="DBW36" s="49">
        <v>0</v>
      </c>
      <c r="DBX36" s="49">
        <v>112</v>
      </c>
      <c r="DBY36" s="49">
        <v>0</v>
      </c>
      <c r="DBZ36" s="64">
        <f t="shared" si="1790"/>
        <v>112</v>
      </c>
      <c r="DCA36" s="68">
        <f t="shared" si="1791"/>
        <v>22.4</v>
      </c>
      <c r="DCB36" s="48">
        <v>0</v>
      </c>
      <c r="DCC36" s="49">
        <v>115</v>
      </c>
      <c r="DCD36" s="49"/>
      <c r="DCE36" s="49">
        <v>0</v>
      </c>
      <c r="DCF36" s="49">
        <v>110</v>
      </c>
      <c r="DCG36" s="49">
        <v>0</v>
      </c>
      <c r="DCH36" s="64">
        <f t="shared" si="1792"/>
        <v>225</v>
      </c>
      <c r="DCI36" s="68">
        <f t="shared" si="1793"/>
        <v>37.5</v>
      </c>
      <c r="DCJ36" s="48"/>
      <c r="DCK36" s="49">
        <v>114</v>
      </c>
      <c r="DCL36" s="49">
        <v>0</v>
      </c>
      <c r="DCM36" s="49">
        <v>0</v>
      </c>
      <c r="DCN36" s="49">
        <v>0</v>
      </c>
      <c r="DCO36" s="49">
        <v>0</v>
      </c>
      <c r="DCP36" s="64">
        <f t="shared" si="1794"/>
        <v>114</v>
      </c>
      <c r="DCQ36" s="68">
        <f t="shared" si="1795"/>
        <v>19</v>
      </c>
      <c r="DCR36" s="48">
        <v>335</v>
      </c>
      <c r="DCS36" s="49">
        <v>116</v>
      </c>
      <c r="DCT36" s="49">
        <v>0</v>
      </c>
      <c r="DCU36" s="49">
        <v>334</v>
      </c>
      <c r="DCV36" s="49">
        <v>0</v>
      </c>
      <c r="DCW36" s="49">
        <v>224</v>
      </c>
      <c r="DCX36" s="64">
        <f t="shared" si="1796"/>
        <v>1009</v>
      </c>
      <c r="DCY36" s="68">
        <f t="shared" si="1797"/>
        <v>168.16666666666666</v>
      </c>
      <c r="DCZ36" s="48">
        <v>0</v>
      </c>
      <c r="DDA36" s="49">
        <v>226</v>
      </c>
      <c r="DDB36" s="49">
        <v>0</v>
      </c>
      <c r="DDC36" s="49">
        <v>0</v>
      </c>
      <c r="DDD36" s="49">
        <v>0</v>
      </c>
      <c r="DDE36" s="49">
        <v>0</v>
      </c>
      <c r="DDF36" s="64">
        <f t="shared" si="1798"/>
        <v>226</v>
      </c>
      <c r="DDG36" s="68">
        <f t="shared" si="1799"/>
        <v>37.666666666666664</v>
      </c>
      <c r="DDH36" s="48">
        <v>222</v>
      </c>
      <c r="DDI36" s="49"/>
      <c r="DDJ36" s="49">
        <v>0</v>
      </c>
      <c r="DDK36" s="49">
        <v>0</v>
      </c>
      <c r="DDL36" s="49">
        <v>110</v>
      </c>
      <c r="DDM36" s="49">
        <v>220</v>
      </c>
      <c r="DDN36" s="127">
        <f t="shared" si="1800"/>
        <v>552</v>
      </c>
      <c r="DDO36" s="43">
        <f t="shared" si="1801"/>
        <v>92</v>
      </c>
      <c r="DDP36" s="48">
        <v>0</v>
      </c>
      <c r="DDQ36" s="49">
        <v>796</v>
      </c>
      <c r="DDR36" s="49">
        <v>0</v>
      </c>
      <c r="DDS36" s="49">
        <v>0</v>
      </c>
      <c r="DDT36" s="49">
        <v>468</v>
      </c>
      <c r="DDU36" s="49"/>
      <c r="DDV36" s="127">
        <f t="shared" si="1802"/>
        <v>1264</v>
      </c>
      <c r="DDW36" s="43">
        <f t="shared" si="1803"/>
        <v>210.66666666666666</v>
      </c>
      <c r="DDX36" s="48">
        <v>0</v>
      </c>
      <c r="DDY36" s="49">
        <v>0</v>
      </c>
      <c r="DDZ36" s="49">
        <v>0</v>
      </c>
      <c r="DEA36" s="49">
        <v>416</v>
      </c>
      <c r="DEB36" s="49">
        <v>301</v>
      </c>
      <c r="DEC36" s="49">
        <v>0</v>
      </c>
      <c r="DED36" s="127">
        <f t="shared" si="1804"/>
        <v>717</v>
      </c>
      <c r="DEE36" s="43">
        <f t="shared" si="1805"/>
        <v>119.5</v>
      </c>
      <c r="DEF36" s="48">
        <v>439</v>
      </c>
      <c r="DEG36" s="49"/>
      <c r="DEH36" s="49">
        <v>0</v>
      </c>
      <c r="DEI36" s="49">
        <v>150</v>
      </c>
      <c r="DEJ36" s="49">
        <v>0</v>
      </c>
      <c r="DEK36" s="49">
        <f>SUMIF(SUMPK!$B:$B,$B:$B,SUMPK!$O:$O)</f>
        <v>0</v>
      </c>
      <c r="DEL36" s="127">
        <f t="shared" si="1806"/>
        <v>589</v>
      </c>
      <c r="DEM36" s="43">
        <f t="shared" si="1807"/>
        <v>98.166666666666671</v>
      </c>
      <c r="DEN36" s="48">
        <v>1326</v>
      </c>
      <c r="DEO36" s="49">
        <v>0</v>
      </c>
      <c r="DEP36" s="49">
        <v>0</v>
      </c>
      <c r="DEQ36" s="49">
        <v>223</v>
      </c>
      <c r="DER36" s="49"/>
      <c r="DES36" s="49"/>
      <c r="DET36" s="127">
        <f t="shared" si="1808"/>
        <v>1549</v>
      </c>
      <c r="DEU36" s="43">
        <f t="shared" si="1809"/>
        <v>258.16666666666669</v>
      </c>
      <c r="DEV36" s="48">
        <v>0</v>
      </c>
      <c r="DEW36" s="49">
        <v>0</v>
      </c>
      <c r="DEX36" s="49">
        <v>548</v>
      </c>
      <c r="DEY36" s="49">
        <v>0</v>
      </c>
      <c r="DEZ36" s="49">
        <v>0</v>
      </c>
      <c r="DFA36" s="49">
        <v>0</v>
      </c>
      <c r="DFB36" s="127">
        <f t="shared" si="1810"/>
        <v>548</v>
      </c>
      <c r="DFC36" s="43">
        <f t="shared" si="1811"/>
        <v>91.333333333333329</v>
      </c>
      <c r="DFD36" s="48">
        <v>220</v>
      </c>
      <c r="DFE36" s="49">
        <v>0</v>
      </c>
      <c r="DFF36" s="49">
        <v>0</v>
      </c>
      <c r="DFG36" s="49">
        <v>300</v>
      </c>
      <c r="DFH36" s="49">
        <v>0</v>
      </c>
      <c r="DFI36" s="49">
        <v>0</v>
      </c>
      <c r="DFJ36" s="127">
        <f t="shared" si="1812"/>
        <v>520</v>
      </c>
      <c r="DFK36" s="43">
        <f t="shared" si="1813"/>
        <v>86.666666666666671</v>
      </c>
      <c r="DFL36" s="63">
        <v>0</v>
      </c>
      <c r="DFM36" s="64">
        <v>300</v>
      </c>
      <c r="DFN36" s="64">
        <v>0</v>
      </c>
      <c r="DFO36" s="64">
        <v>880</v>
      </c>
      <c r="DFP36" s="64">
        <v>0</v>
      </c>
      <c r="DFQ36" s="64">
        <v>339</v>
      </c>
      <c r="DFR36" s="64">
        <f t="shared" si="1814"/>
        <v>1519</v>
      </c>
      <c r="DFS36" s="68">
        <f t="shared" si="1815"/>
        <v>253.16666666666666</v>
      </c>
      <c r="DFT36" s="48">
        <v>0</v>
      </c>
      <c r="DFU36" s="49">
        <v>0</v>
      </c>
      <c r="DFV36" s="49">
        <v>0</v>
      </c>
      <c r="DFW36" s="49">
        <v>0</v>
      </c>
      <c r="DFX36" s="49"/>
      <c r="DFY36" s="49">
        <v>0</v>
      </c>
      <c r="DFZ36" s="127">
        <f t="shared" si="1816"/>
        <v>0</v>
      </c>
      <c r="DGA36" s="43">
        <f t="shared" si="1817"/>
        <v>0</v>
      </c>
      <c r="DGB36" s="48">
        <v>0</v>
      </c>
      <c r="DGC36" s="49">
        <v>553</v>
      </c>
      <c r="DGD36" s="49">
        <v>0</v>
      </c>
      <c r="DGE36" s="49">
        <v>811</v>
      </c>
      <c r="DGF36" s="49">
        <v>0</v>
      </c>
      <c r="DGG36" s="49">
        <v>0</v>
      </c>
      <c r="DGH36" s="127">
        <f t="shared" si="1818"/>
        <v>1364</v>
      </c>
      <c r="DGI36" s="43">
        <f t="shared" si="1819"/>
        <v>227.33333333333334</v>
      </c>
      <c r="DGJ36" s="48">
        <v>0</v>
      </c>
      <c r="DGK36" s="49">
        <v>0</v>
      </c>
      <c r="DGL36" s="49">
        <v>408</v>
      </c>
      <c r="DGM36" s="49">
        <v>0</v>
      </c>
      <c r="DGN36" s="49">
        <v>410</v>
      </c>
      <c r="DGO36" s="49">
        <v>0</v>
      </c>
      <c r="DGP36" s="64">
        <f t="shared" si="1820"/>
        <v>818</v>
      </c>
      <c r="DGQ36" s="68">
        <f t="shared" si="1821"/>
        <v>136.33333333333334</v>
      </c>
      <c r="DGR36" s="48">
        <v>0</v>
      </c>
      <c r="DGS36" s="49">
        <v>223</v>
      </c>
      <c r="DGT36" s="49">
        <v>0</v>
      </c>
      <c r="DGU36" s="49">
        <v>0</v>
      </c>
      <c r="DGV36" s="49">
        <v>0</v>
      </c>
      <c r="DGW36" s="49">
        <v>0</v>
      </c>
      <c r="DGX36" s="64">
        <f t="shared" si="1822"/>
        <v>223</v>
      </c>
      <c r="DGY36" s="68">
        <f t="shared" si="1823"/>
        <v>37.166666666666664</v>
      </c>
      <c r="DGZ36" s="48">
        <v>439</v>
      </c>
      <c r="DHA36" s="49">
        <v>319</v>
      </c>
      <c r="DHB36" s="49">
        <v>0</v>
      </c>
      <c r="DHC36" s="49"/>
      <c r="DHD36" s="49">
        <v>328</v>
      </c>
      <c r="DHE36" s="49">
        <v>0</v>
      </c>
      <c r="DHF36" s="64">
        <f t="shared" si="1824"/>
        <v>1086</v>
      </c>
      <c r="DHG36" s="68">
        <f t="shared" si="1825"/>
        <v>181</v>
      </c>
      <c r="DHH36" s="63">
        <v>0</v>
      </c>
      <c r="DHI36" s="64">
        <v>0</v>
      </c>
      <c r="DHJ36" s="64">
        <v>573</v>
      </c>
      <c r="DHK36" s="64">
        <v>0</v>
      </c>
      <c r="DHL36" s="64">
        <v>0</v>
      </c>
      <c r="DHM36" s="64">
        <v>114</v>
      </c>
      <c r="DHN36" s="64">
        <f t="shared" si="1826"/>
        <v>687</v>
      </c>
      <c r="DHO36" s="68">
        <f t="shared" si="1827"/>
        <v>114.5</v>
      </c>
      <c r="DHP36" s="48">
        <v>442</v>
      </c>
      <c r="DHQ36" s="49">
        <v>0</v>
      </c>
      <c r="DHR36" s="49"/>
      <c r="DHS36" s="49">
        <v>0</v>
      </c>
      <c r="DHT36" s="49">
        <v>0</v>
      </c>
      <c r="DHU36" s="49">
        <v>0</v>
      </c>
      <c r="DHV36" s="64">
        <f t="shared" si="1828"/>
        <v>442</v>
      </c>
      <c r="DHW36" s="68">
        <f t="shared" si="1829"/>
        <v>73.666666666666671</v>
      </c>
      <c r="DHX36" s="48">
        <v>0</v>
      </c>
      <c r="DHY36" s="49"/>
      <c r="DHZ36" s="49"/>
      <c r="DIA36" s="49">
        <v>0</v>
      </c>
      <c r="DIB36" s="49">
        <v>0</v>
      </c>
      <c r="DIC36" s="49">
        <v>107</v>
      </c>
      <c r="DID36" s="64">
        <f t="shared" si="1830"/>
        <v>107</v>
      </c>
      <c r="DIE36" s="68">
        <f t="shared" si="1831"/>
        <v>17.833333333333332</v>
      </c>
      <c r="DIF36" s="48">
        <v>110</v>
      </c>
      <c r="DIG36" s="49">
        <v>0</v>
      </c>
      <c r="DIH36" s="49"/>
      <c r="DII36" s="49">
        <v>0</v>
      </c>
      <c r="DIJ36" s="49">
        <v>0</v>
      </c>
      <c r="DIK36" s="49"/>
      <c r="DIL36" s="64">
        <f t="shared" si="1832"/>
        <v>110</v>
      </c>
      <c r="DIM36" s="68">
        <f t="shared" si="1833"/>
        <v>18.333333333333332</v>
      </c>
      <c r="DIN36" s="48">
        <v>220</v>
      </c>
      <c r="DIO36" s="49"/>
      <c r="DIP36" s="49">
        <v>0</v>
      </c>
      <c r="DIQ36" s="49"/>
      <c r="DIR36" s="49">
        <v>0</v>
      </c>
      <c r="DIS36" s="49">
        <v>0</v>
      </c>
      <c r="DIT36" s="64">
        <f t="shared" si="1834"/>
        <v>220</v>
      </c>
      <c r="DIU36" s="68">
        <f t="shared" si="1835"/>
        <v>36.666666666666664</v>
      </c>
      <c r="DIV36" s="48">
        <v>0</v>
      </c>
      <c r="DIW36" s="49">
        <v>330</v>
      </c>
      <c r="DIX36" s="49">
        <v>0</v>
      </c>
      <c r="DIY36" s="49">
        <v>0</v>
      </c>
      <c r="DIZ36" s="49">
        <v>112</v>
      </c>
      <c r="DJA36" s="49">
        <v>0</v>
      </c>
      <c r="DJB36" s="64">
        <f t="shared" si="1836"/>
        <v>442</v>
      </c>
      <c r="DJC36" s="68">
        <f t="shared" si="1837"/>
        <v>73.666666666666671</v>
      </c>
      <c r="DJD36" s="48">
        <v>789</v>
      </c>
      <c r="DJE36" s="49">
        <v>0</v>
      </c>
      <c r="DJF36" s="49">
        <v>0</v>
      </c>
      <c r="DJG36" s="49">
        <v>0</v>
      </c>
      <c r="DJH36" s="49">
        <v>0</v>
      </c>
      <c r="DJI36" s="49">
        <v>110</v>
      </c>
      <c r="DJJ36" s="64">
        <f t="shared" si="1838"/>
        <v>899</v>
      </c>
      <c r="DJK36" s="68">
        <f t="shared" si="1839"/>
        <v>149.83333333333334</v>
      </c>
      <c r="DJL36" s="48">
        <v>0</v>
      </c>
      <c r="DJM36" s="49">
        <v>110</v>
      </c>
      <c r="DJN36" s="49">
        <v>359</v>
      </c>
      <c r="DJO36" s="49">
        <v>0</v>
      </c>
      <c r="DJP36" s="49">
        <v>0</v>
      </c>
      <c r="DJQ36" s="49">
        <v>109</v>
      </c>
      <c r="DJR36" s="64">
        <f t="shared" si="1840"/>
        <v>578</v>
      </c>
      <c r="DJS36" s="68">
        <f t="shared" si="1841"/>
        <v>96.333333333333329</v>
      </c>
      <c r="DJT36" s="48"/>
      <c r="DJU36" s="49">
        <v>0</v>
      </c>
      <c r="DJV36" s="49">
        <v>106</v>
      </c>
      <c r="DJW36" s="49">
        <v>0</v>
      </c>
      <c r="DJX36" s="49">
        <v>0</v>
      </c>
      <c r="DJY36" s="49">
        <v>0</v>
      </c>
      <c r="DJZ36" s="64">
        <f t="shared" si="1842"/>
        <v>106</v>
      </c>
      <c r="DKA36" s="68">
        <f t="shared" si="1843"/>
        <v>17.666666666666668</v>
      </c>
      <c r="DKB36" s="48">
        <v>0</v>
      </c>
      <c r="DKC36" s="49">
        <v>295</v>
      </c>
      <c r="DKD36" s="49">
        <v>0</v>
      </c>
      <c r="DKE36" s="49">
        <v>0</v>
      </c>
      <c r="DKF36" s="49">
        <v>328</v>
      </c>
      <c r="DKG36" s="49">
        <v>0</v>
      </c>
      <c r="DKH36" s="64">
        <f t="shared" si="1844"/>
        <v>623</v>
      </c>
      <c r="DKI36" s="68">
        <f t="shared" si="1845"/>
        <v>103.83333333333333</v>
      </c>
      <c r="DKJ36" s="48">
        <v>0</v>
      </c>
      <c r="DKK36" s="49">
        <v>0</v>
      </c>
      <c r="DKL36" s="49">
        <v>110</v>
      </c>
      <c r="DKM36" s="49"/>
      <c r="DKN36" s="49">
        <v>0</v>
      </c>
      <c r="DKO36" s="49"/>
      <c r="DKP36" s="64">
        <f t="shared" si="1846"/>
        <v>110</v>
      </c>
      <c r="DKQ36" s="68">
        <f t="shared" si="1847"/>
        <v>18.333333333333332</v>
      </c>
      <c r="DKR36" s="48">
        <v>110</v>
      </c>
      <c r="DKS36" s="49">
        <v>0</v>
      </c>
      <c r="DKT36" s="49">
        <v>15</v>
      </c>
      <c r="DKU36" s="49">
        <v>439</v>
      </c>
      <c r="DKV36" s="49">
        <v>0</v>
      </c>
      <c r="DKW36" s="49">
        <v>0</v>
      </c>
      <c r="DKX36" s="64">
        <f t="shared" si="1848"/>
        <v>564</v>
      </c>
      <c r="DKY36" s="68">
        <f t="shared" si="1849"/>
        <v>94</v>
      </c>
      <c r="DKZ36" s="48"/>
      <c r="DLA36" s="49">
        <v>1</v>
      </c>
      <c r="DLB36" s="49">
        <v>330</v>
      </c>
      <c r="DLC36" s="49">
        <v>0</v>
      </c>
      <c r="DLD36" s="49">
        <v>322</v>
      </c>
      <c r="DLE36" s="49">
        <v>0</v>
      </c>
      <c r="DLF36" s="64">
        <f t="shared" si="1850"/>
        <v>653</v>
      </c>
      <c r="DLG36" s="68">
        <f t="shared" si="1851"/>
        <v>108.83333333333333</v>
      </c>
      <c r="DLH36" s="48"/>
      <c r="DLI36" s="49">
        <v>0</v>
      </c>
      <c r="DLJ36" s="49">
        <v>0</v>
      </c>
      <c r="DLK36" s="49">
        <v>110</v>
      </c>
      <c r="DLL36" s="49"/>
      <c r="DLM36" s="49">
        <v>219</v>
      </c>
      <c r="DLN36" s="64">
        <f t="shared" si="1852"/>
        <v>329</v>
      </c>
      <c r="DLO36" s="68">
        <f t="shared" si="1853"/>
        <v>54.833333333333336</v>
      </c>
      <c r="DLP36" s="48">
        <v>0</v>
      </c>
      <c r="DLQ36" s="49"/>
      <c r="DLR36" s="49">
        <v>218</v>
      </c>
      <c r="DLS36" s="49">
        <v>220</v>
      </c>
      <c r="DLT36" s="49">
        <v>110</v>
      </c>
      <c r="DLU36" s="49">
        <v>0</v>
      </c>
      <c r="DLV36" s="64">
        <f t="shared" si="1854"/>
        <v>548</v>
      </c>
      <c r="DLW36" s="68">
        <f t="shared" si="1855"/>
        <v>91.333333333333329</v>
      </c>
      <c r="DLX36" s="48">
        <v>319</v>
      </c>
      <c r="DLY36" s="49">
        <v>0</v>
      </c>
      <c r="DLZ36" s="49"/>
      <c r="DMA36" s="49">
        <v>0</v>
      </c>
      <c r="DMB36" s="49"/>
      <c r="DMC36" s="49">
        <v>220</v>
      </c>
      <c r="DMD36" s="64">
        <f t="shared" si="1856"/>
        <v>539</v>
      </c>
      <c r="DME36" s="68">
        <f t="shared" si="1857"/>
        <v>89.833333333333329</v>
      </c>
      <c r="DMF36" s="48"/>
      <c r="DMG36" s="49">
        <v>199</v>
      </c>
      <c r="DMH36" s="49"/>
      <c r="DMI36" s="49">
        <v>219</v>
      </c>
      <c r="DMJ36" s="49">
        <v>713</v>
      </c>
      <c r="DMK36" s="49">
        <v>0</v>
      </c>
      <c r="DML36" s="64">
        <f t="shared" si="1858"/>
        <v>1131</v>
      </c>
      <c r="DMM36" s="68">
        <f t="shared" si="1859"/>
        <v>188.5</v>
      </c>
      <c r="DMN36" s="48">
        <v>0</v>
      </c>
      <c r="DMO36" s="49"/>
      <c r="DMP36" s="49">
        <v>0</v>
      </c>
      <c r="DMQ36" s="49">
        <v>109</v>
      </c>
      <c r="DMR36" s="49">
        <v>0</v>
      </c>
      <c r="DMS36" s="49">
        <v>0</v>
      </c>
      <c r="DMT36" s="64">
        <f t="shared" si="1860"/>
        <v>109</v>
      </c>
      <c r="DMU36" s="68">
        <f t="shared" si="1861"/>
        <v>18.166666666666668</v>
      </c>
      <c r="DMV36" s="48">
        <v>109</v>
      </c>
      <c r="DMW36" s="49">
        <v>110</v>
      </c>
      <c r="DMX36" s="49">
        <v>0</v>
      </c>
      <c r="DMY36" s="49">
        <v>0</v>
      </c>
      <c r="DMZ36" s="49">
        <v>1118</v>
      </c>
      <c r="DNA36" s="49">
        <v>0</v>
      </c>
      <c r="DNB36" s="64">
        <f t="shared" si="1862"/>
        <v>1337</v>
      </c>
      <c r="DNC36" s="68">
        <f t="shared" si="1863"/>
        <v>222.83333333333334</v>
      </c>
      <c r="DND36" s="48">
        <v>401</v>
      </c>
      <c r="DNE36" s="49">
        <v>0</v>
      </c>
      <c r="DNF36" s="49">
        <v>0</v>
      </c>
      <c r="DNG36" s="49"/>
      <c r="DNH36" s="49">
        <v>0</v>
      </c>
      <c r="DNI36" s="49">
        <v>331</v>
      </c>
      <c r="DNJ36" s="64">
        <f t="shared" si="1864"/>
        <v>732</v>
      </c>
      <c r="DNK36" s="68">
        <f t="shared" si="1865"/>
        <v>122</v>
      </c>
      <c r="DNL36" s="48"/>
      <c r="DNM36" s="49"/>
      <c r="DNN36" s="49">
        <v>0</v>
      </c>
      <c r="DNO36" s="49">
        <v>0</v>
      </c>
      <c r="DNP36" s="49">
        <v>519</v>
      </c>
      <c r="DNQ36" s="49">
        <v>0</v>
      </c>
      <c r="DNR36" s="64">
        <f t="shared" si="1866"/>
        <v>519</v>
      </c>
      <c r="DNS36" s="68">
        <f t="shared" si="1867"/>
        <v>86.5</v>
      </c>
      <c r="DNT36" s="48">
        <v>0</v>
      </c>
      <c r="DNU36" s="49">
        <v>0</v>
      </c>
      <c r="DNV36" s="49">
        <v>220</v>
      </c>
      <c r="DNW36" s="49">
        <v>0</v>
      </c>
      <c r="DNX36" s="49">
        <v>0</v>
      </c>
      <c r="DNY36" s="49">
        <v>0</v>
      </c>
      <c r="DNZ36" s="64">
        <f t="shared" si="1868"/>
        <v>220</v>
      </c>
      <c r="DOA36" s="68">
        <f t="shared" si="1869"/>
        <v>36.666666666666664</v>
      </c>
      <c r="DOB36" s="48">
        <v>0</v>
      </c>
      <c r="DOC36" s="49"/>
      <c r="DOD36" s="49">
        <v>110</v>
      </c>
      <c r="DOE36" s="49">
        <v>0</v>
      </c>
      <c r="DOF36" s="49">
        <v>0</v>
      </c>
      <c r="DOG36" s="49">
        <v>1100</v>
      </c>
      <c r="DOH36" s="64">
        <f t="shared" si="1870"/>
        <v>1210</v>
      </c>
      <c r="DOI36" s="68">
        <f t="shared" si="1871"/>
        <v>201.66666666666666</v>
      </c>
      <c r="DOJ36" s="48">
        <v>842</v>
      </c>
      <c r="DOK36" s="49">
        <v>876</v>
      </c>
      <c r="DOL36" s="49">
        <v>0</v>
      </c>
      <c r="DOM36" s="49"/>
      <c r="DON36" s="49">
        <v>0</v>
      </c>
      <c r="DOO36" s="49">
        <v>0</v>
      </c>
      <c r="DOP36" s="64">
        <f t="shared" si="1872"/>
        <v>1718</v>
      </c>
      <c r="DOQ36" s="68">
        <f t="shared" si="1873"/>
        <v>286.33333333333331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si="1874"/>
        <v>0</v>
      </c>
      <c r="DOY36" s="68">
        <f t="shared" si="1875"/>
        <v>0</v>
      </c>
      <c r="DOZ36" s="48"/>
      <c r="DPA36" s="49">
        <v>0</v>
      </c>
      <c r="DPB36" s="49"/>
      <c r="DPC36" s="49">
        <v>0</v>
      </c>
      <c r="DPD36" s="49"/>
      <c r="DPE36" s="49">
        <v>330</v>
      </c>
      <c r="DPF36" s="64">
        <f t="shared" si="1876"/>
        <v>330</v>
      </c>
      <c r="DPG36" s="68">
        <f t="shared" si="1877"/>
        <v>55</v>
      </c>
      <c r="DPH36" s="48">
        <v>0</v>
      </c>
      <c r="DPI36" s="49">
        <v>0</v>
      </c>
      <c r="DPJ36" s="49">
        <v>0</v>
      </c>
      <c r="DPK36" s="49">
        <v>329</v>
      </c>
      <c r="DPL36" s="49"/>
      <c r="DPM36" s="49"/>
      <c r="DPN36" s="64">
        <f t="shared" si="1878"/>
        <v>329</v>
      </c>
      <c r="DPO36" s="68">
        <f t="shared" si="1879"/>
        <v>54.833333333333336</v>
      </c>
      <c r="DPP36" s="48">
        <v>0</v>
      </c>
      <c r="DPQ36" s="49">
        <v>0</v>
      </c>
      <c r="DPR36" s="49">
        <v>401</v>
      </c>
      <c r="DPS36" s="49"/>
      <c r="DPT36" s="49"/>
      <c r="DPU36" s="49">
        <v>0</v>
      </c>
      <c r="DPV36" s="491">
        <f t="shared" si="1880"/>
        <v>401</v>
      </c>
      <c r="DPW36" s="492">
        <f t="shared" si="1881"/>
        <v>66.833333333333329</v>
      </c>
      <c r="DPX36" s="48">
        <v>110</v>
      </c>
      <c r="DPY36" s="49">
        <v>0</v>
      </c>
      <c r="DPZ36" s="49">
        <v>0</v>
      </c>
      <c r="DQA36" s="49">
        <v>1038</v>
      </c>
      <c r="DQB36" s="49">
        <v>0</v>
      </c>
      <c r="DQC36" s="49">
        <v>333</v>
      </c>
      <c r="DQD36" s="491">
        <f t="shared" si="1882"/>
        <v>1481</v>
      </c>
      <c r="DQE36" s="492">
        <f t="shared" si="1883"/>
        <v>246.83333333333334</v>
      </c>
      <c r="DQF36" s="48">
        <v>0</v>
      </c>
      <c r="DQG36" s="49">
        <v>0</v>
      </c>
      <c r="DQH36" s="49">
        <v>1303</v>
      </c>
      <c r="DQI36" s="49"/>
      <c r="DQJ36" s="49">
        <v>0</v>
      </c>
      <c r="DQK36" s="49">
        <v>680</v>
      </c>
      <c r="DQL36" s="489">
        <f t="shared" si="1884"/>
        <v>1983</v>
      </c>
      <c r="DQM36" s="492">
        <f t="shared" si="1885"/>
        <v>330.5</v>
      </c>
      <c r="DQN36" s="48">
        <v>0</v>
      </c>
      <c r="DQO36" s="49">
        <v>0</v>
      </c>
      <c r="DQP36" s="49">
        <v>700</v>
      </c>
      <c r="DQQ36" s="49">
        <v>0</v>
      </c>
      <c r="DQR36" s="49">
        <v>0</v>
      </c>
      <c r="DQS36" s="49">
        <v>0</v>
      </c>
      <c r="DQT36" s="64">
        <f t="shared" si="1886"/>
        <v>700</v>
      </c>
      <c r="DQU36" s="68">
        <f t="shared" si="1887"/>
        <v>116.66666666666667</v>
      </c>
      <c r="DQV36" s="48">
        <v>0</v>
      </c>
      <c r="DQW36" s="49">
        <v>330</v>
      </c>
      <c r="DQX36" s="49"/>
      <c r="DQY36" s="49">
        <v>110</v>
      </c>
      <c r="DQZ36" s="49">
        <v>0</v>
      </c>
      <c r="DRA36" s="49">
        <v>0</v>
      </c>
      <c r="DRB36" s="491">
        <f t="shared" si="1888"/>
        <v>440</v>
      </c>
      <c r="DRC36" s="492">
        <f t="shared" si="1889"/>
        <v>73.333333333333329</v>
      </c>
      <c r="DRD36" s="48">
        <v>0</v>
      </c>
      <c r="DRE36" s="49">
        <v>0</v>
      </c>
      <c r="DRF36" s="49">
        <v>330</v>
      </c>
      <c r="DRG36" s="49">
        <v>0</v>
      </c>
      <c r="DRH36" s="49">
        <v>0</v>
      </c>
      <c r="DRI36" s="49"/>
      <c r="DRJ36" s="491">
        <f t="shared" si="1890"/>
        <v>330</v>
      </c>
      <c r="DRK36" s="492">
        <f t="shared" si="1891"/>
        <v>55</v>
      </c>
      <c r="DRL36" s="48">
        <v>0</v>
      </c>
      <c r="DRM36" s="49">
        <v>441</v>
      </c>
      <c r="DRN36" s="49">
        <v>0</v>
      </c>
      <c r="DRO36" s="49">
        <v>219</v>
      </c>
      <c r="DRP36" s="49">
        <v>1230</v>
      </c>
      <c r="DRQ36" s="49"/>
      <c r="DRR36" s="64">
        <f t="shared" si="1587"/>
        <v>1890</v>
      </c>
      <c r="DRS36" s="68">
        <f t="shared" si="1588"/>
        <v>315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589"/>
        <v>0</v>
      </c>
      <c r="DSA36" s="68">
        <f t="shared" si="1590"/>
        <v>0</v>
      </c>
      <c r="DSB36" s="82"/>
      <c r="DSC36" s="83">
        <v>1210</v>
      </c>
      <c r="DSD36" s="83">
        <v>0</v>
      </c>
      <c r="DSE36" s="83"/>
      <c r="DSF36" s="83">
        <v>0</v>
      </c>
      <c r="DSG36" s="83">
        <v>0</v>
      </c>
      <c r="DSH36" s="64">
        <f t="shared" si="1591"/>
        <v>1210</v>
      </c>
      <c r="DSI36" s="68">
        <f t="shared" si="1592"/>
        <v>201.66666666666666</v>
      </c>
      <c r="DSJ36" s="48">
        <v>202</v>
      </c>
      <c r="DSK36" s="49">
        <v>110</v>
      </c>
      <c r="DSL36" s="49">
        <v>0</v>
      </c>
      <c r="DSM36" s="49">
        <v>0</v>
      </c>
      <c r="DSN36" s="49">
        <v>0</v>
      </c>
      <c r="DSO36" s="49">
        <v>0</v>
      </c>
      <c r="DSP36" s="64">
        <f t="shared" si="1593"/>
        <v>312</v>
      </c>
      <c r="DSQ36" s="68">
        <f t="shared" si="1594"/>
        <v>52</v>
      </c>
      <c r="DSR36" s="48"/>
      <c r="DSS36" s="49">
        <v>0</v>
      </c>
      <c r="DST36" s="49">
        <v>0</v>
      </c>
      <c r="DSU36" s="49">
        <v>0</v>
      </c>
      <c r="DSV36" s="49">
        <v>0</v>
      </c>
      <c r="DSW36" s="49">
        <v>0</v>
      </c>
      <c r="DSX36" s="64">
        <f t="shared" si="1595"/>
        <v>0</v>
      </c>
      <c r="DSY36" s="68">
        <f t="shared" si="1596"/>
        <v>0</v>
      </c>
      <c r="DSZ36" s="48">
        <v>0</v>
      </c>
      <c r="DTA36" s="49">
        <v>0</v>
      </c>
      <c r="DTB36" s="49">
        <v>0</v>
      </c>
      <c r="DTC36" s="49">
        <v>500</v>
      </c>
      <c r="DTD36" s="49"/>
      <c r="DTE36" s="49">
        <v>680</v>
      </c>
      <c r="DTF36" s="64">
        <f t="shared" si="1597"/>
        <v>1180</v>
      </c>
      <c r="DTG36" s="68">
        <f t="shared" si="1598"/>
        <v>196.66666666666666</v>
      </c>
      <c r="DTH36" s="48">
        <v>0</v>
      </c>
      <c r="DTI36" s="49">
        <v>0</v>
      </c>
      <c r="DTJ36" s="49">
        <v>0</v>
      </c>
      <c r="DTK36" s="49">
        <v>0</v>
      </c>
      <c r="DTL36" s="49">
        <v>0</v>
      </c>
      <c r="DTM36" s="49">
        <v>438</v>
      </c>
      <c r="DTN36" s="64">
        <f t="shared" si="1599"/>
        <v>438</v>
      </c>
      <c r="DTO36" s="68">
        <f t="shared" si="1600"/>
        <v>73</v>
      </c>
      <c r="DTP36" s="48">
        <v>791</v>
      </c>
      <c r="DTQ36" s="49"/>
      <c r="DTR36" s="49"/>
      <c r="DTS36" s="49">
        <v>0</v>
      </c>
      <c r="DTT36" s="49">
        <v>327</v>
      </c>
      <c r="DTU36" s="49">
        <v>682</v>
      </c>
      <c r="DTV36" s="64">
        <f t="shared" si="1601"/>
        <v>1800</v>
      </c>
      <c r="DTW36" s="68">
        <f t="shared" si="1602"/>
        <v>300</v>
      </c>
      <c r="DTX36" s="48">
        <v>0</v>
      </c>
      <c r="DTY36" s="49">
        <v>0</v>
      </c>
      <c r="DTZ36" s="49">
        <v>0</v>
      </c>
      <c r="DUA36" s="49">
        <v>403</v>
      </c>
      <c r="DUB36" s="49">
        <v>0</v>
      </c>
      <c r="DUC36" s="49">
        <v>0</v>
      </c>
      <c r="DUD36" s="64">
        <f t="shared" si="1603"/>
        <v>403</v>
      </c>
      <c r="DUE36" s="68">
        <f t="shared" si="1604"/>
        <v>67.166666666666671</v>
      </c>
      <c r="DUF36" s="48">
        <v>0</v>
      </c>
      <c r="DUG36" s="49">
        <v>0</v>
      </c>
      <c r="DUH36" s="49"/>
      <c r="DUI36" s="49">
        <v>0</v>
      </c>
      <c r="DUJ36" s="49">
        <v>0</v>
      </c>
      <c r="DUK36" s="49">
        <v>0</v>
      </c>
      <c r="DUL36" s="64">
        <f t="shared" si="1605"/>
        <v>0</v>
      </c>
      <c r="DUM36" s="68">
        <f t="shared" si="1606"/>
        <v>0</v>
      </c>
      <c r="DUN36" s="48"/>
      <c r="DUO36" s="49">
        <v>0</v>
      </c>
      <c r="DUP36" s="49">
        <v>332</v>
      </c>
      <c r="DUQ36" s="49">
        <v>0</v>
      </c>
      <c r="DUR36" s="49"/>
      <c r="DUS36" s="49">
        <v>0</v>
      </c>
      <c r="DUT36" s="64">
        <f t="shared" si="1607"/>
        <v>332</v>
      </c>
      <c r="DUU36" s="68">
        <f t="shared" si="1608"/>
        <v>55.333333333333336</v>
      </c>
      <c r="DUV36" s="48"/>
      <c r="DUW36" s="49">
        <v>333</v>
      </c>
      <c r="DUX36" s="49">
        <v>0</v>
      </c>
      <c r="DUY36" s="49">
        <v>0</v>
      </c>
      <c r="DUZ36" s="49">
        <v>0</v>
      </c>
      <c r="DVA36" s="49">
        <v>220</v>
      </c>
      <c r="DVB36" s="64">
        <f t="shared" si="1609"/>
        <v>553</v>
      </c>
      <c r="DVC36" s="68">
        <f t="shared" si="1610"/>
        <v>92.166666666666671</v>
      </c>
      <c r="DVD36" s="48"/>
      <c r="DVE36" s="49">
        <v>0</v>
      </c>
      <c r="DVF36" s="49">
        <v>0</v>
      </c>
      <c r="DVG36" s="49">
        <v>0</v>
      </c>
      <c r="DVH36" s="49">
        <v>0</v>
      </c>
      <c r="DVI36" s="49">
        <v>220</v>
      </c>
      <c r="DVJ36" s="64">
        <f t="shared" si="1611"/>
        <v>220</v>
      </c>
      <c r="DVK36" s="68">
        <f t="shared" si="1612"/>
        <v>36.666666666666664</v>
      </c>
      <c r="DVL36" s="48">
        <v>0</v>
      </c>
      <c r="DVM36" s="49">
        <v>224</v>
      </c>
      <c r="DVN36" s="49">
        <v>0</v>
      </c>
      <c r="DVO36" s="49">
        <v>0</v>
      </c>
      <c r="DVP36" s="49">
        <v>0</v>
      </c>
      <c r="DVQ36" s="49">
        <v>0</v>
      </c>
      <c r="DVR36" s="64">
        <f t="shared" si="1613"/>
        <v>224</v>
      </c>
      <c r="DVS36" s="68">
        <f t="shared" si="1614"/>
        <v>37.333333333333336</v>
      </c>
      <c r="DVT36" s="48"/>
      <c r="DVU36" s="49">
        <v>664</v>
      </c>
      <c r="DVV36" s="49">
        <v>0</v>
      </c>
      <c r="DVW36" s="49">
        <v>0</v>
      </c>
      <c r="DVX36" s="49">
        <v>110</v>
      </c>
      <c r="DVY36" s="49">
        <v>0</v>
      </c>
      <c r="DVZ36" s="64">
        <f t="shared" si="1615"/>
        <v>774</v>
      </c>
      <c r="DWA36" s="68">
        <f t="shared" si="1616"/>
        <v>129</v>
      </c>
      <c r="DWB36" s="48">
        <v>0</v>
      </c>
      <c r="DWC36" s="49">
        <v>0</v>
      </c>
      <c r="DWD36" s="49">
        <v>220</v>
      </c>
      <c r="DWE36" s="49">
        <v>0</v>
      </c>
      <c r="DWF36" s="49">
        <v>0</v>
      </c>
      <c r="DWG36" s="49"/>
      <c r="DWH36" s="64">
        <f t="shared" si="1617"/>
        <v>220</v>
      </c>
      <c r="DWI36" s="68">
        <f t="shared" si="1618"/>
        <v>36.666666666666664</v>
      </c>
      <c r="DWJ36" s="48">
        <v>220</v>
      </c>
      <c r="DWK36" s="49">
        <v>0</v>
      </c>
      <c r="DWL36" s="49">
        <v>0</v>
      </c>
      <c r="DWM36" s="49">
        <v>0</v>
      </c>
      <c r="DWN36" s="49">
        <v>0</v>
      </c>
      <c r="DWO36" s="49">
        <v>109</v>
      </c>
      <c r="DWP36" s="64">
        <f t="shared" si="1619"/>
        <v>329</v>
      </c>
      <c r="DWQ36" s="68">
        <f t="shared" si="1620"/>
        <v>54.833333333333336</v>
      </c>
      <c r="DWR36" s="48">
        <v>0</v>
      </c>
      <c r="DWS36" s="49"/>
      <c r="DWT36" s="49">
        <v>111</v>
      </c>
      <c r="DWU36" s="49">
        <v>0</v>
      </c>
      <c r="DWV36" s="49">
        <v>220</v>
      </c>
      <c r="DWW36" s="49">
        <v>0</v>
      </c>
      <c r="DWX36" s="64">
        <f t="shared" si="1621"/>
        <v>331</v>
      </c>
      <c r="DWY36" s="68">
        <f t="shared" si="1622"/>
        <v>55.166666666666664</v>
      </c>
      <c r="DWZ36" s="48">
        <v>0</v>
      </c>
      <c r="DXA36" s="49">
        <v>0</v>
      </c>
      <c r="DXB36" s="49">
        <v>0</v>
      </c>
      <c r="DXC36" s="49">
        <v>223</v>
      </c>
      <c r="DXD36" s="49"/>
      <c r="DXE36" s="49"/>
      <c r="DXF36" s="64">
        <f t="shared" si="1623"/>
        <v>223</v>
      </c>
      <c r="DXG36" s="68">
        <f t="shared" si="1624"/>
        <v>37.166666666666664</v>
      </c>
      <c r="DXH36" s="48">
        <v>220</v>
      </c>
      <c r="DXI36" s="49">
        <v>0</v>
      </c>
      <c r="DXJ36" s="49">
        <v>0</v>
      </c>
      <c r="DXK36" s="49">
        <v>0</v>
      </c>
      <c r="DXL36" s="49">
        <v>221</v>
      </c>
      <c r="DXM36" s="49">
        <v>0</v>
      </c>
      <c r="DXN36" s="64">
        <f t="shared" si="1625"/>
        <v>441</v>
      </c>
      <c r="DXO36" s="68">
        <f t="shared" si="1626"/>
        <v>73.5</v>
      </c>
      <c r="DXP36" s="48">
        <v>0</v>
      </c>
      <c r="DXQ36" s="49">
        <v>0</v>
      </c>
      <c r="DXR36" s="49">
        <v>0</v>
      </c>
      <c r="DXS36" s="49">
        <v>247</v>
      </c>
      <c r="DXT36" s="49">
        <v>0</v>
      </c>
      <c r="DXU36" s="49">
        <v>0</v>
      </c>
      <c r="DXV36" s="64">
        <f t="shared" si="1320"/>
        <v>247</v>
      </c>
      <c r="DXW36" s="68">
        <f t="shared" si="1321"/>
        <v>41.166666666666664</v>
      </c>
      <c r="DXX36" s="48">
        <v>0</v>
      </c>
      <c r="DXY36" s="49">
        <v>331</v>
      </c>
      <c r="DXZ36" s="49">
        <v>0</v>
      </c>
      <c r="DYA36" s="49">
        <v>0</v>
      </c>
      <c r="DYB36" s="49">
        <v>0</v>
      </c>
      <c r="DYC36" s="49">
        <v>0</v>
      </c>
      <c r="DYD36" s="64">
        <f t="shared" si="1322"/>
        <v>331</v>
      </c>
      <c r="DYE36" s="68">
        <f t="shared" si="1323"/>
        <v>55.166666666666664</v>
      </c>
      <c r="DYF36" s="48">
        <v>0</v>
      </c>
      <c r="DYG36" s="49">
        <v>0</v>
      </c>
      <c r="DYH36" s="49">
        <v>220</v>
      </c>
      <c r="DYI36" s="49">
        <v>0</v>
      </c>
      <c r="DYJ36" s="49">
        <v>330</v>
      </c>
      <c r="DYK36" s="49"/>
      <c r="DYL36" s="64">
        <f t="shared" si="1324"/>
        <v>550</v>
      </c>
      <c r="DYM36" s="68">
        <f t="shared" si="1325"/>
        <v>91.666666666666671</v>
      </c>
      <c r="DYN36" s="48">
        <v>0</v>
      </c>
      <c r="DYO36" s="49">
        <v>0</v>
      </c>
      <c r="DYP36" s="49">
        <v>0</v>
      </c>
      <c r="DYQ36" s="49">
        <v>0</v>
      </c>
      <c r="DYR36" s="49"/>
      <c r="DYS36" s="49"/>
      <c r="DYT36" s="64">
        <f t="shared" si="1326"/>
        <v>0</v>
      </c>
      <c r="DYU36" s="68">
        <f t="shared" si="1327"/>
        <v>0</v>
      </c>
      <c r="DYV36" s="48">
        <v>220</v>
      </c>
      <c r="DYW36" s="49">
        <v>0</v>
      </c>
      <c r="DYX36" s="49">
        <v>0</v>
      </c>
      <c r="DYY36" s="49">
        <v>337</v>
      </c>
      <c r="DYZ36" s="49">
        <v>0</v>
      </c>
      <c r="DZA36" s="49">
        <v>0</v>
      </c>
      <c r="DZB36" s="64">
        <f t="shared" si="1328"/>
        <v>557</v>
      </c>
      <c r="DZC36" s="68">
        <f t="shared" si="1329"/>
        <v>92.833333333333329</v>
      </c>
      <c r="DZD36" s="48">
        <v>0</v>
      </c>
      <c r="DZE36" s="49">
        <v>332</v>
      </c>
      <c r="DZF36" s="49">
        <v>0</v>
      </c>
      <c r="DZG36" s="49">
        <v>0</v>
      </c>
      <c r="DZH36" s="49">
        <v>226</v>
      </c>
      <c r="DZI36" s="49">
        <v>0</v>
      </c>
      <c r="DZJ36" s="64">
        <f t="shared" si="1330"/>
        <v>558</v>
      </c>
      <c r="DZK36" s="68">
        <f t="shared" si="1331"/>
        <v>93</v>
      </c>
      <c r="DZL36" s="48">
        <v>0</v>
      </c>
      <c r="DZM36" s="49">
        <v>0</v>
      </c>
      <c r="DZN36" s="49"/>
      <c r="DZO36" s="49">
        <v>92</v>
      </c>
      <c r="DZP36" s="49">
        <v>0</v>
      </c>
      <c r="DZQ36" s="49">
        <v>0</v>
      </c>
      <c r="DZR36" s="64">
        <f t="shared" si="1332"/>
        <v>92</v>
      </c>
      <c r="DZS36" s="68">
        <f t="shared" si="1333"/>
        <v>15.333333333333334</v>
      </c>
      <c r="DZT36" s="48">
        <v>328</v>
      </c>
      <c r="DZU36" s="49">
        <v>0</v>
      </c>
      <c r="DZV36" s="49"/>
      <c r="DZW36" s="49">
        <v>0</v>
      </c>
      <c r="DZX36" s="49">
        <v>412</v>
      </c>
      <c r="DZY36" s="49">
        <v>0</v>
      </c>
      <c r="DZZ36" s="64">
        <f t="shared" si="1334"/>
        <v>740</v>
      </c>
      <c r="EAA36" s="68">
        <f t="shared" si="1335"/>
        <v>123.33333333333333</v>
      </c>
      <c r="EAB36" s="48"/>
      <c r="EAC36" s="49">
        <v>219</v>
      </c>
      <c r="EAD36" s="49">
        <v>0</v>
      </c>
      <c r="EAE36" s="49"/>
      <c r="EAF36" s="49">
        <v>0</v>
      </c>
      <c r="EAG36" s="49">
        <v>0</v>
      </c>
      <c r="EAH36" s="64">
        <f t="shared" si="1336"/>
        <v>219</v>
      </c>
      <c r="EAI36" s="68">
        <f t="shared" si="1337"/>
        <v>36.5</v>
      </c>
      <c r="EAJ36" s="48">
        <v>222</v>
      </c>
      <c r="EAK36" s="49">
        <v>0</v>
      </c>
      <c r="EAL36" s="49">
        <v>0</v>
      </c>
      <c r="EAM36" s="49">
        <v>0</v>
      </c>
      <c r="EAN36" s="49">
        <v>0</v>
      </c>
      <c r="EAO36" s="49">
        <v>222</v>
      </c>
      <c r="EAP36" s="64">
        <f t="shared" si="1338"/>
        <v>444</v>
      </c>
      <c r="EAQ36" s="68">
        <f t="shared" si="1339"/>
        <v>74</v>
      </c>
      <c r="EAR36" s="48">
        <v>0</v>
      </c>
      <c r="EAS36" s="49">
        <v>0</v>
      </c>
      <c r="EAT36" s="49">
        <v>0</v>
      </c>
      <c r="EAU36" s="49">
        <v>0</v>
      </c>
      <c r="EAV36" s="49">
        <v>0</v>
      </c>
      <c r="EAW36" s="49">
        <v>362</v>
      </c>
      <c r="EAX36" s="64">
        <f t="shared" si="1340"/>
        <v>362</v>
      </c>
      <c r="EAY36" s="68">
        <f t="shared" si="1341"/>
        <v>60.333333333333336</v>
      </c>
      <c r="EAZ36" s="48">
        <v>0</v>
      </c>
      <c r="EBA36" s="49"/>
      <c r="EBB36" s="49">
        <v>0</v>
      </c>
      <c r="EBC36" s="49">
        <v>0</v>
      </c>
      <c r="EBD36" s="49">
        <v>112</v>
      </c>
      <c r="EBE36" s="49">
        <v>0</v>
      </c>
      <c r="EBF36" s="64">
        <f t="shared" si="1342"/>
        <v>112</v>
      </c>
      <c r="EBG36" s="68">
        <f t="shared" si="1343"/>
        <v>18.666666666666668</v>
      </c>
      <c r="EBH36" s="48">
        <v>0</v>
      </c>
      <c r="EBI36" s="49">
        <v>0</v>
      </c>
      <c r="EBJ36" s="49">
        <v>0</v>
      </c>
      <c r="EBK36" s="49">
        <v>112</v>
      </c>
      <c r="EBL36" s="49">
        <v>0</v>
      </c>
      <c r="EBM36" s="49">
        <v>0</v>
      </c>
      <c r="EBN36" s="64">
        <f t="shared" si="1344"/>
        <v>112</v>
      </c>
      <c r="EBO36" s="68">
        <f t="shared" si="1345"/>
        <v>18.666666666666668</v>
      </c>
      <c r="EBP36" s="48">
        <v>223</v>
      </c>
      <c r="EBQ36" s="49">
        <v>225</v>
      </c>
      <c r="EBR36" s="49"/>
      <c r="EBS36" s="49">
        <v>0</v>
      </c>
      <c r="EBT36" s="49"/>
      <c r="EBU36" s="49"/>
      <c r="EBV36" s="64">
        <f t="shared" si="1346"/>
        <v>448</v>
      </c>
      <c r="EBW36" s="68">
        <f t="shared" si="1347"/>
        <v>74.666666666666671</v>
      </c>
      <c r="EBX36" s="48">
        <v>0</v>
      </c>
      <c r="EBY36" s="49">
        <v>229</v>
      </c>
      <c r="EBZ36" s="49">
        <v>0</v>
      </c>
      <c r="ECA36" s="49"/>
      <c r="ECB36" s="49">
        <v>439</v>
      </c>
      <c r="ECC36" s="49">
        <v>300</v>
      </c>
      <c r="ECD36" s="64">
        <f t="shared" si="1348"/>
        <v>968</v>
      </c>
      <c r="ECE36" s="68">
        <f t="shared" si="1349"/>
        <v>161.33333333333334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0</v>
      </c>
      <c r="ECK36" s="49">
        <v>220</v>
      </c>
      <c r="ECL36" s="64">
        <f t="shared" si="1350"/>
        <v>220</v>
      </c>
      <c r="ECM36" s="68">
        <f t="shared" si="1351"/>
        <v>36.666666666666664</v>
      </c>
      <c r="ECN36" s="48">
        <v>0</v>
      </c>
      <c r="ECO36" s="49">
        <v>329</v>
      </c>
      <c r="ECP36" s="49">
        <v>0</v>
      </c>
      <c r="ECQ36" s="49"/>
      <c r="ECR36" s="49">
        <v>0</v>
      </c>
      <c r="ECS36" s="49">
        <v>0</v>
      </c>
      <c r="ECT36" s="64">
        <f t="shared" si="1352"/>
        <v>329</v>
      </c>
      <c r="ECU36" s="68">
        <f t="shared" si="1353"/>
        <v>54.833333333333336</v>
      </c>
      <c r="ECV36" s="48">
        <v>330</v>
      </c>
      <c r="ECW36" s="49">
        <v>0</v>
      </c>
      <c r="ECX36" s="49">
        <v>0</v>
      </c>
      <c r="ECY36" s="49">
        <v>0</v>
      </c>
      <c r="ECZ36" s="49"/>
      <c r="EDA36" s="49"/>
      <c r="EDB36" s="64">
        <f t="shared" si="1354"/>
        <v>330</v>
      </c>
      <c r="EDC36" s="68">
        <f t="shared" si="1355"/>
        <v>55</v>
      </c>
      <c r="EDD36" s="48"/>
      <c r="EDE36" s="49">
        <v>223</v>
      </c>
      <c r="EDF36" s="49">
        <v>0</v>
      </c>
      <c r="EDG36" s="49">
        <v>0</v>
      </c>
      <c r="EDH36" s="49">
        <v>329</v>
      </c>
      <c r="EDI36" s="49"/>
      <c r="EDJ36" s="64">
        <f t="shared" si="1356"/>
        <v>552</v>
      </c>
      <c r="EDK36" s="68">
        <f t="shared" si="1357"/>
        <v>92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58"/>
        <v>0</v>
      </c>
      <c r="EDS36" s="68">
        <f t="shared" si="1359"/>
        <v>0</v>
      </c>
      <c r="EDT36" s="48">
        <v>219</v>
      </c>
      <c r="EDU36" s="49">
        <v>0</v>
      </c>
      <c r="EDV36" s="49">
        <v>0</v>
      </c>
      <c r="EDW36" s="49">
        <v>0</v>
      </c>
      <c r="EDX36" s="49">
        <v>219</v>
      </c>
      <c r="EDY36" s="49"/>
      <c r="EDZ36" s="64">
        <f t="shared" si="1360"/>
        <v>438</v>
      </c>
      <c r="EEA36" s="68">
        <f t="shared" si="1361"/>
        <v>73</v>
      </c>
      <c r="EEB36" s="48">
        <v>0</v>
      </c>
      <c r="EEC36" s="49">
        <v>0</v>
      </c>
      <c r="EED36" s="49">
        <v>0</v>
      </c>
      <c r="EEE36" s="49">
        <v>0</v>
      </c>
      <c r="EEF36" s="49">
        <v>442</v>
      </c>
      <c r="EEG36" s="49"/>
      <c r="EEH36" s="64">
        <f t="shared" si="1362"/>
        <v>442</v>
      </c>
      <c r="EEI36" s="68">
        <f t="shared" si="1363"/>
        <v>73.666666666666671</v>
      </c>
      <c r="EEJ36" s="48">
        <v>0</v>
      </c>
      <c r="EEK36" s="49">
        <v>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64"/>
        <v>0</v>
      </c>
      <c r="EEQ36" s="68">
        <f t="shared" si="1365"/>
        <v>0</v>
      </c>
      <c r="EER36" s="48">
        <v>0</v>
      </c>
      <c r="EES36" s="49">
        <v>0</v>
      </c>
      <c r="EET36" s="49">
        <v>220</v>
      </c>
      <c r="EEU36" s="49">
        <v>0</v>
      </c>
      <c r="EEV36" s="49">
        <v>0</v>
      </c>
      <c r="EEW36" s="49"/>
      <c r="EEX36" s="64">
        <f t="shared" si="1366"/>
        <v>220</v>
      </c>
      <c r="EEY36" s="68">
        <f t="shared" si="1367"/>
        <v>36.666666666666664</v>
      </c>
      <c r="EEZ36" s="48">
        <v>0</v>
      </c>
      <c r="EFA36" s="49"/>
      <c r="EFB36" s="49">
        <v>229</v>
      </c>
      <c r="EFC36" s="49">
        <v>0</v>
      </c>
      <c r="EFD36" s="49">
        <v>0</v>
      </c>
      <c r="EFE36" s="49">
        <v>0</v>
      </c>
      <c r="EFF36" s="64">
        <f t="shared" si="1368"/>
        <v>229</v>
      </c>
      <c r="EFG36" s="68">
        <f t="shared" si="1369"/>
        <v>38.166666666666664</v>
      </c>
      <c r="EFH36" s="48">
        <v>0</v>
      </c>
      <c r="EFI36" s="49">
        <v>0</v>
      </c>
      <c r="EFJ36" s="49">
        <v>0</v>
      </c>
      <c r="EFK36" s="49">
        <v>0</v>
      </c>
      <c r="EFL36" s="49">
        <v>344</v>
      </c>
      <c r="EFM36" s="49">
        <v>0</v>
      </c>
      <c r="EFN36" s="64">
        <f t="shared" si="1370"/>
        <v>344</v>
      </c>
      <c r="EFO36" s="68">
        <f t="shared" si="1371"/>
        <v>57.333333333333336</v>
      </c>
      <c r="EFP36" s="48">
        <v>0</v>
      </c>
      <c r="EFQ36" s="49">
        <v>229</v>
      </c>
      <c r="EFR36" s="49"/>
      <c r="EFS36" s="49">
        <v>0</v>
      </c>
      <c r="EFT36" s="49">
        <v>0</v>
      </c>
      <c r="EFU36" s="49">
        <v>0</v>
      </c>
      <c r="EFV36" s="64">
        <f t="shared" si="1372"/>
        <v>229</v>
      </c>
      <c r="EFW36" s="68">
        <f t="shared" si="1373"/>
        <v>38.166666666666664</v>
      </c>
      <c r="EFX36" s="48">
        <v>0</v>
      </c>
      <c r="EFY36" s="49">
        <v>220</v>
      </c>
      <c r="EFZ36" s="49"/>
      <c r="EGA36" s="49">
        <v>0</v>
      </c>
      <c r="EGB36" s="49">
        <v>0</v>
      </c>
      <c r="EGC36" s="49">
        <v>0</v>
      </c>
      <c r="EGD36" s="64">
        <f t="shared" si="1374"/>
        <v>220</v>
      </c>
      <c r="EGE36" s="68">
        <f t="shared" si="1375"/>
        <v>36.666666666666664</v>
      </c>
      <c r="EGF36" s="48">
        <v>341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76"/>
        <v>341</v>
      </c>
      <c r="EGM36" s="68">
        <f t="shared" si="1377"/>
        <v>56.833333333333336</v>
      </c>
      <c r="EGN36" s="48">
        <v>116</v>
      </c>
      <c r="EGO36" s="49">
        <v>0</v>
      </c>
      <c r="EGP36" s="49"/>
      <c r="EGQ36" s="49">
        <v>344</v>
      </c>
      <c r="EGR36" s="49">
        <v>0</v>
      </c>
      <c r="EGS36" s="49">
        <v>328</v>
      </c>
      <c r="EGT36" s="64">
        <f t="shared" si="1378"/>
        <v>788</v>
      </c>
      <c r="EGU36" s="68">
        <f t="shared" si="1379"/>
        <v>131.33333333333334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220</v>
      </c>
      <c r="EHB36" s="64">
        <f t="shared" si="1380"/>
        <v>220</v>
      </c>
      <c r="EHC36" s="68">
        <f t="shared" si="1381"/>
        <v>36.666666666666664</v>
      </c>
      <c r="EHD36" s="48">
        <v>0</v>
      </c>
      <c r="EHE36" s="49">
        <v>329</v>
      </c>
      <c r="EHF36" s="49"/>
      <c r="EHG36" s="49">
        <v>0</v>
      </c>
      <c r="EHH36" s="49">
        <v>0</v>
      </c>
      <c r="EHI36" s="49">
        <v>0</v>
      </c>
      <c r="EHJ36" s="64">
        <f t="shared" si="1382"/>
        <v>329</v>
      </c>
      <c r="EHK36" s="68">
        <f t="shared" si="1383"/>
        <v>54.833333333333336</v>
      </c>
      <c r="EHL36" s="48">
        <v>334</v>
      </c>
      <c r="EHM36" s="49">
        <v>0</v>
      </c>
      <c r="EHN36" s="49"/>
      <c r="EHO36" s="49">
        <v>0</v>
      </c>
      <c r="EHP36" s="49"/>
      <c r="EHQ36" s="49">
        <v>337</v>
      </c>
      <c r="EHR36" s="64">
        <f t="shared" si="1384"/>
        <v>671</v>
      </c>
      <c r="EHS36" s="68">
        <f t="shared" si="1385"/>
        <v>111.83333333333333</v>
      </c>
      <c r="EHT36" s="48">
        <v>0</v>
      </c>
      <c r="EHU36" s="49">
        <v>0</v>
      </c>
      <c r="EHV36" s="49"/>
      <c r="EHW36" s="49">
        <v>330</v>
      </c>
      <c r="EHX36" s="49">
        <v>0</v>
      </c>
      <c r="EHY36" s="49">
        <v>0</v>
      </c>
      <c r="EHZ36" s="64">
        <f t="shared" si="1386"/>
        <v>330</v>
      </c>
      <c r="EIA36" s="68">
        <f t="shared" si="1387"/>
        <v>55</v>
      </c>
      <c r="EIB36" s="48">
        <v>390</v>
      </c>
      <c r="EIC36" s="49">
        <v>0</v>
      </c>
      <c r="EID36" s="49">
        <v>0</v>
      </c>
      <c r="EIE36" s="49">
        <v>0</v>
      </c>
      <c r="EIF36" s="49">
        <v>219</v>
      </c>
      <c r="EIG36" s="49">
        <v>0</v>
      </c>
      <c r="EIH36" s="64">
        <f t="shared" si="1388"/>
        <v>609</v>
      </c>
      <c r="EII36" s="68">
        <f t="shared" si="1389"/>
        <v>101.5</v>
      </c>
      <c r="EIJ36" s="48">
        <v>0</v>
      </c>
      <c r="EIK36" s="49">
        <v>330</v>
      </c>
      <c r="EIL36" s="49">
        <v>0</v>
      </c>
      <c r="EIM36" s="49">
        <v>0</v>
      </c>
      <c r="EIN36" s="49">
        <v>110</v>
      </c>
      <c r="EIO36" s="49">
        <v>0</v>
      </c>
      <c r="EIP36" s="64">
        <f t="shared" si="1390"/>
        <v>440</v>
      </c>
      <c r="EIQ36" s="68">
        <f t="shared" si="1391"/>
        <v>73.333333333333329</v>
      </c>
      <c r="EIR36" s="48">
        <v>0</v>
      </c>
      <c r="EIS36" s="49">
        <v>402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392"/>
        <v>402</v>
      </c>
      <c r="EIY36" s="68">
        <f t="shared" si="1393"/>
        <v>67</v>
      </c>
      <c r="EIZ36" s="48">
        <v>110</v>
      </c>
      <c r="EJA36" s="49">
        <v>0</v>
      </c>
      <c r="EJB36" s="49">
        <v>330</v>
      </c>
      <c r="EJC36" s="49">
        <v>0</v>
      </c>
      <c r="EJD36" s="49">
        <v>0</v>
      </c>
      <c r="EJE36" s="49">
        <v>500</v>
      </c>
      <c r="EJF36" s="64">
        <f t="shared" si="1394"/>
        <v>940</v>
      </c>
      <c r="EJG36" s="68">
        <f t="shared" si="1395"/>
        <v>156.66666666666666</v>
      </c>
      <c r="EJH36" s="48">
        <v>0</v>
      </c>
      <c r="EJI36" s="49">
        <v>0</v>
      </c>
      <c r="EJJ36" s="49">
        <v>220</v>
      </c>
      <c r="EJK36" s="49">
        <v>0</v>
      </c>
      <c r="EJL36" s="49"/>
      <c r="EJM36" s="49"/>
      <c r="EJN36" s="64">
        <f t="shared" si="1396"/>
        <v>220</v>
      </c>
      <c r="EJO36" s="68">
        <f t="shared" si="1397"/>
        <v>36.666666666666664</v>
      </c>
      <c r="EJP36" s="48">
        <v>439</v>
      </c>
      <c r="EJQ36" s="49">
        <v>0</v>
      </c>
      <c r="EJR36" s="49">
        <v>0</v>
      </c>
      <c r="EJS36" s="49">
        <v>0</v>
      </c>
      <c r="EJT36" s="49">
        <v>440</v>
      </c>
      <c r="EJU36" s="49">
        <v>0</v>
      </c>
      <c r="EJV36" s="64">
        <f t="shared" si="1398"/>
        <v>879</v>
      </c>
      <c r="EJW36" s="68">
        <f t="shared" si="1399"/>
        <v>146.5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00"/>
        <v>0</v>
      </c>
      <c r="EKE36" s="68">
        <f t="shared" si="1401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02"/>
        <v>0</v>
      </c>
      <c r="EKM36" s="68">
        <f t="shared" si="1403"/>
        <v>0</v>
      </c>
      <c r="EKN36" s="48">
        <v>0</v>
      </c>
      <c r="EKO36" s="49">
        <v>221</v>
      </c>
      <c r="EKP36" s="49">
        <v>0</v>
      </c>
      <c r="EKQ36" s="49">
        <v>0</v>
      </c>
      <c r="EKR36" s="49">
        <v>218</v>
      </c>
      <c r="EKS36" s="49">
        <v>0</v>
      </c>
      <c r="EKT36" s="64">
        <f t="shared" si="1404"/>
        <v>439</v>
      </c>
      <c r="EKU36" s="184">
        <f t="shared" si="1405"/>
        <v>73.166666666666671</v>
      </c>
      <c r="EKV36" s="665"/>
      <c r="EKW36" s="195">
        <v>0</v>
      </c>
      <c r="EKX36" s="49">
        <v>0</v>
      </c>
      <c r="EKY36" s="49">
        <v>250</v>
      </c>
      <c r="EKZ36" s="49">
        <v>0</v>
      </c>
      <c r="ELA36" s="49">
        <v>0</v>
      </c>
      <c r="ELB36" s="49">
        <v>0</v>
      </c>
      <c r="ELC36" s="64">
        <f t="shared" si="1406"/>
        <v>250</v>
      </c>
      <c r="ELD36" s="211">
        <f t="shared" si="1407"/>
        <v>41.666666666666664</v>
      </c>
      <c r="ELE36" s="195">
        <v>701</v>
      </c>
      <c r="ELF36" s="49">
        <v>0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08"/>
        <v>701</v>
      </c>
      <c r="ELL36" s="211">
        <f t="shared" si="1409"/>
        <v>116.83333333333333</v>
      </c>
      <c r="ELM36" s="195">
        <v>647</v>
      </c>
      <c r="ELN36" s="49">
        <v>0</v>
      </c>
      <c r="ELO36" s="49">
        <v>0</v>
      </c>
      <c r="ELP36" s="49">
        <v>330</v>
      </c>
      <c r="ELQ36" s="49">
        <v>0</v>
      </c>
      <c r="ELR36" s="49">
        <v>0</v>
      </c>
      <c r="ELS36" s="64">
        <f t="shared" si="1410"/>
        <v>977</v>
      </c>
      <c r="ELT36" s="211">
        <f t="shared" si="1411"/>
        <v>162.83333333333334</v>
      </c>
      <c r="ELU36" s="195">
        <v>600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12"/>
        <v>600</v>
      </c>
      <c r="EMB36" s="211">
        <f t="shared" si="1413"/>
        <v>100</v>
      </c>
      <c r="EMC36" s="195">
        <v>555</v>
      </c>
      <c r="EMD36" s="49">
        <v>0</v>
      </c>
      <c r="EME36" s="49">
        <v>600</v>
      </c>
      <c r="EMF36" s="49">
        <v>0</v>
      </c>
      <c r="EMG36" s="49"/>
      <c r="EMH36" s="49">
        <v>100</v>
      </c>
      <c r="EMI36" s="64">
        <f t="shared" si="1414"/>
        <v>1255</v>
      </c>
      <c r="EMJ36" s="211">
        <f t="shared" si="1415"/>
        <v>209.16666666666666</v>
      </c>
      <c r="EMK36" s="195">
        <v>560</v>
      </c>
      <c r="EML36" s="49">
        <v>0</v>
      </c>
      <c r="EMM36" s="49">
        <v>0</v>
      </c>
      <c r="EMN36" s="49">
        <v>111</v>
      </c>
      <c r="EMO36" s="49">
        <v>0</v>
      </c>
      <c r="EMP36" s="49">
        <v>0</v>
      </c>
      <c r="EMQ36" s="64">
        <f t="shared" si="1416"/>
        <v>671</v>
      </c>
      <c r="EMR36" s="211">
        <f t="shared" si="1417"/>
        <v>111.83333333333333</v>
      </c>
      <c r="EMS36" s="195">
        <v>879</v>
      </c>
      <c r="EMT36" s="49">
        <v>0</v>
      </c>
      <c r="EMU36" s="49">
        <v>0</v>
      </c>
      <c r="EMV36" s="49">
        <v>0</v>
      </c>
      <c r="EMW36" s="49">
        <v>691</v>
      </c>
      <c r="EMX36" s="49">
        <v>0</v>
      </c>
      <c r="EMY36" s="64">
        <f t="shared" si="1418"/>
        <v>1570</v>
      </c>
      <c r="EMZ36" s="211">
        <f t="shared" si="1419"/>
        <v>261.66666666666669</v>
      </c>
      <c r="ENA36" s="195">
        <v>794</v>
      </c>
      <c r="ENB36" s="49">
        <v>0</v>
      </c>
      <c r="ENC36" s="49">
        <v>0</v>
      </c>
      <c r="END36" s="49">
        <v>0</v>
      </c>
      <c r="ENE36" s="49">
        <v>339</v>
      </c>
      <c r="ENF36" s="49">
        <v>0</v>
      </c>
      <c r="ENG36" s="64">
        <f t="shared" si="1420"/>
        <v>1133</v>
      </c>
      <c r="ENH36" s="211">
        <f t="shared" si="1421"/>
        <v>188.83333333333334</v>
      </c>
      <c r="ENI36" s="195">
        <v>0</v>
      </c>
      <c r="ENJ36" s="49"/>
      <c r="ENK36" s="49">
        <v>199</v>
      </c>
      <c r="ENL36" s="49">
        <v>0</v>
      </c>
      <c r="ENM36" s="49">
        <v>0</v>
      </c>
      <c r="ENN36" s="49">
        <v>0</v>
      </c>
      <c r="ENO36" s="64">
        <f t="shared" si="1422"/>
        <v>199</v>
      </c>
      <c r="ENP36" s="211">
        <f t="shared" si="1423"/>
        <v>33.166666666666664</v>
      </c>
      <c r="ENQ36" s="195">
        <v>110</v>
      </c>
      <c r="ENR36" s="49"/>
      <c r="ENS36" s="49">
        <v>0</v>
      </c>
      <c r="ENT36" s="49">
        <v>0</v>
      </c>
      <c r="ENU36" s="49">
        <v>0</v>
      </c>
      <c r="ENV36" s="49">
        <v>110</v>
      </c>
      <c r="ENW36" s="64">
        <f t="shared" si="1424"/>
        <v>220</v>
      </c>
      <c r="ENX36" s="211">
        <f t="shared" si="1425"/>
        <v>36.666666666666664</v>
      </c>
      <c r="ENY36" s="195">
        <v>0</v>
      </c>
      <c r="ENZ36" s="49"/>
      <c r="EOA36" s="49">
        <v>220</v>
      </c>
      <c r="EOB36" s="49">
        <v>0</v>
      </c>
      <c r="EOC36" s="49">
        <v>0</v>
      </c>
      <c r="EOD36" s="49">
        <v>0</v>
      </c>
      <c r="EOE36" s="64">
        <f t="shared" si="1426"/>
        <v>220</v>
      </c>
      <c r="EOF36" s="211">
        <f t="shared" si="1427"/>
        <v>36.666666666666664</v>
      </c>
      <c r="EOG36" s="1"/>
      <c r="EOH36" s="195"/>
      <c r="EOI36" s="49">
        <v>220</v>
      </c>
      <c r="EOJ36" s="49">
        <v>0</v>
      </c>
      <c r="EOK36" s="49">
        <v>0</v>
      </c>
      <c r="EOL36" s="49">
        <v>0</v>
      </c>
      <c r="EOM36" s="49">
        <v>331</v>
      </c>
      <c r="EON36" s="184">
        <f t="shared" si="1428"/>
        <v>551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0</v>
      </c>
      <c r="EOU36" s="64">
        <f t="shared" si="1429"/>
        <v>0</v>
      </c>
      <c r="EOV36" s="211">
        <f t="shared" si="1430"/>
        <v>0</v>
      </c>
      <c r="EOW36" s="195">
        <v>0</v>
      </c>
      <c r="EOX36" s="49">
        <v>321</v>
      </c>
      <c r="EOY36" s="49">
        <v>319</v>
      </c>
      <c r="EOZ36" s="49"/>
      <c r="EPA36" s="49">
        <v>0</v>
      </c>
      <c r="EPB36" s="49">
        <v>0</v>
      </c>
      <c r="EPC36" s="64">
        <f t="shared" si="1431"/>
        <v>640</v>
      </c>
      <c r="EPD36" s="211">
        <f t="shared" si="1432"/>
        <v>106.66666666666667</v>
      </c>
      <c r="EPE36" s="195">
        <v>0</v>
      </c>
      <c r="EPF36" s="49">
        <v>0</v>
      </c>
      <c r="EPG36" s="49">
        <v>0</v>
      </c>
      <c r="EPH36" s="49">
        <v>0</v>
      </c>
      <c r="EPI36" s="49">
        <v>0</v>
      </c>
      <c r="EPJ36" s="49">
        <v>0</v>
      </c>
      <c r="EPK36" s="64">
        <f t="shared" si="1433"/>
        <v>0</v>
      </c>
      <c r="EPL36" s="211">
        <f t="shared" si="1434"/>
        <v>0</v>
      </c>
      <c r="EPM36" s="195">
        <v>0</v>
      </c>
      <c r="EPN36" s="49">
        <v>0</v>
      </c>
      <c r="EPO36" s="49">
        <v>0</v>
      </c>
      <c r="EPP36" s="49">
        <v>0</v>
      </c>
      <c r="EPQ36" s="49">
        <v>242</v>
      </c>
      <c r="EPR36" s="49">
        <v>0</v>
      </c>
      <c r="EPS36" s="64">
        <f t="shared" si="1435"/>
        <v>242</v>
      </c>
      <c r="EPT36" s="211">
        <f t="shared" si="1436"/>
        <v>40.333333333333336</v>
      </c>
      <c r="EPU36" s="195">
        <v>0</v>
      </c>
      <c r="EPV36" s="49">
        <v>0</v>
      </c>
      <c r="EPW36" s="49">
        <v>0</v>
      </c>
      <c r="EPX36" s="49">
        <v>0</v>
      </c>
      <c r="EPY36" s="49">
        <f>SUMIF(SUMPK!$B:$B,$B:$B,SUMPK!$O:$O)</f>
        <v>0</v>
      </c>
      <c r="EPZ36" s="49">
        <v>0</v>
      </c>
      <c r="EQA36" s="64">
        <f t="shared" si="1437"/>
        <v>0</v>
      </c>
      <c r="EQB36" s="211">
        <f t="shared" si="1438"/>
        <v>0</v>
      </c>
      <c r="EQC36" s="195">
        <v>222</v>
      </c>
      <c r="EQD36" s="49">
        <v>0</v>
      </c>
      <c r="EQE36" s="49">
        <v>0</v>
      </c>
      <c r="EQF36" s="49">
        <v>0</v>
      </c>
      <c r="EQG36" s="49">
        <v>0</v>
      </c>
      <c r="EQH36" s="49"/>
      <c r="EQI36" s="64">
        <f t="shared" si="1439"/>
        <v>222</v>
      </c>
      <c r="EQJ36" s="211">
        <f t="shared" si="1440"/>
        <v>37</v>
      </c>
      <c r="EQK36" s="195">
        <v>0</v>
      </c>
      <c r="EQL36" s="49">
        <v>330</v>
      </c>
      <c r="EQM36" s="49">
        <v>0</v>
      </c>
      <c r="EQN36" s="49"/>
      <c r="EQO36" s="49">
        <v>0</v>
      </c>
      <c r="EQP36" s="49">
        <v>0</v>
      </c>
      <c r="EQQ36" s="64">
        <f t="shared" si="1441"/>
        <v>330</v>
      </c>
      <c r="EQR36" s="211">
        <f t="shared" si="1442"/>
        <v>55</v>
      </c>
      <c r="EQS36" s="195">
        <v>0</v>
      </c>
      <c r="EQT36" s="49">
        <v>109</v>
      </c>
      <c r="EQU36" s="49">
        <v>230</v>
      </c>
      <c r="EQV36" s="49">
        <v>0</v>
      </c>
      <c r="EQW36" s="49"/>
      <c r="EQX36" s="49">
        <v>0</v>
      </c>
      <c r="EQY36" s="64">
        <f t="shared" si="1443"/>
        <v>339</v>
      </c>
      <c r="EQZ36" s="211">
        <f t="shared" si="1444"/>
        <v>56.5</v>
      </c>
      <c r="ERA36" s="195">
        <v>0</v>
      </c>
      <c r="ERB36" s="49">
        <v>0</v>
      </c>
      <c r="ERC36" s="49">
        <v>0</v>
      </c>
      <c r="ERD36" s="49">
        <v>879</v>
      </c>
      <c r="ERE36" s="49">
        <v>0</v>
      </c>
      <c r="ERF36" s="49"/>
      <c r="ERG36" s="64">
        <f t="shared" si="1445"/>
        <v>879</v>
      </c>
      <c r="ERH36" s="211">
        <f t="shared" si="1446"/>
        <v>146.5</v>
      </c>
      <c r="ERI36" s="195"/>
      <c r="ERJ36" s="49">
        <v>0</v>
      </c>
      <c r="ERK36" s="49">
        <v>0</v>
      </c>
      <c r="ERL36" s="49">
        <v>227</v>
      </c>
      <c r="ERM36" s="49">
        <v>0</v>
      </c>
      <c r="ERN36" s="49">
        <v>0</v>
      </c>
      <c r="ERO36" s="64">
        <f t="shared" si="1447"/>
        <v>227</v>
      </c>
      <c r="ERP36" s="211">
        <f t="shared" si="1448"/>
        <v>37.833333333333336</v>
      </c>
      <c r="ERQ36" s="195"/>
      <c r="ERR36" s="49">
        <v>0</v>
      </c>
      <c r="ERS36" s="49"/>
      <c r="ERT36" s="49">
        <v>220</v>
      </c>
      <c r="ERU36" s="49">
        <v>0</v>
      </c>
      <c r="ERV36" s="49">
        <v>0</v>
      </c>
      <c r="ERW36" s="64">
        <f t="shared" si="1449"/>
        <v>220</v>
      </c>
      <c r="ERX36" s="211">
        <f t="shared" si="1450"/>
        <v>36.666666666666664</v>
      </c>
      <c r="ERY36" s="195">
        <v>0</v>
      </c>
      <c r="ERZ36" s="49">
        <v>0</v>
      </c>
      <c r="ESA36" s="49">
        <v>0</v>
      </c>
      <c r="ESB36" s="49">
        <v>0</v>
      </c>
      <c r="ESC36" s="49">
        <v>372</v>
      </c>
      <c r="ESD36" s="49">
        <v>0</v>
      </c>
      <c r="ESE36" s="64">
        <f t="shared" si="1451"/>
        <v>372</v>
      </c>
      <c r="ESF36" s="211">
        <f t="shared" si="1452"/>
        <v>62</v>
      </c>
      <c r="ESG36" s="195">
        <v>570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53"/>
        <v>570</v>
      </c>
      <c r="ESN36" s="211">
        <f t="shared" si="1454"/>
        <v>95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55"/>
        <v>0</v>
      </c>
      <c r="ESV36" s="211">
        <f t="shared" si="1456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57"/>
        <v>0</v>
      </c>
      <c r="ETD36" s="211">
        <f t="shared" si="1458"/>
        <v>0</v>
      </c>
      <c r="ETE36" s="195">
        <v>0</v>
      </c>
      <c r="ETF36" s="49">
        <v>0</v>
      </c>
      <c r="ETG36" s="49">
        <v>339</v>
      </c>
      <c r="ETH36" s="49">
        <v>0</v>
      </c>
      <c r="ETI36" s="49">
        <v>0</v>
      </c>
      <c r="ETJ36" s="49">
        <v>344</v>
      </c>
      <c r="ETK36" s="808">
        <f t="shared" si="1459"/>
        <v>683</v>
      </c>
      <c r="ETL36" s="211">
        <f t="shared" si="1460"/>
        <v>113.83333333333333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61"/>
        <v>0</v>
      </c>
      <c r="ETT36" s="211">
        <f t="shared" si="1462"/>
        <v>0</v>
      </c>
      <c r="ETU36" s="458">
        <v>0</v>
      </c>
      <c r="ETV36" s="83">
        <v>330</v>
      </c>
      <c r="ETW36" s="83">
        <v>584</v>
      </c>
      <c r="ETX36" s="83">
        <v>0</v>
      </c>
      <c r="ETY36" s="83">
        <v>0</v>
      </c>
      <c r="ETZ36" s="83">
        <v>0</v>
      </c>
      <c r="EUA36" s="808">
        <f t="shared" si="1463"/>
        <v>914</v>
      </c>
      <c r="EUB36" s="211">
        <f t="shared" si="1464"/>
        <v>152.33333333333334</v>
      </c>
      <c r="EUC36" s="458"/>
      <c r="EUD36" s="83">
        <v>0</v>
      </c>
      <c r="EUE36" s="83"/>
      <c r="EUF36" s="83">
        <v>0</v>
      </c>
      <c r="EUG36" s="83">
        <v>0</v>
      </c>
      <c r="EUH36" s="83">
        <v>344</v>
      </c>
      <c r="EUI36" s="808">
        <f t="shared" si="1465"/>
        <v>344</v>
      </c>
      <c r="EUJ36" s="211">
        <f t="shared" si="1466"/>
        <v>57.333333333333336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67"/>
        <v>0</v>
      </c>
      <c r="EUR36" s="211">
        <f t="shared" si="1468"/>
        <v>0</v>
      </c>
      <c r="EUS36" s="195">
        <v>0</v>
      </c>
      <c r="EUT36" s="49">
        <v>0</v>
      </c>
      <c r="EUU36" s="49">
        <v>6</v>
      </c>
      <c r="EUV36" s="49">
        <v>0</v>
      </c>
      <c r="EUW36" s="49">
        <v>0</v>
      </c>
      <c r="EUX36" s="49"/>
      <c r="EUY36" s="808">
        <f t="shared" si="1469"/>
        <v>6</v>
      </c>
      <c r="EUZ36" s="211">
        <f t="shared" si="1470"/>
        <v>1</v>
      </c>
      <c r="EVA36" s="195">
        <v>0</v>
      </c>
      <c r="EVB36" s="49">
        <v>0</v>
      </c>
      <c r="EVC36" s="49">
        <v>0</v>
      </c>
      <c r="EVD36" s="49"/>
      <c r="EVE36" s="49">
        <v>113</v>
      </c>
      <c r="EVF36" s="49"/>
      <c r="EVG36" s="808">
        <f t="shared" si="1471"/>
        <v>113</v>
      </c>
      <c r="EVH36" s="211">
        <f t="shared" si="1472"/>
        <v>18.833333333333332</v>
      </c>
      <c r="EVI36" s="195">
        <v>0</v>
      </c>
      <c r="EVJ36" s="49">
        <v>0</v>
      </c>
      <c r="EVK36" s="49">
        <f>SUMIF(SUMPK!$B:$B,$B:$B,SUMPK!$O:$O)</f>
        <v>0</v>
      </c>
      <c r="EVL36" s="49"/>
      <c r="EVM36" s="49"/>
      <c r="EVN36" s="49">
        <v>0</v>
      </c>
      <c r="EVO36" s="808">
        <f t="shared" si="1473"/>
        <v>0</v>
      </c>
      <c r="EVP36" s="211">
        <f t="shared" si="1474"/>
        <v>0</v>
      </c>
      <c r="EVQ36" s="195">
        <v>102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75"/>
        <v>102</v>
      </c>
      <c r="EVX36" s="211">
        <f t="shared" si="1476"/>
        <v>17</v>
      </c>
      <c r="EVY36" s="195">
        <v>0</v>
      </c>
      <c r="EVZ36" s="49">
        <v>0</v>
      </c>
      <c r="EWA36" s="49">
        <v>0</v>
      </c>
      <c r="EWB36" s="49">
        <v>0</v>
      </c>
      <c r="EWC36" s="49">
        <v>115</v>
      </c>
      <c r="EWD36" s="49"/>
      <c r="EWE36" s="808">
        <f t="shared" si="1477"/>
        <v>115</v>
      </c>
      <c r="EWF36" s="211">
        <f t="shared" si="1478"/>
        <v>19.166666666666668</v>
      </c>
      <c r="EWG36" s="195">
        <v>0</v>
      </c>
      <c r="EWH36" s="49">
        <v>0</v>
      </c>
      <c r="EWI36" s="49"/>
      <c r="EWJ36" s="49">
        <v>0</v>
      </c>
      <c r="EWK36" s="49">
        <v>101</v>
      </c>
      <c r="EWL36" s="49"/>
      <c r="EWM36" s="808">
        <f t="shared" si="1479"/>
        <v>101</v>
      </c>
      <c r="EWN36" s="211">
        <f t="shared" si="1480"/>
        <v>16.833333333333332</v>
      </c>
      <c r="EWO36" s="195">
        <v>0</v>
      </c>
      <c r="EWP36" s="49"/>
      <c r="EWQ36" s="49"/>
      <c r="EWR36" s="49">
        <v>0</v>
      </c>
      <c r="EWS36" s="49">
        <v>0</v>
      </c>
      <c r="EWT36" s="49">
        <v>0</v>
      </c>
      <c r="EWU36" s="808">
        <f t="shared" si="1481"/>
        <v>0</v>
      </c>
      <c r="EWV36" s="211">
        <f t="shared" si="1482"/>
        <v>0</v>
      </c>
      <c r="EWW36" s="195"/>
      <c r="EWX36" s="49"/>
      <c r="EWY36" s="49">
        <v>530</v>
      </c>
      <c r="EWZ36" s="49">
        <v>0</v>
      </c>
      <c r="EXA36" s="49">
        <v>0</v>
      </c>
      <c r="EXB36" s="49"/>
      <c r="EXC36" s="808">
        <f t="shared" si="1483"/>
        <v>530</v>
      </c>
      <c r="EXD36" s="211">
        <f t="shared" si="1484"/>
        <v>88.333333333333329</v>
      </c>
      <c r="EXE36" s="195"/>
      <c r="EXF36" s="49">
        <v>0</v>
      </c>
      <c r="EXG36" s="49">
        <v>0</v>
      </c>
      <c r="EXH36" s="49"/>
      <c r="EXI36" s="49">
        <v>0</v>
      </c>
      <c r="EXJ36" s="49">
        <v>0</v>
      </c>
      <c r="EXK36" s="808">
        <f t="shared" si="1485"/>
        <v>0</v>
      </c>
      <c r="EXL36" s="211">
        <f t="shared" si="1486"/>
        <v>0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87"/>
        <v>0</v>
      </c>
      <c r="EXT36" s="211">
        <f t="shared" si="1488"/>
        <v>0</v>
      </c>
      <c r="EXU36" s="195">
        <v>40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89"/>
        <v>40</v>
      </c>
      <c r="EYB36" s="211">
        <f t="shared" si="1490"/>
        <v>6.666666666666667</v>
      </c>
      <c r="EYC36" s="195">
        <v>199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491"/>
        <v>199</v>
      </c>
      <c r="EYJ36" s="211">
        <f t="shared" si="1492"/>
        <v>33.166666666666664</v>
      </c>
      <c r="EYK36" s="195">
        <v>0</v>
      </c>
      <c r="EYL36" s="49">
        <v>0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493"/>
        <v>0</v>
      </c>
      <c r="EYR36" s="211">
        <f t="shared" si="1494"/>
        <v>0</v>
      </c>
      <c r="EYS36" s="195">
        <v>110</v>
      </c>
      <c r="EYT36" s="49">
        <v>0</v>
      </c>
      <c r="EYU36" s="49">
        <v>0</v>
      </c>
      <c r="EYV36" s="49">
        <v>0</v>
      </c>
      <c r="EYW36" s="49"/>
      <c r="EYX36" s="49"/>
      <c r="EYY36" s="872">
        <f t="shared" si="1495"/>
        <v>110</v>
      </c>
      <c r="EYZ36" s="873">
        <f t="shared" si="1496"/>
        <v>18.333333333333332</v>
      </c>
      <c r="EZA36" s="195">
        <v>100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497"/>
        <v>100</v>
      </c>
      <c r="EZH36" s="873">
        <f t="shared" si="1498"/>
        <v>16.666666666666668</v>
      </c>
      <c r="EZI36" s="195">
        <v>0</v>
      </c>
      <c r="EZJ36" s="49">
        <v>520</v>
      </c>
      <c r="EZK36" s="49"/>
      <c r="EZL36" s="49"/>
      <c r="EZM36" s="49"/>
      <c r="EZN36" s="49"/>
      <c r="EZO36" s="872">
        <f t="shared" si="1499"/>
        <v>520</v>
      </c>
      <c r="EZP36" s="873">
        <f t="shared" si="1500"/>
        <v>86.666666666666671</v>
      </c>
    </row>
    <row r="37" spans="1:4072" s="8" customFormat="1" ht="13.5" thickBot="1" x14ac:dyDescent="0.25">
      <c r="A37" s="21">
        <v>8</v>
      </c>
      <c r="B37" s="297" t="s">
        <v>34</v>
      </c>
      <c r="C37" s="725" t="s">
        <v>321</v>
      </c>
      <c r="D37" s="297">
        <v>25</v>
      </c>
      <c r="E37" s="24"/>
      <c r="F37" s="24">
        <v>2440</v>
      </c>
      <c r="G37" s="24"/>
      <c r="H37" s="24"/>
      <c r="I37" s="24"/>
      <c r="J37" s="360">
        <f>SUMIF(SUMPK!$B:$B,$B:$B,SUMPK!$O:$O)</f>
        <v>683</v>
      </c>
      <c r="K37" s="24">
        <f t="shared" si="1220"/>
        <v>0</v>
      </c>
      <c r="L37" s="24">
        <f t="shared" si="1505"/>
        <v>1757</v>
      </c>
      <c r="M37" s="15">
        <f t="shared" si="1627"/>
        <v>1757</v>
      </c>
      <c r="N37" s="15">
        <v>477.5</v>
      </c>
      <c r="O37" s="276">
        <f t="shared" si="1223"/>
        <v>3.6795811518324606</v>
      </c>
      <c r="P37" s="712">
        <v>36.5</v>
      </c>
      <c r="Q37" s="276">
        <f t="shared" si="1506"/>
        <v>288.82191780821921</v>
      </c>
      <c r="R37" s="277">
        <f t="shared" si="1507"/>
        <v>15.384615384615385</v>
      </c>
      <c r="S37" s="222">
        <v>400</v>
      </c>
      <c r="T37" s="276">
        <f t="shared" si="1628"/>
        <v>114.205</v>
      </c>
      <c r="U37" s="278"/>
      <c r="V37" s="276">
        <f t="shared" si="1227"/>
        <v>114.205</v>
      </c>
      <c r="W37" s="279">
        <f t="shared" si="1228"/>
        <v>1</v>
      </c>
      <c r="X37" s="278"/>
      <c r="Y37" s="7"/>
      <c r="Z37" s="7"/>
      <c r="AA37" s="7"/>
      <c r="AB37" s="7"/>
      <c r="AC37" s="662">
        <v>18</v>
      </c>
      <c r="AD37" s="649"/>
      <c r="AE37" s="49"/>
      <c r="AF37" s="49"/>
      <c r="AG37" s="49"/>
      <c r="AH37" s="49"/>
      <c r="AI37" s="49"/>
      <c r="AJ37" s="42">
        <f t="shared" si="1892"/>
        <v>0</v>
      </c>
      <c r="AK37" s="43">
        <f t="shared" si="1893"/>
        <v>0</v>
      </c>
      <c r="AL37" s="48">
        <v>1000</v>
      </c>
      <c r="AM37" s="49"/>
      <c r="AN37" s="49"/>
      <c r="AO37" s="49"/>
      <c r="AP37" s="49"/>
      <c r="AQ37" s="49">
        <v>201</v>
      </c>
      <c r="AR37" s="42">
        <f t="shared" si="1894"/>
        <v>1201</v>
      </c>
      <c r="AS37" s="43">
        <f t="shared" si="1895"/>
        <v>200.16666666666666</v>
      </c>
      <c r="AT37" s="48"/>
      <c r="AU37" s="49">
        <v>411</v>
      </c>
      <c r="AV37" s="49"/>
      <c r="AW37" s="49"/>
      <c r="AX37" s="49"/>
      <c r="AY37" s="49"/>
      <c r="AZ37" s="42">
        <f t="shared" si="1896"/>
        <v>411</v>
      </c>
      <c r="BA37" s="43">
        <f t="shared" si="1897"/>
        <v>68.5</v>
      </c>
      <c r="BB37" s="48"/>
      <c r="BC37" s="49"/>
      <c r="BD37" s="49">
        <v>600</v>
      </c>
      <c r="BE37" s="49"/>
      <c r="BF37" s="49"/>
      <c r="BG37" s="49">
        <v>592</v>
      </c>
      <c r="BH37" s="42">
        <f t="shared" si="1898"/>
        <v>1192</v>
      </c>
      <c r="BI37" s="43">
        <f t="shared" si="1899"/>
        <v>198.66666666666666</v>
      </c>
      <c r="BJ37" s="48"/>
      <c r="BK37" s="49"/>
      <c r="BL37" s="49"/>
      <c r="BM37" s="49">
        <v>783</v>
      </c>
      <c r="BN37" s="49"/>
      <c r="BO37" s="49"/>
      <c r="BP37" s="42">
        <f t="shared" si="1900"/>
        <v>783</v>
      </c>
      <c r="BQ37" s="43">
        <f t="shared" si="1901"/>
        <v>130.5</v>
      </c>
      <c r="BR37" s="48"/>
      <c r="BS37" s="49"/>
      <c r="BT37" s="49">
        <v>600</v>
      </c>
      <c r="BU37" s="49"/>
      <c r="BV37" s="49"/>
      <c r="BW37" s="49"/>
      <c r="BX37" s="42">
        <f t="shared" si="1902"/>
        <v>600</v>
      </c>
      <c r="BY37" s="43">
        <f t="shared" si="1903"/>
        <v>100</v>
      </c>
      <c r="BZ37" s="48"/>
      <c r="CA37" s="49"/>
      <c r="CB37" s="49"/>
      <c r="CC37" s="49"/>
      <c r="CD37" s="49"/>
      <c r="CE37" s="49"/>
      <c r="CF37" s="42">
        <f t="shared" si="1904"/>
        <v>0</v>
      </c>
      <c r="CG37" s="43">
        <f t="shared" si="1905"/>
        <v>0</v>
      </c>
      <c r="CH37" s="48"/>
      <c r="CI37" s="49">
        <v>602</v>
      </c>
      <c r="CJ37" s="49"/>
      <c r="CK37" s="49"/>
      <c r="CL37" s="49"/>
      <c r="CM37" s="49">
        <v>156</v>
      </c>
      <c r="CN37" s="42">
        <f t="shared" si="1906"/>
        <v>758</v>
      </c>
      <c r="CO37" s="43">
        <f t="shared" si="1907"/>
        <v>126.33333333333333</v>
      </c>
      <c r="CP37" s="48">
        <v>635</v>
      </c>
      <c r="CQ37" s="49"/>
      <c r="CR37" s="49"/>
      <c r="CS37" s="49"/>
      <c r="CT37" s="49">
        <v>576</v>
      </c>
      <c r="CU37" s="49"/>
      <c r="CV37" s="42">
        <f t="shared" si="1908"/>
        <v>1211</v>
      </c>
      <c r="CW37" s="43">
        <f t="shared" si="1909"/>
        <v>201.83333333333334</v>
      </c>
      <c r="CX37" s="48"/>
      <c r="CY37" s="49"/>
      <c r="CZ37" s="49"/>
      <c r="DA37" s="49">
        <v>401</v>
      </c>
      <c r="DB37" s="49"/>
      <c r="DC37" s="49"/>
      <c r="DD37" s="42">
        <f t="shared" si="1910"/>
        <v>401</v>
      </c>
      <c r="DE37" s="43">
        <f t="shared" si="1911"/>
        <v>66.833333333333329</v>
      </c>
      <c r="DF37" s="48"/>
      <c r="DG37" s="49"/>
      <c r="DH37" s="49">
        <v>800</v>
      </c>
      <c r="DI37" s="49"/>
      <c r="DJ37" s="49"/>
      <c r="DK37" s="49"/>
      <c r="DL37" s="42">
        <f t="shared" si="1912"/>
        <v>800</v>
      </c>
      <c r="DM37" s="43">
        <f t="shared" si="1913"/>
        <v>133.33333333333334</v>
      </c>
      <c r="DN37" s="48">
        <v>210</v>
      </c>
      <c r="DO37" s="49"/>
      <c r="DP37" s="49"/>
      <c r="DQ37" s="49">
        <v>786</v>
      </c>
      <c r="DR37" s="49"/>
      <c r="DS37" s="49">
        <v>399</v>
      </c>
      <c r="DT37" s="42">
        <f t="shared" si="1914"/>
        <v>1395</v>
      </c>
      <c r="DU37" s="43">
        <f t="shared" si="1915"/>
        <v>232.5</v>
      </c>
      <c r="DV37" s="48"/>
      <c r="DW37" s="49"/>
      <c r="DX37" s="49"/>
      <c r="DY37" s="49"/>
      <c r="DZ37" s="49">
        <v>201</v>
      </c>
      <c r="EA37" s="49"/>
      <c r="EB37" s="42">
        <f t="shared" si="1916"/>
        <v>201</v>
      </c>
      <c r="EC37" s="43">
        <f t="shared" si="1917"/>
        <v>33.5</v>
      </c>
      <c r="ED37" s="48"/>
      <c r="EE37" s="49">
        <f>169+241</f>
        <v>410</v>
      </c>
      <c r="EF37" s="49"/>
      <c r="EG37" s="49"/>
      <c r="EH37" s="49"/>
      <c r="EI37" s="49">
        <v>793</v>
      </c>
      <c r="EJ37" s="42">
        <f t="shared" si="1918"/>
        <v>1203</v>
      </c>
      <c r="EK37" s="43">
        <f t="shared" si="1919"/>
        <v>200.5</v>
      </c>
      <c r="EL37" s="48"/>
      <c r="EM37" s="49"/>
      <c r="EN37" s="49">
        <v>394</v>
      </c>
      <c r="EO37" s="49"/>
      <c r="EP37" s="49"/>
      <c r="EQ37" s="49"/>
      <c r="ER37" s="42">
        <f t="shared" si="1920"/>
        <v>394</v>
      </c>
      <c r="ES37" s="43">
        <f t="shared" si="1921"/>
        <v>65.666666666666671</v>
      </c>
      <c r="ET37" s="48"/>
      <c r="EU37" s="49">
        <v>795</v>
      </c>
      <c r="EV37" s="49"/>
      <c r="EW37" s="49"/>
      <c r="EX37" s="49"/>
      <c r="EY37" s="49"/>
      <c r="EZ37" s="42">
        <f t="shared" si="1922"/>
        <v>795</v>
      </c>
      <c r="FA37" s="43">
        <f t="shared" si="1923"/>
        <v>132.5</v>
      </c>
      <c r="FB37" s="48"/>
      <c r="FC37" s="49">
        <v>656</v>
      </c>
      <c r="FD37" s="49"/>
      <c r="FE37" s="49"/>
      <c r="FF37" s="49">
        <v>569</v>
      </c>
      <c r="FG37" s="49"/>
      <c r="FH37" s="42">
        <f t="shared" si="1924"/>
        <v>1225</v>
      </c>
      <c r="FI37" s="43">
        <f t="shared" si="1925"/>
        <v>204.16666666666666</v>
      </c>
      <c r="FJ37" s="48"/>
      <c r="FK37" s="49"/>
      <c r="FL37" s="49"/>
      <c r="FM37" s="49">
        <v>400</v>
      </c>
      <c r="FN37" s="49"/>
      <c r="FO37" s="49"/>
      <c r="FP37" s="42">
        <f t="shared" si="1926"/>
        <v>400</v>
      </c>
      <c r="FQ37" s="43">
        <f t="shared" si="1927"/>
        <v>66.666666666666671</v>
      </c>
      <c r="FR37" s="48"/>
      <c r="FS37" s="49"/>
      <c r="FT37" s="49">
        <v>589</v>
      </c>
      <c r="FU37" s="49"/>
      <c r="FV37" s="49"/>
      <c r="FW37" s="49"/>
      <c r="FX37" s="42">
        <f t="shared" si="1928"/>
        <v>589</v>
      </c>
      <c r="FY37" s="43">
        <f t="shared" si="1929"/>
        <v>98.166666666666671</v>
      </c>
      <c r="FZ37" s="48"/>
      <c r="GA37" s="49">
        <v>400</v>
      </c>
      <c r="GB37" s="49"/>
      <c r="GC37" s="49"/>
      <c r="GD37" s="49"/>
      <c r="GE37" s="49">
        <v>802</v>
      </c>
      <c r="GF37" s="42">
        <f t="shared" si="1930"/>
        <v>1202</v>
      </c>
      <c r="GG37" s="43">
        <f t="shared" si="1931"/>
        <v>200.33333333333334</v>
      </c>
      <c r="GH37" s="48"/>
      <c r="GI37" s="49"/>
      <c r="GJ37" s="49"/>
      <c r="GK37" s="49">
        <v>198</v>
      </c>
      <c r="GL37" s="49"/>
      <c r="GM37" s="49">
        <v>611</v>
      </c>
      <c r="GN37" s="42">
        <f t="shared" si="1932"/>
        <v>809</v>
      </c>
      <c r="GO37" s="43">
        <f t="shared" si="1933"/>
        <v>134.83333333333334</v>
      </c>
      <c r="GP37" s="48"/>
      <c r="GQ37" s="49"/>
      <c r="GR37" s="49"/>
      <c r="GS37" s="49"/>
      <c r="GT37" s="49"/>
      <c r="GU37" s="49">
        <v>790</v>
      </c>
      <c r="GV37" s="42">
        <f t="shared" si="1934"/>
        <v>790</v>
      </c>
      <c r="GW37" s="43">
        <f t="shared" si="1935"/>
        <v>131.66666666666666</v>
      </c>
      <c r="GX37" s="48"/>
      <c r="GY37" s="49"/>
      <c r="GZ37" s="49"/>
      <c r="HA37" s="49"/>
      <c r="HB37" s="49"/>
      <c r="HC37" s="49"/>
      <c r="HD37" s="42">
        <f t="shared" si="1936"/>
        <v>0</v>
      </c>
      <c r="HE37" s="43">
        <f t="shared" si="1937"/>
        <v>0</v>
      </c>
      <c r="HF37" s="48"/>
      <c r="HG37" s="49"/>
      <c r="HH37" s="49"/>
      <c r="HI37" s="49"/>
      <c r="HJ37" s="49"/>
      <c r="HK37" s="49">
        <v>780</v>
      </c>
      <c r="HL37" s="42">
        <f t="shared" si="1938"/>
        <v>780</v>
      </c>
      <c r="HM37" s="43">
        <f t="shared" si="1939"/>
        <v>130</v>
      </c>
      <c r="HN37" s="82"/>
      <c r="HO37" s="83"/>
      <c r="HP37" s="83">
        <v>302</v>
      </c>
      <c r="HQ37" s="83"/>
      <c r="HR37" s="83"/>
      <c r="HS37" s="83"/>
      <c r="HT37" s="42">
        <f t="shared" si="1940"/>
        <v>302</v>
      </c>
      <c r="HU37" s="43">
        <f t="shared" si="1941"/>
        <v>50.333333333333336</v>
      </c>
      <c r="HV37" s="48">
        <v>200</v>
      </c>
      <c r="HW37" s="49"/>
      <c r="HX37" s="49"/>
      <c r="HY37" s="49"/>
      <c r="HZ37" s="49"/>
      <c r="IA37" s="49">
        <v>1011</v>
      </c>
      <c r="IB37" s="42">
        <f t="shared" si="1942"/>
        <v>1211</v>
      </c>
      <c r="IC37" s="43">
        <f t="shared" si="1943"/>
        <v>201.83333333333334</v>
      </c>
      <c r="ID37" s="48"/>
      <c r="IE37" s="49"/>
      <c r="IF37" s="49"/>
      <c r="IG37" s="49"/>
      <c r="IH37" s="49"/>
      <c r="II37" s="49">
        <v>193</v>
      </c>
      <c r="IJ37" s="42">
        <f t="shared" si="1944"/>
        <v>193</v>
      </c>
      <c r="IK37" s="43">
        <f t="shared" si="1945"/>
        <v>32.166666666666664</v>
      </c>
      <c r="IL37" s="48"/>
      <c r="IM37" s="49"/>
      <c r="IN37" s="49"/>
      <c r="IO37" s="49"/>
      <c r="IP37" s="49"/>
      <c r="IQ37" s="49"/>
      <c r="IR37" s="67">
        <f t="shared" si="1946"/>
        <v>0</v>
      </c>
      <c r="IS37" s="68">
        <f t="shared" si="1947"/>
        <v>0</v>
      </c>
      <c r="IT37" s="48">
        <v>195</v>
      </c>
      <c r="IU37" s="49"/>
      <c r="IV37" s="49"/>
      <c r="IW37" s="49"/>
      <c r="IX37" s="49"/>
      <c r="IY37" s="49"/>
      <c r="IZ37" s="67">
        <f t="shared" si="1948"/>
        <v>195</v>
      </c>
      <c r="JA37" s="68">
        <f t="shared" si="1949"/>
        <v>32.5</v>
      </c>
      <c r="JB37" s="48"/>
      <c r="JC37" s="49"/>
      <c r="JD37" s="49"/>
      <c r="JE37" s="49">
        <v>405</v>
      </c>
      <c r="JF37" s="49"/>
      <c r="JG37" s="49"/>
      <c r="JH37" s="67">
        <f t="shared" si="1950"/>
        <v>405</v>
      </c>
      <c r="JI37" s="68">
        <f t="shared" si="1951"/>
        <v>67.5</v>
      </c>
      <c r="JJ37" s="48"/>
      <c r="JK37" s="49">
        <v>405</v>
      </c>
      <c r="JL37" s="49"/>
      <c r="JM37" s="49"/>
      <c r="JN37" s="49"/>
      <c r="JO37" s="49"/>
      <c r="JP37" s="42">
        <f t="shared" si="1952"/>
        <v>405</v>
      </c>
      <c r="JQ37" s="43">
        <f t="shared" si="1953"/>
        <v>67.5</v>
      </c>
      <c r="JR37" s="48">
        <v>210</v>
      </c>
      <c r="JS37" s="49"/>
      <c r="JT37" s="49"/>
      <c r="JU37" s="49">
        <v>604</v>
      </c>
      <c r="JV37" s="49"/>
      <c r="JW37" s="49"/>
      <c r="JX37" s="42">
        <f t="shared" si="1954"/>
        <v>814</v>
      </c>
      <c r="JY37" s="43">
        <f t="shared" si="1955"/>
        <v>135.66666666666666</v>
      </c>
      <c r="JZ37" s="48"/>
      <c r="KA37" s="49">
        <v>808</v>
      </c>
      <c r="KB37" s="49"/>
      <c r="KC37" s="49"/>
      <c r="KD37" s="49"/>
      <c r="KE37" s="49">
        <v>213</v>
      </c>
      <c r="KF37" s="42">
        <f t="shared" si="1956"/>
        <v>1021</v>
      </c>
      <c r="KG37" s="43">
        <f t="shared" si="1957"/>
        <v>170.16666666666666</v>
      </c>
      <c r="KH37" s="48"/>
      <c r="KI37" s="49">
        <v>202</v>
      </c>
      <c r="KJ37" s="49">
        <v>598</v>
      </c>
      <c r="KK37" s="49"/>
      <c r="KL37" s="49"/>
      <c r="KM37" s="49"/>
      <c r="KN37" s="67">
        <f t="shared" si="1958"/>
        <v>800</v>
      </c>
      <c r="KO37" s="68">
        <f t="shared" si="1959"/>
        <v>133.33333333333334</v>
      </c>
      <c r="KP37" s="48"/>
      <c r="KQ37" s="49">
        <v>458</v>
      </c>
      <c r="KR37" s="49"/>
      <c r="KS37" s="49"/>
      <c r="KT37" s="49">
        <v>307</v>
      </c>
      <c r="KU37" s="49"/>
      <c r="KV37" s="67">
        <f t="shared" si="1960"/>
        <v>765</v>
      </c>
      <c r="KW37" s="68">
        <f t="shared" si="1961"/>
        <v>127.5</v>
      </c>
      <c r="KX37" s="48"/>
      <c r="KY37" s="49"/>
      <c r="KZ37" s="49"/>
      <c r="LA37" s="49">
        <v>400</v>
      </c>
      <c r="LB37" s="49"/>
      <c r="LC37" s="49"/>
      <c r="LD37" s="67">
        <f t="shared" si="1962"/>
        <v>400</v>
      </c>
      <c r="LE37" s="68">
        <f t="shared" si="1963"/>
        <v>66.666666666666671</v>
      </c>
      <c r="LF37" s="48">
        <v>299</v>
      </c>
      <c r="LG37" s="49"/>
      <c r="LH37" s="49"/>
      <c r="LI37" s="49"/>
      <c r="LJ37" s="49"/>
      <c r="LK37" s="49">
        <f>287+113</f>
        <v>400</v>
      </c>
      <c r="LL37" s="67">
        <f t="shared" si="1964"/>
        <v>699</v>
      </c>
      <c r="LM37" s="68">
        <f t="shared" si="1965"/>
        <v>116.5</v>
      </c>
      <c r="LN37" s="48"/>
      <c r="LO37" s="49"/>
      <c r="LP37" s="49"/>
      <c r="LQ37" s="49"/>
      <c r="LR37" s="49"/>
      <c r="LS37" s="49">
        <v>405</v>
      </c>
      <c r="LT37" s="67">
        <f t="shared" si="1966"/>
        <v>405</v>
      </c>
      <c r="LU37" s="68">
        <f t="shared" si="1967"/>
        <v>67.5</v>
      </c>
      <c r="LV37" s="48">
        <v>399</v>
      </c>
      <c r="LW37" s="49"/>
      <c r="LX37" s="49">
        <v>301</v>
      </c>
      <c r="LY37" s="49"/>
      <c r="LZ37" s="49"/>
      <c r="MA37" s="49"/>
      <c r="MB37" s="67">
        <f t="shared" si="1968"/>
        <v>700</v>
      </c>
      <c r="MC37" s="68">
        <f t="shared" si="1969"/>
        <v>116.66666666666667</v>
      </c>
      <c r="MD37" s="48"/>
      <c r="ME37" s="49"/>
      <c r="MF37" s="49"/>
      <c r="MG37" s="49"/>
      <c r="MH37" s="49"/>
      <c r="MI37" s="49">
        <v>299</v>
      </c>
      <c r="MJ37" s="67">
        <f t="shared" si="1970"/>
        <v>299</v>
      </c>
      <c r="MK37" s="68">
        <f t="shared" si="1971"/>
        <v>49.833333333333336</v>
      </c>
      <c r="ML37" s="48"/>
      <c r="MM37" s="49"/>
      <c r="MN37" s="49"/>
      <c r="MO37" s="49"/>
      <c r="MP37" s="49">
        <v>400</v>
      </c>
      <c r="MQ37" s="49"/>
      <c r="MR37" s="67">
        <f t="shared" si="1972"/>
        <v>400</v>
      </c>
      <c r="MS37" s="68">
        <f t="shared" si="1973"/>
        <v>66.666666666666671</v>
      </c>
      <c r="MT37" s="48"/>
      <c r="MU37" s="49"/>
      <c r="MV37" s="49"/>
      <c r="MW37" s="49"/>
      <c r="MX37" s="49"/>
      <c r="MY37" s="49"/>
      <c r="MZ37" s="67">
        <f t="shared" si="1974"/>
        <v>0</v>
      </c>
      <c r="NA37" s="68">
        <f t="shared" si="1975"/>
        <v>0</v>
      </c>
      <c r="NB37" s="48"/>
      <c r="NC37" s="49"/>
      <c r="ND37" s="49"/>
      <c r="NE37" s="49">
        <v>400</v>
      </c>
      <c r="NF37" s="49"/>
      <c r="NG37" s="49">
        <v>861</v>
      </c>
      <c r="NH37" s="67">
        <f t="shared" si="1976"/>
        <v>1261</v>
      </c>
      <c r="NI37" s="68">
        <f t="shared" si="1977"/>
        <v>210.16666666666666</v>
      </c>
      <c r="NJ37" s="48">
        <v>200</v>
      </c>
      <c r="NK37" s="49"/>
      <c r="NL37" s="49"/>
      <c r="NM37" s="49"/>
      <c r="NN37" s="49"/>
      <c r="NO37" s="49"/>
      <c r="NP37" s="67">
        <f t="shared" si="1978"/>
        <v>200</v>
      </c>
      <c r="NQ37" s="68">
        <f t="shared" si="1979"/>
        <v>33.333333333333336</v>
      </c>
      <c r="NR37" s="48"/>
      <c r="NS37" s="49"/>
      <c r="NT37" s="49"/>
      <c r="NU37" s="49"/>
      <c r="NV37" s="49">
        <v>299</v>
      </c>
      <c r="NW37" s="49"/>
      <c r="NX37" s="67">
        <f t="shared" si="1980"/>
        <v>299</v>
      </c>
      <c r="NY37" s="68">
        <f t="shared" si="1981"/>
        <v>49.833333333333336</v>
      </c>
      <c r="NZ37" s="48"/>
      <c r="OA37" s="49">
        <v>605</v>
      </c>
      <c r="OB37" s="49">
        <v>605</v>
      </c>
      <c r="OC37" s="49"/>
      <c r="OD37" s="49">
        <v>398</v>
      </c>
      <c r="OE37" s="49"/>
      <c r="OF37" s="67">
        <f t="shared" si="1982"/>
        <v>1608</v>
      </c>
      <c r="OG37" s="68">
        <f t="shared" si="1983"/>
        <v>268</v>
      </c>
      <c r="OH37" s="48"/>
      <c r="OI37" s="49"/>
      <c r="OJ37" s="49">
        <v>400</v>
      </c>
      <c r="OK37" s="49"/>
      <c r="OL37" s="49"/>
      <c r="OM37" s="49">
        <v>386</v>
      </c>
      <c r="ON37" s="67">
        <f t="shared" si="1984"/>
        <v>786</v>
      </c>
      <c r="OO37" s="68">
        <f t="shared" si="1985"/>
        <v>131</v>
      </c>
      <c r="OP37" s="48"/>
      <c r="OQ37" s="49"/>
      <c r="OR37" s="49"/>
      <c r="OS37" s="49"/>
      <c r="OT37" s="49"/>
      <c r="OU37" s="49"/>
      <c r="OV37" s="67">
        <f t="shared" si="1986"/>
        <v>0</v>
      </c>
      <c r="OW37" s="68">
        <f t="shared" si="1987"/>
        <v>0</v>
      </c>
      <c r="OX37" s="48"/>
      <c r="OY37" s="49">
        <v>581</v>
      </c>
      <c r="OZ37" s="49"/>
      <c r="PA37" s="49"/>
      <c r="PB37" s="49"/>
      <c r="PC37" s="49">
        <v>399</v>
      </c>
      <c r="PD37" s="67">
        <f t="shared" si="1988"/>
        <v>980</v>
      </c>
      <c r="PE37" s="68">
        <f t="shared" si="1989"/>
        <v>163.33333333333334</v>
      </c>
      <c r="PF37" s="48"/>
      <c r="PG37" s="49"/>
      <c r="PH37" s="49">
        <v>405</v>
      </c>
      <c r="PI37" s="49"/>
      <c r="PJ37" s="49"/>
      <c r="PK37" s="49"/>
      <c r="PL37" s="67">
        <f t="shared" si="1990"/>
        <v>405</v>
      </c>
      <c r="PM37" s="68">
        <f t="shared" si="1991"/>
        <v>67.5</v>
      </c>
      <c r="PN37" s="48"/>
      <c r="PO37" s="49"/>
      <c r="PP37" s="49"/>
      <c r="PQ37" s="49"/>
      <c r="PR37" s="49"/>
      <c r="PS37" s="49"/>
      <c r="PT37" s="67">
        <f t="shared" si="1992"/>
        <v>0</v>
      </c>
      <c r="PU37" s="68">
        <f t="shared" si="1993"/>
        <v>0</v>
      </c>
      <c r="PV37" s="106"/>
      <c r="PW37" s="107">
        <v>590</v>
      </c>
      <c r="PX37" s="107"/>
      <c r="PY37" s="107"/>
      <c r="PZ37" s="107"/>
      <c r="QA37" s="107"/>
      <c r="QB37" s="104">
        <f t="shared" si="1994"/>
        <v>590</v>
      </c>
      <c r="QC37" s="105">
        <f t="shared" si="1995"/>
        <v>98.333333333333329</v>
      </c>
      <c r="QD37" s="106">
        <v>605</v>
      </c>
      <c r="QE37" s="107"/>
      <c r="QF37" s="107"/>
      <c r="QG37" s="107"/>
      <c r="QH37" s="107"/>
      <c r="QI37" s="107"/>
      <c r="QJ37" s="104">
        <f t="shared" si="1996"/>
        <v>605</v>
      </c>
      <c r="QK37" s="105">
        <f t="shared" si="1997"/>
        <v>100.83333333333333</v>
      </c>
      <c r="QL37" s="106">
        <v>403</v>
      </c>
      <c r="QM37" s="107"/>
      <c r="QN37" s="107"/>
      <c r="QO37" s="107"/>
      <c r="QP37" s="107"/>
      <c r="QQ37" s="107"/>
      <c r="QR37" s="104">
        <f t="shared" si="1998"/>
        <v>403</v>
      </c>
      <c r="QS37" s="105">
        <f t="shared" si="1999"/>
        <v>67.166666666666671</v>
      </c>
      <c r="QT37" s="106">
        <v>400</v>
      </c>
      <c r="QU37" s="107"/>
      <c r="QV37" s="107"/>
      <c r="QW37" s="107"/>
      <c r="QX37" s="107"/>
      <c r="QY37" s="107"/>
      <c r="QZ37" s="104">
        <f t="shared" si="2000"/>
        <v>400</v>
      </c>
      <c r="RA37" s="105">
        <f t="shared" si="2001"/>
        <v>66.666666666666671</v>
      </c>
      <c r="RB37" s="106">
        <v>394</v>
      </c>
      <c r="RC37" s="107"/>
      <c r="RD37" s="107"/>
      <c r="RE37" s="107">
        <v>806</v>
      </c>
      <c r="RF37" s="107"/>
      <c r="RG37" s="107"/>
      <c r="RH37" s="104">
        <f t="shared" si="2002"/>
        <v>1200</v>
      </c>
      <c r="RI37" s="105">
        <f t="shared" si="2003"/>
        <v>200</v>
      </c>
      <c r="RJ37" s="106"/>
      <c r="RK37" s="107"/>
      <c r="RL37" s="107"/>
      <c r="RM37" s="107"/>
      <c r="RN37" s="107"/>
      <c r="RO37" s="107"/>
      <c r="RP37" s="104">
        <f t="shared" si="2004"/>
        <v>0</v>
      </c>
      <c r="RQ37" s="105">
        <f t="shared" si="2005"/>
        <v>0</v>
      </c>
      <c r="RR37" s="106"/>
      <c r="RS37" s="107">
        <v>597</v>
      </c>
      <c r="RT37" s="107"/>
      <c r="RU37" s="107"/>
      <c r="RV37" s="107"/>
      <c r="RW37" s="107"/>
      <c r="RX37" s="104">
        <f t="shared" si="2006"/>
        <v>597</v>
      </c>
      <c r="RY37" s="105">
        <f t="shared" si="2007"/>
        <v>99.5</v>
      </c>
      <c r="RZ37" s="106"/>
      <c r="SA37" s="107">
        <v>101</v>
      </c>
      <c r="SB37" s="107"/>
      <c r="SC37" s="107"/>
      <c r="SD37" s="107"/>
      <c r="SE37" s="107">
        <v>206</v>
      </c>
      <c r="SF37" s="104">
        <f t="shared" si="2008"/>
        <v>307</v>
      </c>
      <c r="SG37" s="105">
        <f t="shared" si="2009"/>
        <v>51.166666666666664</v>
      </c>
      <c r="SH37" s="106"/>
      <c r="SI37" s="107"/>
      <c r="SJ37" s="107"/>
      <c r="SK37" s="107">
        <v>677</v>
      </c>
      <c r="SL37" s="107"/>
      <c r="SM37" s="107"/>
      <c r="SN37" s="104">
        <f t="shared" si="2010"/>
        <v>677</v>
      </c>
      <c r="SO37" s="105">
        <f t="shared" si="2011"/>
        <v>112.83333333333333</v>
      </c>
      <c r="SP37" s="106">
        <v>299</v>
      </c>
      <c r="SQ37" s="107"/>
      <c r="SR37" s="107"/>
      <c r="SS37" s="107"/>
      <c r="ST37" s="107"/>
      <c r="SU37" s="107"/>
      <c r="SV37" s="104">
        <f t="shared" si="2012"/>
        <v>299</v>
      </c>
      <c r="SW37" s="105">
        <f t="shared" si="2013"/>
        <v>49.833333333333336</v>
      </c>
      <c r="SX37" s="106"/>
      <c r="SY37" s="107"/>
      <c r="SZ37" s="107">
        <v>590</v>
      </c>
      <c r="TA37" s="107"/>
      <c r="TB37" s="107"/>
      <c r="TC37" s="107">
        <v>199</v>
      </c>
      <c r="TD37" s="104">
        <f t="shared" si="2014"/>
        <v>789</v>
      </c>
      <c r="TE37" s="105">
        <f t="shared" si="2015"/>
        <v>131.5</v>
      </c>
      <c r="TF37" s="106"/>
      <c r="TG37" s="107"/>
      <c r="TH37" s="107"/>
      <c r="TI37" s="107"/>
      <c r="TJ37" s="107">
        <v>212</v>
      </c>
      <c r="TK37" s="107"/>
      <c r="TL37" s="104">
        <f t="shared" si="2016"/>
        <v>212</v>
      </c>
      <c r="TM37" s="105">
        <f t="shared" si="2017"/>
        <v>35.333333333333336</v>
      </c>
      <c r="TN37" s="130"/>
      <c r="TO37" s="107">
        <v>300</v>
      </c>
      <c r="TP37" s="107"/>
      <c r="TQ37" s="107">
        <v>3</v>
      </c>
      <c r="TR37" s="107"/>
      <c r="TS37" s="107"/>
      <c r="TT37" s="104">
        <f t="shared" si="2018"/>
        <v>303</v>
      </c>
      <c r="TU37" s="105">
        <f t="shared" si="2019"/>
        <v>50.5</v>
      </c>
      <c r="TV37" s="106"/>
      <c r="TW37" s="107">
        <v>1000</v>
      </c>
      <c r="TX37" s="107"/>
      <c r="TY37" s="107"/>
      <c r="TZ37" s="107"/>
      <c r="UA37" s="107"/>
      <c r="UB37" s="104">
        <f t="shared" si="2020"/>
        <v>1000</v>
      </c>
      <c r="UC37" s="105">
        <f t="shared" si="2021"/>
        <v>166.66666666666666</v>
      </c>
      <c r="UD37" s="106"/>
      <c r="UE37" s="107"/>
      <c r="UF37" s="107">
        <v>400</v>
      </c>
      <c r="UG37" s="107"/>
      <c r="UH37" s="107"/>
      <c r="UI37" s="107"/>
      <c r="UJ37" s="104">
        <f t="shared" si="2022"/>
        <v>400</v>
      </c>
      <c r="UK37" s="105">
        <f t="shared" si="2023"/>
        <v>66.666666666666671</v>
      </c>
      <c r="UL37" s="106">
        <v>399</v>
      </c>
      <c r="UM37" s="107"/>
      <c r="UN37" s="107"/>
      <c r="UO37" s="107"/>
      <c r="UP37" s="107"/>
      <c r="UQ37" s="107"/>
      <c r="UR37" s="107"/>
      <c r="US37" s="104">
        <f t="shared" si="1579"/>
        <v>399</v>
      </c>
      <c r="UT37" s="105">
        <f t="shared" si="2024"/>
        <v>66.5</v>
      </c>
      <c r="UU37" s="106"/>
      <c r="UV37" s="107">
        <v>200</v>
      </c>
      <c r="UW37" s="107"/>
      <c r="UX37" s="107"/>
      <c r="UY37" s="107">
        <v>403</v>
      </c>
      <c r="UZ37" s="107"/>
      <c r="VA37" s="104">
        <f t="shared" si="2025"/>
        <v>603</v>
      </c>
      <c r="VB37" s="105">
        <f t="shared" si="2026"/>
        <v>100.5</v>
      </c>
      <c r="VC37" s="106"/>
      <c r="VD37" s="107"/>
      <c r="VE37" s="107"/>
      <c r="VF37" s="107"/>
      <c r="VG37" s="107">
        <v>386</v>
      </c>
      <c r="VH37" s="107"/>
      <c r="VI37" s="104">
        <f t="shared" si="2027"/>
        <v>386</v>
      </c>
      <c r="VJ37" s="105">
        <f t="shared" si="2028"/>
        <v>64.333333333333329</v>
      </c>
      <c r="VK37" s="48"/>
      <c r="VL37" s="49"/>
      <c r="VM37" s="49"/>
      <c r="VN37" s="49"/>
      <c r="VO37" s="49">
        <v>406</v>
      </c>
      <c r="VP37" s="49"/>
      <c r="VQ37" s="67">
        <f t="shared" si="2029"/>
        <v>406</v>
      </c>
      <c r="VR37" s="68">
        <f t="shared" si="2030"/>
        <v>67.666666666666671</v>
      </c>
      <c r="VS37" s="106">
        <v>389</v>
      </c>
      <c r="VT37" s="107"/>
      <c r="VU37" s="107"/>
      <c r="VV37" s="107"/>
      <c r="VW37" s="107"/>
      <c r="VX37" s="107"/>
      <c r="VY37" s="104">
        <f t="shared" si="2031"/>
        <v>389</v>
      </c>
      <c r="VZ37" s="105">
        <f t="shared" si="2032"/>
        <v>64.833333333333329</v>
      </c>
      <c r="WA37" s="63">
        <v>281</v>
      </c>
      <c r="WB37" s="64"/>
      <c r="WC37" s="64"/>
      <c r="WD37" s="64"/>
      <c r="WE37" s="64">
        <v>222</v>
      </c>
      <c r="WF37" s="64"/>
      <c r="WG37" s="67">
        <f t="shared" si="2033"/>
        <v>503</v>
      </c>
      <c r="WH37" s="68">
        <f t="shared" si="2034"/>
        <v>83.833333333333329</v>
      </c>
      <c r="WI37" s="106"/>
      <c r="WJ37" s="107"/>
      <c r="WK37" s="107">
        <v>200</v>
      </c>
      <c r="WL37" s="107"/>
      <c r="WM37" s="107"/>
      <c r="WN37" s="107"/>
      <c r="WO37" s="104">
        <f t="shared" si="2035"/>
        <v>200</v>
      </c>
      <c r="WP37" s="105">
        <f t="shared" si="2036"/>
        <v>33.333333333333336</v>
      </c>
      <c r="WQ37" s="48"/>
      <c r="WR37" s="49"/>
      <c r="WS37" s="49">
        <v>234</v>
      </c>
      <c r="WT37" s="49"/>
      <c r="WU37" s="49">
        <v>316</v>
      </c>
      <c r="WV37" s="49">
        <v>287</v>
      </c>
      <c r="WW37" s="49"/>
      <c r="WX37" s="67">
        <f t="shared" si="2037"/>
        <v>837</v>
      </c>
      <c r="WY37" s="68">
        <f t="shared" si="2038"/>
        <v>139.5</v>
      </c>
      <c r="WZ37" s="48"/>
      <c r="XA37" s="49"/>
      <c r="XB37" s="49"/>
      <c r="XC37" s="49"/>
      <c r="XD37" s="49"/>
      <c r="XE37" s="49"/>
      <c r="XF37" s="49">
        <v>302</v>
      </c>
      <c r="XG37" s="67">
        <f t="shared" si="2039"/>
        <v>302</v>
      </c>
      <c r="XH37" s="68">
        <f t="shared" si="2040"/>
        <v>50.333333333333336</v>
      </c>
      <c r="XI37" s="48"/>
      <c r="XJ37" s="49">
        <v>198</v>
      </c>
      <c r="XK37" s="49"/>
      <c r="XL37" s="49"/>
      <c r="XM37" s="49"/>
      <c r="XN37" s="49">
        <v>105</v>
      </c>
      <c r="XO37" s="49"/>
      <c r="XP37" s="67">
        <f t="shared" si="2041"/>
        <v>303</v>
      </c>
      <c r="XQ37" s="68">
        <f t="shared" si="2042"/>
        <v>50.5</v>
      </c>
      <c r="XR37" s="48"/>
      <c r="XS37" s="49"/>
      <c r="XT37" s="49"/>
      <c r="XU37" s="49">
        <v>574</v>
      </c>
      <c r="XV37" s="49"/>
      <c r="XW37" s="49"/>
      <c r="XX37" s="49"/>
      <c r="XY37" s="67">
        <f t="shared" si="2043"/>
        <v>574</v>
      </c>
      <c r="XZ37" s="68">
        <f t="shared" si="2044"/>
        <v>95.666666666666671</v>
      </c>
      <c r="YA37" s="48"/>
      <c r="YB37" s="49"/>
      <c r="YC37" s="49"/>
      <c r="YD37" s="49"/>
      <c r="YE37" s="49"/>
      <c r="YF37" s="49"/>
      <c r="YG37" s="49">
        <v>193</v>
      </c>
      <c r="YH37" s="67">
        <f t="shared" si="2045"/>
        <v>193</v>
      </c>
      <c r="YI37" s="68">
        <f t="shared" si="2046"/>
        <v>32.166666666666664</v>
      </c>
      <c r="YJ37" s="48"/>
      <c r="YK37" s="49"/>
      <c r="YL37" s="49"/>
      <c r="YM37" s="49"/>
      <c r="YN37" s="49">
        <v>200</v>
      </c>
      <c r="YO37" s="49"/>
      <c r="YP37" s="49"/>
      <c r="YQ37" s="67">
        <f t="shared" si="2047"/>
        <v>200</v>
      </c>
      <c r="YR37" s="68">
        <f t="shared" si="2048"/>
        <v>33.333333333333336</v>
      </c>
      <c r="YS37" s="48">
        <v>399</v>
      </c>
      <c r="YT37" s="49"/>
      <c r="YU37" s="49"/>
      <c r="YV37" s="49">
        <v>425</v>
      </c>
      <c r="YW37" s="49"/>
      <c r="YX37" s="49"/>
      <c r="YY37" s="67">
        <f t="shared" si="2049"/>
        <v>824</v>
      </c>
      <c r="YZ37" s="68">
        <f t="shared" si="2050"/>
        <v>137.33333333333334</v>
      </c>
      <c r="ZA37" s="48">
        <v>917</v>
      </c>
      <c r="ZB37" s="49"/>
      <c r="ZC37" s="49"/>
      <c r="ZD37" s="49"/>
      <c r="ZE37" s="49"/>
      <c r="ZF37" s="49"/>
      <c r="ZG37" s="67">
        <f t="shared" si="2051"/>
        <v>917</v>
      </c>
      <c r="ZH37" s="68">
        <f t="shared" si="2052"/>
        <v>152.83333333333334</v>
      </c>
      <c r="ZI37" s="48">
        <v>206</v>
      </c>
      <c r="ZJ37" s="49"/>
      <c r="ZK37" s="49"/>
      <c r="ZL37" s="49"/>
      <c r="ZM37" s="49"/>
      <c r="ZN37" s="24">
        <v>206</v>
      </c>
      <c r="ZO37" s="67">
        <f t="shared" si="2053"/>
        <v>412</v>
      </c>
      <c r="ZP37" s="68">
        <f t="shared" si="2054"/>
        <v>68.666666666666671</v>
      </c>
      <c r="ZQ37" s="48"/>
      <c r="ZR37" s="49">
        <v>599</v>
      </c>
      <c r="ZS37" s="49"/>
      <c r="ZT37" s="49"/>
      <c r="ZU37" s="49">
        <v>200</v>
      </c>
      <c r="ZV37" s="49"/>
      <c r="ZW37" s="49"/>
      <c r="ZX37" s="67">
        <f t="shared" si="2055"/>
        <v>799</v>
      </c>
      <c r="ZY37" s="70">
        <f t="shared" si="2056"/>
        <v>133.16666666666666</v>
      </c>
      <c r="ZZ37" s="48"/>
      <c r="AAA37" s="49">
        <v>300</v>
      </c>
      <c r="AAB37" s="49"/>
      <c r="AAC37" s="49"/>
      <c r="AAD37" s="49">
        <v>400</v>
      </c>
      <c r="AAE37" s="49"/>
      <c r="AAF37" s="49">
        <v>400</v>
      </c>
      <c r="AAG37" s="67">
        <f t="shared" si="2057"/>
        <v>1100</v>
      </c>
      <c r="AAH37" s="68">
        <f t="shared" si="2058"/>
        <v>183.33333333333334</v>
      </c>
      <c r="AAI37" s="48"/>
      <c r="AAJ37" s="49"/>
      <c r="AAK37" s="49"/>
      <c r="AAL37" s="49">
        <v>400</v>
      </c>
      <c r="AAM37" s="49"/>
      <c r="AAN37" s="49"/>
      <c r="AAO37" s="67">
        <f t="shared" si="2059"/>
        <v>400</v>
      </c>
      <c r="AAP37" s="68">
        <f t="shared" si="2060"/>
        <v>66.666666666666671</v>
      </c>
      <c r="AAQ37" s="48"/>
      <c r="AAR37" s="49">
        <v>417</v>
      </c>
      <c r="AAS37" s="49"/>
      <c r="AAT37" s="49"/>
      <c r="AAU37" s="49">
        <v>399</v>
      </c>
      <c r="AAV37" s="49"/>
      <c r="AAW37" s="67">
        <f t="shared" si="2061"/>
        <v>816</v>
      </c>
      <c r="AAX37" s="68">
        <f t="shared" si="2062"/>
        <v>136</v>
      </c>
      <c r="AAY37" s="48"/>
      <c r="AAZ37" s="49"/>
      <c r="ABA37" s="49"/>
      <c r="ABB37" s="49"/>
      <c r="ABC37" s="49">
        <v>403</v>
      </c>
      <c r="ABD37" s="49"/>
      <c r="ABE37" s="67">
        <f t="shared" si="2063"/>
        <v>403</v>
      </c>
      <c r="ABF37" s="68">
        <f t="shared" si="2064"/>
        <v>67.166666666666671</v>
      </c>
      <c r="ABG37" s="48">
        <v>597</v>
      </c>
      <c r="ABH37" s="49"/>
      <c r="ABI37" s="49"/>
      <c r="ABJ37" s="49">
        <v>200</v>
      </c>
      <c r="ABK37" s="49"/>
      <c r="ABL37" s="49"/>
      <c r="ABM37" s="67">
        <f t="shared" si="2065"/>
        <v>797</v>
      </c>
      <c r="ABN37" s="68">
        <f t="shared" si="2066"/>
        <v>132.83333333333334</v>
      </c>
      <c r="ABO37" s="48"/>
      <c r="ABP37" s="49"/>
      <c r="ABQ37" s="49"/>
      <c r="ABR37" s="49">
        <v>304</v>
      </c>
      <c r="ABS37" s="49"/>
      <c r="ABT37" s="49">
        <v>120</v>
      </c>
      <c r="ABU37" s="67">
        <f t="shared" si="2067"/>
        <v>424</v>
      </c>
      <c r="ABV37" s="68">
        <f t="shared" si="2068"/>
        <v>70.666666666666671</v>
      </c>
      <c r="ABW37" s="48">
        <v>440</v>
      </c>
      <c r="ABX37" s="49">
        <v>405</v>
      </c>
      <c r="ABY37" s="49"/>
      <c r="ABZ37" s="49"/>
      <c r="ACA37" s="49"/>
      <c r="ACB37" s="49"/>
      <c r="ACC37" s="67">
        <f t="shared" si="2069"/>
        <v>845</v>
      </c>
      <c r="ACD37" s="68">
        <f t="shared" si="2070"/>
        <v>140.83333333333334</v>
      </c>
      <c r="ACE37" s="24">
        <v>310</v>
      </c>
      <c r="ACF37" s="49"/>
      <c r="ACG37" s="49"/>
      <c r="ACH37" s="49"/>
      <c r="ACI37" s="49"/>
      <c r="ACJ37" s="49"/>
      <c r="ACK37" s="67">
        <f t="shared" si="2071"/>
        <v>310</v>
      </c>
      <c r="ACL37" s="68">
        <f t="shared" si="2072"/>
        <v>51.666666666666664</v>
      </c>
      <c r="ACM37" s="48"/>
      <c r="ACN37" s="49"/>
      <c r="ACO37" s="49">
        <v>345</v>
      </c>
      <c r="ACP37" s="49"/>
      <c r="ACQ37" s="49"/>
      <c r="ACR37" s="49"/>
      <c r="ACS37" s="67">
        <f t="shared" si="2073"/>
        <v>345</v>
      </c>
      <c r="ACT37" s="68">
        <f t="shared" si="2074"/>
        <v>57.5</v>
      </c>
      <c r="ACU37" s="48">
        <v>427</v>
      </c>
      <c r="ACV37" s="49"/>
      <c r="ACW37" s="49"/>
      <c r="ACX37" s="49"/>
      <c r="ACY37" s="49">
        <v>401</v>
      </c>
      <c r="ACZ37" s="49"/>
      <c r="ADA37" s="67">
        <f t="shared" si="2075"/>
        <v>828</v>
      </c>
      <c r="ADB37" s="68">
        <f t="shared" si="2076"/>
        <v>138</v>
      </c>
      <c r="ADC37" s="48">
        <v>299</v>
      </c>
      <c r="ADD37" s="49"/>
      <c r="ADE37" s="49"/>
      <c r="ADF37" s="49">
        <v>299</v>
      </c>
      <c r="ADG37" s="49"/>
      <c r="ADH37" s="49"/>
      <c r="ADI37" s="67">
        <f t="shared" si="2077"/>
        <v>598</v>
      </c>
      <c r="ADJ37" s="68">
        <f t="shared" si="2078"/>
        <v>99.666666666666671</v>
      </c>
      <c r="ADK37" s="48"/>
      <c r="ADL37" s="49"/>
      <c r="ADM37" s="49">
        <v>401</v>
      </c>
      <c r="ADN37" s="49"/>
      <c r="ADO37" s="49"/>
      <c r="ADP37" s="49"/>
      <c r="ADQ37" s="67">
        <f t="shared" si="2079"/>
        <v>401</v>
      </c>
      <c r="ADR37" s="68">
        <f t="shared" si="2080"/>
        <v>66.833333333333329</v>
      </c>
      <c r="ADS37" s="48"/>
      <c r="ADT37" s="49">
        <v>233</v>
      </c>
      <c r="ADU37" s="49"/>
      <c r="ADV37" s="49">
        <v>201</v>
      </c>
      <c r="ADW37" s="49">
        <v>300</v>
      </c>
      <c r="ADX37" s="49"/>
      <c r="ADY37" s="67">
        <f t="shared" si="2081"/>
        <v>734</v>
      </c>
      <c r="ADZ37" s="68">
        <f t="shared" si="2082"/>
        <v>122.33333333333333</v>
      </c>
      <c r="AEA37" s="48">
        <v>100</v>
      </c>
      <c r="AEB37" s="49"/>
      <c r="AEC37" s="49"/>
      <c r="AED37" s="49"/>
      <c r="AEE37" s="49">
        <v>200</v>
      </c>
      <c r="AEF37" s="49"/>
      <c r="AEG37" s="67">
        <f t="shared" si="2083"/>
        <v>300</v>
      </c>
      <c r="AEH37" s="68">
        <f t="shared" si="2084"/>
        <v>50</v>
      </c>
      <c r="AEI37" s="48">
        <v>200</v>
      </c>
      <c r="AEJ37" s="49"/>
      <c r="AEK37" s="49"/>
      <c r="AEL37" s="49"/>
      <c r="AEM37" s="49">
        <v>199</v>
      </c>
      <c r="AEN37" s="49"/>
      <c r="AEO37" s="67">
        <f t="shared" si="2085"/>
        <v>399</v>
      </c>
      <c r="AEP37" s="68">
        <f t="shared" si="2086"/>
        <v>66.5</v>
      </c>
      <c r="AEQ37" s="48"/>
      <c r="AER37" s="49"/>
      <c r="AES37" s="49">
        <v>400</v>
      </c>
      <c r="AET37" s="49"/>
      <c r="AEU37" s="49"/>
      <c r="AEV37" s="49">
        <v>440</v>
      </c>
      <c r="AEW37" s="67">
        <f t="shared" si="2087"/>
        <v>840</v>
      </c>
      <c r="AEX37" s="68">
        <f t="shared" si="2088"/>
        <v>140</v>
      </c>
      <c r="AEY37" s="48"/>
      <c r="AEZ37" s="49"/>
      <c r="AFA37" s="49">
        <v>100</v>
      </c>
      <c r="AFB37" s="49"/>
      <c r="AFC37" s="49"/>
      <c r="AFD37" s="49">
        <v>109</v>
      </c>
      <c r="AFE37" s="67">
        <f t="shared" si="2089"/>
        <v>209</v>
      </c>
      <c r="AFF37" s="68">
        <f t="shared" si="2090"/>
        <v>34.833333333333336</v>
      </c>
      <c r="AFG37" s="48"/>
      <c r="AFH37" s="49"/>
      <c r="AFI37" s="49"/>
      <c r="AFJ37" s="49">
        <v>183</v>
      </c>
      <c r="AFK37" s="49"/>
      <c r="AFL37" s="49">
        <v>364</v>
      </c>
      <c r="AFM37" s="67">
        <f t="shared" si="2091"/>
        <v>547</v>
      </c>
      <c r="AFN37" s="68">
        <f t="shared" si="2092"/>
        <v>91.166666666666671</v>
      </c>
      <c r="AFO37" s="48">
        <v>414</v>
      </c>
      <c r="AFP37" s="49"/>
      <c r="AFQ37" s="49"/>
      <c r="AFR37" s="49"/>
      <c r="AFS37" s="49"/>
      <c r="AFT37" s="49"/>
      <c r="AFU37" s="67">
        <f t="shared" si="2093"/>
        <v>414</v>
      </c>
      <c r="AFV37" s="68">
        <f t="shared" si="2094"/>
        <v>69</v>
      </c>
      <c r="AFW37" s="48"/>
      <c r="AFX37" s="49">
        <v>402</v>
      </c>
      <c r="AFY37" s="49"/>
      <c r="AFZ37" s="49"/>
      <c r="AGA37" s="49"/>
      <c r="AGB37" s="49"/>
      <c r="AGC37" s="67">
        <f t="shared" si="2095"/>
        <v>402</v>
      </c>
      <c r="AGD37" s="68">
        <f t="shared" si="2096"/>
        <v>67</v>
      </c>
      <c r="AGE37" s="48"/>
      <c r="AGF37" s="49"/>
      <c r="AGG37" s="49">
        <v>200</v>
      </c>
      <c r="AGH37" s="49"/>
      <c r="AGI37" s="49"/>
      <c r="AGJ37" s="49"/>
      <c r="AGK37" s="67">
        <f t="shared" si="2097"/>
        <v>200</v>
      </c>
      <c r="AGL37" s="68">
        <f t="shared" si="2098"/>
        <v>33.333333333333336</v>
      </c>
      <c r="AGM37" s="48"/>
      <c r="AGN37" s="49">
        <v>258</v>
      </c>
      <c r="AGO37" s="49"/>
      <c r="AGP37" s="49"/>
      <c r="AGQ37" s="49">
        <v>100</v>
      </c>
      <c r="AGR37" s="49"/>
      <c r="AGS37" s="49"/>
      <c r="AGT37" s="67">
        <f t="shared" si="2099"/>
        <v>358</v>
      </c>
      <c r="AGU37" s="68">
        <f t="shared" si="2100"/>
        <v>59.666666666666664</v>
      </c>
      <c r="AGV37" s="48"/>
      <c r="AGW37" s="49"/>
      <c r="AGX37" s="49"/>
      <c r="AGY37" s="49">
        <v>218</v>
      </c>
      <c r="AGZ37" s="49"/>
      <c r="AHA37" s="49"/>
      <c r="AHB37" s="67">
        <f t="shared" si="2101"/>
        <v>218</v>
      </c>
      <c r="AHC37" s="68">
        <f t="shared" si="2102"/>
        <v>7.5172413793103452</v>
      </c>
      <c r="AHD37" s="48">
        <v>100</v>
      </c>
      <c r="AHE37" s="49"/>
      <c r="AHF37" s="49"/>
      <c r="AHG37" s="49">
        <v>399</v>
      </c>
      <c r="AHH37" s="49"/>
      <c r="AHI37" s="49"/>
      <c r="AHJ37" s="67">
        <f t="shared" si="2103"/>
        <v>499</v>
      </c>
      <c r="AHK37" s="68">
        <f t="shared" si="2104"/>
        <v>17.206896551724139</v>
      </c>
      <c r="AHL37" s="48"/>
      <c r="AHM37" s="49"/>
      <c r="AHN37" s="49"/>
      <c r="AHO37" s="49">
        <v>100</v>
      </c>
      <c r="AHP37" s="49"/>
      <c r="AHQ37" s="49"/>
      <c r="AHR37" s="67">
        <f t="shared" si="2105"/>
        <v>100</v>
      </c>
      <c r="AHS37" s="68">
        <f t="shared" si="2106"/>
        <v>3.4482758620689653</v>
      </c>
      <c r="AHT37" s="48"/>
      <c r="AHU37" s="49"/>
      <c r="AHV37" s="49">
        <v>400</v>
      </c>
      <c r="AHW37" s="49"/>
      <c r="AHX37" s="49">
        <v>399</v>
      </c>
      <c r="AHY37" s="49"/>
      <c r="AHZ37" s="67">
        <f t="shared" si="2107"/>
        <v>799</v>
      </c>
      <c r="AIA37" s="68">
        <f t="shared" si="2108"/>
        <v>27.551724137931036</v>
      </c>
      <c r="AIB37" s="48"/>
      <c r="AIC37" s="49"/>
      <c r="AID37" s="49"/>
      <c r="AIE37" s="49"/>
      <c r="AIF37" s="49"/>
      <c r="AIG37" s="49"/>
      <c r="AIH37" s="67">
        <f t="shared" si="2109"/>
        <v>0</v>
      </c>
      <c r="AII37" s="68">
        <f t="shared" si="2110"/>
        <v>0</v>
      </c>
      <c r="AIJ37" s="48">
        <v>197</v>
      </c>
      <c r="AIK37" s="49"/>
      <c r="AIL37" s="49"/>
      <c r="AIM37" s="49"/>
      <c r="AIN37" s="49"/>
      <c r="AIO37" s="49">
        <v>197</v>
      </c>
      <c r="AIP37" s="67">
        <f t="shared" si="2111"/>
        <v>394</v>
      </c>
      <c r="AIQ37" s="68">
        <f t="shared" si="2112"/>
        <v>13.586206896551724</v>
      </c>
      <c r="AIR37" s="48"/>
      <c r="AIS37" s="49">
        <v>100</v>
      </c>
      <c r="AIT37" s="49"/>
      <c r="AIU37" s="49">
        <v>222</v>
      </c>
      <c r="AIV37" s="49"/>
      <c r="AIW37" s="49"/>
      <c r="AIX37" s="67">
        <f t="shared" si="2113"/>
        <v>322</v>
      </c>
      <c r="AIY37" s="68">
        <f t="shared" si="2114"/>
        <v>11.103448275862069</v>
      </c>
      <c r="AIZ37" s="48"/>
      <c r="AJA37" s="49"/>
      <c r="AJB37" s="49"/>
      <c r="AJC37" s="49">
        <v>204</v>
      </c>
      <c r="AJD37" s="49"/>
      <c r="AJE37" s="49"/>
      <c r="AJF37" s="67">
        <f t="shared" si="2115"/>
        <v>204</v>
      </c>
      <c r="AJG37" s="68">
        <f t="shared" si="2116"/>
        <v>7.0344827586206895</v>
      </c>
      <c r="AJH37" s="48"/>
      <c r="AJI37" s="49">
        <v>276</v>
      </c>
      <c r="AJJ37" s="49"/>
      <c r="AJK37" s="49"/>
      <c r="AJL37" s="49"/>
      <c r="AJM37" s="49"/>
      <c r="AJN37" s="42">
        <f t="shared" si="2117"/>
        <v>276</v>
      </c>
      <c r="AJO37" s="43">
        <f t="shared" si="2118"/>
        <v>9.5172413793103452</v>
      </c>
      <c r="AJP37" s="48">
        <v>100</v>
      </c>
      <c r="AJQ37" s="49"/>
      <c r="AJR37" s="49">
        <v>80</v>
      </c>
      <c r="AJS37" s="49"/>
      <c r="AJT37" s="49"/>
      <c r="AJU37" s="49"/>
      <c r="AJV37" s="42">
        <f t="shared" si="2119"/>
        <v>180</v>
      </c>
      <c r="AJW37" s="43">
        <f t="shared" si="2120"/>
        <v>6.2068965517241379</v>
      </c>
      <c r="AJX37" s="48">
        <v>311</v>
      </c>
      <c r="AJY37" s="49"/>
      <c r="AJZ37" s="49"/>
      <c r="AKA37" s="49"/>
      <c r="AKB37" s="49">
        <v>193</v>
      </c>
      <c r="AKC37" s="49"/>
      <c r="AKD37" s="67">
        <f t="shared" si="2121"/>
        <v>504</v>
      </c>
      <c r="AKE37" s="68">
        <f t="shared" si="2122"/>
        <v>17.379310344827587</v>
      </c>
      <c r="AKF37" s="48"/>
      <c r="AKG37" s="49"/>
      <c r="AKH37" s="49"/>
      <c r="AKI37" s="49">
        <v>419</v>
      </c>
      <c r="AKJ37" s="49"/>
      <c r="AKK37" s="49"/>
      <c r="AKL37" s="67">
        <f t="shared" si="2123"/>
        <v>419</v>
      </c>
      <c r="AKM37" s="184">
        <f t="shared" si="2124"/>
        <v>69.833333333333329</v>
      </c>
      <c r="AKN37" s="195"/>
      <c r="AKO37" s="49"/>
      <c r="AKP37" s="49"/>
      <c r="AKQ37" s="49">
        <v>317</v>
      </c>
      <c r="AKR37" s="49"/>
      <c r="AKS37" s="49">
        <v>206</v>
      </c>
      <c r="AKT37" s="67">
        <f t="shared" si="2125"/>
        <v>523</v>
      </c>
      <c r="AKU37" s="184">
        <f t="shared" si="2126"/>
        <v>87.166666666666671</v>
      </c>
      <c r="AKV37" s="48"/>
      <c r="AKW37" s="49">
        <v>202</v>
      </c>
      <c r="AKX37" s="49"/>
      <c r="AKY37" s="49"/>
      <c r="AKZ37" s="49"/>
      <c r="ALA37" s="49"/>
      <c r="ALB37" s="67">
        <f t="shared" si="2127"/>
        <v>202</v>
      </c>
      <c r="ALC37" s="68">
        <f t="shared" si="2128"/>
        <v>33.666666666666664</v>
      </c>
      <c r="ALD37" s="48"/>
      <c r="ALE37" s="49"/>
      <c r="ALF37" s="49"/>
      <c r="ALG37" s="49"/>
      <c r="ALH37" s="49"/>
      <c r="ALI37" s="49"/>
      <c r="ALJ37" s="67">
        <f t="shared" si="2129"/>
        <v>0</v>
      </c>
      <c r="ALK37" s="68">
        <f t="shared" si="2130"/>
        <v>0</v>
      </c>
      <c r="ALL37" s="48"/>
      <c r="ALM37" s="49"/>
      <c r="ALN37" s="49"/>
      <c r="ALO37" s="49"/>
      <c r="ALP37" s="49"/>
      <c r="ALQ37" s="49"/>
      <c r="ALR37" s="67">
        <f t="shared" si="2131"/>
        <v>0</v>
      </c>
      <c r="ALS37" s="68">
        <f t="shared" si="2132"/>
        <v>0</v>
      </c>
      <c r="ALT37" s="48"/>
      <c r="ALU37" s="49">
        <v>286</v>
      </c>
      <c r="ALV37" s="49"/>
      <c r="ALW37" s="49"/>
      <c r="ALX37" s="49"/>
      <c r="ALY37" s="49"/>
      <c r="ALZ37" s="67">
        <f t="shared" si="2133"/>
        <v>286</v>
      </c>
      <c r="AMA37" s="68">
        <f t="shared" si="2134"/>
        <v>47.666666666666664</v>
      </c>
      <c r="AMB37" s="24"/>
      <c r="AMC37" s="49"/>
      <c r="AMD37" s="49"/>
      <c r="AME37" s="49">
        <v>99</v>
      </c>
      <c r="AMF37" s="49"/>
      <c r="AMG37" s="49"/>
      <c r="AMH37" s="67">
        <f t="shared" si="2135"/>
        <v>99</v>
      </c>
      <c r="AMI37" s="68">
        <f t="shared" si="2136"/>
        <v>16.5</v>
      </c>
      <c r="AMJ37" s="48"/>
      <c r="AMK37" s="49"/>
      <c r="AML37" s="49"/>
      <c r="AMM37" s="49">
        <v>200</v>
      </c>
      <c r="AMN37" s="49"/>
      <c r="AMO37" s="49"/>
      <c r="AMP37" s="67">
        <f t="shared" si="2137"/>
        <v>200</v>
      </c>
      <c r="AMQ37" s="68">
        <f t="shared" si="2138"/>
        <v>33.333333333333336</v>
      </c>
      <c r="AMR37" s="48"/>
      <c r="AMS37" s="49"/>
      <c r="AMT37" s="49"/>
      <c r="AMU37" s="49"/>
      <c r="AMV37" s="49"/>
      <c r="AMW37" s="49"/>
      <c r="AMX37" s="67">
        <f t="shared" si="2139"/>
        <v>0</v>
      </c>
      <c r="AMY37" s="68">
        <f t="shared" si="2140"/>
        <v>0</v>
      </c>
      <c r="AMZ37" s="48">
        <v>400</v>
      </c>
      <c r="ANA37" s="49"/>
      <c r="ANB37" s="49"/>
      <c r="ANC37" s="49"/>
      <c r="AND37" s="49"/>
      <c r="ANE37" s="49"/>
      <c r="ANF37" s="67">
        <f t="shared" si="2141"/>
        <v>400</v>
      </c>
      <c r="ANG37" s="68">
        <f t="shared" si="2142"/>
        <v>66.666666666666671</v>
      </c>
      <c r="ANH37" s="48">
        <v>200</v>
      </c>
      <c r="ANI37" s="49"/>
      <c r="ANJ37" s="49"/>
      <c r="ANK37" s="49"/>
      <c r="ANL37" s="49"/>
      <c r="ANM37" s="49"/>
      <c r="ANN37" s="67">
        <f t="shared" si="2143"/>
        <v>200</v>
      </c>
      <c r="ANO37" s="68">
        <f t="shared" si="2144"/>
        <v>33.333333333333336</v>
      </c>
      <c r="ANP37" s="48"/>
      <c r="ANQ37" s="49">
        <v>200</v>
      </c>
      <c r="ANR37" s="49"/>
      <c r="ANS37" s="49"/>
      <c r="ANT37" s="49"/>
      <c r="ANU37" s="49">
        <v>602</v>
      </c>
      <c r="ANV37" s="67">
        <f t="shared" si="2145"/>
        <v>802</v>
      </c>
      <c r="ANW37" s="68">
        <f t="shared" si="2146"/>
        <v>133.66666666666666</v>
      </c>
      <c r="ANX37" s="82"/>
      <c r="ANY37" s="83"/>
      <c r="ANZ37" s="83"/>
      <c r="AOA37" s="83"/>
      <c r="AOB37" s="83"/>
      <c r="AOC37" s="83"/>
      <c r="AOD37" s="67">
        <f t="shared" si="2147"/>
        <v>0</v>
      </c>
      <c r="AOE37" s="68">
        <f t="shared" si="2148"/>
        <v>0</v>
      </c>
      <c r="AOF37" s="48">
        <v>199</v>
      </c>
      <c r="AOG37" s="49"/>
      <c r="AOH37" s="49"/>
      <c r="AOI37" s="49"/>
      <c r="AOJ37" s="49"/>
      <c r="AOK37" s="49">
        <v>200</v>
      </c>
      <c r="AOL37" s="67">
        <f t="shared" si="2149"/>
        <v>399</v>
      </c>
      <c r="AOM37" s="68">
        <f t="shared" si="2150"/>
        <v>66.5</v>
      </c>
      <c r="AON37" s="48"/>
      <c r="AOO37" s="49"/>
      <c r="AOP37" s="49"/>
      <c r="AOQ37" s="49"/>
      <c r="AOR37" s="49">
        <v>200</v>
      </c>
      <c r="AOS37" s="49"/>
      <c r="AOT37" s="67">
        <f t="shared" si="2151"/>
        <v>200</v>
      </c>
      <c r="AOU37" s="68">
        <f t="shared" si="2152"/>
        <v>33.333333333333336</v>
      </c>
      <c r="AOV37" s="48"/>
      <c r="AOW37" s="49"/>
      <c r="AOX37" s="49"/>
      <c r="AOY37" s="49"/>
      <c r="AOZ37" s="49"/>
      <c r="APA37" s="49"/>
      <c r="APB37" s="67">
        <f t="shared" si="2153"/>
        <v>0</v>
      </c>
      <c r="APC37" s="68">
        <f t="shared" si="2154"/>
        <v>0</v>
      </c>
      <c r="APD37" s="48"/>
      <c r="APE37" s="49"/>
      <c r="APF37" s="49"/>
      <c r="APG37" s="49"/>
      <c r="APH37" s="49"/>
      <c r="API37" s="49"/>
      <c r="APJ37" s="67">
        <f t="shared" si="2155"/>
        <v>0</v>
      </c>
      <c r="APK37" s="68">
        <f t="shared" si="2156"/>
        <v>0</v>
      </c>
      <c r="APL37" s="48"/>
      <c r="APM37" s="49"/>
      <c r="APN37" s="49">
        <v>300</v>
      </c>
      <c r="APO37" s="49"/>
      <c r="APP37" s="49"/>
      <c r="APQ37" s="49">
        <v>200</v>
      </c>
      <c r="APR37" s="67">
        <f t="shared" si="2157"/>
        <v>500</v>
      </c>
      <c r="APS37" s="68">
        <f t="shared" si="2158"/>
        <v>83.333333333333329</v>
      </c>
      <c r="APT37" s="48"/>
      <c r="APU37" s="49">
        <v>99</v>
      </c>
      <c r="APV37" s="49"/>
      <c r="APW37" s="49"/>
      <c r="APX37" s="49"/>
      <c r="APY37" s="49"/>
      <c r="APZ37" s="67">
        <f t="shared" si="2159"/>
        <v>99</v>
      </c>
      <c r="AQA37" s="68">
        <f t="shared" si="2160"/>
        <v>16.5</v>
      </c>
      <c r="AQB37" s="48">
        <v>100</v>
      </c>
      <c r="AQC37" s="49"/>
      <c r="AQD37" s="49"/>
      <c r="AQE37" s="49"/>
      <c r="AQF37" s="49"/>
      <c r="AQG37" s="49"/>
      <c r="AQH37" s="67">
        <f t="shared" si="2161"/>
        <v>100</v>
      </c>
      <c r="AQI37" s="68">
        <f t="shared" si="2162"/>
        <v>16.666666666666668</v>
      </c>
      <c r="AQJ37" s="48">
        <v>330</v>
      </c>
      <c r="AQK37" s="49"/>
      <c r="AQL37" s="49">
        <v>356</v>
      </c>
      <c r="AQM37" s="49"/>
      <c r="AQN37" s="49"/>
      <c r="AQO37" s="49"/>
      <c r="AQP37" s="67">
        <f t="shared" si="2163"/>
        <v>686</v>
      </c>
      <c r="AQQ37" s="68">
        <f t="shared" si="2164"/>
        <v>114.33333333333333</v>
      </c>
      <c r="AQR37" s="48"/>
      <c r="AQS37" s="49"/>
      <c r="AQT37" s="49"/>
      <c r="AQU37" s="49"/>
      <c r="AQV37" s="49"/>
      <c r="AQW37" s="49"/>
      <c r="AQX37" s="67">
        <f t="shared" si="2165"/>
        <v>0</v>
      </c>
      <c r="AQY37" s="68">
        <f t="shared" si="2166"/>
        <v>0</v>
      </c>
      <c r="AQZ37" s="48"/>
      <c r="ARA37" s="49">
        <v>396</v>
      </c>
      <c r="ARB37" s="49"/>
      <c r="ARC37" s="49"/>
      <c r="ARD37" s="49"/>
      <c r="ARE37" s="49"/>
      <c r="ARF37" s="67">
        <f t="shared" si="2167"/>
        <v>396</v>
      </c>
      <c r="ARG37" s="68">
        <f t="shared" si="2168"/>
        <v>66</v>
      </c>
      <c r="ARH37" s="48"/>
      <c r="ARI37" s="49">
        <v>200</v>
      </c>
      <c r="ARJ37" s="49"/>
      <c r="ARK37" s="49"/>
      <c r="ARL37" s="49"/>
      <c r="ARM37" s="49"/>
      <c r="ARN37" s="67">
        <f t="shared" si="2169"/>
        <v>200</v>
      </c>
      <c r="ARO37" s="68">
        <f t="shared" si="2170"/>
        <v>33.333333333333336</v>
      </c>
      <c r="ARP37" s="48"/>
      <c r="ARQ37" s="49"/>
      <c r="ARR37" s="49"/>
      <c r="ARS37" s="49">
        <v>200</v>
      </c>
      <c r="ART37" s="49"/>
      <c r="ARU37" s="49"/>
      <c r="ARV37" s="67">
        <f t="shared" si="2171"/>
        <v>200</v>
      </c>
      <c r="ARW37" s="68">
        <f t="shared" si="2172"/>
        <v>33.333333333333336</v>
      </c>
      <c r="ARX37" s="48"/>
      <c r="ARY37" s="49"/>
      <c r="ARZ37" s="49"/>
      <c r="ASA37" s="49"/>
      <c r="ASB37" s="49"/>
      <c r="ASC37" s="49"/>
      <c r="ASD37" s="67">
        <f t="shared" si="2173"/>
        <v>0</v>
      </c>
      <c r="ASE37" s="68">
        <f t="shared" si="2174"/>
        <v>0</v>
      </c>
      <c r="ASF37" s="48">
        <v>330</v>
      </c>
      <c r="ASG37" s="49">
        <v>400</v>
      </c>
      <c r="ASH37" s="49"/>
      <c r="ASI37" s="49">
        <v>100</v>
      </c>
      <c r="ASJ37" s="49"/>
      <c r="ASK37" s="49"/>
      <c r="ASL37" s="67">
        <f t="shared" si="2175"/>
        <v>830</v>
      </c>
      <c r="ASM37" s="68">
        <f t="shared" si="2176"/>
        <v>138.33333333333334</v>
      </c>
      <c r="ASN37" s="48"/>
      <c r="ASO37" s="49"/>
      <c r="ASP37" s="49"/>
      <c r="ASQ37" s="49"/>
      <c r="ASR37" s="49"/>
      <c r="ASS37" s="49">
        <v>400</v>
      </c>
      <c r="AST37" s="67">
        <f t="shared" si="2177"/>
        <v>400</v>
      </c>
      <c r="ASU37" s="68">
        <f t="shared" si="2178"/>
        <v>66.666666666666671</v>
      </c>
      <c r="ASV37" s="48"/>
      <c r="ASW37" s="49"/>
      <c r="ASX37" s="49"/>
      <c r="ASY37" s="49">
        <v>402</v>
      </c>
      <c r="ASZ37" s="49"/>
      <c r="ATA37" s="49">
        <v>213</v>
      </c>
      <c r="ATB37" s="67">
        <f t="shared" si="2179"/>
        <v>615</v>
      </c>
      <c r="ATC37" s="68">
        <f t="shared" si="2180"/>
        <v>102.5</v>
      </c>
      <c r="ATD37" s="48"/>
      <c r="ATE37" s="49"/>
      <c r="ATF37" s="49"/>
      <c r="ATG37" s="49"/>
      <c r="ATH37" s="49"/>
      <c r="ATI37" s="49"/>
      <c r="ATJ37" s="67">
        <f t="shared" si="2181"/>
        <v>0</v>
      </c>
      <c r="ATK37" s="68">
        <f t="shared" si="2182"/>
        <v>0</v>
      </c>
      <c r="ATL37" s="48"/>
      <c r="ATM37" s="49"/>
      <c r="ATN37" s="49"/>
      <c r="ATO37" s="49"/>
      <c r="ATP37" s="49"/>
      <c r="ATQ37" s="49"/>
      <c r="ATR37" s="67">
        <f t="shared" si="2183"/>
        <v>0</v>
      </c>
      <c r="ATS37" s="68">
        <f t="shared" si="2184"/>
        <v>0</v>
      </c>
      <c r="ATT37" s="48"/>
      <c r="ATU37" s="49"/>
      <c r="ATV37" s="49"/>
      <c r="ATW37" s="49"/>
      <c r="ATX37" s="49"/>
      <c r="ATY37" s="49"/>
      <c r="ATZ37" s="67">
        <f t="shared" si="2185"/>
        <v>0</v>
      </c>
      <c r="AUA37" s="68">
        <f t="shared" si="2186"/>
        <v>0</v>
      </c>
      <c r="AUB37" s="48"/>
      <c r="AUC37" s="49"/>
      <c r="AUD37" s="49"/>
      <c r="AUE37" s="49"/>
      <c r="AUF37" s="49"/>
      <c r="AUG37" s="49"/>
      <c r="AUH37" s="67">
        <f t="shared" si="2187"/>
        <v>0</v>
      </c>
      <c r="AUI37" s="68">
        <f t="shared" si="2188"/>
        <v>0</v>
      </c>
      <c r="AUJ37" s="48"/>
      <c r="AUK37" s="49"/>
      <c r="AUL37" s="49"/>
      <c r="AUM37" s="49"/>
      <c r="AUN37" s="49"/>
      <c r="AUO37" s="49"/>
      <c r="AUP37" s="67">
        <f t="shared" si="2189"/>
        <v>0</v>
      </c>
      <c r="AUQ37" s="68">
        <f t="shared" si="2190"/>
        <v>0</v>
      </c>
      <c r="AUR37" s="48">
        <v>205</v>
      </c>
      <c r="AUS37" s="49"/>
      <c r="AUT37" s="49"/>
      <c r="AUU37" s="49"/>
      <c r="AUV37" s="49"/>
      <c r="AUW37" s="49"/>
      <c r="AUX37" s="67">
        <f t="shared" si="2191"/>
        <v>205</v>
      </c>
      <c r="AUY37" s="68">
        <f t="shared" si="2192"/>
        <v>34.166666666666664</v>
      </c>
      <c r="AUZ37" s="48">
        <v>100</v>
      </c>
      <c r="AVA37" s="49"/>
      <c r="AVB37" s="49"/>
      <c r="AVC37" s="49"/>
      <c r="AVD37" s="49"/>
      <c r="AVE37" s="49"/>
      <c r="AVF37" s="67">
        <f t="shared" si="2193"/>
        <v>100</v>
      </c>
      <c r="AVG37" s="68">
        <f t="shared" si="2194"/>
        <v>16.666666666666668</v>
      </c>
      <c r="AVH37" s="48"/>
      <c r="AVI37" s="49"/>
      <c r="AVJ37" s="49"/>
      <c r="AVK37" s="49"/>
      <c r="AVL37" s="49"/>
      <c r="AVM37" s="49"/>
      <c r="AVN37" s="67">
        <f t="shared" si="2195"/>
        <v>0</v>
      </c>
      <c r="AVO37" s="68">
        <f t="shared" si="2196"/>
        <v>0</v>
      </c>
      <c r="AVP37" s="48">
        <v>208</v>
      </c>
      <c r="AVQ37" s="49"/>
      <c r="AVR37" s="49"/>
      <c r="AVS37" s="49"/>
      <c r="AVT37" s="49"/>
      <c r="AVU37" s="49"/>
      <c r="AVV37" s="67">
        <f t="shared" si="2197"/>
        <v>208</v>
      </c>
      <c r="AVW37" s="68">
        <f t="shared" si="2198"/>
        <v>34.666666666666664</v>
      </c>
      <c r="AVX37" s="48"/>
      <c r="AVY37" s="49"/>
      <c r="AVZ37" s="49"/>
      <c r="AWA37" s="49"/>
      <c r="AWB37" s="49"/>
      <c r="AWC37" s="49"/>
      <c r="AWD37" s="67">
        <f t="shared" si="2199"/>
        <v>0</v>
      </c>
      <c r="AWE37" s="68">
        <f t="shared" si="2200"/>
        <v>0</v>
      </c>
      <c r="AWF37" s="48"/>
      <c r="AWG37" s="49"/>
      <c r="AWH37" s="49"/>
      <c r="AWI37" s="49"/>
      <c r="AWJ37" s="49"/>
      <c r="AWK37" s="49"/>
      <c r="AWL37" s="67">
        <f t="shared" si="2201"/>
        <v>0</v>
      </c>
      <c r="AWM37" s="184">
        <f t="shared" si="2202"/>
        <v>0</v>
      </c>
      <c r="AWN37" s="48"/>
      <c r="AWO37" s="49"/>
      <c r="AWP37" s="49">
        <v>300</v>
      </c>
      <c r="AWQ37" s="49"/>
      <c r="AWR37" s="49"/>
      <c r="AWS37" s="49"/>
      <c r="AWT37" s="42">
        <f t="shared" si="2203"/>
        <v>300</v>
      </c>
      <c r="AWU37" s="43">
        <f t="shared" si="2204"/>
        <v>50</v>
      </c>
      <c r="AWV37" s="48"/>
      <c r="AWW37" s="49"/>
      <c r="AWX37" s="49"/>
      <c r="AWY37" s="49"/>
      <c r="AWZ37" s="49"/>
      <c r="AXA37" s="49"/>
      <c r="AXB37" s="42">
        <f t="shared" si="2205"/>
        <v>0</v>
      </c>
      <c r="AXC37" s="43">
        <f t="shared" si="2206"/>
        <v>0</v>
      </c>
      <c r="AXD37" s="48"/>
      <c r="AXE37" s="49"/>
      <c r="AXF37" s="49"/>
      <c r="AXG37" s="49">
        <v>1</v>
      </c>
      <c r="AXH37" s="49">
        <v>200</v>
      </c>
      <c r="AXI37" s="49"/>
      <c r="AXJ37" s="42">
        <f t="shared" si="2207"/>
        <v>201</v>
      </c>
      <c r="AXK37" s="43">
        <f t="shared" si="2208"/>
        <v>33.5</v>
      </c>
      <c r="AXL37" s="48"/>
      <c r="AXM37" s="49"/>
      <c r="AXN37" s="49"/>
      <c r="AXO37" s="49"/>
      <c r="AXP37" s="49"/>
      <c r="AXQ37" s="49"/>
      <c r="AXR37" s="42">
        <f t="shared" si="2209"/>
        <v>0</v>
      </c>
      <c r="AXS37" s="43">
        <f t="shared" si="2210"/>
        <v>0</v>
      </c>
      <c r="AXT37" s="48"/>
      <c r="AXU37" s="49"/>
      <c r="AXV37" s="49">
        <v>100</v>
      </c>
      <c r="AXW37" s="49">
        <v>99</v>
      </c>
      <c r="AXX37" s="49"/>
      <c r="AXY37" s="49"/>
      <c r="AXZ37" s="42">
        <f t="shared" si="2211"/>
        <v>199</v>
      </c>
      <c r="AYA37" s="43">
        <f t="shared" si="2212"/>
        <v>33.166666666666664</v>
      </c>
      <c r="AYB37" s="48"/>
      <c r="AYC37" s="49"/>
      <c r="AYD37" s="49"/>
      <c r="AYE37" s="49"/>
      <c r="AYF37" s="49"/>
      <c r="AYG37" s="49"/>
      <c r="AYH37" s="42">
        <f t="shared" si="2213"/>
        <v>0</v>
      </c>
      <c r="AYI37" s="43">
        <f t="shared" si="2214"/>
        <v>0</v>
      </c>
      <c r="AYJ37" s="48"/>
      <c r="AYK37" s="49"/>
      <c r="AYL37" s="49"/>
      <c r="AYM37" s="49">
        <v>100</v>
      </c>
      <c r="AYN37" s="49"/>
      <c r="AYO37" s="49"/>
      <c r="AYP37" s="42">
        <f t="shared" si="2215"/>
        <v>100</v>
      </c>
      <c r="AYQ37" s="43">
        <f t="shared" si="2216"/>
        <v>16.666666666666668</v>
      </c>
      <c r="AYR37" s="48"/>
      <c r="AYS37" s="49"/>
      <c r="AYT37" s="49"/>
      <c r="AYU37" s="49"/>
      <c r="AYV37" s="49"/>
      <c r="AYW37" s="49"/>
      <c r="AYX37" s="42">
        <f t="shared" si="2217"/>
        <v>0</v>
      </c>
      <c r="AYY37" s="43">
        <f t="shared" si="2218"/>
        <v>0</v>
      </c>
      <c r="AYZ37" s="48"/>
      <c r="AZA37" s="49"/>
      <c r="AZB37" s="49">
        <v>200</v>
      </c>
      <c r="AZC37" s="49"/>
      <c r="AZD37" s="49"/>
      <c r="AZE37" s="49"/>
      <c r="AZF37" s="42">
        <f t="shared" si="2219"/>
        <v>200</v>
      </c>
      <c r="AZG37" s="43">
        <f t="shared" si="2220"/>
        <v>33.333333333333336</v>
      </c>
      <c r="AZH37" s="48"/>
      <c r="AZI37" s="49"/>
      <c r="AZJ37" s="49"/>
      <c r="AZK37" s="49">
        <v>106</v>
      </c>
      <c r="AZL37" s="49"/>
      <c r="AZM37" s="49"/>
      <c r="AZN37" s="42">
        <f t="shared" si="2221"/>
        <v>106</v>
      </c>
      <c r="AZO37" s="43">
        <f t="shared" si="2222"/>
        <v>17.666666666666668</v>
      </c>
      <c r="AZP37" s="48"/>
      <c r="AZQ37" s="49">
        <v>196</v>
      </c>
      <c r="AZR37" s="49"/>
      <c r="AZS37" s="49"/>
      <c r="AZT37" s="49"/>
      <c r="AZU37" s="49"/>
      <c r="AZV37" s="42">
        <f t="shared" si="2223"/>
        <v>196</v>
      </c>
      <c r="AZW37" s="43">
        <f t="shared" si="2224"/>
        <v>32.666666666666664</v>
      </c>
      <c r="AZX37" s="82"/>
      <c r="AZY37" s="83"/>
      <c r="AZZ37" s="83"/>
      <c r="BAA37" s="83"/>
      <c r="BAB37" s="83"/>
      <c r="BAC37" s="83"/>
      <c r="BAD37" s="42">
        <f t="shared" si="2225"/>
        <v>0</v>
      </c>
      <c r="BAE37" s="43">
        <f t="shared" si="2226"/>
        <v>0</v>
      </c>
      <c r="BAF37" s="48"/>
      <c r="BAG37" s="49"/>
      <c r="BAH37" s="49"/>
      <c r="BAI37" s="49"/>
      <c r="BAJ37" s="49"/>
      <c r="BAK37" s="49"/>
      <c r="BAL37" s="42">
        <f t="shared" si="2227"/>
        <v>0</v>
      </c>
      <c r="BAM37" s="43">
        <f t="shared" si="2228"/>
        <v>0</v>
      </c>
      <c r="BAN37" s="48"/>
      <c r="BAO37" s="49">
        <v>200</v>
      </c>
      <c r="BAP37" s="49"/>
      <c r="BAQ37" s="49"/>
      <c r="BAR37" s="49"/>
      <c r="BAS37" s="49"/>
      <c r="BAT37" s="42">
        <f t="shared" si="2229"/>
        <v>200</v>
      </c>
      <c r="BAU37" s="43">
        <f t="shared" si="2230"/>
        <v>33.333333333333336</v>
      </c>
      <c r="BAV37" s="48"/>
      <c r="BAW37" s="49"/>
      <c r="BAX37" s="49"/>
      <c r="BAY37" s="49"/>
      <c r="BAZ37" s="49"/>
      <c r="BBA37" s="49"/>
      <c r="BBB37" s="42">
        <f t="shared" si="2231"/>
        <v>0</v>
      </c>
      <c r="BBC37" s="43">
        <f t="shared" si="2232"/>
        <v>0</v>
      </c>
      <c r="BBD37" s="48"/>
      <c r="BBE37" s="49">
        <v>283</v>
      </c>
      <c r="BBF37" s="49"/>
      <c r="BBG37" s="49"/>
      <c r="BBH37" s="49"/>
      <c r="BBI37" s="49"/>
      <c r="BBJ37" s="42">
        <f t="shared" si="2233"/>
        <v>283</v>
      </c>
      <c r="BBK37" s="43">
        <f t="shared" si="2234"/>
        <v>47.166666666666664</v>
      </c>
      <c r="BBL37" s="48"/>
      <c r="BBM37" s="49"/>
      <c r="BBN37" s="49"/>
      <c r="BBO37" s="49"/>
      <c r="BBP37" s="49">
        <v>101</v>
      </c>
      <c r="BBQ37" s="49"/>
      <c r="BBR37" s="42">
        <f t="shared" si="2235"/>
        <v>101</v>
      </c>
      <c r="BBS37" s="43">
        <f t="shared" si="2236"/>
        <v>16.833333333333332</v>
      </c>
      <c r="BBT37" s="48"/>
      <c r="BBU37" s="49"/>
      <c r="BBV37" s="49"/>
      <c r="BBW37" s="49"/>
      <c r="BBX37" s="49"/>
      <c r="BBY37" s="49"/>
      <c r="BBZ37" s="42">
        <f t="shared" si="2237"/>
        <v>0</v>
      </c>
      <c r="BCA37" s="43">
        <f t="shared" si="2238"/>
        <v>0</v>
      </c>
      <c r="BCB37" s="48"/>
      <c r="BCC37" s="49"/>
      <c r="BCD37" s="49">
        <v>200</v>
      </c>
      <c r="BCE37" s="49"/>
      <c r="BCF37" s="49"/>
      <c r="BCG37" s="49"/>
      <c r="BCH37" s="42">
        <f t="shared" si="2239"/>
        <v>200</v>
      </c>
      <c r="BCI37" s="43">
        <f t="shared" si="2240"/>
        <v>33.333333333333336</v>
      </c>
      <c r="BCJ37" s="48"/>
      <c r="BCK37" s="49"/>
      <c r="BCL37" s="49"/>
      <c r="BCM37" s="49"/>
      <c r="BCN37" s="49"/>
      <c r="BCO37" s="49"/>
      <c r="BCP37" s="42">
        <f t="shared" si="2241"/>
        <v>0</v>
      </c>
      <c r="BCQ37" s="43">
        <f t="shared" si="2242"/>
        <v>0</v>
      </c>
      <c r="BCR37" s="48"/>
      <c r="BCS37" s="49"/>
      <c r="BCT37" s="49"/>
      <c r="BCU37" s="49">
        <v>501</v>
      </c>
      <c r="BCV37" s="49"/>
      <c r="BCW37" s="49"/>
      <c r="BCX37" s="42">
        <f t="shared" si="2243"/>
        <v>501</v>
      </c>
      <c r="BCY37" s="43">
        <f t="shared" si="2244"/>
        <v>83.5</v>
      </c>
      <c r="BCZ37" s="48"/>
      <c r="BDA37" s="49"/>
      <c r="BDB37" s="49"/>
      <c r="BDC37" s="49"/>
      <c r="BDD37" s="49"/>
      <c r="BDE37" s="49"/>
      <c r="BDF37" s="42">
        <f t="shared" si="2245"/>
        <v>0</v>
      </c>
      <c r="BDG37" s="43">
        <f t="shared" si="2246"/>
        <v>0</v>
      </c>
      <c r="BDH37" s="48"/>
      <c r="BDI37" s="49"/>
      <c r="BDJ37" s="49">
        <v>100</v>
      </c>
      <c r="BDK37" s="49"/>
      <c r="BDL37" s="49"/>
      <c r="BDM37" s="49"/>
      <c r="BDN37" s="42">
        <f t="shared" si="2247"/>
        <v>100</v>
      </c>
      <c r="BDO37" s="43">
        <f t="shared" si="2248"/>
        <v>16.666666666666668</v>
      </c>
      <c r="BDP37" s="48"/>
      <c r="BDQ37" s="49"/>
      <c r="BDR37" s="49"/>
      <c r="BDS37" s="49"/>
      <c r="BDT37" s="49"/>
      <c r="BDU37" s="49"/>
      <c r="BDV37" s="42">
        <f t="shared" si="2249"/>
        <v>0</v>
      </c>
      <c r="BDW37" s="43">
        <f t="shared" si="2250"/>
        <v>0</v>
      </c>
      <c r="BDX37" s="48"/>
      <c r="BDY37" s="49"/>
      <c r="BDZ37" s="49">
        <v>200</v>
      </c>
      <c r="BEA37" s="49"/>
      <c r="BEB37" s="49"/>
      <c r="BEC37" s="49"/>
      <c r="BED37" s="42">
        <f t="shared" si="2251"/>
        <v>200</v>
      </c>
      <c r="BEE37" s="43">
        <f t="shared" si="2252"/>
        <v>33.333333333333336</v>
      </c>
      <c r="BEF37" s="48"/>
      <c r="BEG37" s="49"/>
      <c r="BEH37" s="49"/>
      <c r="BEI37" s="49"/>
      <c r="BEJ37" s="49"/>
      <c r="BEK37" s="49">
        <v>100</v>
      </c>
      <c r="BEL37" s="42">
        <f t="shared" si="2253"/>
        <v>100</v>
      </c>
      <c r="BEM37" s="43">
        <f t="shared" si="2254"/>
        <v>16.666666666666668</v>
      </c>
      <c r="BEN37" s="48">
        <v>100</v>
      </c>
      <c r="BEO37" s="49"/>
      <c r="BEP37" s="49"/>
      <c r="BEQ37" s="49"/>
      <c r="BER37" s="49"/>
      <c r="BES37" s="49"/>
      <c r="BET37" s="42">
        <f t="shared" si="2255"/>
        <v>100</v>
      </c>
      <c r="BEU37" s="43">
        <f t="shared" si="2256"/>
        <v>16.666666666666668</v>
      </c>
      <c r="BEV37" s="82">
        <v>101</v>
      </c>
      <c r="BEW37" s="83"/>
      <c r="BEX37" s="83"/>
      <c r="BEY37" s="83"/>
      <c r="BEZ37" s="83">
        <v>200</v>
      </c>
      <c r="BFA37" s="83"/>
      <c r="BFB37" s="42">
        <f t="shared" si="2257"/>
        <v>301</v>
      </c>
      <c r="BFC37" s="43">
        <f t="shared" si="2258"/>
        <v>50.166666666666664</v>
      </c>
      <c r="BFD37" s="48"/>
      <c r="BFE37" s="49"/>
      <c r="BFF37" s="49"/>
      <c r="BFG37" s="49"/>
      <c r="BFH37" s="49"/>
      <c r="BFI37" s="49">
        <v>200</v>
      </c>
      <c r="BFJ37" s="42">
        <f t="shared" si="2259"/>
        <v>200</v>
      </c>
      <c r="BFK37" s="43">
        <f t="shared" si="2260"/>
        <v>33.333333333333336</v>
      </c>
      <c r="BFL37" s="48"/>
      <c r="BFM37" s="49"/>
      <c r="BFN37" s="49"/>
      <c r="BFO37" s="49">
        <v>110</v>
      </c>
      <c r="BFP37" s="49"/>
      <c r="BFQ37" s="49"/>
      <c r="BFR37" s="42">
        <f t="shared" si="2261"/>
        <v>110</v>
      </c>
      <c r="BFS37" s="43">
        <f t="shared" si="2262"/>
        <v>18.333333333333332</v>
      </c>
      <c r="BFT37" s="48">
        <v>160</v>
      </c>
      <c r="BFU37" s="49"/>
      <c r="BFV37" s="49"/>
      <c r="BFW37" s="49"/>
      <c r="BFX37" s="49"/>
      <c r="BFY37" s="49"/>
      <c r="BFZ37" s="42">
        <f t="shared" si="2263"/>
        <v>160</v>
      </c>
      <c r="BGA37" s="43">
        <f t="shared" si="2264"/>
        <v>26.666666666666668</v>
      </c>
      <c r="BGB37" s="48"/>
      <c r="BGC37" s="49"/>
      <c r="BGD37" s="49">
        <v>205</v>
      </c>
      <c r="BGE37" s="49"/>
      <c r="BGF37" s="49"/>
      <c r="BGG37" s="49"/>
      <c r="BGH37" s="42">
        <f t="shared" si="2265"/>
        <v>205</v>
      </c>
      <c r="BGI37" s="43">
        <f t="shared" si="2266"/>
        <v>34.166666666666664</v>
      </c>
      <c r="BGJ37" s="48"/>
      <c r="BGK37" s="49"/>
      <c r="BGL37" s="49"/>
      <c r="BGM37" s="49"/>
      <c r="BGN37" s="49"/>
      <c r="BGO37" s="49"/>
      <c r="BGP37" s="42">
        <f t="shared" si="2267"/>
        <v>0</v>
      </c>
      <c r="BGQ37" s="43">
        <f t="shared" si="2268"/>
        <v>0</v>
      </c>
      <c r="BGR37" s="48">
        <v>200</v>
      </c>
      <c r="BGS37" s="49"/>
      <c r="BGT37" s="49"/>
      <c r="BGU37" s="49"/>
      <c r="BGV37" s="49"/>
      <c r="BGW37" s="49"/>
      <c r="BGX37" s="42">
        <f t="shared" si="2269"/>
        <v>200</v>
      </c>
      <c r="BGY37" s="43">
        <f t="shared" si="2270"/>
        <v>33.333333333333336</v>
      </c>
      <c r="BGZ37" s="239"/>
      <c r="BHA37" s="1"/>
      <c r="BHB37" s="1"/>
      <c r="BHC37" s="1"/>
      <c r="BHD37" s="1">
        <v>200</v>
      </c>
      <c r="BHE37" s="1"/>
      <c r="BHF37" s="42">
        <f t="shared" si="2271"/>
        <v>200</v>
      </c>
      <c r="BHG37" s="43">
        <f t="shared" si="2272"/>
        <v>33.333333333333336</v>
      </c>
      <c r="BHH37" s="48"/>
      <c r="BHI37" s="49"/>
      <c r="BHJ37" s="49"/>
      <c r="BHK37" s="49">
        <v>200</v>
      </c>
      <c r="BHL37" s="49"/>
      <c r="BHM37" s="49"/>
      <c r="BHN37" s="42">
        <f t="shared" si="2273"/>
        <v>200</v>
      </c>
      <c r="BHO37" s="43">
        <f t="shared" si="2274"/>
        <v>33.333333333333336</v>
      </c>
      <c r="BHP37" s="48"/>
      <c r="BHQ37" s="49"/>
      <c r="BHR37" s="49"/>
      <c r="BHS37" s="49">
        <v>200</v>
      </c>
      <c r="BHT37" s="49"/>
      <c r="BHU37" s="49"/>
      <c r="BHV37" s="42">
        <f t="shared" si="2275"/>
        <v>200</v>
      </c>
      <c r="BHW37" s="43">
        <f t="shared" si="2276"/>
        <v>33.333333333333336</v>
      </c>
      <c r="BHX37" s="48"/>
      <c r="BHY37" s="49"/>
      <c r="BHZ37" s="49"/>
      <c r="BIA37" s="49"/>
      <c r="BIB37" s="49">
        <v>200</v>
      </c>
      <c r="BIC37" s="49">
        <v>200</v>
      </c>
      <c r="BID37" s="42">
        <f t="shared" si="2277"/>
        <v>400</v>
      </c>
      <c r="BIE37" s="43">
        <f t="shared" si="2278"/>
        <v>66.666666666666671</v>
      </c>
      <c r="BIF37" s="48"/>
      <c r="BIG37" s="49"/>
      <c r="BIH37" s="49"/>
      <c r="BII37" s="49">
        <v>200</v>
      </c>
      <c r="BIJ37" s="49"/>
      <c r="BIK37" s="49"/>
      <c r="BIL37" s="42">
        <f t="shared" si="2279"/>
        <v>200</v>
      </c>
      <c r="BIM37" s="43">
        <f t="shared" si="2280"/>
        <v>33.333333333333336</v>
      </c>
      <c r="BIN37" s="48"/>
      <c r="BIO37" s="49"/>
      <c r="BIP37" s="49"/>
      <c r="BIQ37" s="49"/>
      <c r="BIR37" s="49"/>
      <c r="BIS37" s="49"/>
      <c r="BIT37" s="42">
        <f t="shared" si="2281"/>
        <v>0</v>
      </c>
      <c r="BIU37" s="101">
        <f t="shared" si="2282"/>
        <v>0</v>
      </c>
      <c r="BIV37" s="195"/>
      <c r="BIW37" s="49"/>
      <c r="BIX37" s="49">
        <v>300</v>
      </c>
      <c r="BIY37" s="49"/>
      <c r="BIZ37" s="49"/>
      <c r="BJA37" s="49"/>
      <c r="BJB37" s="42">
        <f t="shared" si="2283"/>
        <v>300</v>
      </c>
      <c r="BJC37" s="101">
        <f t="shared" si="2284"/>
        <v>50</v>
      </c>
      <c r="BJD37" s="48"/>
      <c r="BJE37" s="49"/>
      <c r="BJF37" s="49"/>
      <c r="BJG37" s="49"/>
      <c r="BJH37" s="49"/>
      <c r="BJI37" s="49"/>
      <c r="BJJ37" s="42">
        <f t="shared" si="2285"/>
        <v>0</v>
      </c>
      <c r="BJK37" s="43">
        <f t="shared" si="2286"/>
        <v>0</v>
      </c>
      <c r="BJL37" s="48"/>
      <c r="BJM37" s="49"/>
      <c r="BJN37" s="49"/>
      <c r="BJO37" s="49"/>
      <c r="BJP37" s="49"/>
      <c r="BJQ37" s="49"/>
      <c r="BJR37" s="42">
        <f t="shared" si="2287"/>
        <v>0</v>
      </c>
      <c r="BJS37" s="43">
        <f t="shared" si="2288"/>
        <v>0</v>
      </c>
      <c r="BJT37" s="48"/>
      <c r="BJU37" s="49"/>
      <c r="BJV37" s="49"/>
      <c r="BJW37" s="49"/>
      <c r="BJX37" s="49"/>
      <c r="BJY37" s="49"/>
      <c r="BJZ37" s="42">
        <f t="shared" si="2289"/>
        <v>0</v>
      </c>
      <c r="BKA37" s="43">
        <f t="shared" si="2290"/>
        <v>0</v>
      </c>
      <c r="BKB37" s="48"/>
      <c r="BKC37" s="49">
        <v>100</v>
      </c>
      <c r="BKD37" s="49"/>
      <c r="BKE37" s="49"/>
      <c r="BKF37" s="49">
        <v>100</v>
      </c>
      <c r="BKG37" s="49"/>
      <c r="BKH37" s="67">
        <f t="shared" si="2291"/>
        <v>200</v>
      </c>
      <c r="BKI37" s="68">
        <f t="shared" si="2292"/>
        <v>33.333333333333336</v>
      </c>
      <c r="BKJ37" s="48"/>
      <c r="BKK37" s="49"/>
      <c r="BKL37" s="49"/>
      <c r="BKM37" s="49"/>
      <c r="BKN37" s="49">
        <v>89</v>
      </c>
      <c r="BKO37" s="49"/>
      <c r="BKP37" s="42">
        <f t="shared" si="2293"/>
        <v>89</v>
      </c>
      <c r="BKQ37" s="43">
        <f t="shared" si="2294"/>
        <v>14.833333333333334</v>
      </c>
      <c r="BKR37" s="48"/>
      <c r="BKS37" s="49"/>
      <c r="BKT37" s="49">
        <v>110</v>
      </c>
      <c r="BKU37" s="49"/>
      <c r="BKV37" s="49"/>
      <c r="BKW37" s="49"/>
      <c r="BKX37" s="42">
        <f t="shared" si="2295"/>
        <v>110</v>
      </c>
      <c r="BKY37" s="43">
        <f t="shared" si="2296"/>
        <v>18.333333333333332</v>
      </c>
      <c r="BKZ37" s="48"/>
      <c r="BLA37" s="49"/>
      <c r="BLB37" s="49"/>
      <c r="BLC37" s="49">
        <v>198</v>
      </c>
      <c r="BLD37" s="49"/>
      <c r="BLE37" s="49"/>
      <c r="BLF37" s="42">
        <f t="shared" si="2297"/>
        <v>198</v>
      </c>
      <c r="BLG37" s="43">
        <f t="shared" si="2298"/>
        <v>33</v>
      </c>
      <c r="BLH37" s="48"/>
      <c r="BLI37" s="49"/>
      <c r="BLJ37" s="49"/>
      <c r="BLK37" s="49"/>
      <c r="BLL37" s="49"/>
      <c r="BLM37" s="49"/>
      <c r="BLN37" s="42">
        <f t="shared" si="2299"/>
        <v>0</v>
      </c>
      <c r="BLO37" s="43">
        <f t="shared" si="2300"/>
        <v>0</v>
      </c>
      <c r="BLP37" s="48"/>
      <c r="BLQ37" s="49"/>
      <c r="BLR37" s="49"/>
      <c r="BLS37" s="49"/>
      <c r="BLT37" s="49"/>
      <c r="BLU37" s="49"/>
      <c r="BLV37" s="42">
        <f t="shared" si="2301"/>
        <v>0</v>
      </c>
      <c r="BLW37" s="43">
        <f t="shared" si="2302"/>
        <v>0</v>
      </c>
      <c r="BLX37" s="48"/>
      <c r="BLY37" s="49"/>
      <c r="BLZ37" s="49"/>
      <c r="BMA37" s="49"/>
      <c r="BMB37" s="49"/>
      <c r="BMC37" s="49"/>
      <c r="BMD37" s="42">
        <f t="shared" si="2303"/>
        <v>0</v>
      </c>
      <c r="BME37" s="43">
        <f t="shared" si="2304"/>
        <v>0</v>
      </c>
      <c r="BMF37" s="48"/>
      <c r="BMG37" s="49"/>
      <c r="BMH37" s="49">
        <v>120</v>
      </c>
      <c r="BMI37" s="49"/>
      <c r="BMJ37" s="49"/>
      <c r="BMK37" s="49"/>
      <c r="BML37" s="42">
        <f t="shared" si="2305"/>
        <v>120</v>
      </c>
      <c r="BMM37" s="43">
        <f t="shared" si="2306"/>
        <v>20</v>
      </c>
      <c r="BMN37" s="48"/>
      <c r="BMO37" s="49"/>
      <c r="BMP37" s="49">
        <v>200</v>
      </c>
      <c r="BMQ37" s="49"/>
      <c r="BMR37" s="49"/>
      <c r="BMS37" s="49"/>
      <c r="BMT37" s="42">
        <f t="shared" si="2307"/>
        <v>200</v>
      </c>
      <c r="BMU37" s="43">
        <f t="shared" si="2308"/>
        <v>33.333333333333336</v>
      </c>
      <c r="BMV37" s="48"/>
      <c r="BMW37" s="49"/>
      <c r="BMX37" s="49"/>
      <c r="BMY37" s="49"/>
      <c r="BMZ37" s="49"/>
      <c r="BNA37" s="49"/>
      <c r="BNB37" s="42">
        <f t="shared" si="2309"/>
        <v>0</v>
      </c>
      <c r="BNC37" s="43">
        <f t="shared" si="2310"/>
        <v>0</v>
      </c>
      <c r="BND37" s="48"/>
      <c r="BNE37" s="49"/>
      <c r="BNF37" s="49"/>
      <c r="BNG37" s="49">
        <v>100</v>
      </c>
      <c r="BNH37" s="49"/>
      <c r="BNI37" s="49"/>
      <c r="BNJ37" s="42">
        <f t="shared" si="2311"/>
        <v>100</v>
      </c>
      <c r="BNK37" s="43">
        <f t="shared" si="2312"/>
        <v>16.666666666666668</v>
      </c>
      <c r="BNL37" s="48"/>
      <c r="BNM37" s="49">
        <v>100</v>
      </c>
      <c r="BNN37" s="49"/>
      <c r="BNO37" s="49"/>
      <c r="BNP37" s="49">
        <v>100</v>
      </c>
      <c r="BNQ37" s="49">
        <v>100</v>
      </c>
      <c r="BNR37" s="42">
        <f t="shared" si="2313"/>
        <v>300</v>
      </c>
      <c r="BNS37" s="43">
        <f t="shared" si="2314"/>
        <v>50</v>
      </c>
      <c r="BNT37" s="48"/>
      <c r="BNU37" s="49"/>
      <c r="BNV37" s="49"/>
      <c r="BNW37" s="49"/>
      <c r="BNX37" s="49"/>
      <c r="BNY37" s="49"/>
      <c r="BNZ37" s="42">
        <f t="shared" si="2315"/>
        <v>0</v>
      </c>
      <c r="BOA37" s="43">
        <f t="shared" si="2316"/>
        <v>0</v>
      </c>
      <c r="BOB37" s="48"/>
      <c r="BOC37" s="49">
        <v>100</v>
      </c>
      <c r="BOD37" s="49"/>
      <c r="BOE37" s="49"/>
      <c r="BOF37" s="49"/>
      <c r="BOG37" s="49"/>
      <c r="BOH37" s="42">
        <f t="shared" si="2317"/>
        <v>100</v>
      </c>
      <c r="BOI37" s="43">
        <f t="shared" si="2318"/>
        <v>16.666666666666668</v>
      </c>
      <c r="BOJ37" s="48"/>
      <c r="BOK37" s="49"/>
      <c r="BOL37" s="49"/>
      <c r="BOM37" s="49"/>
      <c r="BON37" s="49">
        <v>200</v>
      </c>
      <c r="BOO37" s="49"/>
      <c r="BOP37" s="42">
        <f t="shared" si="2319"/>
        <v>200</v>
      </c>
      <c r="BOQ37" s="43">
        <f t="shared" si="2320"/>
        <v>33.333333333333336</v>
      </c>
      <c r="BOR37" s="48"/>
      <c r="BOS37" s="49"/>
      <c r="BOT37" s="49"/>
      <c r="BOU37" s="49"/>
      <c r="BOV37" s="49">
        <v>60</v>
      </c>
      <c r="BOW37" s="49"/>
      <c r="BOX37" s="42">
        <f t="shared" si="2321"/>
        <v>60</v>
      </c>
      <c r="BOY37" s="43">
        <f t="shared" si="2322"/>
        <v>10</v>
      </c>
      <c r="BOZ37" s="48"/>
      <c r="BPA37" s="49">
        <v>100</v>
      </c>
      <c r="BPB37" s="49"/>
      <c r="BPC37" s="49"/>
      <c r="BPD37" s="49"/>
      <c r="BPE37" s="49"/>
      <c r="BPF37" s="42">
        <f t="shared" si="2323"/>
        <v>100</v>
      </c>
      <c r="BPG37" s="43">
        <f t="shared" si="2324"/>
        <v>16.666666666666668</v>
      </c>
      <c r="BPH37" s="48">
        <v>100</v>
      </c>
      <c r="BPI37" s="49">
        <v>100</v>
      </c>
      <c r="BPJ37" s="49">
        <v>100</v>
      </c>
      <c r="BPK37" s="49"/>
      <c r="BPL37" s="49"/>
      <c r="BPM37" s="49"/>
      <c r="BPN37" s="42">
        <f t="shared" si="2325"/>
        <v>300</v>
      </c>
      <c r="BPO37" s="43">
        <f t="shared" si="2326"/>
        <v>50</v>
      </c>
      <c r="BPP37" s="48">
        <v>100</v>
      </c>
      <c r="BPQ37" s="49"/>
      <c r="BPR37" s="49"/>
      <c r="BPS37" s="49"/>
      <c r="BPT37" s="49"/>
      <c r="BPU37" s="49"/>
      <c r="BPV37" s="42">
        <f t="shared" si="2327"/>
        <v>100</v>
      </c>
      <c r="BPW37" s="43">
        <f t="shared" si="2328"/>
        <v>16.666666666666668</v>
      </c>
      <c r="BPX37" s="48">
        <v>100</v>
      </c>
      <c r="BPY37" s="49"/>
      <c r="BPZ37" s="49"/>
      <c r="BQA37" s="49"/>
      <c r="BQB37" s="49"/>
      <c r="BQC37" s="49">
        <v>198</v>
      </c>
      <c r="BQD37" s="67">
        <f t="shared" si="2329"/>
        <v>298</v>
      </c>
      <c r="BQE37" s="43">
        <f t="shared" si="2330"/>
        <v>49.666666666666664</v>
      </c>
      <c r="BQF37" s="48"/>
      <c r="BQG37" s="49"/>
      <c r="BQH37" s="49"/>
      <c r="BQI37" s="49"/>
      <c r="BQJ37" s="49"/>
      <c r="BQK37" s="49"/>
      <c r="BQL37" s="67">
        <f t="shared" si="2331"/>
        <v>0</v>
      </c>
      <c r="BQM37" s="43">
        <f t="shared" si="2332"/>
        <v>0</v>
      </c>
      <c r="BQN37" s="48"/>
      <c r="BQO37" s="49">
        <v>98</v>
      </c>
      <c r="BQP37" s="49"/>
      <c r="BQQ37" s="49"/>
      <c r="BQR37" s="49"/>
      <c r="BQS37" s="49"/>
      <c r="BQT37" s="67">
        <f t="shared" si="2333"/>
        <v>98</v>
      </c>
      <c r="BQU37" s="43">
        <f t="shared" si="2334"/>
        <v>16.333333333333332</v>
      </c>
      <c r="BQV37" s="48"/>
      <c r="BQW37" s="49"/>
      <c r="BQX37" s="49"/>
      <c r="BQY37" s="49">
        <v>198</v>
      </c>
      <c r="BQZ37" s="49"/>
      <c r="BRA37" s="49">
        <v>100</v>
      </c>
      <c r="BRB37" s="67">
        <f t="shared" si="2335"/>
        <v>298</v>
      </c>
      <c r="BRC37" s="43">
        <f t="shared" si="2336"/>
        <v>49.666666666666664</v>
      </c>
      <c r="BRD37" s="48"/>
      <c r="BRE37" s="49"/>
      <c r="BRF37" s="49">
        <v>241</v>
      </c>
      <c r="BRG37" s="49"/>
      <c r="BRH37" s="49"/>
      <c r="BRI37" s="49"/>
      <c r="BRJ37" s="67">
        <f t="shared" si="2337"/>
        <v>241</v>
      </c>
      <c r="BRK37" s="43">
        <f t="shared" si="2338"/>
        <v>40.166666666666664</v>
      </c>
      <c r="BRL37" s="48"/>
      <c r="BRM37" s="49"/>
      <c r="BRN37" s="49"/>
      <c r="BRO37" s="49">
        <v>100</v>
      </c>
      <c r="BRP37" s="49">
        <v>100</v>
      </c>
      <c r="BRQ37" s="49">
        <v>200</v>
      </c>
      <c r="BRR37" s="67">
        <f t="shared" si="2339"/>
        <v>400</v>
      </c>
      <c r="BRS37" s="68">
        <f t="shared" si="2340"/>
        <v>66.666666666666671</v>
      </c>
      <c r="BRT37" s="63"/>
      <c r="BRU37" s="64"/>
      <c r="BRV37" s="64"/>
      <c r="BRW37" s="64"/>
      <c r="BRX37" s="64"/>
      <c r="BRY37" s="64"/>
      <c r="BRZ37" s="67">
        <f t="shared" si="2341"/>
        <v>0</v>
      </c>
      <c r="BSA37" s="43">
        <f t="shared" si="2342"/>
        <v>0</v>
      </c>
      <c r="BSB37" s="48">
        <v>600</v>
      </c>
      <c r="BSC37" s="49"/>
      <c r="BSD37" s="49"/>
      <c r="BSE37" s="49"/>
      <c r="BSF37" s="49"/>
      <c r="BSG37" s="49"/>
      <c r="BSH37" s="67">
        <f t="shared" si="2343"/>
        <v>600</v>
      </c>
      <c r="BSI37" s="43">
        <f t="shared" si="2344"/>
        <v>100</v>
      </c>
      <c r="BSJ37" s="48"/>
      <c r="BSK37" s="49"/>
      <c r="BSL37" s="49"/>
      <c r="BSM37" s="49"/>
      <c r="BSN37" s="49"/>
      <c r="BSO37" s="49"/>
      <c r="BSP37" s="67">
        <f t="shared" si="2345"/>
        <v>0</v>
      </c>
      <c r="BSQ37" s="43">
        <f t="shared" si="2346"/>
        <v>0</v>
      </c>
      <c r="BSR37" s="48"/>
      <c r="BSS37" s="49"/>
      <c r="BST37" s="49"/>
      <c r="BSU37" s="49"/>
      <c r="BSV37" s="49"/>
      <c r="BSW37" s="49"/>
      <c r="BSX37" s="67">
        <f t="shared" si="2347"/>
        <v>0</v>
      </c>
      <c r="BSY37" s="43">
        <f t="shared" si="2348"/>
        <v>0</v>
      </c>
      <c r="BSZ37" s="48"/>
      <c r="BTA37" s="49">
        <v>100</v>
      </c>
      <c r="BTB37" s="49"/>
      <c r="BTC37" s="49"/>
      <c r="BTD37" s="49">
        <v>139</v>
      </c>
      <c r="BTE37" s="49"/>
      <c r="BTF37" s="67">
        <f t="shared" si="2349"/>
        <v>239</v>
      </c>
      <c r="BTG37" s="43">
        <f t="shared" si="2350"/>
        <v>39.833333333333336</v>
      </c>
      <c r="BTH37" s="48"/>
      <c r="BTI37" s="49"/>
      <c r="BTJ37" s="49"/>
      <c r="BTK37" s="49"/>
      <c r="BTL37" s="49"/>
      <c r="BTM37" s="49"/>
      <c r="BTN37" s="67">
        <f t="shared" si="2351"/>
        <v>0</v>
      </c>
      <c r="BTO37" s="68">
        <f t="shared" si="2352"/>
        <v>0</v>
      </c>
      <c r="BTP37" s="48"/>
      <c r="BTQ37" s="49"/>
      <c r="BTR37" s="49"/>
      <c r="BTS37" s="49"/>
      <c r="BTT37" s="49"/>
      <c r="BTU37" s="49">
        <v>159</v>
      </c>
      <c r="BTV37" s="67">
        <f t="shared" si="2353"/>
        <v>159</v>
      </c>
      <c r="BTW37" s="43">
        <f t="shared" si="2354"/>
        <v>26.5</v>
      </c>
      <c r="BTX37" s="48"/>
      <c r="BTY37" s="49"/>
      <c r="BTZ37" s="49"/>
      <c r="BUA37" s="49">
        <v>300</v>
      </c>
      <c r="BUB37" s="49"/>
      <c r="BUC37" s="49"/>
      <c r="BUD37" s="67">
        <f t="shared" si="2355"/>
        <v>300</v>
      </c>
      <c r="BUE37" s="68">
        <f t="shared" si="2356"/>
        <v>50</v>
      </c>
      <c r="BUF37" s="48"/>
      <c r="BUG37" s="49"/>
      <c r="BUH37" s="49">
        <v>200</v>
      </c>
      <c r="BUI37" s="49"/>
      <c r="BUJ37" s="49"/>
      <c r="BUK37" s="49"/>
      <c r="BUL37" s="67">
        <f t="shared" si="2357"/>
        <v>200</v>
      </c>
      <c r="BUM37" s="68">
        <f t="shared" si="2358"/>
        <v>33.333333333333336</v>
      </c>
      <c r="BUN37" s="48">
        <v>199</v>
      </c>
      <c r="BUO37" s="49"/>
      <c r="BUP37" s="49"/>
      <c r="BUQ37" s="49"/>
      <c r="BUR37" s="49"/>
      <c r="BUS37" s="49"/>
      <c r="BUT37" s="67">
        <f t="shared" si="2359"/>
        <v>199</v>
      </c>
      <c r="BUU37" s="68">
        <f t="shared" si="2360"/>
        <v>33.166666666666664</v>
      </c>
      <c r="BUV37" s="48"/>
      <c r="BUW37" s="49">
        <v>100</v>
      </c>
      <c r="BUX37" s="49"/>
      <c r="BUY37" s="49"/>
      <c r="BUZ37" s="49"/>
      <c r="BVA37" s="49"/>
      <c r="BVB37" s="67">
        <f t="shared" si="2361"/>
        <v>100</v>
      </c>
      <c r="BVC37" s="68">
        <f t="shared" si="2362"/>
        <v>16.666666666666668</v>
      </c>
      <c r="BVD37" s="48"/>
      <c r="BVE37" s="49"/>
      <c r="BVF37" s="49">
        <v>198</v>
      </c>
      <c r="BVG37" s="49"/>
      <c r="BVH37" s="49"/>
      <c r="BVI37" s="49"/>
      <c r="BVJ37" s="67">
        <f t="shared" si="2363"/>
        <v>198</v>
      </c>
      <c r="BVK37" s="68">
        <f t="shared" si="2364"/>
        <v>33</v>
      </c>
      <c r="BVL37" s="48">
        <v>200</v>
      </c>
      <c r="BVM37" s="49"/>
      <c r="BVN37" s="49"/>
      <c r="BVO37" s="49"/>
      <c r="BVP37" s="49"/>
      <c r="BVQ37" s="49"/>
      <c r="BVR37" s="67">
        <f t="shared" si="2365"/>
        <v>200</v>
      </c>
      <c r="BVS37" s="68">
        <f t="shared" si="2366"/>
        <v>33.333333333333336</v>
      </c>
      <c r="BVT37" s="48"/>
      <c r="BVU37" s="49">
        <v>100</v>
      </c>
      <c r="BVV37" s="49">
        <v>100</v>
      </c>
      <c r="BVW37" s="49"/>
      <c r="BVX37" s="49">
        <v>200</v>
      </c>
      <c r="BVY37" s="49"/>
      <c r="BVZ37" s="67">
        <f t="shared" si="2367"/>
        <v>400</v>
      </c>
      <c r="BWA37" s="68">
        <f t="shared" si="2368"/>
        <v>66.666666666666671</v>
      </c>
      <c r="BWB37" s="48"/>
      <c r="BWC37" s="49"/>
      <c r="BWD37" s="49"/>
      <c r="BWE37" s="49"/>
      <c r="BWF37" s="49">
        <v>160</v>
      </c>
      <c r="BWG37" s="49"/>
      <c r="BWH37" s="67">
        <f t="shared" si="2369"/>
        <v>160</v>
      </c>
      <c r="BWI37" s="68">
        <f t="shared" si="2370"/>
        <v>26.666666666666668</v>
      </c>
      <c r="BWJ37" s="48"/>
      <c r="BWK37" s="49"/>
      <c r="BWL37" s="49"/>
      <c r="BWM37" s="49"/>
      <c r="BWN37" s="49"/>
      <c r="BWO37" s="49">
        <v>208</v>
      </c>
      <c r="BWP37" s="67">
        <f t="shared" si="2371"/>
        <v>208</v>
      </c>
      <c r="BWQ37" s="68">
        <f t="shared" si="2372"/>
        <v>34.666666666666664</v>
      </c>
      <c r="BWR37" s="48"/>
      <c r="BWS37" s="49"/>
      <c r="BWT37" s="49">
        <v>100</v>
      </c>
      <c r="BWU37" s="49"/>
      <c r="BWV37" s="49"/>
      <c r="BWW37" s="49"/>
      <c r="BWX37" s="67">
        <f t="shared" si="2373"/>
        <v>100</v>
      </c>
      <c r="BWY37" s="68">
        <f t="shared" si="2374"/>
        <v>16.666666666666668</v>
      </c>
      <c r="BWZ37" s="48"/>
      <c r="BXA37" s="49">
        <v>200</v>
      </c>
      <c r="BXB37" s="49"/>
      <c r="BXC37" s="49"/>
      <c r="BXD37" s="49"/>
      <c r="BXE37" s="49">
        <v>199</v>
      </c>
      <c r="BXF37" s="67">
        <f t="shared" si="2375"/>
        <v>399</v>
      </c>
      <c r="BXG37" s="68">
        <f t="shared" si="2376"/>
        <v>66.5</v>
      </c>
      <c r="BXH37" s="48"/>
      <c r="BXI37" s="49">
        <v>200</v>
      </c>
      <c r="BXJ37" s="49"/>
      <c r="BXK37" s="49"/>
      <c r="BXL37" s="49"/>
      <c r="BXM37" s="49"/>
      <c r="BXN37" s="67">
        <f t="shared" si="2377"/>
        <v>200</v>
      </c>
      <c r="BXO37" s="68">
        <f t="shared" si="2378"/>
        <v>33.333333333333336</v>
      </c>
      <c r="BXP37" s="48"/>
      <c r="BXQ37" s="49"/>
      <c r="BXR37" s="49">
        <v>160</v>
      </c>
      <c r="BXS37" s="49"/>
      <c r="BXT37" s="49"/>
      <c r="BXU37" s="49">
        <v>200</v>
      </c>
      <c r="BXV37" s="67">
        <f t="shared" si="2379"/>
        <v>360</v>
      </c>
      <c r="BXW37" s="68">
        <f t="shared" si="1584"/>
        <v>60</v>
      </c>
      <c r="BXX37" s="48"/>
      <c r="BXY37" s="49">
        <v>200</v>
      </c>
      <c r="BXZ37" s="49"/>
      <c r="BYA37" s="49"/>
      <c r="BYB37" s="49"/>
      <c r="BYC37" s="49"/>
      <c r="BYD37" s="67">
        <f t="shared" si="2380"/>
        <v>200</v>
      </c>
      <c r="BYE37" s="68">
        <f t="shared" si="2381"/>
        <v>33.333333333333336</v>
      </c>
      <c r="BYF37" s="48"/>
      <c r="BYG37" s="49">
        <v>99</v>
      </c>
      <c r="BYH37" s="49"/>
      <c r="BYI37" s="49">
        <v>200</v>
      </c>
      <c r="BYJ37" s="49"/>
      <c r="BYK37" s="49"/>
      <c r="BYL37" s="67">
        <f t="shared" si="2382"/>
        <v>299</v>
      </c>
      <c r="BYM37" s="68">
        <f t="shared" si="2383"/>
        <v>49.833333333333336</v>
      </c>
      <c r="BYN37" s="48"/>
      <c r="BYO37" s="49">
        <v>304</v>
      </c>
      <c r="BYP37" s="49"/>
      <c r="BYQ37" s="49"/>
      <c r="BYR37" s="49"/>
      <c r="BYS37" s="49">
        <v>302</v>
      </c>
      <c r="BYT37" s="67">
        <f t="shared" si="2384"/>
        <v>606</v>
      </c>
      <c r="BYU37" s="68">
        <f t="shared" si="2385"/>
        <v>101</v>
      </c>
      <c r="BYV37" s="48"/>
      <c r="BYW37" s="49"/>
      <c r="BYX37" s="49"/>
      <c r="BYY37" s="49"/>
      <c r="BYZ37" s="49">
        <v>305</v>
      </c>
      <c r="BZA37" s="49"/>
      <c r="BZB37" s="67">
        <f t="shared" si="2386"/>
        <v>305</v>
      </c>
      <c r="BZC37" s="68">
        <f t="shared" si="2387"/>
        <v>50.833333333333336</v>
      </c>
      <c r="BZD37" s="48"/>
      <c r="BZE37" s="49"/>
      <c r="BZF37" s="49">
        <v>200</v>
      </c>
      <c r="BZG37" s="49"/>
      <c r="BZH37" s="49"/>
      <c r="BZI37" s="49"/>
      <c r="BZJ37" s="67">
        <f t="shared" si="2388"/>
        <v>200</v>
      </c>
      <c r="BZK37" s="68">
        <f t="shared" si="2389"/>
        <v>33.333333333333336</v>
      </c>
      <c r="BZL37" s="48"/>
      <c r="BZM37" s="49"/>
      <c r="BZN37" s="49"/>
      <c r="BZO37" s="49">
        <v>402</v>
      </c>
      <c r="BZP37" s="49"/>
      <c r="BZQ37" s="49"/>
      <c r="BZR37" s="67">
        <f t="shared" si="2390"/>
        <v>402</v>
      </c>
      <c r="BZS37" s="68">
        <f t="shared" si="2391"/>
        <v>67</v>
      </c>
      <c r="BZT37" s="48"/>
      <c r="BZU37" s="49">
        <v>100</v>
      </c>
      <c r="BZV37" s="49"/>
      <c r="BZW37" s="49"/>
      <c r="BZX37" s="49">
        <v>303</v>
      </c>
      <c r="BZY37" s="49"/>
      <c r="BZZ37" s="67">
        <f t="shared" si="2392"/>
        <v>403</v>
      </c>
      <c r="CAA37" s="68">
        <f t="shared" si="2393"/>
        <v>67.166666666666671</v>
      </c>
      <c r="CAB37" s="48"/>
      <c r="CAC37" s="49"/>
      <c r="CAD37" s="49"/>
      <c r="CAE37" s="49"/>
      <c r="CAF37" s="49"/>
      <c r="CAG37" s="49"/>
      <c r="CAH37" s="67">
        <f t="shared" si="2394"/>
        <v>0</v>
      </c>
      <c r="CAI37" s="68">
        <f t="shared" si="2395"/>
        <v>0</v>
      </c>
      <c r="CAJ37" s="48">
        <v>100</v>
      </c>
      <c r="CAK37" s="49"/>
      <c r="CAL37" s="49">
        <v>200</v>
      </c>
      <c r="CAM37" s="49"/>
      <c r="CAN37" s="49"/>
      <c r="CAO37" s="49">
        <v>100</v>
      </c>
      <c r="CAP37" s="67">
        <f t="shared" si="2396"/>
        <v>400</v>
      </c>
      <c r="CAQ37" s="68">
        <f t="shared" si="2397"/>
        <v>66.666666666666671</v>
      </c>
      <c r="CAR37" s="48">
        <v>100</v>
      </c>
      <c r="CAS37" s="49"/>
      <c r="CAT37" s="49"/>
      <c r="CAU37" s="49">
        <v>100</v>
      </c>
      <c r="CAV37" s="49"/>
      <c r="CAW37" s="49">
        <v>100</v>
      </c>
      <c r="CAX37" s="67">
        <f t="shared" si="2398"/>
        <v>300</v>
      </c>
      <c r="CAY37" s="68">
        <f t="shared" si="2399"/>
        <v>50</v>
      </c>
      <c r="CAZ37" s="48"/>
      <c r="CBA37" s="49"/>
      <c r="CBB37" s="49"/>
      <c r="CBC37" s="49"/>
      <c r="CBD37" s="49"/>
      <c r="CBE37" s="49"/>
      <c r="CBF37" s="67">
        <f t="shared" si="2400"/>
        <v>0</v>
      </c>
      <c r="CBG37" s="68">
        <f t="shared" si="2401"/>
        <v>0</v>
      </c>
      <c r="CBH37" s="48"/>
      <c r="CBI37" s="49"/>
      <c r="CBJ37" s="49"/>
      <c r="CBK37" s="49"/>
      <c r="CBL37" s="49">
        <v>200</v>
      </c>
      <c r="CBM37" s="49"/>
      <c r="CBN37" s="67">
        <f t="shared" si="2402"/>
        <v>200</v>
      </c>
      <c r="CBO37" s="68">
        <f t="shared" si="2403"/>
        <v>33.333333333333336</v>
      </c>
      <c r="CBP37" s="48"/>
      <c r="CBQ37" s="49"/>
      <c r="CBR37" s="49"/>
      <c r="CBS37" s="49"/>
      <c r="CBT37" s="49">
        <v>201</v>
      </c>
      <c r="CBU37" s="49"/>
      <c r="CBV37" s="67">
        <f t="shared" si="2404"/>
        <v>201</v>
      </c>
      <c r="CBW37" s="68">
        <f t="shared" si="2405"/>
        <v>33.5</v>
      </c>
      <c r="CBX37" s="48"/>
      <c r="CBY37" s="49"/>
      <c r="CBZ37" s="49"/>
      <c r="CCA37" s="49"/>
      <c r="CCB37" s="49"/>
      <c r="CCC37" s="49"/>
      <c r="CCD37" s="67">
        <f t="shared" si="2406"/>
        <v>0</v>
      </c>
      <c r="CCE37" s="68">
        <f t="shared" si="2407"/>
        <v>0</v>
      </c>
      <c r="CCF37" s="48"/>
      <c r="CCG37" s="49"/>
      <c r="CCH37" s="49">
        <v>219</v>
      </c>
      <c r="CCI37" s="49"/>
      <c r="CCJ37" s="49"/>
      <c r="CCK37" s="49"/>
      <c r="CCL37" s="67">
        <f t="shared" si="2408"/>
        <v>219</v>
      </c>
      <c r="CCM37" s="68">
        <f t="shared" si="2409"/>
        <v>36.5</v>
      </c>
      <c r="CCN37" s="48">
        <v>100</v>
      </c>
      <c r="CCO37" s="49">
        <v>100</v>
      </c>
      <c r="CCP37" s="49"/>
      <c r="CCQ37" s="49"/>
      <c r="CCR37" s="49"/>
      <c r="CCS37" s="49"/>
      <c r="CCT37" s="67">
        <f t="shared" si="2410"/>
        <v>200</v>
      </c>
      <c r="CCU37" s="68">
        <f t="shared" si="2411"/>
        <v>33.333333333333336</v>
      </c>
      <c r="CCV37" s="48"/>
      <c r="CCW37" s="49"/>
      <c r="CCX37" s="49">
        <v>799</v>
      </c>
      <c r="CCY37" s="49"/>
      <c r="CCZ37" s="49"/>
      <c r="CDA37" s="49"/>
      <c r="CDB37" s="67">
        <f t="shared" si="1629"/>
        <v>799</v>
      </c>
      <c r="CDC37" s="68">
        <f t="shared" si="1630"/>
        <v>133.16666666666666</v>
      </c>
      <c r="CDD37" s="48">
        <v>204</v>
      </c>
      <c r="CDE37" s="49"/>
      <c r="CDF37" s="49"/>
      <c r="CDG37" s="49">
        <v>201</v>
      </c>
      <c r="CDH37" s="49"/>
      <c r="CDI37" s="49">
        <v>403</v>
      </c>
      <c r="CDJ37" s="67">
        <f t="shared" si="1631"/>
        <v>808</v>
      </c>
      <c r="CDK37" s="68">
        <f t="shared" si="1632"/>
        <v>134.66666666666666</v>
      </c>
      <c r="CDL37" s="48"/>
      <c r="CDM37" s="49"/>
      <c r="CDN37" s="49">
        <v>201</v>
      </c>
      <c r="CDO37" s="49"/>
      <c r="CDP37" s="49"/>
      <c r="CDQ37" s="49"/>
      <c r="CDR37" s="67">
        <f t="shared" si="1633"/>
        <v>201</v>
      </c>
      <c r="CDS37" s="68">
        <f t="shared" si="1634"/>
        <v>33.5</v>
      </c>
      <c r="CDT37" s="48"/>
      <c r="CDU37" s="49"/>
      <c r="CDV37" s="49"/>
      <c r="CDW37" s="49"/>
      <c r="CDX37" s="49"/>
      <c r="CDY37" s="49">
        <v>441</v>
      </c>
      <c r="CDZ37" s="67">
        <f t="shared" si="1635"/>
        <v>441</v>
      </c>
      <c r="CEA37" s="68">
        <f t="shared" si="1636"/>
        <v>73.5</v>
      </c>
      <c r="CEB37" s="48"/>
      <c r="CEC37" s="49"/>
      <c r="CED37" s="49">
        <v>381</v>
      </c>
      <c r="CEE37" s="49"/>
      <c r="CEF37" s="49"/>
      <c r="CEG37" s="49"/>
      <c r="CEH37" s="67">
        <f t="shared" si="1637"/>
        <v>381</v>
      </c>
      <c r="CEI37" s="68">
        <f t="shared" si="1638"/>
        <v>63.5</v>
      </c>
      <c r="CEJ37" s="48"/>
      <c r="CEK37" s="49"/>
      <c r="CEL37" s="49"/>
      <c r="CEM37" s="49">
        <v>603</v>
      </c>
      <c r="CEN37" s="49"/>
      <c r="CEO37" s="49"/>
      <c r="CEP37" s="67">
        <f t="shared" si="1639"/>
        <v>603</v>
      </c>
      <c r="CEQ37" s="68">
        <f t="shared" si="1640"/>
        <v>100.5</v>
      </c>
      <c r="CER37" s="48"/>
      <c r="CES37" s="49">
        <v>207</v>
      </c>
      <c r="CET37" s="49"/>
      <c r="CEU37" s="49">
        <v>850</v>
      </c>
      <c r="CEV37" s="49"/>
      <c r="CEW37" s="49"/>
      <c r="CEX37" s="67">
        <f>SUM(CER37:CEW37)+600</f>
        <v>1657</v>
      </c>
      <c r="CEY37" s="68">
        <f t="shared" si="1642"/>
        <v>276.16666666666669</v>
      </c>
      <c r="CEZ37" s="48">
        <v>200</v>
      </c>
      <c r="CFA37" s="49"/>
      <c r="CFB37" s="49"/>
      <c r="CFC37" s="49"/>
      <c r="CFD37" s="49">
        <v>430</v>
      </c>
      <c r="CFE37" s="49">
        <v>399</v>
      </c>
      <c r="CFF37" s="67">
        <f t="shared" si="1643"/>
        <v>1029</v>
      </c>
      <c r="CFG37" s="68">
        <f t="shared" si="1644"/>
        <v>171.5</v>
      </c>
      <c r="CFH37" s="48"/>
      <c r="CFI37" s="49">
        <v>640</v>
      </c>
      <c r="CFJ37" s="49"/>
      <c r="CFK37" s="49"/>
      <c r="CFL37" s="49">
        <v>81</v>
      </c>
      <c r="CFM37" s="49">
        <v>757</v>
      </c>
      <c r="CFN37" s="67">
        <f t="shared" si="1645"/>
        <v>1478</v>
      </c>
      <c r="CFO37" s="68">
        <f t="shared" si="1646"/>
        <v>246.33333333333334</v>
      </c>
      <c r="CFP37" s="48"/>
      <c r="CFQ37" s="49"/>
      <c r="CFR37" s="49"/>
      <c r="CFS37" s="49"/>
      <c r="CFT37" s="49">
        <v>330</v>
      </c>
      <c r="CFU37" s="49">
        <v>273</v>
      </c>
      <c r="CFV37" s="67">
        <f t="shared" si="1647"/>
        <v>603</v>
      </c>
      <c r="CFW37" s="68">
        <f t="shared" si="1648"/>
        <v>100.5</v>
      </c>
      <c r="CFX37" s="48"/>
      <c r="CFY37" s="49"/>
      <c r="CFZ37" s="49"/>
      <c r="CGA37" s="49">
        <v>1345</v>
      </c>
      <c r="CGB37" s="49"/>
      <c r="CGC37" s="49"/>
      <c r="CGD37" s="67">
        <f t="shared" si="1649"/>
        <v>1345</v>
      </c>
      <c r="CGE37" s="68">
        <f t="shared" si="1650"/>
        <v>224.16666666666666</v>
      </c>
      <c r="CGF37" s="48">
        <v>109</v>
      </c>
      <c r="CGG37" s="49">
        <v>387</v>
      </c>
      <c r="CGH37" s="49"/>
      <c r="CGI37" s="49"/>
      <c r="CGJ37" s="49"/>
      <c r="CGK37" s="49"/>
      <c r="CGL37" s="67">
        <f t="shared" si="1651"/>
        <v>496</v>
      </c>
      <c r="CGM37" s="68">
        <f t="shared" si="1652"/>
        <v>82.666666666666671</v>
      </c>
      <c r="CGN37" s="48"/>
      <c r="CGO37" s="49"/>
      <c r="CGP37" s="49">
        <v>1077</v>
      </c>
      <c r="CGQ37" s="49"/>
      <c r="CGR37" s="49">
        <v>220</v>
      </c>
      <c r="CGS37" s="49"/>
      <c r="CGT37" s="67">
        <f t="shared" si="1653"/>
        <v>1297</v>
      </c>
      <c r="CGU37" s="68">
        <f t="shared" si="1654"/>
        <v>216.16666666666666</v>
      </c>
      <c r="CGV37" s="48">
        <v>810</v>
      </c>
      <c r="CGW37" s="49">
        <v>110</v>
      </c>
      <c r="CGX37" s="49"/>
      <c r="CGY37" s="49"/>
      <c r="CGZ37" s="49">
        <v>319</v>
      </c>
      <c r="CHA37" s="49"/>
      <c r="CHB37" s="67">
        <f t="shared" si="1655"/>
        <v>1239</v>
      </c>
      <c r="CHC37" s="68">
        <f t="shared" si="1656"/>
        <v>206.5</v>
      </c>
      <c r="CHD37" s="48"/>
      <c r="CHE37" s="49">
        <v>952</v>
      </c>
      <c r="CHF37" s="49"/>
      <c r="CHG37" s="49"/>
      <c r="CHH37" s="49"/>
      <c r="CHI37" s="49">
        <v>297</v>
      </c>
      <c r="CHJ37" s="67">
        <f t="shared" si="1657"/>
        <v>1249</v>
      </c>
      <c r="CHK37" s="68">
        <f t="shared" si="1658"/>
        <v>208.16666666666666</v>
      </c>
      <c r="CHL37" s="48"/>
      <c r="CHM37" s="49"/>
      <c r="CHN37" s="49">
        <v>798</v>
      </c>
      <c r="CHO37" s="49"/>
      <c r="CHP37" s="49"/>
      <c r="CHQ37" s="49"/>
      <c r="CHR37" s="67">
        <f t="shared" si="1659"/>
        <v>798</v>
      </c>
      <c r="CHS37" s="68">
        <f t="shared" si="1660"/>
        <v>133</v>
      </c>
      <c r="CHT37" s="48"/>
      <c r="CHU37" s="49"/>
      <c r="CHV37" s="49"/>
      <c r="CHW37" s="49"/>
      <c r="CHX37" s="49">
        <v>1301</v>
      </c>
      <c r="CHY37" s="49"/>
      <c r="CHZ37" s="67">
        <f t="shared" si="1661"/>
        <v>1301</v>
      </c>
      <c r="CIA37" s="68">
        <f t="shared" si="1662"/>
        <v>216.83333333333334</v>
      </c>
      <c r="CIB37" s="48">
        <v>223</v>
      </c>
      <c r="CIC37" s="49"/>
      <c r="CID37" s="49"/>
      <c r="CIE37" s="49"/>
      <c r="CIF37" s="49">
        <v>779</v>
      </c>
      <c r="CIG37" s="49"/>
      <c r="CIH37" s="67">
        <f t="shared" si="1663"/>
        <v>1002</v>
      </c>
      <c r="CII37" s="68">
        <f t="shared" si="1664"/>
        <v>167</v>
      </c>
      <c r="CIJ37" s="48"/>
      <c r="CIK37" s="49"/>
      <c r="CIL37" s="49">
        <v>315</v>
      </c>
      <c r="CIM37" s="49"/>
      <c r="CIN37" s="49"/>
      <c r="CIO37" s="49"/>
      <c r="CIP37" s="67">
        <f t="shared" si="1665"/>
        <v>315</v>
      </c>
      <c r="CIQ37" s="68">
        <f t="shared" si="1666"/>
        <v>52.5</v>
      </c>
      <c r="CIR37" s="48"/>
      <c r="CIS37" s="49">
        <v>15</v>
      </c>
      <c r="CIT37" s="49"/>
      <c r="CIU37" s="49"/>
      <c r="CIV37" s="49">
        <v>330</v>
      </c>
      <c r="CIW37" s="49"/>
      <c r="CIX37" s="67">
        <f t="shared" si="1667"/>
        <v>345</v>
      </c>
      <c r="CIY37" s="68">
        <f t="shared" si="1668"/>
        <v>57.5</v>
      </c>
      <c r="CIZ37" s="63">
        <v>1091</v>
      </c>
      <c r="CJA37" s="64"/>
      <c r="CJB37" s="64">
        <v>116</v>
      </c>
      <c r="CJC37" s="64">
        <v>337</v>
      </c>
      <c r="CJD37" s="64"/>
      <c r="CJE37" s="64">
        <v>3</v>
      </c>
      <c r="CJF37" s="67">
        <f t="shared" si="1669"/>
        <v>1547</v>
      </c>
      <c r="CJG37" s="68">
        <f t="shared" si="1670"/>
        <v>257.83333333333331</v>
      </c>
      <c r="CJH37" s="48"/>
      <c r="CJI37" s="49"/>
      <c r="CJJ37" s="49">
        <v>884</v>
      </c>
      <c r="CJK37" s="49"/>
      <c r="CJL37" s="49"/>
      <c r="CJM37" s="49"/>
      <c r="CJN37" s="67">
        <f t="shared" si="1671"/>
        <v>884</v>
      </c>
      <c r="CJO37" s="184">
        <f t="shared" si="1672"/>
        <v>147.33333333333334</v>
      </c>
      <c r="CJP37" s="48"/>
      <c r="CJQ37" s="49"/>
      <c r="CJR37" s="49"/>
      <c r="CJS37" s="49"/>
      <c r="CJT37" s="49"/>
      <c r="CJU37" s="49">
        <v>79</v>
      </c>
      <c r="CJV37" s="67">
        <f t="shared" si="1673"/>
        <v>79</v>
      </c>
      <c r="CJW37" s="68">
        <f t="shared" si="1674"/>
        <v>13.166666666666666</v>
      </c>
      <c r="CJX37" s="48"/>
      <c r="CJY37" s="49">
        <v>1613</v>
      </c>
      <c r="CJZ37" s="49"/>
      <c r="CKA37" s="49">
        <v>1000</v>
      </c>
      <c r="CKB37" s="49"/>
      <c r="CKC37" s="49"/>
      <c r="CKD37" s="67">
        <f t="shared" ref="CKD37:CKD45" si="2412">SUM(CJX37:CKC37)</f>
        <v>2613</v>
      </c>
      <c r="CKE37" s="68">
        <f t="shared" si="1675"/>
        <v>435.5</v>
      </c>
      <c r="CKF37" s="48">
        <v>998</v>
      </c>
      <c r="CKG37" s="49"/>
      <c r="CKH37" s="49"/>
      <c r="CKI37" s="49"/>
      <c r="CKJ37" s="49"/>
      <c r="CKK37" s="49"/>
      <c r="CKL37" s="67">
        <f t="shared" si="1676"/>
        <v>998</v>
      </c>
      <c r="CKM37" s="68">
        <f t="shared" si="1677"/>
        <v>166.33333333333334</v>
      </c>
      <c r="CKN37" s="48"/>
      <c r="CKO37" s="49"/>
      <c r="CKP37" s="49"/>
      <c r="CKQ37" s="49"/>
      <c r="CKR37" s="49"/>
      <c r="CKS37" s="47"/>
      <c r="CKT37" s="67">
        <f t="shared" si="1678"/>
        <v>0</v>
      </c>
      <c r="CKU37" s="68">
        <f t="shared" si="1679"/>
        <v>0</v>
      </c>
      <c r="CKV37" s="48"/>
      <c r="CKW37" s="49"/>
      <c r="CKX37" s="49">
        <v>221</v>
      </c>
      <c r="CKY37" s="49"/>
      <c r="CKZ37" s="49">
        <v>439</v>
      </c>
      <c r="CLA37" s="49"/>
      <c r="CLB37" s="67">
        <f t="shared" si="1680"/>
        <v>660</v>
      </c>
      <c r="CLC37" s="68">
        <f t="shared" si="1681"/>
        <v>110</v>
      </c>
      <c r="CLD37" s="48"/>
      <c r="CLE37" s="49"/>
      <c r="CLF37" s="49"/>
      <c r="CLG37" s="49"/>
      <c r="CLH37" s="49"/>
      <c r="CLI37" s="49"/>
      <c r="CLJ37" s="67">
        <f t="shared" si="1682"/>
        <v>0</v>
      </c>
      <c r="CLK37" s="68">
        <f t="shared" si="1683"/>
        <v>0</v>
      </c>
      <c r="CLL37" s="48"/>
      <c r="CLM37" s="49"/>
      <c r="CLN37" s="49"/>
      <c r="CLO37" s="49"/>
      <c r="CLP37" s="49"/>
      <c r="CLQ37" s="49">
        <v>110</v>
      </c>
      <c r="CLR37" s="67">
        <f t="shared" si="1684"/>
        <v>110</v>
      </c>
      <c r="CLS37" s="68">
        <f t="shared" si="1685"/>
        <v>18.333333333333332</v>
      </c>
      <c r="CLT37" s="48"/>
      <c r="CLU37" s="49"/>
      <c r="CLV37" s="49"/>
      <c r="CLW37" s="49"/>
      <c r="CLX37" s="49"/>
      <c r="CLY37" s="49"/>
      <c r="CLZ37" s="67">
        <f t="shared" si="1686"/>
        <v>0</v>
      </c>
      <c r="CMA37" s="68">
        <f t="shared" si="1687"/>
        <v>0</v>
      </c>
      <c r="CMB37" s="48"/>
      <c r="CMC37" s="49">
        <v>220</v>
      </c>
      <c r="CMD37" s="49"/>
      <c r="CME37" s="49"/>
      <c r="CMF37" s="49">
        <v>111</v>
      </c>
      <c r="CMG37" s="49"/>
      <c r="CMH37" s="67">
        <f t="shared" si="1688"/>
        <v>331</v>
      </c>
      <c r="CMI37" s="68">
        <f t="shared" si="1689"/>
        <v>55.166666666666664</v>
      </c>
      <c r="CMJ37" s="48"/>
      <c r="CMK37" s="49">
        <v>110</v>
      </c>
      <c r="CML37" s="49"/>
      <c r="CMM37" s="49"/>
      <c r="CMN37" s="49"/>
      <c r="CMO37" s="49"/>
      <c r="CMP37" s="67">
        <f t="shared" si="1690"/>
        <v>110</v>
      </c>
      <c r="CMQ37" s="68">
        <f t="shared" si="1691"/>
        <v>18.333333333333332</v>
      </c>
      <c r="CMR37" s="48"/>
      <c r="CMS37" s="49"/>
      <c r="CMT37" s="49"/>
      <c r="CMU37" s="49"/>
      <c r="CMV37" s="49"/>
      <c r="CMW37" s="49"/>
      <c r="CMX37" s="67">
        <f t="shared" si="1692"/>
        <v>0</v>
      </c>
      <c r="CMY37" s="68">
        <f t="shared" si="1693"/>
        <v>0</v>
      </c>
      <c r="CMZ37" s="48"/>
      <c r="CNA37" s="49"/>
      <c r="CNB37" s="49"/>
      <c r="CNC37" s="49"/>
      <c r="CND37" s="49"/>
      <c r="CNE37" s="49"/>
      <c r="CNF37" s="67">
        <f t="shared" si="1694"/>
        <v>0</v>
      </c>
      <c r="CNG37" s="68">
        <f t="shared" si="1695"/>
        <v>0</v>
      </c>
      <c r="CNH37" s="48"/>
      <c r="CNI37" s="49"/>
      <c r="CNJ37" s="49"/>
      <c r="CNK37" s="49"/>
      <c r="CNL37" s="49"/>
      <c r="CNM37" s="49">
        <v>110</v>
      </c>
      <c r="CNN37" s="67">
        <f t="shared" si="1696"/>
        <v>110</v>
      </c>
      <c r="CNO37" s="68">
        <f t="shared" si="1697"/>
        <v>18.333333333333332</v>
      </c>
      <c r="CNP37" s="48"/>
      <c r="CNQ37" s="49"/>
      <c r="CNR37" s="49"/>
      <c r="CNS37" s="49"/>
      <c r="CNT37" s="49"/>
      <c r="CNU37" s="49"/>
      <c r="CNV37" s="67">
        <f t="shared" si="1698"/>
        <v>0</v>
      </c>
      <c r="CNW37" s="68">
        <f t="shared" si="1699"/>
        <v>0</v>
      </c>
      <c r="CNX37" s="48"/>
      <c r="CNY37" s="49"/>
      <c r="CNZ37" s="49"/>
      <c r="COA37" s="49">
        <v>110</v>
      </c>
      <c r="COB37" s="49"/>
      <c r="COC37" s="49"/>
      <c r="COD37" s="67">
        <f t="shared" si="1700"/>
        <v>110</v>
      </c>
      <c r="COE37" s="68">
        <f t="shared" si="1701"/>
        <v>18.333333333333332</v>
      </c>
      <c r="COF37" s="48"/>
      <c r="COG37" s="49"/>
      <c r="COH37" s="49"/>
      <c r="COI37" s="49"/>
      <c r="COJ37" s="49">
        <v>110</v>
      </c>
      <c r="COK37" s="49"/>
      <c r="COL37" s="67">
        <f t="shared" si="1702"/>
        <v>110</v>
      </c>
      <c r="COM37" s="68">
        <f t="shared" si="1703"/>
        <v>18.333333333333332</v>
      </c>
      <c r="CON37" s="48"/>
      <c r="COO37" s="49"/>
      <c r="COP37" s="49">
        <v>110</v>
      </c>
      <c r="COQ37" s="49"/>
      <c r="COR37" s="49"/>
      <c r="COS37" s="49"/>
      <c r="COT37" s="67">
        <f t="shared" si="1704"/>
        <v>110</v>
      </c>
      <c r="COU37" s="68">
        <f t="shared" si="1705"/>
        <v>18.333333333333332</v>
      </c>
      <c r="COV37" s="48"/>
      <c r="COW37" s="49"/>
      <c r="COX37" s="49"/>
      <c r="COY37" s="49"/>
      <c r="COZ37" s="49"/>
      <c r="CPA37" s="49">
        <v>0</v>
      </c>
      <c r="CPB37" s="67">
        <f t="shared" si="1706"/>
        <v>0</v>
      </c>
      <c r="CPC37" s="68">
        <f t="shared" si="1707"/>
        <v>0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0</v>
      </c>
      <c r="CPJ37" s="67">
        <f t="shared" si="1708"/>
        <v>0</v>
      </c>
      <c r="CPK37" s="68">
        <f t="shared" si="1709"/>
        <v>0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10"/>
        <v>0</v>
      </c>
      <c r="CPS37" s="68">
        <f t="shared" si="1711"/>
        <v>0</v>
      </c>
      <c r="CPT37" s="48">
        <v>0</v>
      </c>
      <c r="CPU37" s="49">
        <v>0</v>
      </c>
      <c r="CPV37" s="49">
        <v>0</v>
      </c>
      <c r="CPW37" s="49"/>
      <c r="CPX37" s="49">
        <v>0</v>
      </c>
      <c r="CPY37" s="49">
        <v>8</v>
      </c>
      <c r="CPZ37" s="67">
        <f t="shared" si="1712"/>
        <v>8</v>
      </c>
      <c r="CQA37" s="68">
        <f t="shared" si="1713"/>
        <v>1.3333333333333333</v>
      </c>
      <c r="CQB37" s="48">
        <v>0</v>
      </c>
      <c r="CQC37" s="49">
        <v>0</v>
      </c>
      <c r="CQD37" s="49">
        <v>0</v>
      </c>
      <c r="CQE37" s="49">
        <v>316</v>
      </c>
      <c r="CQF37" s="49">
        <v>0</v>
      </c>
      <c r="CQG37" s="49">
        <v>0</v>
      </c>
      <c r="CQH37" s="67">
        <f t="shared" si="1714"/>
        <v>316</v>
      </c>
      <c r="CQI37" s="68">
        <f t="shared" si="1715"/>
        <v>52.666666666666664</v>
      </c>
      <c r="CQJ37" s="82">
        <v>0</v>
      </c>
      <c r="CQK37" s="83">
        <v>24</v>
      </c>
      <c r="CQL37" s="83">
        <v>0</v>
      </c>
      <c r="CQM37" s="83">
        <v>0</v>
      </c>
      <c r="CQN37" s="83"/>
      <c r="CQO37" s="83"/>
      <c r="CQP37" s="67">
        <f t="shared" si="1716"/>
        <v>24</v>
      </c>
      <c r="CQQ37" s="68">
        <f t="shared" si="1717"/>
        <v>4</v>
      </c>
      <c r="CQR37" s="239"/>
      <c r="CQS37" s="1">
        <v>220</v>
      </c>
      <c r="CQT37" s="1">
        <v>0</v>
      </c>
      <c r="CQU37" s="1">
        <v>222</v>
      </c>
      <c r="CQV37" s="1">
        <v>0</v>
      </c>
      <c r="CQW37" s="1"/>
      <c r="CQX37" s="67">
        <f t="shared" si="1718"/>
        <v>442</v>
      </c>
      <c r="CQY37" s="68">
        <f t="shared" si="1719"/>
        <v>73.666666666666671</v>
      </c>
      <c r="CQZ37" s="48">
        <v>0</v>
      </c>
      <c r="CRA37" s="49"/>
      <c r="CRB37" s="49">
        <v>0</v>
      </c>
      <c r="CRC37" s="49">
        <v>0</v>
      </c>
      <c r="CRD37" s="49">
        <v>0</v>
      </c>
      <c r="CRE37" s="49">
        <v>440</v>
      </c>
      <c r="CRF37" s="67">
        <f t="shared" si="1720"/>
        <v>440</v>
      </c>
      <c r="CRG37" s="68">
        <f t="shared" si="1721"/>
        <v>73.333333333333329</v>
      </c>
      <c r="CRH37" s="48">
        <v>0</v>
      </c>
      <c r="CRI37" s="49">
        <v>0</v>
      </c>
      <c r="CRJ37" s="49">
        <v>0</v>
      </c>
      <c r="CRK37" s="49">
        <v>202</v>
      </c>
      <c r="CRL37" s="49">
        <v>0</v>
      </c>
      <c r="CRM37" s="49">
        <v>0</v>
      </c>
      <c r="CRN37" s="67">
        <f t="shared" si="1722"/>
        <v>202</v>
      </c>
      <c r="CRO37" s="68">
        <f t="shared" si="1723"/>
        <v>33.666666666666664</v>
      </c>
      <c r="CRP37" s="48"/>
      <c r="CRQ37" s="49">
        <v>0</v>
      </c>
      <c r="CRR37" s="49">
        <v>0</v>
      </c>
      <c r="CRS37" s="49">
        <v>0</v>
      </c>
      <c r="CRT37" s="49">
        <v>0</v>
      </c>
      <c r="CRU37" s="49">
        <v>0</v>
      </c>
      <c r="CRV37" s="47">
        <f t="shared" si="1724"/>
        <v>0</v>
      </c>
      <c r="CRW37" s="68">
        <f t="shared" si="1725"/>
        <v>0</v>
      </c>
      <c r="CRX37" s="48">
        <v>110</v>
      </c>
      <c r="CRY37" s="49">
        <v>0</v>
      </c>
      <c r="CRZ37" s="49">
        <v>110</v>
      </c>
      <c r="CSA37" s="49">
        <v>0</v>
      </c>
      <c r="CSB37" s="49">
        <v>0</v>
      </c>
      <c r="CSC37" s="49">
        <v>0</v>
      </c>
      <c r="CSD37" s="67">
        <f t="shared" si="1726"/>
        <v>220</v>
      </c>
      <c r="CSE37" s="68">
        <f t="shared" si="1727"/>
        <v>36.666666666666664</v>
      </c>
      <c r="CSF37" s="48">
        <v>121</v>
      </c>
      <c r="CSG37" s="49">
        <v>0</v>
      </c>
      <c r="CSH37" s="49">
        <v>0</v>
      </c>
      <c r="CSI37" s="49">
        <v>0</v>
      </c>
      <c r="CSJ37" s="49">
        <v>0</v>
      </c>
      <c r="CSK37" s="360">
        <f>SUMIF(SUMPK!$B:$B,$B:$B,SUMPK!$O:$O)</f>
        <v>683</v>
      </c>
      <c r="CSL37" s="64">
        <f t="shared" si="1728"/>
        <v>804</v>
      </c>
      <c r="CSM37" s="68">
        <f t="shared" si="1729"/>
        <v>134</v>
      </c>
      <c r="CSN37" s="48">
        <v>100</v>
      </c>
      <c r="CSO37" s="49">
        <v>0</v>
      </c>
      <c r="CSP37" s="49">
        <v>0</v>
      </c>
      <c r="CSQ37" s="49"/>
      <c r="CSR37" s="49">
        <v>0</v>
      </c>
      <c r="CSS37" s="49">
        <v>0</v>
      </c>
      <c r="CST37" s="64">
        <f t="shared" si="1730"/>
        <v>100</v>
      </c>
      <c r="CSU37" s="68">
        <f t="shared" si="1731"/>
        <v>16.666666666666668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0</v>
      </c>
      <c r="CTB37" s="64">
        <f t="shared" si="1732"/>
        <v>0</v>
      </c>
      <c r="CTC37" s="68">
        <f t="shared" si="1733"/>
        <v>0</v>
      </c>
      <c r="CTD37" s="48">
        <v>109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34"/>
        <v>109</v>
      </c>
      <c r="CTK37" s="68">
        <f t="shared" si="1735"/>
        <v>18.166666666666668</v>
      </c>
      <c r="CTL37" s="48">
        <v>0</v>
      </c>
      <c r="CTM37" s="49">
        <v>0</v>
      </c>
      <c r="CTN37" s="49">
        <v>0</v>
      </c>
      <c r="CTO37" s="49">
        <v>108</v>
      </c>
      <c r="CTP37" s="49">
        <v>0</v>
      </c>
      <c r="CTQ37" s="49">
        <v>0</v>
      </c>
      <c r="CTR37" s="64">
        <f t="shared" si="1736"/>
        <v>108</v>
      </c>
      <c r="CTS37" s="68">
        <f t="shared" si="1737"/>
        <v>18</v>
      </c>
      <c r="CTT37" s="48">
        <v>0</v>
      </c>
      <c r="CTU37" s="49"/>
      <c r="CTV37" s="49">
        <v>0</v>
      </c>
      <c r="CTW37" s="49"/>
      <c r="CTX37" s="49">
        <v>440</v>
      </c>
      <c r="CTY37" s="49"/>
      <c r="CTZ37" s="64">
        <f t="shared" si="1738"/>
        <v>440</v>
      </c>
      <c r="CUA37" s="68">
        <f t="shared" si="1739"/>
        <v>73.333333333333329</v>
      </c>
      <c r="CUB37" s="48">
        <v>0</v>
      </c>
      <c r="CUC37" s="49">
        <v>0</v>
      </c>
      <c r="CUD37" s="49"/>
      <c r="CUE37" s="49"/>
      <c r="CUF37" s="49">
        <v>0</v>
      </c>
      <c r="CUG37" s="49">
        <v>0</v>
      </c>
      <c r="CUH37" s="64">
        <f t="shared" si="1740"/>
        <v>0</v>
      </c>
      <c r="CUI37" s="68">
        <f t="shared" si="1741"/>
        <v>0</v>
      </c>
      <c r="CUJ37" s="48">
        <v>0</v>
      </c>
      <c r="CUK37" s="49">
        <v>0</v>
      </c>
      <c r="CUL37" s="49">
        <v>0</v>
      </c>
      <c r="CUM37" s="49">
        <v>0</v>
      </c>
      <c r="CUN37" s="49">
        <v>0</v>
      </c>
      <c r="CUO37" s="49">
        <v>0</v>
      </c>
      <c r="CUP37" s="64">
        <f t="shared" si="1742"/>
        <v>0</v>
      </c>
      <c r="CUQ37" s="68">
        <f t="shared" si="1743"/>
        <v>0</v>
      </c>
      <c r="CUR37" s="48">
        <v>0</v>
      </c>
      <c r="CUS37" s="49"/>
      <c r="CUT37" s="49"/>
      <c r="CUU37" s="49">
        <v>220</v>
      </c>
      <c r="CUV37" s="49">
        <v>0</v>
      </c>
      <c r="CUW37" s="49">
        <v>221</v>
      </c>
      <c r="CUX37" s="64">
        <f t="shared" si="1744"/>
        <v>441</v>
      </c>
      <c r="CUY37" s="68">
        <f t="shared" si="1745"/>
        <v>73.5</v>
      </c>
      <c r="CUZ37" s="48">
        <v>0</v>
      </c>
      <c r="CVA37" s="49">
        <v>0</v>
      </c>
      <c r="CVB37" s="49"/>
      <c r="CVC37" s="49">
        <v>104</v>
      </c>
      <c r="CVD37" s="49">
        <v>105</v>
      </c>
      <c r="CVE37" s="49">
        <v>0</v>
      </c>
      <c r="CVF37" s="64">
        <f t="shared" si="1746"/>
        <v>209</v>
      </c>
      <c r="CVG37" s="68">
        <f t="shared" si="1747"/>
        <v>34.833333333333336</v>
      </c>
      <c r="CVH37" s="48">
        <v>220</v>
      </c>
      <c r="CVI37" s="49">
        <v>0</v>
      </c>
      <c r="CVJ37" s="49">
        <v>0</v>
      </c>
      <c r="CVK37" s="49">
        <v>0</v>
      </c>
      <c r="CVL37" s="49">
        <v>0</v>
      </c>
      <c r="CVM37" s="49"/>
      <c r="CVN37" s="64">
        <f t="shared" si="1748"/>
        <v>220</v>
      </c>
      <c r="CVO37" s="68">
        <f t="shared" si="1749"/>
        <v>36.666666666666664</v>
      </c>
      <c r="CVP37" s="48">
        <v>0</v>
      </c>
      <c r="CVQ37" s="49">
        <v>0</v>
      </c>
      <c r="CVR37" s="49">
        <v>0</v>
      </c>
      <c r="CVS37" s="49">
        <v>0</v>
      </c>
      <c r="CVT37" s="49">
        <v>0</v>
      </c>
      <c r="CVU37" s="49">
        <v>0</v>
      </c>
      <c r="CVV37" s="64">
        <f t="shared" si="1750"/>
        <v>0</v>
      </c>
      <c r="CVW37" s="68">
        <f t="shared" si="1751"/>
        <v>0</v>
      </c>
      <c r="CVX37" s="48">
        <v>0</v>
      </c>
      <c r="CVY37" s="49">
        <v>201</v>
      </c>
      <c r="CVZ37" s="49">
        <v>0</v>
      </c>
      <c r="CWA37" s="49">
        <v>0</v>
      </c>
      <c r="CWB37" s="49">
        <v>0</v>
      </c>
      <c r="CWC37" s="49">
        <v>0</v>
      </c>
      <c r="CWD37" s="64">
        <f t="shared" si="1752"/>
        <v>201</v>
      </c>
      <c r="CWE37" s="68">
        <f t="shared" si="1753"/>
        <v>33.5</v>
      </c>
      <c r="CWF37" s="48">
        <v>0</v>
      </c>
      <c r="CWG37" s="49">
        <v>0</v>
      </c>
      <c r="CWH37" s="49">
        <v>0</v>
      </c>
      <c r="CWI37" s="49">
        <v>109</v>
      </c>
      <c r="CWJ37" s="49">
        <v>0</v>
      </c>
      <c r="CWK37" s="49"/>
      <c r="CWL37" s="64">
        <f t="shared" si="1754"/>
        <v>109</v>
      </c>
      <c r="CWM37" s="68">
        <f t="shared" si="1755"/>
        <v>18.166666666666668</v>
      </c>
      <c r="CWN37" s="48">
        <v>0</v>
      </c>
      <c r="CWO37" s="49">
        <v>10</v>
      </c>
      <c r="CWP37" s="49">
        <v>375</v>
      </c>
      <c r="CWQ37" s="49">
        <v>0</v>
      </c>
      <c r="CWR37" s="49">
        <v>0</v>
      </c>
      <c r="CWS37" s="49">
        <v>401</v>
      </c>
      <c r="CWT37" s="64">
        <f t="shared" si="1756"/>
        <v>786</v>
      </c>
      <c r="CWU37" s="68">
        <f t="shared" si="1757"/>
        <v>131</v>
      </c>
      <c r="CWV37" s="48">
        <v>0</v>
      </c>
      <c r="CWW37" s="49">
        <v>345</v>
      </c>
      <c r="CWX37" s="49">
        <v>0</v>
      </c>
      <c r="CWY37" s="49"/>
      <c r="CWZ37" s="49">
        <v>0</v>
      </c>
      <c r="CXA37" s="49">
        <v>0</v>
      </c>
      <c r="CXB37" s="127">
        <f t="shared" si="1758"/>
        <v>345</v>
      </c>
      <c r="CXC37" s="43">
        <f t="shared" si="1759"/>
        <v>57.5</v>
      </c>
      <c r="CXD37" s="48">
        <v>0</v>
      </c>
      <c r="CXE37" s="49">
        <v>0</v>
      </c>
      <c r="CXF37" s="49">
        <v>0</v>
      </c>
      <c r="CXG37" s="49">
        <v>0</v>
      </c>
      <c r="CXH37" s="49">
        <v>0</v>
      </c>
      <c r="CXI37" s="49">
        <v>0</v>
      </c>
      <c r="CXJ37" s="127">
        <f t="shared" si="1760"/>
        <v>0</v>
      </c>
      <c r="CXK37" s="43">
        <f t="shared" si="1761"/>
        <v>0</v>
      </c>
      <c r="CXL37" s="48">
        <v>0</v>
      </c>
      <c r="CXM37" s="49">
        <v>0</v>
      </c>
      <c r="CXN37" s="49">
        <v>111</v>
      </c>
      <c r="CXO37" s="49">
        <v>0</v>
      </c>
      <c r="CXP37" s="49">
        <v>0</v>
      </c>
      <c r="CXQ37" s="49">
        <v>233</v>
      </c>
      <c r="CXR37" s="127">
        <f t="shared" si="1762"/>
        <v>344</v>
      </c>
      <c r="CXS37" s="43">
        <f t="shared" si="1763"/>
        <v>57.333333333333336</v>
      </c>
      <c r="CXT37" s="48">
        <v>0</v>
      </c>
      <c r="CXU37" s="49">
        <v>0</v>
      </c>
      <c r="CXV37" s="49">
        <v>226</v>
      </c>
      <c r="CXW37" s="49"/>
      <c r="CXX37" s="49">
        <v>0</v>
      </c>
      <c r="CXY37" s="49">
        <v>225</v>
      </c>
      <c r="CXZ37" s="127">
        <f t="shared" si="1764"/>
        <v>451</v>
      </c>
      <c r="CYA37" s="43">
        <f t="shared" si="1765"/>
        <v>75.166666666666671</v>
      </c>
      <c r="CYB37" s="48">
        <v>0</v>
      </c>
      <c r="CYC37" s="49">
        <v>222</v>
      </c>
      <c r="CYD37" s="49">
        <v>0</v>
      </c>
      <c r="CYE37" s="49">
        <v>455</v>
      </c>
      <c r="CYF37" s="49">
        <v>0</v>
      </c>
      <c r="CYG37" s="49">
        <v>0</v>
      </c>
      <c r="CYH37" s="127">
        <f t="shared" si="1766"/>
        <v>677</v>
      </c>
      <c r="CYI37" s="43">
        <f t="shared" si="1767"/>
        <v>112.83333333333333</v>
      </c>
      <c r="CYJ37" s="48"/>
      <c r="CYK37" s="49">
        <v>0</v>
      </c>
      <c r="CYL37" s="49">
        <v>0</v>
      </c>
      <c r="CYM37" s="49">
        <v>0</v>
      </c>
      <c r="CYN37" s="49">
        <v>111</v>
      </c>
      <c r="CYO37" s="49">
        <v>0</v>
      </c>
      <c r="CYP37" s="127">
        <f t="shared" si="1768"/>
        <v>111</v>
      </c>
      <c r="CYQ37" s="43">
        <f t="shared" si="1769"/>
        <v>18.5</v>
      </c>
      <c r="CYR37" s="48">
        <v>0</v>
      </c>
      <c r="CYS37" s="49">
        <v>0</v>
      </c>
      <c r="CYT37" s="49">
        <v>0</v>
      </c>
      <c r="CYU37" s="49">
        <v>220</v>
      </c>
      <c r="CYV37" s="49">
        <v>0</v>
      </c>
      <c r="CYW37" s="49">
        <v>0</v>
      </c>
      <c r="CYX37" s="127">
        <f t="shared" si="1770"/>
        <v>220</v>
      </c>
      <c r="CYY37" s="43">
        <f t="shared" si="1771"/>
        <v>36.666666666666664</v>
      </c>
      <c r="CYZ37" s="48"/>
      <c r="CZA37" s="49">
        <v>0</v>
      </c>
      <c r="CZB37" s="49">
        <v>0</v>
      </c>
      <c r="CZC37" s="49">
        <v>0</v>
      </c>
      <c r="CZD37" s="49">
        <v>114</v>
      </c>
      <c r="CZE37" s="49">
        <v>0</v>
      </c>
      <c r="CZF37" s="127">
        <f t="shared" si="1772"/>
        <v>114</v>
      </c>
      <c r="CZG37" s="43">
        <f t="shared" si="1773"/>
        <v>22.8</v>
      </c>
      <c r="CZH37" s="48">
        <v>0</v>
      </c>
      <c r="CZI37" s="49">
        <v>0</v>
      </c>
      <c r="CZJ37" s="49">
        <v>0</v>
      </c>
      <c r="CZK37" s="49">
        <v>110</v>
      </c>
      <c r="CZL37" s="49">
        <v>0</v>
      </c>
      <c r="CZM37" s="49">
        <v>0</v>
      </c>
      <c r="CZN37" s="127">
        <f t="shared" si="1774"/>
        <v>110</v>
      </c>
      <c r="CZO37" s="43">
        <f t="shared" si="1775"/>
        <v>18.333333333333332</v>
      </c>
      <c r="CZP37" s="48"/>
      <c r="CZQ37" s="49">
        <v>0</v>
      </c>
      <c r="CZR37" s="49"/>
      <c r="CZS37" s="49">
        <v>0</v>
      </c>
      <c r="CZT37" s="49">
        <v>110</v>
      </c>
      <c r="CZU37" s="49">
        <v>0</v>
      </c>
      <c r="CZV37" s="127">
        <f t="shared" si="1776"/>
        <v>110</v>
      </c>
      <c r="CZW37" s="43">
        <f t="shared" si="1777"/>
        <v>18.333333333333332</v>
      </c>
      <c r="CZX37" s="48">
        <v>0</v>
      </c>
      <c r="CZY37" s="49">
        <v>0</v>
      </c>
      <c r="CZZ37" s="49">
        <v>0</v>
      </c>
      <c r="DAA37" s="49">
        <v>220</v>
      </c>
      <c r="DAB37" s="49"/>
      <c r="DAC37" s="49">
        <v>0</v>
      </c>
      <c r="DAD37" s="64">
        <f t="shared" si="1778"/>
        <v>220</v>
      </c>
      <c r="DAE37" s="68">
        <f t="shared" si="1779"/>
        <v>36.666666666666664</v>
      </c>
      <c r="DAF37" s="48">
        <v>0</v>
      </c>
      <c r="DAG37" s="49">
        <v>220</v>
      </c>
      <c r="DAH37" s="49">
        <v>112</v>
      </c>
      <c r="DAI37" s="49">
        <v>0</v>
      </c>
      <c r="DAJ37" s="49">
        <v>0</v>
      </c>
      <c r="DAK37" s="49">
        <v>0</v>
      </c>
      <c r="DAL37" s="64">
        <f t="shared" si="1780"/>
        <v>332</v>
      </c>
      <c r="DAM37" s="68">
        <f t="shared" si="1781"/>
        <v>55.333333333333336</v>
      </c>
      <c r="DAN37" s="48">
        <v>0</v>
      </c>
      <c r="DAO37" s="49">
        <v>0</v>
      </c>
      <c r="DAP37" s="49">
        <v>0</v>
      </c>
      <c r="DAQ37" s="49">
        <v>324</v>
      </c>
      <c r="DAR37" s="49">
        <v>0</v>
      </c>
      <c r="DAS37" s="49">
        <v>0</v>
      </c>
      <c r="DAT37" s="64">
        <f t="shared" si="1782"/>
        <v>324</v>
      </c>
      <c r="DAU37" s="68">
        <f t="shared" si="1783"/>
        <v>54</v>
      </c>
      <c r="DAV37" s="48"/>
      <c r="DAW37" s="49">
        <v>0</v>
      </c>
      <c r="DAX37" s="49">
        <v>0</v>
      </c>
      <c r="DAY37" s="49">
        <v>0</v>
      </c>
      <c r="DAZ37" s="49">
        <v>0</v>
      </c>
      <c r="DBA37" s="49">
        <v>442</v>
      </c>
      <c r="DBB37" s="64">
        <f t="shared" si="1784"/>
        <v>442</v>
      </c>
      <c r="DBC37" s="68">
        <f t="shared" si="1785"/>
        <v>73.666666666666671</v>
      </c>
      <c r="DBD37" s="48"/>
      <c r="DBE37" s="49">
        <v>0</v>
      </c>
      <c r="DBF37" s="49">
        <v>0</v>
      </c>
      <c r="DBG37" s="49">
        <v>220</v>
      </c>
      <c r="DBH37" s="49">
        <v>184</v>
      </c>
      <c r="DBI37" s="49">
        <v>0</v>
      </c>
      <c r="DBJ37" s="64">
        <f t="shared" si="1786"/>
        <v>404</v>
      </c>
      <c r="DBK37" s="68">
        <f t="shared" si="1787"/>
        <v>67.333333333333329</v>
      </c>
      <c r="DBL37" s="48">
        <v>0</v>
      </c>
      <c r="DBM37" s="49">
        <v>0</v>
      </c>
      <c r="DBN37" s="49">
        <v>0</v>
      </c>
      <c r="DBO37" s="49">
        <v>0</v>
      </c>
      <c r="DBP37" s="49"/>
      <c r="DBQ37" s="49">
        <v>0</v>
      </c>
      <c r="DBR37" s="64">
        <f t="shared" si="1788"/>
        <v>0</v>
      </c>
      <c r="DBS37" s="68">
        <f t="shared" si="1789"/>
        <v>0</v>
      </c>
      <c r="DBT37" s="48">
        <v>0</v>
      </c>
      <c r="DBU37" s="49"/>
      <c r="DBV37" s="49"/>
      <c r="DBW37" s="49">
        <v>0</v>
      </c>
      <c r="DBX37" s="49"/>
      <c r="DBY37" s="49">
        <v>0</v>
      </c>
      <c r="DBZ37" s="64">
        <f t="shared" si="1790"/>
        <v>0</v>
      </c>
      <c r="DCA37" s="68">
        <f t="shared" si="1791"/>
        <v>0</v>
      </c>
      <c r="DCB37" s="48">
        <v>336</v>
      </c>
      <c r="DCC37" s="49">
        <v>220</v>
      </c>
      <c r="DCD37" s="49">
        <v>220</v>
      </c>
      <c r="DCE37" s="49">
        <v>0</v>
      </c>
      <c r="DCF37" s="49">
        <v>0</v>
      </c>
      <c r="DCG37" s="49">
        <v>0</v>
      </c>
      <c r="DCH37" s="64">
        <f t="shared" si="1792"/>
        <v>776</v>
      </c>
      <c r="DCI37" s="68">
        <f t="shared" si="1793"/>
        <v>129.33333333333334</v>
      </c>
      <c r="DCJ37" s="48"/>
      <c r="DCK37" s="49">
        <v>0</v>
      </c>
      <c r="DCL37" s="49">
        <v>110</v>
      </c>
      <c r="DCM37" s="49">
        <v>0</v>
      </c>
      <c r="DCN37" s="49">
        <v>0</v>
      </c>
      <c r="DCO37" s="49">
        <v>110</v>
      </c>
      <c r="DCP37" s="64">
        <f t="shared" si="1794"/>
        <v>220</v>
      </c>
      <c r="DCQ37" s="68">
        <f t="shared" si="1795"/>
        <v>36.666666666666664</v>
      </c>
      <c r="DCR37" s="48">
        <v>220</v>
      </c>
      <c r="DCS37" s="49">
        <v>0</v>
      </c>
      <c r="DCT37" s="49">
        <v>0</v>
      </c>
      <c r="DCU37" s="49">
        <v>328</v>
      </c>
      <c r="DCV37" s="49">
        <v>0</v>
      </c>
      <c r="DCW37" s="49">
        <v>0</v>
      </c>
      <c r="DCX37" s="64">
        <f t="shared" si="1796"/>
        <v>548</v>
      </c>
      <c r="DCY37" s="68">
        <f t="shared" si="1797"/>
        <v>91.333333333333329</v>
      </c>
      <c r="DCZ37" s="48">
        <v>110</v>
      </c>
      <c r="DDA37" s="49">
        <v>0</v>
      </c>
      <c r="DDB37" s="49">
        <v>0</v>
      </c>
      <c r="DDC37" s="49">
        <v>0</v>
      </c>
      <c r="DDD37" s="49">
        <v>0</v>
      </c>
      <c r="DDE37" s="49">
        <v>420</v>
      </c>
      <c r="DDF37" s="64">
        <f t="shared" si="1798"/>
        <v>530</v>
      </c>
      <c r="DDG37" s="68">
        <f t="shared" si="1799"/>
        <v>88.333333333333329</v>
      </c>
      <c r="DDH37" s="48">
        <v>0</v>
      </c>
      <c r="DDI37" s="49"/>
      <c r="DDJ37" s="49">
        <v>0</v>
      </c>
      <c r="DDK37" s="49">
        <v>0</v>
      </c>
      <c r="DDL37" s="49">
        <v>0</v>
      </c>
      <c r="DDM37" s="49">
        <v>0</v>
      </c>
      <c r="DDN37" s="127">
        <f t="shared" si="1800"/>
        <v>0</v>
      </c>
      <c r="DDO37" s="43">
        <f t="shared" si="1801"/>
        <v>0</v>
      </c>
      <c r="DDP37" s="48">
        <v>0</v>
      </c>
      <c r="DDQ37" s="49">
        <v>0</v>
      </c>
      <c r="DDR37" s="49">
        <v>0</v>
      </c>
      <c r="DDS37" s="49">
        <v>333</v>
      </c>
      <c r="DDT37" s="49">
        <v>0</v>
      </c>
      <c r="DDU37" s="49"/>
      <c r="DDV37" s="127">
        <f t="shared" si="1802"/>
        <v>333</v>
      </c>
      <c r="DDW37" s="43">
        <f t="shared" si="1803"/>
        <v>55.5</v>
      </c>
      <c r="DDX37" s="48">
        <v>0</v>
      </c>
      <c r="DDY37" s="49">
        <v>0</v>
      </c>
      <c r="DDZ37" s="49">
        <v>0</v>
      </c>
      <c r="DEA37" s="49">
        <v>0</v>
      </c>
      <c r="DEB37" s="49">
        <v>0</v>
      </c>
      <c r="DEC37" s="49">
        <v>110</v>
      </c>
      <c r="DED37" s="127">
        <f t="shared" si="1804"/>
        <v>110</v>
      </c>
      <c r="DEE37" s="43">
        <f t="shared" si="1805"/>
        <v>18.333333333333332</v>
      </c>
      <c r="DEF37" s="48">
        <v>0</v>
      </c>
      <c r="DEG37" s="49"/>
      <c r="DEH37" s="49">
        <v>0</v>
      </c>
      <c r="DEI37" s="49">
        <v>0</v>
      </c>
      <c r="DEJ37" s="49">
        <v>0</v>
      </c>
      <c r="DEK37" s="49">
        <f>SUMIF(SUMPK!$B:$B,$B:$B,SUMPK!$O:$O)</f>
        <v>683</v>
      </c>
      <c r="DEL37" s="127">
        <f t="shared" si="1806"/>
        <v>683</v>
      </c>
      <c r="DEM37" s="43">
        <f t="shared" si="1807"/>
        <v>113.83333333333333</v>
      </c>
      <c r="DEN37" s="48">
        <v>0</v>
      </c>
      <c r="DEO37" s="49">
        <v>0</v>
      </c>
      <c r="DEP37" s="49">
        <v>0</v>
      </c>
      <c r="DEQ37" s="49">
        <v>0</v>
      </c>
      <c r="DER37" s="49"/>
      <c r="DES37" s="49"/>
      <c r="DET37" s="127">
        <f t="shared" si="1808"/>
        <v>0</v>
      </c>
      <c r="DEU37" s="43">
        <f t="shared" si="1809"/>
        <v>0</v>
      </c>
      <c r="DEV37" s="48">
        <v>0</v>
      </c>
      <c r="DEW37" s="49">
        <v>0</v>
      </c>
      <c r="DEX37" s="49">
        <v>3</v>
      </c>
      <c r="DEY37" s="49">
        <v>0</v>
      </c>
      <c r="DEZ37" s="49">
        <v>0</v>
      </c>
      <c r="DFA37" s="49">
        <v>0</v>
      </c>
      <c r="DFB37" s="127">
        <f t="shared" si="1810"/>
        <v>3</v>
      </c>
      <c r="DFC37" s="43">
        <f t="shared" si="1811"/>
        <v>0.5</v>
      </c>
      <c r="DFD37" s="48"/>
      <c r="DFE37" s="49">
        <v>0</v>
      </c>
      <c r="DFF37" s="49">
        <v>0</v>
      </c>
      <c r="DFG37" s="49">
        <v>0</v>
      </c>
      <c r="DFH37" s="49">
        <v>0</v>
      </c>
      <c r="DFI37" s="49">
        <v>0</v>
      </c>
      <c r="DFJ37" s="127">
        <f t="shared" si="1812"/>
        <v>0</v>
      </c>
      <c r="DFK37" s="43">
        <f t="shared" si="1813"/>
        <v>0</v>
      </c>
      <c r="DFL37" s="63">
        <v>40</v>
      </c>
      <c r="DFM37" s="64">
        <v>29</v>
      </c>
      <c r="DFN37" s="64">
        <v>0</v>
      </c>
      <c r="DFO37" s="64">
        <v>0</v>
      </c>
      <c r="DFP37" s="64">
        <v>120</v>
      </c>
      <c r="DFQ37" s="64">
        <v>0</v>
      </c>
      <c r="DFR37" s="64">
        <f t="shared" si="1814"/>
        <v>189</v>
      </c>
      <c r="DFS37" s="68">
        <f t="shared" si="1815"/>
        <v>31.5</v>
      </c>
      <c r="DFT37" s="48">
        <v>0</v>
      </c>
      <c r="DFU37" s="49">
        <v>0</v>
      </c>
      <c r="DFV37" s="49">
        <v>110</v>
      </c>
      <c r="DFW37" s="49">
        <v>0</v>
      </c>
      <c r="DFX37" s="49"/>
      <c r="DFY37" s="49">
        <v>0</v>
      </c>
      <c r="DFZ37" s="127">
        <f t="shared" si="1816"/>
        <v>110</v>
      </c>
      <c r="DGA37" s="43">
        <f t="shared" si="1817"/>
        <v>18.333333333333332</v>
      </c>
      <c r="DGB37" s="48">
        <v>0</v>
      </c>
      <c r="DGC37" s="49">
        <v>0</v>
      </c>
      <c r="DGD37" s="49">
        <v>0</v>
      </c>
      <c r="DGE37" s="49">
        <v>0</v>
      </c>
      <c r="DGF37" s="49">
        <v>110</v>
      </c>
      <c r="DGG37" s="49">
        <v>0</v>
      </c>
      <c r="DGH37" s="127">
        <f t="shared" si="1818"/>
        <v>110</v>
      </c>
      <c r="DGI37" s="43">
        <f t="shared" si="1819"/>
        <v>18.333333333333332</v>
      </c>
      <c r="DGJ37" s="48">
        <v>0</v>
      </c>
      <c r="DGK37" s="49">
        <v>0</v>
      </c>
      <c r="DGL37" s="49">
        <v>0</v>
      </c>
      <c r="DGM37" s="49">
        <v>0</v>
      </c>
      <c r="DGN37" s="49">
        <v>0</v>
      </c>
      <c r="DGO37" s="49">
        <v>0</v>
      </c>
      <c r="DGP37" s="64">
        <f t="shared" si="1820"/>
        <v>0</v>
      </c>
      <c r="DGQ37" s="68">
        <f t="shared" si="1821"/>
        <v>0</v>
      </c>
      <c r="DGR37" s="48">
        <v>0</v>
      </c>
      <c r="DGS37" s="49">
        <v>0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22"/>
        <v>0</v>
      </c>
      <c r="DGY37" s="68">
        <f t="shared" si="1823"/>
        <v>0</v>
      </c>
      <c r="DGZ37" s="48">
        <v>110</v>
      </c>
      <c r="DHA37" s="49">
        <v>0</v>
      </c>
      <c r="DHB37" s="49">
        <v>80</v>
      </c>
      <c r="DHC37" s="49"/>
      <c r="DHD37" s="49">
        <v>0</v>
      </c>
      <c r="DHE37" s="49">
        <v>0</v>
      </c>
      <c r="DHF37" s="64">
        <f t="shared" si="1824"/>
        <v>190</v>
      </c>
      <c r="DHG37" s="68">
        <f t="shared" si="1825"/>
        <v>31.666666666666668</v>
      </c>
      <c r="DHH37" s="63">
        <v>0</v>
      </c>
      <c r="DHI37" s="64">
        <v>80</v>
      </c>
      <c r="DHJ37" s="64">
        <v>0</v>
      </c>
      <c r="DHK37" s="64">
        <v>0</v>
      </c>
      <c r="DHL37" s="64">
        <v>0</v>
      </c>
      <c r="DHM37" s="64">
        <v>0</v>
      </c>
      <c r="DHN37" s="64">
        <f t="shared" si="1826"/>
        <v>80</v>
      </c>
      <c r="DHO37" s="68">
        <f t="shared" si="1827"/>
        <v>13.333333333333334</v>
      </c>
      <c r="DHP37" s="48">
        <v>0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28"/>
        <v>0</v>
      </c>
      <c r="DHW37" s="68">
        <f t="shared" si="1829"/>
        <v>0</v>
      </c>
      <c r="DHX37" s="48">
        <v>0</v>
      </c>
      <c r="DHY37" s="49"/>
      <c r="DHZ37" s="49"/>
      <c r="DIA37" s="49">
        <v>110</v>
      </c>
      <c r="DIB37" s="49">
        <v>0</v>
      </c>
      <c r="DIC37" s="49">
        <v>0</v>
      </c>
      <c r="DID37" s="64">
        <f t="shared" si="1830"/>
        <v>110</v>
      </c>
      <c r="DIE37" s="68">
        <f t="shared" si="1831"/>
        <v>18.333333333333332</v>
      </c>
      <c r="DIF37" s="48">
        <v>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32"/>
        <v>0</v>
      </c>
      <c r="DIM37" s="68">
        <f t="shared" si="1833"/>
        <v>0</v>
      </c>
      <c r="DIN37" s="48">
        <v>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34"/>
        <v>0</v>
      </c>
      <c r="DIU37" s="68">
        <f t="shared" si="1835"/>
        <v>0</v>
      </c>
      <c r="DIV37" s="48">
        <v>0</v>
      </c>
      <c r="DIW37" s="49">
        <v>0</v>
      </c>
      <c r="DIX37" s="49">
        <v>0</v>
      </c>
      <c r="DIY37" s="49">
        <v>0</v>
      </c>
      <c r="DIZ37" s="49">
        <v>0</v>
      </c>
      <c r="DJA37" s="49">
        <v>0</v>
      </c>
      <c r="DJB37" s="64">
        <f t="shared" si="1836"/>
        <v>0</v>
      </c>
      <c r="DJC37" s="68">
        <f t="shared" si="1837"/>
        <v>0</v>
      </c>
      <c r="DJD37" s="48">
        <v>3</v>
      </c>
      <c r="DJE37" s="49">
        <v>110</v>
      </c>
      <c r="DJF37" s="49">
        <v>0</v>
      </c>
      <c r="DJG37" s="49">
        <v>0</v>
      </c>
      <c r="DJH37" s="49">
        <v>0</v>
      </c>
      <c r="DJI37" s="49"/>
      <c r="DJJ37" s="64">
        <f t="shared" si="1838"/>
        <v>113</v>
      </c>
      <c r="DJK37" s="68">
        <f t="shared" si="1839"/>
        <v>18.833333333333332</v>
      </c>
      <c r="DJL37" s="48">
        <v>0</v>
      </c>
      <c r="DJM37" s="49">
        <v>0</v>
      </c>
      <c r="DJN37" s="49">
        <v>0</v>
      </c>
      <c r="DJO37" s="49">
        <v>0</v>
      </c>
      <c r="DJP37" s="49">
        <v>0</v>
      </c>
      <c r="DJQ37" s="49">
        <v>0</v>
      </c>
      <c r="DJR37" s="64">
        <f t="shared" si="1840"/>
        <v>0</v>
      </c>
      <c r="DJS37" s="68">
        <f t="shared" si="1841"/>
        <v>0</v>
      </c>
      <c r="DJT37" s="48"/>
      <c r="DJU37" s="49">
        <v>0</v>
      </c>
      <c r="DJV37" s="49">
        <v>0</v>
      </c>
      <c r="DJW37" s="49">
        <v>0</v>
      </c>
      <c r="DJX37" s="49">
        <v>1478</v>
      </c>
      <c r="DJY37" s="49">
        <v>0</v>
      </c>
      <c r="DJZ37" s="64">
        <f t="shared" si="1842"/>
        <v>1478</v>
      </c>
      <c r="DKA37" s="68">
        <f t="shared" si="1843"/>
        <v>246.33333333333334</v>
      </c>
      <c r="DKB37" s="48">
        <v>0</v>
      </c>
      <c r="DKC37" s="49">
        <v>115</v>
      </c>
      <c r="DKD37" s="49">
        <v>0</v>
      </c>
      <c r="DKE37" s="49">
        <v>0</v>
      </c>
      <c r="DKF37" s="49">
        <v>0</v>
      </c>
      <c r="DKG37" s="49">
        <v>0</v>
      </c>
      <c r="DKH37" s="64">
        <f t="shared" si="1844"/>
        <v>115</v>
      </c>
      <c r="DKI37" s="68">
        <f t="shared" si="1845"/>
        <v>19.166666666666668</v>
      </c>
      <c r="DKJ37" s="48">
        <v>0</v>
      </c>
      <c r="DKK37" s="49">
        <v>0</v>
      </c>
      <c r="DKL37" s="49">
        <v>0</v>
      </c>
      <c r="DKM37" s="49"/>
      <c r="DKN37" s="49">
        <v>0</v>
      </c>
      <c r="DKO37" s="49">
        <v>110</v>
      </c>
      <c r="DKP37" s="64">
        <f t="shared" si="1846"/>
        <v>110</v>
      </c>
      <c r="DKQ37" s="68">
        <f t="shared" si="1847"/>
        <v>18.333333333333332</v>
      </c>
      <c r="DKR37" s="48">
        <v>0</v>
      </c>
      <c r="DKS37" s="49">
        <v>0</v>
      </c>
      <c r="DKT37" s="49">
        <v>0</v>
      </c>
      <c r="DKU37" s="49">
        <v>0</v>
      </c>
      <c r="DKV37" s="49">
        <v>0</v>
      </c>
      <c r="DKW37" s="49">
        <v>0</v>
      </c>
      <c r="DKX37" s="64">
        <f t="shared" si="1848"/>
        <v>0</v>
      </c>
      <c r="DKY37" s="68">
        <f t="shared" si="1849"/>
        <v>0</v>
      </c>
      <c r="DKZ37" s="48"/>
      <c r="DLA37" s="49">
        <v>0</v>
      </c>
      <c r="DLB37" s="49">
        <v>0</v>
      </c>
      <c r="DLC37" s="49">
        <v>0</v>
      </c>
      <c r="DLD37" s="49"/>
      <c r="DLE37" s="49">
        <v>110</v>
      </c>
      <c r="DLF37" s="64">
        <f t="shared" si="1850"/>
        <v>110</v>
      </c>
      <c r="DLG37" s="68">
        <f t="shared" si="1851"/>
        <v>18.333333333333332</v>
      </c>
      <c r="DLH37" s="48"/>
      <c r="DLI37" s="49">
        <v>0</v>
      </c>
      <c r="DLJ37" s="49">
        <v>0</v>
      </c>
      <c r="DLK37" s="49">
        <v>669</v>
      </c>
      <c r="DLL37" s="49"/>
      <c r="DLM37" s="49">
        <v>550</v>
      </c>
      <c r="DLN37" s="64">
        <f t="shared" si="1852"/>
        <v>1219</v>
      </c>
      <c r="DLO37" s="68">
        <f t="shared" si="1853"/>
        <v>203.16666666666666</v>
      </c>
      <c r="DLP37" s="48">
        <v>505</v>
      </c>
      <c r="DLQ37" s="49"/>
      <c r="DLR37" s="49">
        <v>0</v>
      </c>
      <c r="DLS37" s="49">
        <v>0</v>
      </c>
      <c r="DLT37" s="49">
        <v>0</v>
      </c>
      <c r="DLU37" s="49">
        <v>0</v>
      </c>
      <c r="DLV37" s="64">
        <f t="shared" si="1854"/>
        <v>505</v>
      </c>
      <c r="DLW37" s="68">
        <f t="shared" si="1855"/>
        <v>84.166666666666671</v>
      </c>
      <c r="DLX37" s="48">
        <v>0</v>
      </c>
      <c r="DLY37" s="49">
        <v>223</v>
      </c>
      <c r="DLZ37" s="49"/>
      <c r="DMA37" s="49">
        <v>0</v>
      </c>
      <c r="DMB37" s="49"/>
      <c r="DMC37" s="49">
        <v>0</v>
      </c>
      <c r="DMD37" s="64">
        <f t="shared" si="1856"/>
        <v>223</v>
      </c>
      <c r="DME37" s="68">
        <f t="shared" si="1857"/>
        <v>37.166666666666664</v>
      </c>
      <c r="DMF37" s="48">
        <v>685</v>
      </c>
      <c r="DMG37" s="49">
        <v>0</v>
      </c>
      <c r="DMH37" s="49"/>
      <c r="DMI37" s="49">
        <v>0</v>
      </c>
      <c r="DMJ37" s="49">
        <v>0</v>
      </c>
      <c r="DMK37" s="49">
        <v>684</v>
      </c>
      <c r="DML37" s="64">
        <f t="shared" si="1858"/>
        <v>1369</v>
      </c>
      <c r="DMM37" s="68">
        <f t="shared" si="1859"/>
        <v>228.16666666666666</v>
      </c>
      <c r="DMN37" s="48">
        <v>0</v>
      </c>
      <c r="DMO37" s="49"/>
      <c r="DMP37" s="49">
        <v>0</v>
      </c>
      <c r="DMQ37" s="49">
        <v>0</v>
      </c>
      <c r="DMR37" s="49">
        <v>0</v>
      </c>
      <c r="DMS37" s="49">
        <v>705</v>
      </c>
      <c r="DMT37" s="64">
        <f t="shared" si="1860"/>
        <v>705</v>
      </c>
      <c r="DMU37" s="68">
        <f t="shared" si="1861"/>
        <v>117.5</v>
      </c>
      <c r="DMV37" s="48">
        <v>110</v>
      </c>
      <c r="DMW37" s="49">
        <v>0</v>
      </c>
      <c r="DMX37" s="49">
        <v>0</v>
      </c>
      <c r="DMY37" s="49">
        <v>0</v>
      </c>
      <c r="DMZ37" s="49">
        <v>0</v>
      </c>
      <c r="DNA37" s="49">
        <v>400</v>
      </c>
      <c r="DNB37" s="64">
        <f t="shared" si="1862"/>
        <v>510</v>
      </c>
      <c r="DNC37" s="68">
        <f t="shared" si="1863"/>
        <v>85</v>
      </c>
      <c r="DND37" s="48">
        <v>0</v>
      </c>
      <c r="DNE37" s="49">
        <v>0</v>
      </c>
      <c r="DNF37" s="49">
        <v>0</v>
      </c>
      <c r="DNG37" s="49"/>
      <c r="DNH37" s="49">
        <v>0</v>
      </c>
      <c r="DNI37" s="49">
        <v>677</v>
      </c>
      <c r="DNJ37" s="64">
        <f t="shared" si="1864"/>
        <v>677</v>
      </c>
      <c r="DNK37" s="68">
        <f t="shared" si="1865"/>
        <v>112.83333333333333</v>
      </c>
      <c r="DNL37" s="48"/>
      <c r="DNM37" s="49"/>
      <c r="DNN37" s="49">
        <v>0</v>
      </c>
      <c r="DNO37" s="49">
        <v>0</v>
      </c>
      <c r="DNP37" s="49">
        <v>680</v>
      </c>
      <c r="DNQ37" s="49">
        <v>0</v>
      </c>
      <c r="DNR37" s="64">
        <f t="shared" si="1866"/>
        <v>680</v>
      </c>
      <c r="DNS37" s="68">
        <f t="shared" si="1867"/>
        <v>113.33333333333333</v>
      </c>
      <c r="DNT37" s="48">
        <v>0</v>
      </c>
      <c r="DNU37" s="49">
        <v>0</v>
      </c>
      <c r="DNV37" s="49">
        <v>0</v>
      </c>
      <c r="DNW37" s="49">
        <v>0</v>
      </c>
      <c r="DNX37" s="49">
        <v>0</v>
      </c>
      <c r="DNY37" s="49">
        <v>0</v>
      </c>
      <c r="DNZ37" s="64">
        <f t="shared" si="1868"/>
        <v>0</v>
      </c>
      <c r="DOA37" s="68">
        <f t="shared" si="1869"/>
        <v>0</v>
      </c>
      <c r="DOB37" s="48">
        <v>0</v>
      </c>
      <c r="DOC37" s="49"/>
      <c r="DOD37" s="49">
        <v>0</v>
      </c>
      <c r="DOE37" s="49">
        <v>221</v>
      </c>
      <c r="DOF37" s="49">
        <v>0</v>
      </c>
      <c r="DOG37" s="49">
        <v>0</v>
      </c>
      <c r="DOH37" s="64">
        <f t="shared" si="1870"/>
        <v>221</v>
      </c>
      <c r="DOI37" s="68">
        <f t="shared" si="1871"/>
        <v>36.833333333333336</v>
      </c>
      <c r="DOJ37" s="48">
        <v>220</v>
      </c>
      <c r="DOK37" s="49">
        <v>0</v>
      </c>
      <c r="DOL37" s="49">
        <v>0</v>
      </c>
      <c r="DOM37" s="49"/>
      <c r="DON37" s="49">
        <v>0</v>
      </c>
      <c r="DOO37" s="49">
        <v>220</v>
      </c>
      <c r="DOP37" s="64">
        <f t="shared" si="1872"/>
        <v>440</v>
      </c>
      <c r="DOQ37" s="68">
        <f t="shared" si="1873"/>
        <v>73.333333333333329</v>
      </c>
      <c r="DOR37" s="48">
        <v>0</v>
      </c>
      <c r="DOS37" s="49">
        <v>110</v>
      </c>
      <c r="DOT37" s="49">
        <v>0</v>
      </c>
      <c r="DOU37" s="49">
        <v>0</v>
      </c>
      <c r="DOV37" s="49"/>
      <c r="DOW37" s="49">
        <v>0</v>
      </c>
      <c r="DOX37" s="64">
        <f t="shared" si="1874"/>
        <v>110</v>
      </c>
      <c r="DOY37" s="68">
        <f t="shared" si="1875"/>
        <v>18.333333333333332</v>
      </c>
      <c r="DOZ37" s="48"/>
      <c r="DPA37" s="49">
        <v>330</v>
      </c>
      <c r="DPB37" s="49"/>
      <c r="DPC37" s="49">
        <v>0</v>
      </c>
      <c r="DPD37" s="49"/>
      <c r="DPE37" s="49">
        <v>0</v>
      </c>
      <c r="DPF37" s="64">
        <f t="shared" si="1876"/>
        <v>330</v>
      </c>
      <c r="DPG37" s="68">
        <f t="shared" si="1877"/>
        <v>55</v>
      </c>
      <c r="DPH37" s="48">
        <v>0</v>
      </c>
      <c r="DPI37" s="49">
        <v>0</v>
      </c>
      <c r="DPJ37" s="49">
        <v>0</v>
      </c>
      <c r="DPK37" s="49">
        <v>0</v>
      </c>
      <c r="DPL37" s="49"/>
      <c r="DPM37" s="49"/>
      <c r="DPN37" s="64">
        <f t="shared" si="1878"/>
        <v>0</v>
      </c>
      <c r="DPO37" s="68">
        <f t="shared" si="1879"/>
        <v>0</v>
      </c>
      <c r="DPP37" s="48">
        <v>0</v>
      </c>
      <c r="DPQ37" s="49">
        <v>217</v>
      </c>
      <c r="DPR37" s="49">
        <v>0</v>
      </c>
      <c r="DPS37" s="49"/>
      <c r="DPT37" s="49"/>
      <c r="DPU37" s="49">
        <v>0</v>
      </c>
      <c r="DPV37" s="491">
        <f t="shared" si="1880"/>
        <v>217</v>
      </c>
      <c r="DPW37" s="492">
        <f t="shared" si="1881"/>
        <v>36.166666666666664</v>
      </c>
      <c r="DPX37" s="48">
        <v>0</v>
      </c>
      <c r="DPY37" s="49">
        <v>0</v>
      </c>
      <c r="DPZ37" s="49">
        <v>110</v>
      </c>
      <c r="DQA37" s="49">
        <v>330</v>
      </c>
      <c r="DQB37" s="49">
        <v>0</v>
      </c>
      <c r="DQC37" s="49">
        <v>0</v>
      </c>
      <c r="DQD37" s="491">
        <f t="shared" si="1882"/>
        <v>440</v>
      </c>
      <c r="DQE37" s="492">
        <f t="shared" si="1883"/>
        <v>73.333333333333329</v>
      </c>
      <c r="DQF37" s="48">
        <v>0</v>
      </c>
      <c r="DQG37" s="49">
        <v>0</v>
      </c>
      <c r="DQH37" s="49">
        <v>0</v>
      </c>
      <c r="DQI37" s="49"/>
      <c r="DQJ37" s="49">
        <v>0</v>
      </c>
      <c r="DQK37" s="49">
        <v>0</v>
      </c>
      <c r="DQL37" s="489">
        <f t="shared" si="1884"/>
        <v>0</v>
      </c>
      <c r="DQM37" s="492">
        <f t="shared" si="1885"/>
        <v>0</v>
      </c>
      <c r="DQN37" s="48">
        <v>0</v>
      </c>
      <c r="DQO37" s="49">
        <v>80</v>
      </c>
      <c r="DQP37" s="49">
        <v>0</v>
      </c>
      <c r="DQQ37" s="49">
        <v>0</v>
      </c>
      <c r="DQR37" s="49">
        <v>330</v>
      </c>
      <c r="DQS37" s="49">
        <v>0</v>
      </c>
      <c r="DQT37" s="64">
        <f t="shared" si="1886"/>
        <v>410</v>
      </c>
      <c r="DQU37" s="68">
        <f t="shared" si="1887"/>
        <v>68.333333333333329</v>
      </c>
      <c r="DQV37" s="48">
        <v>0</v>
      </c>
      <c r="DQW37" s="49">
        <v>0</v>
      </c>
      <c r="DQX37" s="49"/>
      <c r="DQY37" s="49">
        <v>0</v>
      </c>
      <c r="DQZ37" s="49">
        <v>0</v>
      </c>
      <c r="DRA37" s="49">
        <v>0</v>
      </c>
      <c r="DRB37" s="491">
        <f t="shared" si="1888"/>
        <v>0</v>
      </c>
      <c r="DRC37" s="492">
        <f t="shared" si="1889"/>
        <v>0</v>
      </c>
      <c r="DRD37" s="48">
        <v>0</v>
      </c>
      <c r="DRE37" s="49">
        <v>220</v>
      </c>
      <c r="DRF37" s="49">
        <v>0</v>
      </c>
      <c r="DRG37" s="49">
        <v>0</v>
      </c>
      <c r="DRH37" s="49">
        <v>0</v>
      </c>
      <c r="DRI37" s="49"/>
      <c r="DRJ37" s="491">
        <f t="shared" si="1890"/>
        <v>220</v>
      </c>
      <c r="DRK37" s="492">
        <f t="shared" si="1891"/>
        <v>36.666666666666664</v>
      </c>
      <c r="DRL37" s="48">
        <v>0</v>
      </c>
      <c r="DRM37" s="49">
        <v>0</v>
      </c>
      <c r="DRN37" s="49">
        <v>0</v>
      </c>
      <c r="DRO37" s="49">
        <v>0</v>
      </c>
      <c r="DRP37" s="49">
        <v>0</v>
      </c>
      <c r="DRQ37" s="49"/>
      <c r="DRR37" s="64">
        <f t="shared" si="1587"/>
        <v>0</v>
      </c>
      <c r="DRS37" s="68">
        <f t="shared" si="1588"/>
        <v>0</v>
      </c>
      <c r="DRT37" s="48">
        <v>0</v>
      </c>
      <c r="DRU37" s="49">
        <v>110</v>
      </c>
      <c r="DRV37" s="49">
        <v>0</v>
      </c>
      <c r="DRW37" s="49">
        <v>0</v>
      </c>
      <c r="DRX37" s="49">
        <v>0</v>
      </c>
      <c r="DRY37" s="49"/>
      <c r="DRZ37" s="491">
        <f t="shared" si="1589"/>
        <v>110</v>
      </c>
      <c r="DSA37" s="68">
        <f t="shared" si="1590"/>
        <v>18.333333333333332</v>
      </c>
      <c r="DSB37" s="82"/>
      <c r="DSC37" s="83">
        <v>0</v>
      </c>
      <c r="DSD37" s="83">
        <v>0</v>
      </c>
      <c r="DSE37" s="83"/>
      <c r="DSF37" s="83">
        <v>0</v>
      </c>
      <c r="DSG37" s="83">
        <v>0</v>
      </c>
      <c r="DSH37" s="64">
        <f t="shared" si="1591"/>
        <v>0</v>
      </c>
      <c r="DSI37" s="68">
        <f t="shared" si="1592"/>
        <v>0</v>
      </c>
      <c r="DSJ37" s="48">
        <v>0</v>
      </c>
      <c r="DSK37" s="49">
        <v>679</v>
      </c>
      <c r="DSL37" s="49">
        <v>0</v>
      </c>
      <c r="DSM37" s="49">
        <v>0</v>
      </c>
      <c r="DSN37" s="49">
        <v>111</v>
      </c>
      <c r="DSO37" s="49">
        <v>0</v>
      </c>
      <c r="DSP37" s="64">
        <f t="shared" si="1593"/>
        <v>790</v>
      </c>
      <c r="DSQ37" s="68">
        <f t="shared" si="1594"/>
        <v>131.66666666666666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595"/>
        <v>0</v>
      </c>
      <c r="DSY37" s="68">
        <f t="shared" si="1596"/>
        <v>0</v>
      </c>
      <c r="DSZ37" s="48">
        <v>0</v>
      </c>
      <c r="DTA37" s="49">
        <v>0</v>
      </c>
      <c r="DTB37" s="49">
        <v>111</v>
      </c>
      <c r="DTC37" s="49">
        <v>0</v>
      </c>
      <c r="DTD37" s="49"/>
      <c r="DTE37" s="49">
        <v>0</v>
      </c>
      <c r="DTF37" s="64">
        <f t="shared" si="1597"/>
        <v>111</v>
      </c>
      <c r="DTG37" s="68">
        <f t="shared" si="1598"/>
        <v>18.5</v>
      </c>
      <c r="DTH37" s="48">
        <v>0</v>
      </c>
      <c r="DTI37" s="49">
        <v>0</v>
      </c>
      <c r="DTJ37" s="49">
        <v>111</v>
      </c>
      <c r="DTK37" s="49">
        <v>0</v>
      </c>
      <c r="DTL37" s="49">
        <v>0</v>
      </c>
      <c r="DTM37" s="49">
        <v>0</v>
      </c>
      <c r="DTN37" s="64">
        <f t="shared" si="1599"/>
        <v>111</v>
      </c>
      <c r="DTO37" s="68">
        <f t="shared" si="1600"/>
        <v>18.5</v>
      </c>
      <c r="DTP37" s="48">
        <v>0</v>
      </c>
      <c r="DTQ37" s="49"/>
      <c r="DTR37" s="49"/>
      <c r="DTS37" s="49">
        <v>0</v>
      </c>
      <c r="DTT37" s="49">
        <v>0</v>
      </c>
      <c r="DTU37" s="49">
        <v>0</v>
      </c>
      <c r="DTV37" s="64">
        <f t="shared" si="1601"/>
        <v>0</v>
      </c>
      <c r="DTW37" s="68">
        <f t="shared" si="1602"/>
        <v>0</v>
      </c>
      <c r="DTX37" s="48">
        <v>0</v>
      </c>
      <c r="DTY37" s="49">
        <v>199</v>
      </c>
      <c r="DTZ37" s="49">
        <v>0</v>
      </c>
      <c r="DUA37" s="49">
        <v>0</v>
      </c>
      <c r="DUB37" s="49">
        <v>0</v>
      </c>
      <c r="DUC37" s="49">
        <v>0</v>
      </c>
      <c r="DUD37" s="64">
        <f t="shared" si="1603"/>
        <v>199</v>
      </c>
      <c r="DUE37" s="68">
        <f t="shared" si="1604"/>
        <v>33.166666666666664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05"/>
        <v>0</v>
      </c>
      <c r="DUM37" s="68">
        <f t="shared" si="1606"/>
        <v>0</v>
      </c>
      <c r="DUN37" s="48"/>
      <c r="DUO37" s="49">
        <v>0</v>
      </c>
      <c r="DUP37" s="49">
        <v>0</v>
      </c>
      <c r="DUQ37" s="49">
        <v>234</v>
      </c>
      <c r="DUR37" s="49"/>
      <c r="DUS37" s="49">
        <v>0</v>
      </c>
      <c r="DUT37" s="64">
        <f t="shared" si="1607"/>
        <v>234</v>
      </c>
      <c r="DUU37" s="68">
        <f t="shared" si="1608"/>
        <v>39</v>
      </c>
      <c r="DUV37" s="48"/>
      <c r="DUW37" s="49">
        <v>0</v>
      </c>
      <c r="DUX37" s="49">
        <v>0</v>
      </c>
      <c r="DUY37" s="49">
        <v>0</v>
      </c>
      <c r="DUZ37" s="49">
        <v>0</v>
      </c>
      <c r="DVA37" s="49">
        <v>0</v>
      </c>
      <c r="DVB37" s="64">
        <f t="shared" si="1609"/>
        <v>0</v>
      </c>
      <c r="DVC37" s="68">
        <f t="shared" si="1610"/>
        <v>0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0</v>
      </c>
      <c r="DVJ37" s="64">
        <f t="shared" si="1611"/>
        <v>0</v>
      </c>
      <c r="DVK37" s="68">
        <f t="shared" si="1612"/>
        <v>0</v>
      </c>
      <c r="DVL37" s="48">
        <v>111</v>
      </c>
      <c r="DVM37" s="49">
        <v>0</v>
      </c>
      <c r="DVN37" s="49">
        <v>0</v>
      </c>
      <c r="DVO37" s="49">
        <v>0</v>
      </c>
      <c r="DVP37" s="49">
        <v>112</v>
      </c>
      <c r="DVQ37" s="49">
        <v>0</v>
      </c>
      <c r="DVR37" s="64">
        <f t="shared" si="1613"/>
        <v>223</v>
      </c>
      <c r="DVS37" s="68">
        <f t="shared" si="1614"/>
        <v>37.166666666666664</v>
      </c>
      <c r="DVT37" s="48"/>
      <c r="DVU37" s="49">
        <v>191</v>
      </c>
      <c r="DVV37" s="49">
        <v>101</v>
      </c>
      <c r="DVW37" s="49">
        <v>0</v>
      </c>
      <c r="DVX37" s="49">
        <v>0</v>
      </c>
      <c r="DVY37" s="49">
        <v>0</v>
      </c>
      <c r="DVZ37" s="64">
        <f t="shared" si="1615"/>
        <v>292</v>
      </c>
      <c r="DWA37" s="68">
        <f t="shared" si="1616"/>
        <v>48.666666666666664</v>
      </c>
      <c r="DWB37" s="48">
        <v>0</v>
      </c>
      <c r="DWC37" s="49">
        <v>0</v>
      </c>
      <c r="DWD37" s="49">
        <v>0</v>
      </c>
      <c r="DWE37" s="49">
        <v>0</v>
      </c>
      <c r="DWF37" s="49">
        <v>0</v>
      </c>
      <c r="DWG37" s="49"/>
      <c r="DWH37" s="64">
        <f t="shared" si="1617"/>
        <v>0</v>
      </c>
      <c r="DWI37" s="68">
        <f t="shared" si="1618"/>
        <v>0</v>
      </c>
      <c r="DWJ37" s="48">
        <v>0</v>
      </c>
      <c r="DWK37" s="49">
        <v>0</v>
      </c>
      <c r="DWL37" s="49">
        <v>0</v>
      </c>
      <c r="DWM37" s="49">
        <v>0</v>
      </c>
      <c r="DWN37" s="49">
        <v>108</v>
      </c>
      <c r="DWO37" s="49">
        <v>0</v>
      </c>
      <c r="DWP37" s="64">
        <f t="shared" si="1619"/>
        <v>108</v>
      </c>
      <c r="DWQ37" s="68">
        <f t="shared" si="1620"/>
        <v>18</v>
      </c>
      <c r="DWR37" s="48">
        <v>0</v>
      </c>
      <c r="DWS37" s="49"/>
      <c r="DWT37" s="49">
        <v>0</v>
      </c>
      <c r="DWU37" s="49">
        <v>219</v>
      </c>
      <c r="DWV37" s="49">
        <v>0</v>
      </c>
      <c r="DWW37" s="49">
        <v>0</v>
      </c>
      <c r="DWX37" s="64">
        <f t="shared" si="1621"/>
        <v>219</v>
      </c>
      <c r="DWY37" s="68">
        <f t="shared" si="1622"/>
        <v>36.5</v>
      </c>
      <c r="DWZ37" s="48">
        <v>0</v>
      </c>
      <c r="DXA37" s="49">
        <v>0</v>
      </c>
      <c r="DXB37" s="49">
        <v>110</v>
      </c>
      <c r="DXC37" s="49">
        <v>0</v>
      </c>
      <c r="DXD37" s="49"/>
      <c r="DXE37" s="49"/>
      <c r="DXF37" s="64">
        <f t="shared" si="1623"/>
        <v>110</v>
      </c>
      <c r="DXG37" s="68">
        <f t="shared" si="1624"/>
        <v>18.333333333333332</v>
      </c>
      <c r="DXH37" s="48">
        <v>0</v>
      </c>
      <c r="DXI37" s="49">
        <v>0</v>
      </c>
      <c r="DXJ37" s="49">
        <v>0</v>
      </c>
      <c r="DXK37" s="49">
        <v>0</v>
      </c>
      <c r="DXL37" s="49">
        <v>0</v>
      </c>
      <c r="DXM37" s="49">
        <v>0</v>
      </c>
      <c r="DXN37" s="64">
        <f t="shared" si="1625"/>
        <v>0</v>
      </c>
      <c r="DXO37" s="68">
        <f t="shared" si="1626"/>
        <v>0</v>
      </c>
      <c r="DXP37" s="48">
        <v>0</v>
      </c>
      <c r="DXQ37" s="49">
        <v>108</v>
      </c>
      <c r="DXR37" s="49">
        <v>0</v>
      </c>
      <c r="DXS37" s="49">
        <v>110</v>
      </c>
      <c r="DXT37" s="49">
        <v>0</v>
      </c>
      <c r="DXU37" s="49">
        <v>0</v>
      </c>
      <c r="DXV37" s="64">
        <f t="shared" si="1320"/>
        <v>218</v>
      </c>
      <c r="DXW37" s="68">
        <f t="shared" si="1321"/>
        <v>36.333333333333336</v>
      </c>
      <c r="DXX37" s="48">
        <v>0</v>
      </c>
      <c r="DXY37" s="49">
        <v>0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22"/>
        <v>0</v>
      </c>
      <c r="DYE37" s="68">
        <f t="shared" si="1323"/>
        <v>0</v>
      </c>
      <c r="DYF37" s="48">
        <v>0</v>
      </c>
      <c r="DYG37" s="49">
        <v>211</v>
      </c>
      <c r="DYH37" s="49">
        <v>0</v>
      </c>
      <c r="DYI37" s="49">
        <v>0</v>
      </c>
      <c r="DYJ37" s="49">
        <v>0</v>
      </c>
      <c r="DYK37" s="49"/>
      <c r="DYL37" s="64">
        <f t="shared" si="1324"/>
        <v>211</v>
      </c>
      <c r="DYM37" s="68">
        <f t="shared" si="1325"/>
        <v>35.166666666666664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26"/>
        <v>0</v>
      </c>
      <c r="DYU37" s="68">
        <f t="shared" si="1327"/>
        <v>0</v>
      </c>
      <c r="DYV37" s="48">
        <v>0</v>
      </c>
      <c r="DYW37" s="49">
        <v>0</v>
      </c>
      <c r="DYX37" s="49">
        <v>0</v>
      </c>
      <c r="DYY37" s="49">
        <v>0</v>
      </c>
      <c r="DYZ37" s="49">
        <v>0</v>
      </c>
      <c r="DZA37" s="49">
        <v>0</v>
      </c>
      <c r="DZB37" s="64">
        <f t="shared" si="1328"/>
        <v>0</v>
      </c>
      <c r="DZC37" s="68">
        <f t="shared" si="1329"/>
        <v>0</v>
      </c>
      <c r="DZD37" s="48">
        <v>0</v>
      </c>
      <c r="DZE37" s="49">
        <v>0</v>
      </c>
      <c r="DZF37" s="49">
        <v>0</v>
      </c>
      <c r="DZG37" s="49">
        <v>0</v>
      </c>
      <c r="DZH37" s="49">
        <v>0</v>
      </c>
      <c r="DZI37" s="49">
        <v>0</v>
      </c>
      <c r="DZJ37" s="64">
        <f t="shared" si="1330"/>
        <v>0</v>
      </c>
      <c r="DZK37" s="68">
        <f t="shared" si="1331"/>
        <v>0</v>
      </c>
      <c r="DZL37" s="48">
        <v>0</v>
      </c>
      <c r="DZM37" s="49">
        <v>110</v>
      </c>
      <c r="DZN37" s="49"/>
      <c r="DZO37" s="49">
        <v>0</v>
      </c>
      <c r="DZP37" s="49">
        <v>0</v>
      </c>
      <c r="DZQ37" s="49">
        <v>0</v>
      </c>
      <c r="DZR37" s="64">
        <f t="shared" si="1332"/>
        <v>110</v>
      </c>
      <c r="DZS37" s="68">
        <f t="shared" si="1333"/>
        <v>18.333333333333332</v>
      </c>
      <c r="DZT37" s="48">
        <v>0</v>
      </c>
      <c r="DZU37" s="49">
        <v>111</v>
      </c>
      <c r="DZV37" s="49"/>
      <c r="DZW37" s="49">
        <v>0</v>
      </c>
      <c r="DZX37" s="49">
        <v>0</v>
      </c>
      <c r="DZY37" s="49">
        <v>0</v>
      </c>
      <c r="DZZ37" s="64">
        <f t="shared" si="1334"/>
        <v>111</v>
      </c>
      <c r="EAA37" s="68">
        <f t="shared" si="1335"/>
        <v>18.5</v>
      </c>
      <c r="EAB37" s="48"/>
      <c r="EAC37" s="49">
        <v>0</v>
      </c>
      <c r="EAD37" s="49">
        <v>0</v>
      </c>
      <c r="EAE37" s="49"/>
      <c r="EAF37" s="49">
        <v>0</v>
      </c>
      <c r="EAG37" s="49">
        <v>0</v>
      </c>
      <c r="EAH37" s="64">
        <f t="shared" si="1336"/>
        <v>0</v>
      </c>
      <c r="EAI37" s="68">
        <f t="shared" si="1337"/>
        <v>0</v>
      </c>
      <c r="EAJ37" s="48">
        <v>0</v>
      </c>
      <c r="EAK37" s="49">
        <v>0</v>
      </c>
      <c r="EAL37" s="49">
        <v>220</v>
      </c>
      <c r="EAM37" s="49">
        <v>0</v>
      </c>
      <c r="EAN37" s="49">
        <v>0</v>
      </c>
      <c r="EAO37" s="49">
        <v>0</v>
      </c>
      <c r="EAP37" s="64">
        <f t="shared" si="1338"/>
        <v>220</v>
      </c>
      <c r="EAQ37" s="68">
        <f t="shared" si="1339"/>
        <v>36.666666666666664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0</v>
      </c>
      <c r="EAX37" s="64">
        <f t="shared" si="1340"/>
        <v>0</v>
      </c>
      <c r="EAY37" s="68">
        <f t="shared" si="1341"/>
        <v>0</v>
      </c>
      <c r="EAZ37" s="48">
        <v>0</v>
      </c>
      <c r="EBA37" s="49"/>
      <c r="EBB37" s="49">
        <v>0</v>
      </c>
      <c r="EBC37" s="49">
        <v>0</v>
      </c>
      <c r="EBD37" s="49">
        <v>0</v>
      </c>
      <c r="EBE37" s="49">
        <v>0</v>
      </c>
      <c r="EBF37" s="64">
        <f t="shared" si="1342"/>
        <v>0</v>
      </c>
      <c r="EBG37" s="68">
        <f t="shared" si="1343"/>
        <v>0</v>
      </c>
      <c r="EBH37" s="48">
        <v>0</v>
      </c>
      <c r="EBI37" s="49">
        <v>50</v>
      </c>
      <c r="EBJ37" s="49">
        <v>0</v>
      </c>
      <c r="EBK37" s="49">
        <v>0</v>
      </c>
      <c r="EBL37" s="49">
        <v>0</v>
      </c>
      <c r="EBM37" s="49">
        <v>0</v>
      </c>
      <c r="EBN37" s="64">
        <f t="shared" si="1344"/>
        <v>50</v>
      </c>
      <c r="EBO37" s="68">
        <f t="shared" si="1345"/>
        <v>8.3333333333333339</v>
      </c>
      <c r="EBP37" s="48">
        <v>40</v>
      </c>
      <c r="EBQ37" s="49">
        <v>0</v>
      </c>
      <c r="EBR37" s="49"/>
      <c r="EBS37" s="49">
        <v>0</v>
      </c>
      <c r="EBT37" s="49"/>
      <c r="EBU37" s="49"/>
      <c r="EBV37" s="64">
        <f t="shared" si="1346"/>
        <v>40</v>
      </c>
      <c r="EBW37" s="68">
        <f t="shared" si="1347"/>
        <v>6.666666666666667</v>
      </c>
      <c r="EBX37" s="48">
        <v>0</v>
      </c>
      <c r="EBY37" s="49">
        <v>0</v>
      </c>
      <c r="EBZ37" s="49">
        <v>0</v>
      </c>
      <c r="ECA37" s="49"/>
      <c r="ECB37" s="49">
        <v>0</v>
      </c>
      <c r="ECC37" s="49">
        <v>0</v>
      </c>
      <c r="ECD37" s="64">
        <f t="shared" si="1348"/>
        <v>0</v>
      </c>
      <c r="ECE37" s="68">
        <f t="shared" si="1349"/>
        <v>0</v>
      </c>
      <c r="ECF37" s="48">
        <v>0</v>
      </c>
      <c r="ECG37" s="49">
        <v>110</v>
      </c>
      <c r="ECH37" s="49">
        <v>0</v>
      </c>
      <c r="ECI37" s="49">
        <v>110</v>
      </c>
      <c r="ECJ37" s="49">
        <v>0</v>
      </c>
      <c r="ECK37" s="49"/>
      <c r="ECL37" s="64">
        <f t="shared" si="1350"/>
        <v>220</v>
      </c>
      <c r="ECM37" s="68">
        <f t="shared" si="1351"/>
        <v>36.666666666666664</v>
      </c>
      <c r="ECN37" s="48">
        <v>200</v>
      </c>
      <c r="ECO37" s="49">
        <v>0</v>
      </c>
      <c r="ECP37" s="49">
        <v>0</v>
      </c>
      <c r="ECQ37" s="49"/>
      <c r="ECR37" s="49">
        <v>0</v>
      </c>
      <c r="ECS37" s="49">
        <v>0</v>
      </c>
      <c r="ECT37" s="64">
        <f t="shared" si="1352"/>
        <v>200</v>
      </c>
      <c r="ECU37" s="68">
        <f t="shared" si="1353"/>
        <v>33.333333333333336</v>
      </c>
      <c r="ECV37" s="48">
        <v>0</v>
      </c>
      <c r="ECW37" s="49">
        <v>0</v>
      </c>
      <c r="ECX37" s="49">
        <v>0</v>
      </c>
      <c r="ECY37" s="49">
        <v>110</v>
      </c>
      <c r="ECZ37" s="49"/>
      <c r="EDA37" s="49"/>
      <c r="EDB37" s="64">
        <f t="shared" si="1354"/>
        <v>110</v>
      </c>
      <c r="EDC37" s="68">
        <f t="shared" si="1355"/>
        <v>18.333333333333332</v>
      </c>
      <c r="EDD37" s="48"/>
      <c r="EDE37" s="49">
        <v>0</v>
      </c>
      <c r="EDF37" s="49">
        <v>0</v>
      </c>
      <c r="EDG37" s="49">
        <v>0</v>
      </c>
      <c r="EDH37" s="49"/>
      <c r="EDI37" s="49"/>
      <c r="EDJ37" s="64">
        <f t="shared" si="1356"/>
        <v>0</v>
      </c>
      <c r="EDK37" s="68">
        <f t="shared" si="1357"/>
        <v>0</v>
      </c>
      <c r="EDL37" s="48">
        <v>0</v>
      </c>
      <c r="EDM37" s="49">
        <v>110</v>
      </c>
      <c r="EDN37" s="49"/>
      <c r="EDO37" s="49">
        <v>0</v>
      </c>
      <c r="EDP37" s="49">
        <v>0</v>
      </c>
      <c r="EDQ37" s="49">
        <v>0</v>
      </c>
      <c r="EDR37" s="64">
        <f t="shared" si="1358"/>
        <v>110</v>
      </c>
      <c r="EDS37" s="68">
        <f t="shared" si="1359"/>
        <v>18.333333333333332</v>
      </c>
      <c r="EDT37" s="48">
        <v>0</v>
      </c>
      <c r="EDU37" s="49">
        <v>0</v>
      </c>
      <c r="EDV37" s="49">
        <v>80</v>
      </c>
      <c r="EDW37" s="49">
        <v>0</v>
      </c>
      <c r="EDX37" s="49">
        <v>0</v>
      </c>
      <c r="EDY37" s="49"/>
      <c r="EDZ37" s="64">
        <f t="shared" si="1360"/>
        <v>80</v>
      </c>
      <c r="EEA37" s="68">
        <f t="shared" si="1361"/>
        <v>13.333333333333334</v>
      </c>
      <c r="EEB37" s="48">
        <v>0</v>
      </c>
      <c r="EEC37" s="49">
        <v>0</v>
      </c>
      <c r="EED37" s="49">
        <v>0</v>
      </c>
      <c r="EEE37" s="49">
        <v>100</v>
      </c>
      <c r="EEF37" s="49">
        <v>0</v>
      </c>
      <c r="EEG37" s="49"/>
      <c r="EEH37" s="64">
        <f t="shared" si="1362"/>
        <v>100</v>
      </c>
      <c r="EEI37" s="68">
        <f t="shared" si="1363"/>
        <v>16.666666666666668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64"/>
        <v>0</v>
      </c>
      <c r="EEQ37" s="68">
        <f t="shared" si="1365"/>
        <v>0</v>
      </c>
      <c r="EER37" s="48">
        <v>0</v>
      </c>
      <c r="EES37" s="49">
        <v>0</v>
      </c>
      <c r="EET37" s="49">
        <v>0</v>
      </c>
      <c r="EEU37" s="49">
        <v>110</v>
      </c>
      <c r="EEV37" s="49">
        <v>0</v>
      </c>
      <c r="EEW37" s="49"/>
      <c r="EEX37" s="64">
        <f t="shared" si="1366"/>
        <v>110</v>
      </c>
      <c r="EEY37" s="68">
        <f t="shared" si="1367"/>
        <v>18.333333333333332</v>
      </c>
      <c r="EEZ37" s="48">
        <v>0</v>
      </c>
      <c r="EFA37" s="49"/>
      <c r="EFB37" s="49">
        <v>0</v>
      </c>
      <c r="EFC37" s="49">
        <v>0</v>
      </c>
      <c r="EFD37" s="49">
        <v>0</v>
      </c>
      <c r="EFE37" s="49">
        <v>0</v>
      </c>
      <c r="EFF37" s="64">
        <f t="shared" si="1368"/>
        <v>0</v>
      </c>
      <c r="EFG37" s="68">
        <f t="shared" si="1369"/>
        <v>0</v>
      </c>
      <c r="EFH37" s="48">
        <v>0</v>
      </c>
      <c r="EFI37" s="49">
        <v>0</v>
      </c>
      <c r="EFJ37" s="49">
        <v>111</v>
      </c>
      <c r="EFK37" s="49">
        <v>0</v>
      </c>
      <c r="EFL37" s="49">
        <v>0</v>
      </c>
      <c r="EFM37" s="49">
        <v>0</v>
      </c>
      <c r="EFN37" s="64">
        <f t="shared" si="1370"/>
        <v>111</v>
      </c>
      <c r="EFO37" s="68">
        <f t="shared" si="1371"/>
        <v>18.5</v>
      </c>
      <c r="EFP37" s="48">
        <v>0</v>
      </c>
      <c r="EFQ37" s="49"/>
      <c r="EFR37" s="49"/>
      <c r="EFS37" s="49">
        <v>0</v>
      </c>
      <c r="EFT37" s="49">
        <v>0</v>
      </c>
      <c r="EFU37" s="49">
        <v>0</v>
      </c>
      <c r="EFV37" s="64">
        <f t="shared" si="1372"/>
        <v>0</v>
      </c>
      <c r="EFW37" s="68">
        <f t="shared" si="1373"/>
        <v>0</v>
      </c>
      <c r="EFX37" s="48">
        <v>106</v>
      </c>
      <c r="EFY37" s="49">
        <v>0</v>
      </c>
      <c r="EFZ37" s="49"/>
      <c r="EGA37" s="49">
        <v>0</v>
      </c>
      <c r="EGB37" s="49">
        <v>0</v>
      </c>
      <c r="EGC37" s="49">
        <v>0</v>
      </c>
      <c r="EGD37" s="64">
        <f t="shared" si="1374"/>
        <v>106</v>
      </c>
      <c r="EGE37" s="68">
        <f t="shared" si="1375"/>
        <v>17.666666666666668</v>
      </c>
      <c r="EGF37" s="48">
        <v>0</v>
      </c>
      <c r="EGG37" s="49">
        <v>0</v>
      </c>
      <c r="EGH37" s="49">
        <v>100</v>
      </c>
      <c r="EGI37" s="49">
        <v>0</v>
      </c>
      <c r="EGJ37" s="49">
        <v>0</v>
      </c>
      <c r="EGK37" s="49">
        <v>0</v>
      </c>
      <c r="EGL37" s="64">
        <f t="shared" si="1376"/>
        <v>100</v>
      </c>
      <c r="EGM37" s="68">
        <f t="shared" si="1377"/>
        <v>16.666666666666668</v>
      </c>
      <c r="EGN37" s="48">
        <v>0</v>
      </c>
      <c r="EGO37" s="49">
        <v>0</v>
      </c>
      <c r="EGP37" s="49"/>
      <c r="EGQ37" s="49">
        <v>0</v>
      </c>
      <c r="EGR37" s="49">
        <v>109</v>
      </c>
      <c r="EGS37" s="49">
        <v>0</v>
      </c>
      <c r="EGT37" s="64">
        <f t="shared" si="1378"/>
        <v>109</v>
      </c>
      <c r="EGU37" s="68">
        <f t="shared" si="1379"/>
        <v>18.166666666666668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0</v>
      </c>
      <c r="EHB37" s="64">
        <f t="shared" si="1380"/>
        <v>0</v>
      </c>
      <c r="EHC37" s="68">
        <f t="shared" si="1381"/>
        <v>0</v>
      </c>
      <c r="EHD37" s="48">
        <v>0</v>
      </c>
      <c r="EHE37" s="49">
        <v>110</v>
      </c>
      <c r="EHF37" s="49"/>
      <c r="EHG37" s="49">
        <v>0</v>
      </c>
      <c r="EHH37" s="49">
        <v>0</v>
      </c>
      <c r="EHI37" s="49">
        <v>0</v>
      </c>
      <c r="EHJ37" s="64">
        <f t="shared" si="1382"/>
        <v>110</v>
      </c>
      <c r="EHK37" s="68">
        <f t="shared" si="1383"/>
        <v>18.333333333333332</v>
      </c>
      <c r="EHL37" s="48">
        <v>0</v>
      </c>
      <c r="EHM37" s="49">
        <v>201</v>
      </c>
      <c r="EHN37" s="49"/>
      <c r="EHO37" s="49">
        <v>0</v>
      </c>
      <c r="EHP37" s="49"/>
      <c r="EHQ37" s="49">
        <v>0</v>
      </c>
      <c r="EHR37" s="64">
        <f t="shared" si="1384"/>
        <v>201</v>
      </c>
      <c r="EHS37" s="68">
        <f t="shared" si="1385"/>
        <v>33.5</v>
      </c>
      <c r="EHT37" s="48">
        <v>0</v>
      </c>
      <c r="EHU37" s="49">
        <v>0</v>
      </c>
      <c r="EHV37" s="49"/>
      <c r="EHW37" s="49">
        <v>0</v>
      </c>
      <c r="EHX37" s="49">
        <v>0</v>
      </c>
      <c r="EHY37" s="49">
        <v>0</v>
      </c>
      <c r="EHZ37" s="64">
        <f t="shared" si="1386"/>
        <v>0</v>
      </c>
      <c r="EIA37" s="68">
        <f t="shared" si="1387"/>
        <v>0</v>
      </c>
      <c r="EIB37" s="48">
        <v>0</v>
      </c>
      <c r="EIC37" s="49">
        <v>0</v>
      </c>
      <c r="EID37" s="49">
        <v>0</v>
      </c>
      <c r="EIE37" s="49">
        <v>0</v>
      </c>
      <c r="EIF37" s="49">
        <v>0</v>
      </c>
      <c r="EIG37" s="49">
        <v>0</v>
      </c>
      <c r="EIH37" s="64">
        <f t="shared" si="1388"/>
        <v>0</v>
      </c>
      <c r="EII37" s="68">
        <f t="shared" si="1389"/>
        <v>0</v>
      </c>
      <c r="EIJ37" s="48">
        <v>0</v>
      </c>
      <c r="EIK37" s="49">
        <v>0</v>
      </c>
      <c r="EIL37" s="49">
        <v>0</v>
      </c>
      <c r="EIM37" s="49">
        <v>0</v>
      </c>
      <c r="EIN37" s="49">
        <v>0</v>
      </c>
      <c r="EIO37" s="49">
        <v>0</v>
      </c>
      <c r="EIP37" s="64">
        <f t="shared" si="1390"/>
        <v>0</v>
      </c>
      <c r="EIQ37" s="68">
        <f t="shared" si="1391"/>
        <v>0</v>
      </c>
      <c r="EIR37" s="48">
        <v>0</v>
      </c>
      <c r="EIS37" s="49">
        <v>110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392"/>
        <v>110</v>
      </c>
      <c r="EIY37" s="68">
        <f t="shared" si="1393"/>
        <v>18.333333333333332</v>
      </c>
      <c r="EIZ37" s="48">
        <v>0</v>
      </c>
      <c r="EJA37" s="49">
        <v>80</v>
      </c>
      <c r="EJB37" s="49">
        <v>0</v>
      </c>
      <c r="EJC37" s="49">
        <v>0</v>
      </c>
      <c r="EJD37" s="49">
        <v>0</v>
      </c>
      <c r="EJE37" s="49">
        <v>110</v>
      </c>
      <c r="EJF37" s="64">
        <f t="shared" si="1394"/>
        <v>190</v>
      </c>
      <c r="EJG37" s="68">
        <f t="shared" si="1395"/>
        <v>31.666666666666668</v>
      </c>
      <c r="EJH37" s="48">
        <v>0</v>
      </c>
      <c r="EJI37" s="49">
        <v>0</v>
      </c>
      <c r="EJJ37" s="49"/>
      <c r="EJK37" s="49">
        <v>0</v>
      </c>
      <c r="EJL37" s="49"/>
      <c r="EJM37" s="49"/>
      <c r="EJN37" s="64">
        <f t="shared" si="1396"/>
        <v>0</v>
      </c>
      <c r="EJO37" s="68">
        <f t="shared" si="1397"/>
        <v>0</v>
      </c>
      <c r="EJP37" s="48">
        <v>0</v>
      </c>
      <c r="EJQ37" s="49">
        <v>80</v>
      </c>
      <c r="EJR37" s="49">
        <v>0</v>
      </c>
      <c r="EJS37" s="49">
        <v>0</v>
      </c>
      <c r="EJT37" s="49">
        <v>0</v>
      </c>
      <c r="EJU37" s="49">
        <v>0</v>
      </c>
      <c r="EJV37" s="64">
        <f t="shared" si="1398"/>
        <v>80</v>
      </c>
      <c r="EJW37" s="68">
        <f t="shared" si="1399"/>
        <v>13.333333333333334</v>
      </c>
      <c r="EJX37" s="48">
        <v>0</v>
      </c>
      <c r="EJY37" s="49">
        <v>0</v>
      </c>
      <c r="EJZ37" s="49">
        <v>111</v>
      </c>
      <c r="EKA37" s="49"/>
      <c r="EKB37" s="49">
        <v>0</v>
      </c>
      <c r="EKC37" s="49"/>
      <c r="EKD37" s="64">
        <f t="shared" si="1400"/>
        <v>111</v>
      </c>
      <c r="EKE37" s="68">
        <f t="shared" si="1401"/>
        <v>18.5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02"/>
        <v>0</v>
      </c>
      <c r="EKM37" s="68">
        <f t="shared" si="1403"/>
        <v>0</v>
      </c>
      <c r="EKN37" s="48">
        <v>0</v>
      </c>
      <c r="EKO37" s="49">
        <v>0</v>
      </c>
      <c r="EKP37" s="49">
        <v>0</v>
      </c>
      <c r="EKQ37" s="49">
        <v>110</v>
      </c>
      <c r="EKR37" s="49">
        <v>110</v>
      </c>
      <c r="EKS37" s="49">
        <v>0</v>
      </c>
      <c r="EKT37" s="64">
        <f t="shared" si="1404"/>
        <v>220</v>
      </c>
      <c r="EKU37" s="184">
        <f t="shared" si="1405"/>
        <v>36.666666666666664</v>
      </c>
      <c r="EKV37" s="665"/>
      <c r="EKW37" s="195">
        <v>0</v>
      </c>
      <c r="EKX37" s="49">
        <v>0</v>
      </c>
      <c r="EKY37" s="49">
        <v>0</v>
      </c>
      <c r="EKZ37" s="49">
        <v>0</v>
      </c>
      <c r="ELA37" s="49">
        <v>0</v>
      </c>
      <c r="ELB37" s="49">
        <v>0</v>
      </c>
      <c r="ELC37" s="64">
        <f t="shared" si="1406"/>
        <v>0</v>
      </c>
      <c r="ELD37" s="211">
        <f t="shared" si="1407"/>
        <v>0</v>
      </c>
      <c r="ELE37" s="195">
        <v>201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08"/>
        <v>201</v>
      </c>
      <c r="ELL37" s="211">
        <f t="shared" si="1409"/>
        <v>33.5</v>
      </c>
      <c r="ELM37" s="195">
        <v>0</v>
      </c>
      <c r="ELN37" s="49">
        <v>0</v>
      </c>
      <c r="ELO37" s="49">
        <v>0</v>
      </c>
      <c r="ELP37" s="49">
        <v>0</v>
      </c>
      <c r="ELQ37" s="49">
        <v>79</v>
      </c>
      <c r="ELR37" s="49">
        <v>0</v>
      </c>
      <c r="ELS37" s="64">
        <f t="shared" si="1410"/>
        <v>79</v>
      </c>
      <c r="ELT37" s="211">
        <f t="shared" si="1411"/>
        <v>13.166666666666666</v>
      </c>
      <c r="ELU37" s="195">
        <v>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12"/>
        <v>0</v>
      </c>
      <c r="EMB37" s="211">
        <f t="shared" si="1413"/>
        <v>0</v>
      </c>
      <c r="EMC37" s="195">
        <v>0</v>
      </c>
      <c r="EMD37" s="49">
        <v>0</v>
      </c>
      <c r="EME37" s="49">
        <v>0</v>
      </c>
      <c r="EMF37" s="49">
        <v>0</v>
      </c>
      <c r="EMG37" s="49">
        <v>110</v>
      </c>
      <c r="EMH37" s="49">
        <v>0</v>
      </c>
      <c r="EMI37" s="64">
        <f t="shared" si="1414"/>
        <v>110</v>
      </c>
      <c r="EMJ37" s="211">
        <f t="shared" si="1415"/>
        <v>18.333333333333332</v>
      </c>
      <c r="EMK37" s="195">
        <v>0</v>
      </c>
      <c r="EML37" s="49">
        <v>0</v>
      </c>
      <c r="EMM37" s="49">
        <v>0</v>
      </c>
      <c r="EMN37" s="49">
        <v>109</v>
      </c>
      <c r="EMO37" s="49">
        <v>0</v>
      </c>
      <c r="EMP37" s="49">
        <v>0</v>
      </c>
      <c r="EMQ37" s="64">
        <f t="shared" si="1416"/>
        <v>109</v>
      </c>
      <c r="EMR37" s="211">
        <f t="shared" si="1417"/>
        <v>18.166666666666668</v>
      </c>
      <c r="EMS37" s="195">
        <v>105</v>
      </c>
      <c r="EMT37" s="49">
        <v>0</v>
      </c>
      <c r="EMU37" s="49">
        <v>0</v>
      </c>
      <c r="EMV37" s="49">
        <v>0</v>
      </c>
      <c r="EMW37" s="49">
        <v>0</v>
      </c>
      <c r="EMX37" s="49">
        <v>121</v>
      </c>
      <c r="EMY37" s="64">
        <f t="shared" si="1418"/>
        <v>226</v>
      </c>
      <c r="EMZ37" s="211">
        <f t="shared" si="1419"/>
        <v>37.666666666666664</v>
      </c>
      <c r="ENA37" s="195">
        <v>0</v>
      </c>
      <c r="ENB37" s="49">
        <v>0</v>
      </c>
      <c r="ENC37" s="49">
        <v>0</v>
      </c>
      <c r="END37" s="49">
        <v>0</v>
      </c>
      <c r="ENE37" s="49">
        <v>0</v>
      </c>
      <c r="ENF37" s="49">
        <v>0</v>
      </c>
      <c r="ENG37" s="64">
        <f t="shared" si="1420"/>
        <v>0</v>
      </c>
      <c r="ENH37" s="211">
        <f t="shared" si="1421"/>
        <v>0</v>
      </c>
      <c r="ENI37" s="195">
        <v>0</v>
      </c>
      <c r="ENJ37" s="49"/>
      <c r="ENK37" s="49">
        <v>0</v>
      </c>
      <c r="ENL37" s="49">
        <v>0</v>
      </c>
      <c r="ENM37" s="49">
        <v>0</v>
      </c>
      <c r="ENN37" s="49">
        <v>0</v>
      </c>
      <c r="ENO37" s="64">
        <f t="shared" si="1422"/>
        <v>0</v>
      </c>
      <c r="ENP37" s="211">
        <f t="shared" si="1423"/>
        <v>0</v>
      </c>
      <c r="ENQ37" s="195">
        <v>111</v>
      </c>
      <c r="ENR37" s="49"/>
      <c r="ENS37" s="49">
        <v>0</v>
      </c>
      <c r="ENT37" s="49">
        <v>0</v>
      </c>
      <c r="ENU37" s="49">
        <v>0</v>
      </c>
      <c r="ENV37" s="49">
        <v>39</v>
      </c>
      <c r="ENW37" s="64">
        <f t="shared" si="1424"/>
        <v>150</v>
      </c>
      <c r="ENX37" s="211">
        <f t="shared" si="1425"/>
        <v>25</v>
      </c>
      <c r="ENY37" s="195">
        <v>110</v>
      </c>
      <c r="ENZ37" s="49"/>
      <c r="EOA37" s="49">
        <v>0</v>
      </c>
      <c r="EOB37" s="49">
        <v>0</v>
      </c>
      <c r="EOC37" s="49">
        <v>78</v>
      </c>
      <c r="EOD37" s="49">
        <v>0</v>
      </c>
      <c r="EOE37" s="64">
        <f t="shared" si="1426"/>
        <v>188</v>
      </c>
      <c r="EOF37" s="211">
        <f t="shared" si="1427"/>
        <v>31.333333333333332</v>
      </c>
      <c r="EOG37" s="1"/>
      <c r="EOH37" s="195"/>
      <c r="EOI37" s="49">
        <v>0</v>
      </c>
      <c r="EOJ37" s="49">
        <v>80</v>
      </c>
      <c r="EOK37" s="49">
        <v>150</v>
      </c>
      <c r="EOL37" s="49">
        <v>0</v>
      </c>
      <c r="EOM37" s="49">
        <v>0</v>
      </c>
      <c r="EON37" s="184">
        <f t="shared" si="1428"/>
        <v>230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29"/>
        <v>0</v>
      </c>
      <c r="EOV37" s="211">
        <f t="shared" si="1430"/>
        <v>0</v>
      </c>
      <c r="EOW37" s="195">
        <v>0</v>
      </c>
      <c r="EOX37" s="49">
        <v>0</v>
      </c>
      <c r="EOY37" s="49">
        <v>0</v>
      </c>
      <c r="EOZ37" s="49"/>
      <c r="EPA37" s="49">
        <v>0</v>
      </c>
      <c r="EPB37" s="49">
        <v>0</v>
      </c>
      <c r="EPC37" s="64">
        <f t="shared" si="1431"/>
        <v>0</v>
      </c>
      <c r="EPD37" s="211">
        <f t="shared" si="1432"/>
        <v>0</v>
      </c>
      <c r="EPE37" s="195">
        <v>0</v>
      </c>
      <c r="EPF37" s="49">
        <v>0</v>
      </c>
      <c r="EPG37" s="49">
        <v>110</v>
      </c>
      <c r="EPH37" s="49">
        <v>0</v>
      </c>
      <c r="EPI37" s="49">
        <v>0</v>
      </c>
      <c r="EPJ37" s="49">
        <v>0</v>
      </c>
      <c r="EPK37" s="64">
        <f t="shared" si="1433"/>
        <v>110</v>
      </c>
      <c r="EPL37" s="211">
        <f t="shared" si="1434"/>
        <v>18.333333333333332</v>
      </c>
      <c r="EPM37" s="195">
        <v>0</v>
      </c>
      <c r="EPN37" s="49">
        <v>0</v>
      </c>
      <c r="EPO37" s="49">
        <v>0</v>
      </c>
      <c r="EPP37" s="49">
        <v>0</v>
      </c>
      <c r="EPQ37" s="49">
        <v>0</v>
      </c>
      <c r="EPR37" s="49">
        <v>0</v>
      </c>
      <c r="EPS37" s="64">
        <f t="shared" si="1435"/>
        <v>0</v>
      </c>
      <c r="EPT37" s="211">
        <f t="shared" si="1436"/>
        <v>0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683</v>
      </c>
      <c r="EPZ37" s="49">
        <v>0</v>
      </c>
      <c r="EQA37" s="64">
        <f t="shared" si="1437"/>
        <v>683</v>
      </c>
      <c r="EQB37" s="211">
        <f t="shared" si="1438"/>
        <v>113.83333333333333</v>
      </c>
      <c r="EQC37" s="195">
        <v>0</v>
      </c>
      <c r="EQD37" s="49">
        <v>0</v>
      </c>
      <c r="EQE37" s="49">
        <v>0</v>
      </c>
      <c r="EQF37" s="49">
        <v>0</v>
      </c>
      <c r="EQG37" s="49">
        <v>110</v>
      </c>
      <c r="EQH37" s="49"/>
      <c r="EQI37" s="64">
        <f t="shared" si="1439"/>
        <v>110</v>
      </c>
      <c r="EQJ37" s="211">
        <f t="shared" si="1440"/>
        <v>18.333333333333332</v>
      </c>
      <c r="EQK37" s="195">
        <v>0</v>
      </c>
      <c r="EQL37" s="49">
        <v>0</v>
      </c>
      <c r="EQM37" s="49">
        <v>0</v>
      </c>
      <c r="EQN37" s="49"/>
      <c r="EQO37" s="49">
        <v>0</v>
      </c>
      <c r="EQP37" s="49">
        <v>0</v>
      </c>
      <c r="EQQ37" s="64">
        <f t="shared" si="1441"/>
        <v>0</v>
      </c>
      <c r="EQR37" s="211">
        <f t="shared" si="1442"/>
        <v>0</v>
      </c>
      <c r="EQS37" s="195">
        <v>0</v>
      </c>
      <c r="EQT37" s="49">
        <v>0</v>
      </c>
      <c r="EQU37" s="49">
        <v>0</v>
      </c>
      <c r="EQV37" s="49">
        <v>0</v>
      </c>
      <c r="EQW37" s="49"/>
      <c r="EQX37" s="49">
        <v>0</v>
      </c>
      <c r="EQY37" s="64">
        <f t="shared" si="1443"/>
        <v>0</v>
      </c>
      <c r="EQZ37" s="211">
        <f t="shared" si="1444"/>
        <v>0</v>
      </c>
      <c r="ERA37" s="195">
        <v>110</v>
      </c>
      <c r="ERB37" s="49">
        <v>0</v>
      </c>
      <c r="ERC37" s="49">
        <v>0</v>
      </c>
      <c r="ERD37" s="49">
        <v>0</v>
      </c>
      <c r="ERE37" s="49">
        <v>0</v>
      </c>
      <c r="ERF37" s="49"/>
      <c r="ERG37" s="64">
        <f t="shared" si="1445"/>
        <v>110</v>
      </c>
      <c r="ERH37" s="211">
        <f t="shared" si="1446"/>
        <v>18.333333333333332</v>
      </c>
      <c r="ERI37" s="195"/>
      <c r="ERJ37" s="49">
        <v>0</v>
      </c>
      <c r="ERK37" s="49">
        <v>0</v>
      </c>
      <c r="ERL37" s="49">
        <v>100</v>
      </c>
      <c r="ERM37" s="49">
        <v>0</v>
      </c>
      <c r="ERN37" s="49">
        <v>0</v>
      </c>
      <c r="ERO37" s="64">
        <f t="shared" si="1447"/>
        <v>100</v>
      </c>
      <c r="ERP37" s="211">
        <f t="shared" si="1448"/>
        <v>16.666666666666668</v>
      </c>
      <c r="ERQ37" s="195"/>
      <c r="ERR37" s="49">
        <v>0</v>
      </c>
      <c r="ERS37" s="49"/>
      <c r="ERT37" s="49">
        <v>40</v>
      </c>
      <c r="ERU37" s="49">
        <v>0</v>
      </c>
      <c r="ERV37" s="49">
        <v>0</v>
      </c>
      <c r="ERW37" s="64">
        <f t="shared" si="1449"/>
        <v>40</v>
      </c>
      <c r="ERX37" s="211">
        <f t="shared" si="1450"/>
        <v>6.666666666666667</v>
      </c>
      <c r="ERY37" s="195">
        <v>96</v>
      </c>
      <c r="ERZ37" s="49">
        <v>0</v>
      </c>
      <c r="ESA37" s="49">
        <v>0</v>
      </c>
      <c r="ESB37" s="49">
        <v>0</v>
      </c>
      <c r="ESC37" s="49">
        <v>0</v>
      </c>
      <c r="ESD37" s="49">
        <v>0</v>
      </c>
      <c r="ESE37" s="64">
        <f t="shared" si="1451"/>
        <v>96</v>
      </c>
      <c r="ESF37" s="211">
        <f t="shared" si="1452"/>
        <v>16</v>
      </c>
      <c r="ESG37" s="195">
        <v>0</v>
      </c>
      <c r="ESH37" s="49">
        <v>0</v>
      </c>
      <c r="ESI37" s="49">
        <v>220</v>
      </c>
      <c r="ESJ37" s="49">
        <v>0</v>
      </c>
      <c r="ESK37" s="49"/>
      <c r="ESL37" s="49">
        <v>0</v>
      </c>
      <c r="ESM37" s="64">
        <f t="shared" si="1453"/>
        <v>220</v>
      </c>
      <c r="ESN37" s="211">
        <f t="shared" si="1454"/>
        <v>36.666666666666664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55"/>
        <v>0</v>
      </c>
      <c r="ESV37" s="211">
        <f t="shared" si="1456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57"/>
        <v>0</v>
      </c>
      <c r="ETD37" s="211">
        <f t="shared" si="1458"/>
        <v>0</v>
      </c>
      <c r="ETE37" s="195">
        <v>0</v>
      </c>
      <c r="ETF37" s="49">
        <v>0</v>
      </c>
      <c r="ETG37" s="49">
        <v>40</v>
      </c>
      <c r="ETH37" s="49">
        <v>0</v>
      </c>
      <c r="ETI37" s="49">
        <v>0</v>
      </c>
      <c r="ETJ37" s="49">
        <v>0</v>
      </c>
      <c r="ETK37" s="808">
        <f t="shared" si="1459"/>
        <v>40</v>
      </c>
      <c r="ETL37" s="211">
        <f t="shared" si="1460"/>
        <v>6.666666666666667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61"/>
        <v>0</v>
      </c>
      <c r="ETT37" s="211">
        <f t="shared" si="1462"/>
        <v>0</v>
      </c>
      <c r="ETU37" s="458">
        <v>0</v>
      </c>
      <c r="ETV37" s="83">
        <v>0</v>
      </c>
      <c r="ETW37" s="83">
        <v>0</v>
      </c>
      <c r="ETX37" s="83">
        <v>110</v>
      </c>
      <c r="ETY37" s="83">
        <v>0</v>
      </c>
      <c r="ETZ37" s="83">
        <v>0</v>
      </c>
      <c r="EUA37" s="808">
        <f t="shared" si="1463"/>
        <v>110</v>
      </c>
      <c r="EUB37" s="211">
        <f t="shared" si="1464"/>
        <v>18.333333333333332</v>
      </c>
      <c r="EUC37" s="458"/>
      <c r="EUD37" s="83">
        <v>220</v>
      </c>
      <c r="EUE37" s="83"/>
      <c r="EUF37" s="83">
        <v>0</v>
      </c>
      <c r="EUG37" s="83">
        <v>0</v>
      </c>
      <c r="EUH37" s="83">
        <v>0</v>
      </c>
      <c r="EUI37" s="808">
        <f t="shared" si="1465"/>
        <v>220</v>
      </c>
      <c r="EUJ37" s="211">
        <f t="shared" si="1466"/>
        <v>36.666666666666664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300</v>
      </c>
      <c r="EUQ37" s="808">
        <f t="shared" si="1467"/>
        <v>300</v>
      </c>
      <c r="EUR37" s="211">
        <f t="shared" si="1468"/>
        <v>50</v>
      </c>
      <c r="EUS37" s="195">
        <v>0</v>
      </c>
      <c r="EUT37" s="49">
        <v>0</v>
      </c>
      <c r="EUU37" s="49">
        <v>0</v>
      </c>
      <c r="EUV37" s="49">
        <v>0</v>
      </c>
      <c r="EUW37" s="49">
        <v>0</v>
      </c>
      <c r="EUX37" s="49"/>
      <c r="EUY37" s="808">
        <f t="shared" si="1469"/>
        <v>0</v>
      </c>
      <c r="EUZ37" s="211">
        <f t="shared" si="1470"/>
        <v>0</v>
      </c>
      <c r="EVA37" s="195">
        <v>0</v>
      </c>
      <c r="EVB37" s="49">
        <v>0</v>
      </c>
      <c r="EVC37" s="49">
        <v>418</v>
      </c>
      <c r="EVD37" s="49"/>
      <c r="EVE37" s="49">
        <v>0</v>
      </c>
      <c r="EVF37" s="49"/>
      <c r="EVG37" s="808">
        <f t="shared" si="1471"/>
        <v>418</v>
      </c>
      <c r="EVH37" s="211">
        <f t="shared" si="1472"/>
        <v>69.666666666666671</v>
      </c>
      <c r="EVI37" s="195">
        <v>0</v>
      </c>
      <c r="EVJ37" s="49">
        <v>0</v>
      </c>
      <c r="EVK37" s="49">
        <f>SUMIF(SUMPK!$B:$B,$B:$B,SUMPK!$O:$O)</f>
        <v>683</v>
      </c>
      <c r="EVL37" s="49"/>
      <c r="EVM37" s="49"/>
      <c r="EVN37" s="49">
        <v>0</v>
      </c>
      <c r="EVO37" s="808">
        <f t="shared" si="1473"/>
        <v>683</v>
      </c>
      <c r="EVP37" s="211">
        <f t="shared" si="1474"/>
        <v>113.83333333333333</v>
      </c>
      <c r="EVQ37" s="195">
        <v>0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75"/>
        <v>0</v>
      </c>
      <c r="EVX37" s="211">
        <f t="shared" si="1476"/>
        <v>0</v>
      </c>
      <c r="EVY37" s="195">
        <v>0</v>
      </c>
      <c r="EVZ37" s="49">
        <v>1418</v>
      </c>
      <c r="EWA37" s="49">
        <v>0</v>
      </c>
      <c r="EWB37" s="49">
        <v>0</v>
      </c>
      <c r="EWC37" s="49">
        <v>0</v>
      </c>
      <c r="EWD37" s="49"/>
      <c r="EWE37" s="808">
        <f t="shared" si="1477"/>
        <v>1418</v>
      </c>
      <c r="EWF37" s="211">
        <f t="shared" si="1478"/>
        <v>236.33333333333334</v>
      </c>
      <c r="EWG37" s="195">
        <v>0</v>
      </c>
      <c r="EWH37" s="49">
        <v>0</v>
      </c>
      <c r="EWI37" s="49"/>
      <c r="EWJ37" s="49">
        <v>110</v>
      </c>
      <c r="EWK37" s="49">
        <v>801</v>
      </c>
      <c r="EWL37" s="49"/>
      <c r="EWM37" s="808">
        <f t="shared" si="1479"/>
        <v>911</v>
      </c>
      <c r="EWN37" s="211">
        <f t="shared" si="1480"/>
        <v>151.83333333333334</v>
      </c>
      <c r="EWO37" s="195">
        <v>0</v>
      </c>
      <c r="EWP37" s="49"/>
      <c r="EWQ37" s="49"/>
      <c r="EWR37" s="49">
        <v>112</v>
      </c>
      <c r="EWS37" s="49">
        <v>0</v>
      </c>
      <c r="EWT37" s="49">
        <v>0</v>
      </c>
      <c r="EWU37" s="808">
        <f t="shared" si="1481"/>
        <v>112</v>
      </c>
      <c r="EWV37" s="211">
        <f t="shared" si="1482"/>
        <v>18.666666666666668</v>
      </c>
      <c r="EWW37" s="195"/>
      <c r="EWX37" s="49"/>
      <c r="EWY37" s="49">
        <v>0</v>
      </c>
      <c r="EWZ37" s="49">
        <v>0</v>
      </c>
      <c r="EXA37" s="49">
        <v>0</v>
      </c>
      <c r="EXB37" s="49"/>
      <c r="EXC37" s="808">
        <f t="shared" si="1483"/>
        <v>0</v>
      </c>
      <c r="EXD37" s="211">
        <f t="shared" si="1484"/>
        <v>0</v>
      </c>
      <c r="EXE37" s="195"/>
      <c r="EXF37" s="49">
        <v>0</v>
      </c>
      <c r="EXG37" s="49">
        <v>0</v>
      </c>
      <c r="EXH37" s="49"/>
      <c r="EXI37" s="49">
        <v>418</v>
      </c>
      <c r="EXJ37" s="49">
        <v>0</v>
      </c>
      <c r="EXK37" s="808">
        <f t="shared" si="1485"/>
        <v>418</v>
      </c>
      <c r="EXL37" s="211">
        <f t="shared" si="1486"/>
        <v>69.666666666666671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87"/>
        <v>0</v>
      </c>
      <c r="EXT37" s="211">
        <f t="shared" si="1488"/>
        <v>0</v>
      </c>
      <c r="EXU37" s="195">
        <v>954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89"/>
        <v>954</v>
      </c>
      <c r="EYB37" s="211">
        <f t="shared" si="1490"/>
        <v>159</v>
      </c>
      <c r="EYC37" s="195">
        <v>153</v>
      </c>
      <c r="EYD37" s="49"/>
      <c r="EYE37" s="49">
        <v>0</v>
      </c>
      <c r="EYF37" s="49"/>
      <c r="EYG37" s="49">
        <v>660</v>
      </c>
      <c r="EYH37" s="49">
        <v>0</v>
      </c>
      <c r="EYI37" s="808">
        <f t="shared" si="1491"/>
        <v>813</v>
      </c>
      <c r="EYJ37" s="211">
        <f t="shared" si="1492"/>
        <v>135.5</v>
      </c>
      <c r="EYK37" s="195">
        <v>0</v>
      </c>
      <c r="EYL37" s="49">
        <v>873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493"/>
        <v>873</v>
      </c>
      <c r="EYR37" s="211">
        <f t="shared" si="1494"/>
        <v>145.5</v>
      </c>
      <c r="EYS37" s="195">
        <v>494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495"/>
        <v>494</v>
      </c>
      <c r="EYZ37" s="873">
        <f t="shared" si="1496"/>
        <v>82.333333333333329</v>
      </c>
      <c r="EZA37" s="195">
        <v>1538</v>
      </c>
      <c r="EZB37" s="49">
        <v>660</v>
      </c>
      <c r="EZC37" s="49">
        <v>0</v>
      </c>
      <c r="EZD37" s="49"/>
      <c r="EZE37" s="49">
        <v>0</v>
      </c>
      <c r="EZF37" s="49">
        <v>667</v>
      </c>
      <c r="EZG37" s="872">
        <f t="shared" si="1497"/>
        <v>2865</v>
      </c>
      <c r="EZH37" s="873">
        <f t="shared" si="1498"/>
        <v>477.5</v>
      </c>
      <c r="EZI37" s="195">
        <v>137</v>
      </c>
      <c r="EZJ37" s="49">
        <v>0</v>
      </c>
      <c r="EZK37" s="49">
        <v>569</v>
      </c>
      <c r="EZL37" s="49"/>
      <c r="EZM37" s="49"/>
      <c r="EZN37" s="49"/>
      <c r="EZO37" s="872">
        <f t="shared" si="1499"/>
        <v>706</v>
      </c>
      <c r="EZP37" s="873">
        <f t="shared" si="1500"/>
        <v>117.66666666666667</v>
      </c>
    </row>
    <row r="38" spans="1:4072" s="8" customFormat="1" ht="13.5" thickBot="1" x14ac:dyDescent="0.25">
      <c r="A38" s="21">
        <v>9</v>
      </c>
      <c r="B38" s="297" t="s">
        <v>146</v>
      </c>
      <c r="C38" s="725" t="s">
        <v>147</v>
      </c>
      <c r="D38" s="297">
        <v>25</v>
      </c>
      <c r="E38" s="24"/>
      <c r="F38" s="24">
        <v>3315</v>
      </c>
      <c r="G38" s="24"/>
      <c r="H38" s="24"/>
      <c r="I38" s="24"/>
      <c r="J38" s="360">
        <f>SUMIF(SUMPK!$B:$B,$B:$B,SUMPK!$O:$O)</f>
        <v>0</v>
      </c>
      <c r="K38" s="24">
        <f t="shared" si="1220"/>
        <v>0</v>
      </c>
      <c r="L38" s="24">
        <f t="shared" si="1505"/>
        <v>3315</v>
      </c>
      <c r="M38" s="15">
        <f t="shared" si="1627"/>
        <v>3315</v>
      </c>
      <c r="N38" s="15">
        <v>0</v>
      </c>
      <c r="O38" s="276">
        <f t="shared" si="1223"/>
        <v>0</v>
      </c>
      <c r="P38" s="712">
        <v>17</v>
      </c>
      <c r="Q38" s="276"/>
      <c r="R38" s="277">
        <f t="shared" si="1507"/>
        <v>0</v>
      </c>
      <c r="S38" s="222"/>
      <c r="T38" s="276">
        <f t="shared" si="1628"/>
        <v>0</v>
      </c>
      <c r="U38" s="278"/>
      <c r="V38" s="276">
        <f t="shared" si="1227"/>
        <v>0</v>
      </c>
      <c r="W38" s="279">
        <f t="shared" si="1228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/>
      <c r="AK38" s="43"/>
      <c r="AL38" s="48"/>
      <c r="AM38" s="49"/>
      <c r="AN38" s="49"/>
      <c r="AO38" s="49"/>
      <c r="AP38" s="49"/>
      <c r="AQ38" s="49"/>
      <c r="AR38" s="42"/>
      <c r="AS38" s="43"/>
      <c r="AT38" s="48"/>
      <c r="AU38" s="49"/>
      <c r="AV38" s="49"/>
      <c r="AW38" s="49"/>
      <c r="AX38" s="49"/>
      <c r="AY38" s="49"/>
      <c r="AZ38" s="42"/>
      <c r="BA38" s="43"/>
      <c r="BB38" s="48"/>
      <c r="BC38" s="49"/>
      <c r="BD38" s="49"/>
      <c r="BE38" s="49"/>
      <c r="BF38" s="49"/>
      <c r="BG38" s="49"/>
      <c r="BH38" s="42"/>
      <c r="BI38" s="43"/>
      <c r="BJ38" s="48"/>
      <c r="BK38" s="49"/>
      <c r="BL38" s="49"/>
      <c r="BM38" s="49"/>
      <c r="BN38" s="49"/>
      <c r="BO38" s="49"/>
      <c r="BP38" s="42"/>
      <c r="BQ38" s="43"/>
      <c r="BR38" s="48"/>
      <c r="BS38" s="49"/>
      <c r="BT38" s="49"/>
      <c r="BU38" s="49"/>
      <c r="BV38" s="49"/>
      <c r="BW38" s="49"/>
      <c r="BX38" s="42"/>
      <c r="BY38" s="43"/>
      <c r="BZ38" s="48"/>
      <c r="CA38" s="49"/>
      <c r="CB38" s="49"/>
      <c r="CC38" s="49"/>
      <c r="CD38" s="49"/>
      <c r="CE38" s="49"/>
      <c r="CF38" s="42"/>
      <c r="CG38" s="43"/>
      <c r="CH38" s="48"/>
      <c r="CI38" s="49"/>
      <c r="CJ38" s="49"/>
      <c r="CK38" s="49"/>
      <c r="CL38" s="49"/>
      <c r="CM38" s="49"/>
      <c r="CN38" s="42"/>
      <c r="CO38" s="43"/>
      <c r="CP38" s="48"/>
      <c r="CQ38" s="49"/>
      <c r="CR38" s="49"/>
      <c r="CS38" s="49"/>
      <c r="CT38" s="49"/>
      <c r="CU38" s="49"/>
      <c r="CV38" s="42"/>
      <c r="CW38" s="43"/>
      <c r="CX38" s="48"/>
      <c r="CY38" s="49"/>
      <c r="CZ38" s="49"/>
      <c r="DA38" s="49"/>
      <c r="DB38" s="49"/>
      <c r="DC38" s="49"/>
      <c r="DD38" s="42"/>
      <c r="DE38" s="43"/>
      <c r="DF38" s="48"/>
      <c r="DG38" s="49"/>
      <c r="DH38" s="49"/>
      <c r="DI38" s="49"/>
      <c r="DJ38" s="49"/>
      <c r="DK38" s="49"/>
      <c r="DL38" s="42"/>
      <c r="DM38" s="43"/>
      <c r="DN38" s="48"/>
      <c r="DO38" s="49"/>
      <c r="DP38" s="49"/>
      <c r="DQ38" s="49"/>
      <c r="DR38" s="49"/>
      <c r="DS38" s="49"/>
      <c r="DT38" s="42"/>
      <c r="DU38" s="43"/>
      <c r="DV38" s="48"/>
      <c r="DW38" s="49"/>
      <c r="DX38" s="49"/>
      <c r="DY38" s="49"/>
      <c r="DZ38" s="49"/>
      <c r="EA38" s="49"/>
      <c r="EB38" s="42"/>
      <c r="EC38" s="43"/>
      <c r="ED38" s="48"/>
      <c r="EE38" s="49"/>
      <c r="EF38" s="49"/>
      <c r="EG38" s="49"/>
      <c r="EH38" s="49"/>
      <c r="EI38" s="49"/>
      <c r="EJ38" s="42"/>
      <c r="EK38" s="43"/>
      <c r="EL38" s="48"/>
      <c r="EM38" s="49"/>
      <c r="EN38" s="49"/>
      <c r="EO38" s="49"/>
      <c r="EP38" s="49"/>
      <c r="EQ38" s="49"/>
      <c r="ER38" s="42"/>
      <c r="ES38" s="43"/>
      <c r="ET38" s="48"/>
      <c r="EU38" s="49"/>
      <c r="EV38" s="49"/>
      <c r="EW38" s="49"/>
      <c r="EX38" s="49"/>
      <c r="EY38" s="49"/>
      <c r="EZ38" s="42"/>
      <c r="FA38" s="43"/>
      <c r="FB38" s="48"/>
      <c r="FC38" s="49"/>
      <c r="FD38" s="49"/>
      <c r="FE38" s="49"/>
      <c r="FF38" s="49"/>
      <c r="FG38" s="49"/>
      <c r="FH38" s="42"/>
      <c r="FI38" s="43"/>
      <c r="FJ38" s="48"/>
      <c r="FK38" s="49"/>
      <c r="FL38" s="49"/>
      <c r="FM38" s="49"/>
      <c r="FN38" s="49"/>
      <c r="FO38" s="49"/>
      <c r="FP38" s="42"/>
      <c r="FQ38" s="43"/>
      <c r="FR38" s="48"/>
      <c r="FS38" s="49"/>
      <c r="FT38" s="49"/>
      <c r="FU38" s="49"/>
      <c r="FV38" s="49"/>
      <c r="FW38" s="49"/>
      <c r="FX38" s="42"/>
      <c r="FY38" s="43"/>
      <c r="FZ38" s="48"/>
      <c r="GA38" s="49"/>
      <c r="GB38" s="49"/>
      <c r="GC38" s="49"/>
      <c r="GD38" s="49"/>
      <c r="GE38" s="49"/>
      <c r="GF38" s="42"/>
      <c r="GG38" s="43"/>
      <c r="GH38" s="48"/>
      <c r="GI38" s="49"/>
      <c r="GJ38" s="49"/>
      <c r="GK38" s="49"/>
      <c r="GL38" s="49"/>
      <c r="GM38" s="49"/>
      <c r="GN38" s="42"/>
      <c r="GO38" s="43"/>
      <c r="GP38" s="48"/>
      <c r="GQ38" s="49"/>
      <c r="GR38" s="49"/>
      <c r="GS38" s="49"/>
      <c r="GT38" s="49"/>
      <c r="GU38" s="49"/>
      <c r="GV38" s="42"/>
      <c r="GW38" s="43"/>
      <c r="GX38" s="48"/>
      <c r="GY38" s="49"/>
      <c r="GZ38" s="49"/>
      <c r="HA38" s="49"/>
      <c r="HB38" s="49"/>
      <c r="HC38" s="49"/>
      <c r="HD38" s="42"/>
      <c r="HE38" s="43"/>
      <c r="HF38" s="48"/>
      <c r="HG38" s="49"/>
      <c r="HH38" s="49"/>
      <c r="HI38" s="49"/>
      <c r="HJ38" s="49"/>
      <c r="HK38" s="49"/>
      <c r="HL38" s="42"/>
      <c r="HM38" s="43"/>
      <c r="HN38" s="82"/>
      <c r="HO38" s="83"/>
      <c r="HP38" s="83"/>
      <c r="HQ38" s="83"/>
      <c r="HR38" s="83"/>
      <c r="HS38" s="83"/>
      <c r="HT38" s="42"/>
      <c r="HU38" s="43"/>
      <c r="HV38" s="48"/>
      <c r="HW38" s="49"/>
      <c r="HX38" s="49"/>
      <c r="HY38" s="49"/>
      <c r="HZ38" s="49"/>
      <c r="IA38" s="49"/>
      <c r="IB38" s="42"/>
      <c r="IC38" s="43"/>
      <c r="ID38" s="48"/>
      <c r="IE38" s="49"/>
      <c r="IF38" s="49"/>
      <c r="IG38" s="49"/>
      <c r="IH38" s="49"/>
      <c r="II38" s="49"/>
      <c r="IJ38" s="42"/>
      <c r="IK38" s="43"/>
      <c r="IL38" s="48"/>
      <c r="IM38" s="49"/>
      <c r="IN38" s="49"/>
      <c r="IO38" s="49"/>
      <c r="IP38" s="49"/>
      <c r="IQ38" s="49"/>
      <c r="IR38" s="67"/>
      <c r="IS38" s="68"/>
      <c r="IT38" s="48"/>
      <c r="IU38" s="49"/>
      <c r="IV38" s="49"/>
      <c r="IW38" s="49"/>
      <c r="IX38" s="49"/>
      <c r="IY38" s="49"/>
      <c r="IZ38" s="67"/>
      <c r="JA38" s="68"/>
      <c r="JB38" s="48"/>
      <c r="JC38" s="49"/>
      <c r="JD38" s="49"/>
      <c r="JE38" s="49"/>
      <c r="JF38" s="49"/>
      <c r="JG38" s="49"/>
      <c r="JH38" s="67"/>
      <c r="JI38" s="68"/>
      <c r="JJ38" s="48"/>
      <c r="JK38" s="49"/>
      <c r="JL38" s="49"/>
      <c r="JM38" s="49"/>
      <c r="JN38" s="49"/>
      <c r="JO38" s="49"/>
      <c r="JP38" s="42"/>
      <c r="JQ38" s="43"/>
      <c r="JR38" s="48"/>
      <c r="JS38" s="49"/>
      <c r="JT38" s="49"/>
      <c r="JU38" s="49"/>
      <c r="JV38" s="49"/>
      <c r="JW38" s="49"/>
      <c r="JX38" s="42"/>
      <c r="JY38" s="43"/>
      <c r="JZ38" s="48"/>
      <c r="KA38" s="49"/>
      <c r="KB38" s="49"/>
      <c r="KC38" s="49"/>
      <c r="KD38" s="49"/>
      <c r="KE38" s="49"/>
      <c r="KF38" s="42"/>
      <c r="KG38" s="43"/>
      <c r="KH38" s="48"/>
      <c r="KI38" s="49"/>
      <c r="KJ38" s="49"/>
      <c r="KK38" s="49"/>
      <c r="KL38" s="49"/>
      <c r="KM38" s="49"/>
      <c r="KN38" s="67"/>
      <c r="KO38" s="68"/>
      <c r="KP38" s="48"/>
      <c r="KQ38" s="49"/>
      <c r="KR38" s="49"/>
      <c r="KS38" s="49"/>
      <c r="KT38" s="49"/>
      <c r="KU38" s="49"/>
      <c r="KV38" s="67"/>
      <c r="KW38" s="68"/>
      <c r="KX38" s="48"/>
      <c r="KY38" s="49"/>
      <c r="KZ38" s="49"/>
      <c r="LA38" s="49"/>
      <c r="LB38" s="49"/>
      <c r="LC38" s="49"/>
      <c r="LD38" s="67"/>
      <c r="LE38" s="68"/>
      <c r="LF38" s="48"/>
      <c r="LG38" s="49"/>
      <c r="LH38" s="49"/>
      <c r="LI38" s="49"/>
      <c r="LJ38" s="49"/>
      <c r="LK38" s="49"/>
      <c r="LL38" s="67"/>
      <c r="LM38" s="68"/>
      <c r="LN38" s="48"/>
      <c r="LO38" s="49"/>
      <c r="LP38" s="49"/>
      <c r="LQ38" s="49"/>
      <c r="LR38" s="49"/>
      <c r="LS38" s="49"/>
      <c r="LT38" s="67"/>
      <c r="LU38" s="68"/>
      <c r="LV38" s="48"/>
      <c r="LW38" s="49"/>
      <c r="LX38" s="49"/>
      <c r="LY38" s="49"/>
      <c r="LZ38" s="49"/>
      <c r="MA38" s="49"/>
      <c r="MB38" s="67"/>
      <c r="MC38" s="68"/>
      <c r="MD38" s="48"/>
      <c r="ME38" s="49"/>
      <c r="MF38" s="49"/>
      <c r="MG38" s="49"/>
      <c r="MH38" s="49"/>
      <c r="MI38" s="49"/>
      <c r="MJ38" s="67"/>
      <c r="MK38" s="68"/>
      <c r="ML38" s="48"/>
      <c r="MM38" s="49"/>
      <c r="MN38" s="49"/>
      <c r="MO38" s="49"/>
      <c r="MP38" s="49"/>
      <c r="MQ38" s="49"/>
      <c r="MR38" s="67"/>
      <c r="MS38" s="68"/>
      <c r="MT38" s="48"/>
      <c r="MU38" s="49"/>
      <c r="MV38" s="49"/>
      <c r="MW38" s="49"/>
      <c r="MX38" s="49"/>
      <c r="MY38" s="49"/>
      <c r="MZ38" s="67"/>
      <c r="NA38" s="68"/>
      <c r="NB38" s="48"/>
      <c r="NC38" s="49"/>
      <c r="ND38" s="49"/>
      <c r="NE38" s="49"/>
      <c r="NF38" s="49"/>
      <c r="NG38" s="49"/>
      <c r="NH38" s="67"/>
      <c r="NI38" s="68"/>
      <c r="NJ38" s="48"/>
      <c r="NK38" s="49"/>
      <c r="NL38" s="49"/>
      <c r="NM38" s="49"/>
      <c r="NN38" s="49"/>
      <c r="NO38" s="49"/>
      <c r="NP38" s="67"/>
      <c r="NQ38" s="68"/>
      <c r="NR38" s="48"/>
      <c r="NS38" s="49"/>
      <c r="NT38" s="49"/>
      <c r="NU38" s="49"/>
      <c r="NV38" s="49"/>
      <c r="NW38" s="49"/>
      <c r="NX38" s="67"/>
      <c r="NY38" s="68"/>
      <c r="NZ38" s="48"/>
      <c r="OA38" s="49"/>
      <c r="OB38" s="49"/>
      <c r="OC38" s="49"/>
      <c r="OD38" s="49"/>
      <c r="OE38" s="49"/>
      <c r="OF38" s="67"/>
      <c r="OG38" s="68"/>
      <c r="OH38" s="48"/>
      <c r="OI38" s="49"/>
      <c r="OJ38" s="49"/>
      <c r="OK38" s="49"/>
      <c r="OL38" s="49"/>
      <c r="OM38" s="49"/>
      <c r="ON38" s="67"/>
      <c r="OO38" s="68"/>
      <c r="OP38" s="48"/>
      <c r="OQ38" s="49"/>
      <c r="OR38" s="49"/>
      <c r="OS38" s="49"/>
      <c r="OT38" s="49"/>
      <c r="OU38" s="49"/>
      <c r="OV38" s="67"/>
      <c r="OW38" s="68"/>
      <c r="OX38" s="48"/>
      <c r="OY38" s="49"/>
      <c r="OZ38" s="49"/>
      <c r="PA38" s="49"/>
      <c r="PB38" s="49"/>
      <c r="PC38" s="49"/>
      <c r="PD38" s="67"/>
      <c r="PE38" s="68"/>
      <c r="PF38" s="48"/>
      <c r="PG38" s="49"/>
      <c r="PH38" s="49"/>
      <c r="PI38" s="49"/>
      <c r="PJ38" s="49"/>
      <c r="PK38" s="49"/>
      <c r="PL38" s="67"/>
      <c r="PM38" s="68"/>
      <c r="PN38" s="48"/>
      <c r="PO38" s="49"/>
      <c r="PP38" s="49"/>
      <c r="PQ38" s="49"/>
      <c r="PR38" s="49"/>
      <c r="PS38" s="49"/>
      <c r="PT38" s="67"/>
      <c r="PU38" s="68"/>
      <c r="PV38" s="106"/>
      <c r="PW38" s="107"/>
      <c r="PX38" s="107"/>
      <c r="PY38" s="107"/>
      <c r="PZ38" s="107"/>
      <c r="QA38" s="107"/>
      <c r="QB38" s="104"/>
      <c r="QC38" s="105"/>
      <c r="QD38" s="106"/>
      <c r="QE38" s="107"/>
      <c r="QF38" s="107"/>
      <c r="QG38" s="107"/>
      <c r="QH38" s="107"/>
      <c r="QI38" s="107"/>
      <c r="QJ38" s="104"/>
      <c r="QK38" s="105"/>
      <c r="QL38" s="106"/>
      <c r="QM38" s="107"/>
      <c r="QN38" s="107"/>
      <c r="QO38" s="107"/>
      <c r="QP38" s="107"/>
      <c r="QQ38" s="107"/>
      <c r="QR38" s="104"/>
      <c r="QS38" s="105"/>
      <c r="QT38" s="106"/>
      <c r="QU38" s="107"/>
      <c r="QV38" s="107"/>
      <c r="QW38" s="107"/>
      <c r="QX38" s="107"/>
      <c r="QY38" s="107"/>
      <c r="QZ38" s="104"/>
      <c r="RA38" s="105"/>
      <c r="RB38" s="106"/>
      <c r="RC38" s="107"/>
      <c r="RD38" s="107"/>
      <c r="RE38" s="107"/>
      <c r="RF38" s="107"/>
      <c r="RG38" s="107"/>
      <c r="RH38" s="104"/>
      <c r="RI38" s="105"/>
      <c r="RJ38" s="106"/>
      <c r="RK38" s="107"/>
      <c r="RL38" s="107"/>
      <c r="RM38" s="107"/>
      <c r="RN38" s="107"/>
      <c r="RO38" s="107"/>
      <c r="RP38" s="104"/>
      <c r="RQ38" s="105"/>
      <c r="RR38" s="106"/>
      <c r="RS38" s="107"/>
      <c r="RT38" s="107"/>
      <c r="RU38" s="107"/>
      <c r="RV38" s="107"/>
      <c r="RW38" s="107"/>
      <c r="RX38" s="104"/>
      <c r="RY38" s="105"/>
      <c r="RZ38" s="106"/>
      <c r="SA38" s="107"/>
      <c r="SB38" s="107"/>
      <c r="SC38" s="107"/>
      <c r="SD38" s="107"/>
      <c r="SE38" s="107"/>
      <c r="SF38" s="104"/>
      <c r="SG38" s="105"/>
      <c r="SH38" s="106"/>
      <c r="SI38" s="107"/>
      <c r="SJ38" s="107"/>
      <c r="SK38" s="107"/>
      <c r="SL38" s="107"/>
      <c r="SM38" s="107"/>
      <c r="SN38" s="104"/>
      <c r="SO38" s="105"/>
      <c r="SP38" s="106"/>
      <c r="SQ38" s="107"/>
      <c r="SR38" s="107"/>
      <c r="SS38" s="107"/>
      <c r="ST38" s="107"/>
      <c r="SU38" s="107"/>
      <c r="SV38" s="104"/>
      <c r="SW38" s="105"/>
      <c r="SX38" s="106"/>
      <c r="SY38" s="107"/>
      <c r="SZ38" s="107"/>
      <c r="TA38" s="107"/>
      <c r="TB38" s="107"/>
      <c r="TC38" s="107"/>
      <c r="TD38" s="104"/>
      <c r="TE38" s="105"/>
      <c r="TF38" s="106"/>
      <c r="TG38" s="107"/>
      <c r="TH38" s="107"/>
      <c r="TI38" s="107"/>
      <c r="TJ38" s="107"/>
      <c r="TK38" s="107"/>
      <c r="TL38" s="104"/>
      <c r="TM38" s="105"/>
      <c r="TN38" s="130"/>
      <c r="TO38" s="107"/>
      <c r="TP38" s="107"/>
      <c r="TQ38" s="107"/>
      <c r="TR38" s="107"/>
      <c r="TS38" s="107"/>
      <c r="TT38" s="104"/>
      <c r="TU38" s="105"/>
      <c r="TV38" s="106"/>
      <c r="TW38" s="107"/>
      <c r="TX38" s="107"/>
      <c r="TY38" s="107"/>
      <c r="TZ38" s="107"/>
      <c r="UA38" s="107"/>
      <c r="UB38" s="104"/>
      <c r="UC38" s="105"/>
      <c r="UD38" s="106"/>
      <c r="UE38" s="107"/>
      <c r="UF38" s="107"/>
      <c r="UG38" s="107"/>
      <c r="UH38" s="107"/>
      <c r="UI38" s="107"/>
      <c r="UJ38" s="104"/>
      <c r="UK38" s="105"/>
      <c r="UL38" s="106"/>
      <c r="UM38" s="107"/>
      <c r="UN38" s="107"/>
      <c r="UO38" s="107"/>
      <c r="UP38" s="107"/>
      <c r="UQ38" s="107"/>
      <c r="UR38" s="107"/>
      <c r="US38" s="104"/>
      <c r="UT38" s="105"/>
      <c r="UU38" s="106"/>
      <c r="UV38" s="107"/>
      <c r="UW38" s="107"/>
      <c r="UX38" s="107"/>
      <c r="UY38" s="107"/>
      <c r="UZ38" s="107"/>
      <c r="VA38" s="104"/>
      <c r="VB38" s="105"/>
      <c r="VC38" s="106"/>
      <c r="VD38" s="107"/>
      <c r="VE38" s="107"/>
      <c r="VF38" s="107"/>
      <c r="VG38" s="107"/>
      <c r="VH38" s="107"/>
      <c r="VI38" s="104"/>
      <c r="VJ38" s="105"/>
      <c r="VK38" s="48"/>
      <c r="VL38" s="49"/>
      <c r="VM38" s="49"/>
      <c r="VN38" s="49"/>
      <c r="VO38" s="49"/>
      <c r="VP38" s="49"/>
      <c r="VQ38" s="67"/>
      <c r="VR38" s="68"/>
      <c r="VS38" s="106"/>
      <c r="VT38" s="107"/>
      <c r="VU38" s="107"/>
      <c r="VV38" s="107"/>
      <c r="VW38" s="107"/>
      <c r="VX38" s="107"/>
      <c r="VY38" s="104"/>
      <c r="VZ38" s="105"/>
      <c r="WA38" s="63"/>
      <c r="WB38" s="64"/>
      <c r="WC38" s="64"/>
      <c r="WD38" s="64"/>
      <c r="WE38" s="64"/>
      <c r="WF38" s="64"/>
      <c r="WG38" s="67"/>
      <c r="WH38" s="68"/>
      <c r="WI38" s="106"/>
      <c r="WJ38" s="107"/>
      <c r="WK38" s="107"/>
      <c r="WL38" s="107"/>
      <c r="WM38" s="107"/>
      <c r="WN38" s="107"/>
      <c r="WO38" s="104"/>
      <c r="WP38" s="105"/>
      <c r="WQ38" s="48"/>
      <c r="WR38" s="49"/>
      <c r="WS38" s="49"/>
      <c r="WT38" s="49"/>
      <c r="WU38" s="49"/>
      <c r="WV38" s="49"/>
      <c r="WW38" s="49"/>
      <c r="WX38" s="67"/>
      <c r="WY38" s="68"/>
      <c r="WZ38" s="48"/>
      <c r="XA38" s="49"/>
      <c r="XB38" s="49"/>
      <c r="XC38" s="49"/>
      <c r="XD38" s="49"/>
      <c r="XE38" s="49"/>
      <c r="XF38" s="49"/>
      <c r="XG38" s="67"/>
      <c r="XH38" s="68"/>
      <c r="XI38" s="48"/>
      <c r="XJ38" s="49"/>
      <c r="XK38" s="49"/>
      <c r="XL38" s="49"/>
      <c r="XM38" s="49"/>
      <c r="XN38" s="49"/>
      <c r="XO38" s="49"/>
      <c r="XP38" s="67"/>
      <c r="XQ38" s="68"/>
      <c r="XR38" s="48"/>
      <c r="XS38" s="49"/>
      <c r="XT38" s="49"/>
      <c r="XU38" s="49"/>
      <c r="XV38" s="49"/>
      <c r="XW38" s="49"/>
      <c r="XX38" s="49"/>
      <c r="XY38" s="67"/>
      <c r="XZ38" s="68"/>
      <c r="YA38" s="48"/>
      <c r="YB38" s="49"/>
      <c r="YC38" s="49"/>
      <c r="YD38" s="49"/>
      <c r="YE38" s="49"/>
      <c r="YF38" s="49"/>
      <c r="YG38" s="49"/>
      <c r="YH38" s="67"/>
      <c r="YI38" s="68"/>
      <c r="YJ38" s="48"/>
      <c r="YK38" s="49"/>
      <c r="YL38" s="49"/>
      <c r="YM38" s="49"/>
      <c r="YN38" s="49"/>
      <c r="YO38" s="49"/>
      <c r="YP38" s="49"/>
      <c r="YQ38" s="67"/>
      <c r="YR38" s="68"/>
      <c r="YS38" s="48"/>
      <c r="YT38" s="49"/>
      <c r="YU38" s="49"/>
      <c r="YV38" s="49"/>
      <c r="YW38" s="49"/>
      <c r="YX38" s="49"/>
      <c r="YY38" s="67"/>
      <c r="YZ38" s="68"/>
      <c r="ZA38" s="48"/>
      <c r="ZB38" s="49"/>
      <c r="ZC38" s="49"/>
      <c r="ZD38" s="49"/>
      <c r="ZE38" s="49"/>
      <c r="ZF38" s="49"/>
      <c r="ZG38" s="67"/>
      <c r="ZH38" s="68"/>
      <c r="ZI38" s="48"/>
      <c r="ZJ38" s="49"/>
      <c r="ZK38" s="49"/>
      <c r="ZL38" s="49"/>
      <c r="ZM38" s="49"/>
      <c r="ZN38" s="24"/>
      <c r="ZO38" s="67"/>
      <c r="ZP38" s="68"/>
      <c r="ZQ38" s="48"/>
      <c r="ZR38" s="49"/>
      <c r="ZS38" s="49"/>
      <c r="ZT38" s="49"/>
      <c r="ZU38" s="49"/>
      <c r="ZV38" s="49"/>
      <c r="ZW38" s="49"/>
      <c r="ZX38" s="67"/>
      <c r="ZY38" s="70"/>
      <c r="ZZ38" s="48"/>
      <c r="AAA38" s="49"/>
      <c r="AAB38" s="49"/>
      <c r="AAC38" s="49"/>
      <c r="AAD38" s="49"/>
      <c r="AAE38" s="49"/>
      <c r="AAF38" s="49"/>
      <c r="AAG38" s="67"/>
      <c r="AAH38" s="68"/>
      <c r="AAI38" s="48"/>
      <c r="AAJ38" s="49"/>
      <c r="AAK38" s="49"/>
      <c r="AAL38" s="49"/>
      <c r="AAM38" s="49"/>
      <c r="AAN38" s="49"/>
      <c r="AAO38" s="67"/>
      <c r="AAP38" s="68"/>
      <c r="AAQ38" s="48"/>
      <c r="AAR38" s="49"/>
      <c r="AAS38" s="49"/>
      <c r="AAT38" s="49"/>
      <c r="AAU38" s="49"/>
      <c r="AAV38" s="49"/>
      <c r="AAW38" s="67"/>
      <c r="AAX38" s="68"/>
      <c r="AAY38" s="48"/>
      <c r="AAZ38" s="49"/>
      <c r="ABA38" s="49"/>
      <c r="ABB38" s="49"/>
      <c r="ABC38" s="49"/>
      <c r="ABD38" s="49"/>
      <c r="ABE38" s="67"/>
      <c r="ABF38" s="68"/>
      <c r="ABG38" s="48"/>
      <c r="ABH38" s="49"/>
      <c r="ABI38" s="49"/>
      <c r="ABJ38" s="49"/>
      <c r="ABK38" s="49"/>
      <c r="ABL38" s="49"/>
      <c r="ABM38" s="67"/>
      <c r="ABN38" s="68"/>
      <c r="ABO38" s="48"/>
      <c r="ABP38" s="49"/>
      <c r="ABQ38" s="49"/>
      <c r="ABR38" s="49"/>
      <c r="ABS38" s="49"/>
      <c r="ABT38" s="49"/>
      <c r="ABU38" s="67"/>
      <c r="ABV38" s="68"/>
      <c r="ABW38" s="48"/>
      <c r="ABX38" s="49"/>
      <c r="ABY38" s="49"/>
      <c r="ABZ38" s="49"/>
      <c r="ACA38" s="49"/>
      <c r="ACB38" s="49"/>
      <c r="ACC38" s="67"/>
      <c r="ACD38" s="68"/>
      <c r="ACE38" s="24"/>
      <c r="ACF38" s="49"/>
      <c r="ACG38" s="49"/>
      <c r="ACH38" s="49"/>
      <c r="ACI38" s="49"/>
      <c r="ACJ38" s="49"/>
      <c r="ACK38" s="67"/>
      <c r="ACL38" s="68"/>
      <c r="ACM38" s="48"/>
      <c r="ACN38" s="49"/>
      <c r="ACO38" s="49"/>
      <c r="ACP38" s="49"/>
      <c r="ACQ38" s="49"/>
      <c r="ACR38" s="49"/>
      <c r="ACS38" s="67"/>
      <c r="ACT38" s="68"/>
      <c r="ACU38" s="48"/>
      <c r="ACV38" s="49"/>
      <c r="ACW38" s="49"/>
      <c r="ACX38" s="49"/>
      <c r="ACY38" s="49"/>
      <c r="ACZ38" s="49"/>
      <c r="ADA38" s="67"/>
      <c r="ADB38" s="68"/>
      <c r="ADC38" s="48"/>
      <c r="ADD38" s="49"/>
      <c r="ADE38" s="49"/>
      <c r="ADF38" s="49"/>
      <c r="ADG38" s="49"/>
      <c r="ADH38" s="49"/>
      <c r="ADI38" s="67"/>
      <c r="ADJ38" s="68"/>
      <c r="ADK38" s="48"/>
      <c r="ADL38" s="49"/>
      <c r="ADM38" s="49"/>
      <c r="ADN38" s="49"/>
      <c r="ADO38" s="49"/>
      <c r="ADP38" s="49"/>
      <c r="ADQ38" s="67"/>
      <c r="ADR38" s="68"/>
      <c r="ADS38" s="48"/>
      <c r="ADT38" s="49"/>
      <c r="ADU38" s="49"/>
      <c r="ADV38" s="49"/>
      <c r="ADW38" s="49"/>
      <c r="ADX38" s="49"/>
      <c r="ADY38" s="67"/>
      <c r="ADZ38" s="68"/>
      <c r="AEA38" s="48"/>
      <c r="AEB38" s="49"/>
      <c r="AEC38" s="49"/>
      <c r="AED38" s="49"/>
      <c r="AEE38" s="49"/>
      <c r="AEF38" s="49"/>
      <c r="AEG38" s="67"/>
      <c r="AEH38" s="68"/>
      <c r="AEI38" s="48"/>
      <c r="AEJ38" s="49"/>
      <c r="AEK38" s="49"/>
      <c r="AEL38" s="49"/>
      <c r="AEM38" s="49"/>
      <c r="AEN38" s="49"/>
      <c r="AEO38" s="67"/>
      <c r="AEP38" s="68"/>
      <c r="AEQ38" s="48"/>
      <c r="AER38" s="49"/>
      <c r="AES38" s="49"/>
      <c r="AET38" s="49"/>
      <c r="AEU38" s="49"/>
      <c r="AEV38" s="49"/>
      <c r="AEW38" s="67"/>
      <c r="AEX38" s="68"/>
      <c r="AEY38" s="48"/>
      <c r="AEZ38" s="49"/>
      <c r="AFA38" s="49"/>
      <c r="AFB38" s="49"/>
      <c r="AFC38" s="49"/>
      <c r="AFD38" s="49"/>
      <c r="AFE38" s="67"/>
      <c r="AFF38" s="68"/>
      <c r="AFG38" s="48"/>
      <c r="AFH38" s="49"/>
      <c r="AFI38" s="49"/>
      <c r="AFJ38" s="49"/>
      <c r="AFK38" s="49"/>
      <c r="AFL38" s="49"/>
      <c r="AFM38" s="67"/>
      <c r="AFN38" s="68"/>
      <c r="AFO38" s="48"/>
      <c r="AFP38" s="49"/>
      <c r="AFQ38" s="49"/>
      <c r="AFR38" s="49"/>
      <c r="AFS38" s="49"/>
      <c r="AFT38" s="49"/>
      <c r="AFU38" s="67"/>
      <c r="AFV38" s="68"/>
      <c r="AFW38" s="48"/>
      <c r="AFX38" s="49"/>
      <c r="AFY38" s="49"/>
      <c r="AFZ38" s="49"/>
      <c r="AGA38" s="49"/>
      <c r="AGB38" s="49"/>
      <c r="AGC38" s="67"/>
      <c r="AGD38" s="68"/>
      <c r="AGE38" s="48"/>
      <c r="AGF38" s="49"/>
      <c r="AGG38" s="49"/>
      <c r="AGH38" s="49"/>
      <c r="AGI38" s="49"/>
      <c r="AGJ38" s="49"/>
      <c r="AGK38" s="67"/>
      <c r="AGL38" s="68"/>
      <c r="AGM38" s="48"/>
      <c r="AGN38" s="49"/>
      <c r="AGO38" s="49"/>
      <c r="AGP38" s="49"/>
      <c r="AGQ38" s="49"/>
      <c r="AGR38" s="49"/>
      <c r="AGS38" s="49"/>
      <c r="AGT38" s="67"/>
      <c r="AGU38" s="68"/>
      <c r="AGV38" s="48"/>
      <c r="AGW38" s="49"/>
      <c r="AGX38" s="49"/>
      <c r="AGY38" s="49"/>
      <c r="AGZ38" s="49"/>
      <c r="AHA38" s="49"/>
      <c r="AHB38" s="67"/>
      <c r="AHC38" s="68"/>
      <c r="AHD38" s="48"/>
      <c r="AHE38" s="49"/>
      <c r="AHF38" s="49"/>
      <c r="AHG38" s="49"/>
      <c r="AHH38" s="49"/>
      <c r="AHI38" s="49"/>
      <c r="AHJ38" s="67"/>
      <c r="AHK38" s="68"/>
      <c r="AHL38" s="48"/>
      <c r="AHM38" s="49"/>
      <c r="AHN38" s="49"/>
      <c r="AHO38" s="49"/>
      <c r="AHP38" s="49"/>
      <c r="AHQ38" s="49"/>
      <c r="AHR38" s="67"/>
      <c r="AHS38" s="68"/>
      <c r="AHT38" s="48"/>
      <c r="AHU38" s="49"/>
      <c r="AHV38" s="49"/>
      <c r="AHW38" s="49"/>
      <c r="AHX38" s="49"/>
      <c r="AHY38" s="49"/>
      <c r="AHZ38" s="67"/>
      <c r="AIA38" s="68"/>
      <c r="AIB38" s="48"/>
      <c r="AIC38" s="49"/>
      <c r="AID38" s="49"/>
      <c r="AIE38" s="49"/>
      <c r="AIF38" s="49"/>
      <c r="AIG38" s="49"/>
      <c r="AIH38" s="67"/>
      <c r="AII38" s="68"/>
      <c r="AIJ38" s="48"/>
      <c r="AIK38" s="49"/>
      <c r="AIL38" s="49"/>
      <c r="AIM38" s="49"/>
      <c r="AIN38" s="49"/>
      <c r="AIO38" s="49"/>
      <c r="AIP38" s="67"/>
      <c r="AIQ38" s="68"/>
      <c r="AIR38" s="48"/>
      <c r="AIS38" s="49"/>
      <c r="AIT38" s="49"/>
      <c r="AIU38" s="49"/>
      <c r="AIV38" s="49"/>
      <c r="AIW38" s="49"/>
      <c r="AIX38" s="67"/>
      <c r="AIY38" s="68"/>
      <c r="AIZ38" s="48"/>
      <c r="AJA38" s="49"/>
      <c r="AJB38" s="49"/>
      <c r="AJC38" s="49"/>
      <c r="AJD38" s="49"/>
      <c r="AJE38" s="49"/>
      <c r="AJF38" s="67"/>
      <c r="AJG38" s="68"/>
      <c r="AJH38" s="48"/>
      <c r="AJI38" s="49"/>
      <c r="AJJ38" s="49"/>
      <c r="AJK38" s="49"/>
      <c r="AJL38" s="49"/>
      <c r="AJM38" s="49"/>
      <c r="AJN38" s="42"/>
      <c r="AJO38" s="43"/>
      <c r="AJP38" s="48"/>
      <c r="AJQ38" s="49"/>
      <c r="AJR38" s="49"/>
      <c r="AJS38" s="49"/>
      <c r="AJT38" s="49"/>
      <c r="AJU38" s="49"/>
      <c r="AJV38" s="42"/>
      <c r="AJW38" s="43"/>
      <c r="AJX38" s="48"/>
      <c r="AJY38" s="49"/>
      <c r="AJZ38" s="49"/>
      <c r="AKA38" s="49"/>
      <c r="AKB38" s="49"/>
      <c r="AKC38" s="49"/>
      <c r="AKD38" s="67"/>
      <c r="AKE38" s="68"/>
      <c r="AKF38" s="48"/>
      <c r="AKG38" s="49"/>
      <c r="AKH38" s="49"/>
      <c r="AKI38" s="49"/>
      <c r="AKJ38" s="49"/>
      <c r="AKK38" s="49"/>
      <c r="AKL38" s="67"/>
      <c r="AKM38" s="184"/>
      <c r="AKN38" s="195"/>
      <c r="AKO38" s="49"/>
      <c r="AKP38" s="49"/>
      <c r="AKQ38" s="49"/>
      <c r="AKR38" s="49"/>
      <c r="AKS38" s="49"/>
      <c r="AKT38" s="67"/>
      <c r="AKU38" s="184"/>
      <c r="AKV38" s="48"/>
      <c r="AKW38" s="49"/>
      <c r="AKX38" s="49"/>
      <c r="AKY38" s="49"/>
      <c r="AKZ38" s="49"/>
      <c r="ALA38" s="49"/>
      <c r="ALB38" s="67"/>
      <c r="ALC38" s="68"/>
      <c r="ALD38" s="48"/>
      <c r="ALE38" s="49"/>
      <c r="ALF38" s="49"/>
      <c r="ALG38" s="49"/>
      <c r="ALH38" s="49"/>
      <c r="ALI38" s="49"/>
      <c r="ALJ38" s="67"/>
      <c r="ALK38" s="68"/>
      <c r="ALL38" s="48"/>
      <c r="ALM38" s="49"/>
      <c r="ALN38" s="49"/>
      <c r="ALO38" s="49"/>
      <c r="ALP38" s="49"/>
      <c r="ALQ38" s="49"/>
      <c r="ALR38" s="67"/>
      <c r="ALS38" s="68"/>
      <c r="ALT38" s="48"/>
      <c r="ALU38" s="49"/>
      <c r="ALV38" s="49"/>
      <c r="ALW38" s="49"/>
      <c r="ALX38" s="49"/>
      <c r="ALY38" s="49"/>
      <c r="ALZ38" s="67"/>
      <c r="AMA38" s="68"/>
      <c r="AMB38" s="24"/>
      <c r="AMC38" s="49"/>
      <c r="AMD38" s="49"/>
      <c r="AME38" s="49"/>
      <c r="AMF38" s="49"/>
      <c r="AMG38" s="49"/>
      <c r="AMH38" s="67"/>
      <c r="AMI38" s="68"/>
      <c r="AMJ38" s="48"/>
      <c r="AMK38" s="49"/>
      <c r="AML38" s="49"/>
      <c r="AMM38" s="49"/>
      <c r="AMN38" s="49"/>
      <c r="AMO38" s="49"/>
      <c r="AMP38" s="67"/>
      <c r="AMQ38" s="68"/>
      <c r="AMR38" s="48"/>
      <c r="AMS38" s="49"/>
      <c r="AMT38" s="49"/>
      <c r="AMU38" s="49"/>
      <c r="AMV38" s="49"/>
      <c r="AMW38" s="49"/>
      <c r="AMX38" s="67"/>
      <c r="AMY38" s="68"/>
      <c r="AMZ38" s="48"/>
      <c r="ANA38" s="49"/>
      <c r="ANB38" s="49"/>
      <c r="ANC38" s="49"/>
      <c r="AND38" s="49"/>
      <c r="ANE38" s="49"/>
      <c r="ANF38" s="67"/>
      <c r="ANG38" s="68"/>
      <c r="ANH38" s="48"/>
      <c r="ANI38" s="49"/>
      <c r="ANJ38" s="49"/>
      <c r="ANK38" s="49"/>
      <c r="ANL38" s="49"/>
      <c r="ANM38" s="49"/>
      <c r="ANN38" s="67"/>
      <c r="ANO38" s="68"/>
      <c r="ANP38" s="48"/>
      <c r="ANQ38" s="49"/>
      <c r="ANR38" s="49"/>
      <c r="ANS38" s="49"/>
      <c r="ANT38" s="49"/>
      <c r="ANU38" s="49"/>
      <c r="ANV38" s="67"/>
      <c r="ANW38" s="68"/>
      <c r="ANX38" s="82"/>
      <c r="ANY38" s="83"/>
      <c r="ANZ38" s="83"/>
      <c r="AOA38" s="83"/>
      <c r="AOB38" s="83"/>
      <c r="AOC38" s="83"/>
      <c r="AOD38" s="67"/>
      <c r="AOE38" s="68"/>
      <c r="AOF38" s="48"/>
      <c r="AOG38" s="49"/>
      <c r="AOH38" s="49"/>
      <c r="AOI38" s="49"/>
      <c r="AOJ38" s="49"/>
      <c r="AOK38" s="49"/>
      <c r="AOL38" s="67"/>
      <c r="AOM38" s="68"/>
      <c r="AON38" s="48"/>
      <c r="AOO38" s="49"/>
      <c r="AOP38" s="49"/>
      <c r="AOQ38" s="49"/>
      <c r="AOR38" s="49"/>
      <c r="AOS38" s="49"/>
      <c r="AOT38" s="67"/>
      <c r="AOU38" s="68"/>
      <c r="AOV38" s="48"/>
      <c r="AOW38" s="49"/>
      <c r="AOX38" s="49"/>
      <c r="AOY38" s="49"/>
      <c r="AOZ38" s="49"/>
      <c r="APA38" s="49"/>
      <c r="APB38" s="67"/>
      <c r="APC38" s="68"/>
      <c r="APD38" s="48"/>
      <c r="APE38" s="49"/>
      <c r="APF38" s="49"/>
      <c r="APG38" s="49"/>
      <c r="APH38" s="49"/>
      <c r="API38" s="49"/>
      <c r="APJ38" s="67"/>
      <c r="APK38" s="68"/>
      <c r="APL38" s="48"/>
      <c r="APM38" s="49"/>
      <c r="APN38" s="49"/>
      <c r="APO38" s="49"/>
      <c r="APP38" s="49"/>
      <c r="APQ38" s="49"/>
      <c r="APR38" s="67"/>
      <c r="APS38" s="68"/>
      <c r="APT38" s="48"/>
      <c r="APU38" s="49"/>
      <c r="APV38" s="49"/>
      <c r="APW38" s="49"/>
      <c r="APX38" s="49"/>
      <c r="APY38" s="49"/>
      <c r="APZ38" s="67"/>
      <c r="AQA38" s="68"/>
      <c r="AQB38" s="48"/>
      <c r="AQC38" s="49"/>
      <c r="AQD38" s="49"/>
      <c r="AQE38" s="49"/>
      <c r="AQF38" s="49"/>
      <c r="AQG38" s="49"/>
      <c r="AQH38" s="67"/>
      <c r="AQI38" s="68"/>
      <c r="AQJ38" s="48"/>
      <c r="AQK38" s="49"/>
      <c r="AQL38" s="49"/>
      <c r="AQM38" s="49"/>
      <c r="AQN38" s="49"/>
      <c r="AQO38" s="49"/>
      <c r="AQP38" s="67"/>
      <c r="AQQ38" s="68"/>
      <c r="AQR38" s="48"/>
      <c r="AQS38" s="49"/>
      <c r="AQT38" s="49"/>
      <c r="AQU38" s="49"/>
      <c r="AQV38" s="49"/>
      <c r="AQW38" s="49"/>
      <c r="AQX38" s="67"/>
      <c r="AQY38" s="68"/>
      <c r="AQZ38" s="48"/>
      <c r="ARA38" s="49"/>
      <c r="ARB38" s="49"/>
      <c r="ARC38" s="49"/>
      <c r="ARD38" s="49"/>
      <c r="ARE38" s="49"/>
      <c r="ARF38" s="67"/>
      <c r="ARG38" s="68"/>
      <c r="ARH38" s="48"/>
      <c r="ARI38" s="49"/>
      <c r="ARJ38" s="49"/>
      <c r="ARK38" s="49"/>
      <c r="ARL38" s="49"/>
      <c r="ARM38" s="49"/>
      <c r="ARN38" s="67"/>
      <c r="ARO38" s="68"/>
      <c r="ARP38" s="48"/>
      <c r="ARQ38" s="49"/>
      <c r="ARR38" s="49"/>
      <c r="ARS38" s="49"/>
      <c r="ART38" s="49"/>
      <c r="ARU38" s="49"/>
      <c r="ARV38" s="67"/>
      <c r="ARW38" s="68"/>
      <c r="ARX38" s="48"/>
      <c r="ARY38" s="49"/>
      <c r="ARZ38" s="49"/>
      <c r="ASA38" s="49"/>
      <c r="ASB38" s="49"/>
      <c r="ASC38" s="49"/>
      <c r="ASD38" s="67"/>
      <c r="ASE38" s="68"/>
      <c r="ASF38" s="48"/>
      <c r="ASG38" s="49"/>
      <c r="ASH38" s="49"/>
      <c r="ASI38" s="49"/>
      <c r="ASJ38" s="49"/>
      <c r="ASK38" s="49"/>
      <c r="ASL38" s="67"/>
      <c r="ASM38" s="68"/>
      <c r="ASN38" s="48"/>
      <c r="ASO38" s="49"/>
      <c r="ASP38" s="49"/>
      <c r="ASQ38" s="49"/>
      <c r="ASR38" s="49"/>
      <c r="ASS38" s="49"/>
      <c r="AST38" s="67"/>
      <c r="ASU38" s="68"/>
      <c r="ASV38" s="48"/>
      <c r="ASW38" s="49"/>
      <c r="ASX38" s="49"/>
      <c r="ASY38" s="49"/>
      <c r="ASZ38" s="49"/>
      <c r="ATA38" s="49"/>
      <c r="ATB38" s="67"/>
      <c r="ATC38" s="68"/>
      <c r="ATD38" s="48"/>
      <c r="ATE38" s="49"/>
      <c r="ATF38" s="49"/>
      <c r="ATG38" s="49"/>
      <c r="ATH38" s="49"/>
      <c r="ATI38" s="49"/>
      <c r="ATJ38" s="67"/>
      <c r="ATK38" s="68"/>
      <c r="ATL38" s="48"/>
      <c r="ATM38" s="49"/>
      <c r="ATN38" s="49"/>
      <c r="ATO38" s="49"/>
      <c r="ATP38" s="49"/>
      <c r="ATQ38" s="49"/>
      <c r="ATR38" s="67"/>
      <c r="ATS38" s="68"/>
      <c r="ATT38" s="48"/>
      <c r="ATU38" s="49"/>
      <c r="ATV38" s="49"/>
      <c r="ATW38" s="49"/>
      <c r="ATX38" s="49"/>
      <c r="ATY38" s="49"/>
      <c r="ATZ38" s="67"/>
      <c r="AUA38" s="68"/>
      <c r="AUB38" s="48"/>
      <c r="AUC38" s="49"/>
      <c r="AUD38" s="49"/>
      <c r="AUE38" s="49"/>
      <c r="AUF38" s="49"/>
      <c r="AUG38" s="49"/>
      <c r="AUH38" s="67"/>
      <c r="AUI38" s="68"/>
      <c r="AUJ38" s="48"/>
      <c r="AUK38" s="49"/>
      <c r="AUL38" s="49"/>
      <c r="AUM38" s="49"/>
      <c r="AUN38" s="49"/>
      <c r="AUO38" s="49"/>
      <c r="AUP38" s="67"/>
      <c r="AUQ38" s="68"/>
      <c r="AUR38" s="48"/>
      <c r="AUS38" s="49"/>
      <c r="AUT38" s="49"/>
      <c r="AUU38" s="49"/>
      <c r="AUV38" s="49"/>
      <c r="AUW38" s="49"/>
      <c r="AUX38" s="67"/>
      <c r="AUY38" s="68"/>
      <c r="AUZ38" s="48"/>
      <c r="AVA38" s="49"/>
      <c r="AVB38" s="49"/>
      <c r="AVC38" s="49"/>
      <c r="AVD38" s="49"/>
      <c r="AVE38" s="49"/>
      <c r="AVF38" s="67"/>
      <c r="AVG38" s="68"/>
      <c r="AVH38" s="48"/>
      <c r="AVI38" s="49"/>
      <c r="AVJ38" s="49"/>
      <c r="AVK38" s="49"/>
      <c r="AVL38" s="49"/>
      <c r="AVM38" s="49"/>
      <c r="AVN38" s="67"/>
      <c r="AVO38" s="68"/>
      <c r="AVP38" s="48"/>
      <c r="AVQ38" s="49"/>
      <c r="AVR38" s="49"/>
      <c r="AVS38" s="49"/>
      <c r="AVT38" s="49"/>
      <c r="AVU38" s="49"/>
      <c r="AVV38" s="67"/>
      <c r="AVW38" s="68"/>
      <c r="AVX38" s="48"/>
      <c r="AVY38" s="49"/>
      <c r="AVZ38" s="49"/>
      <c r="AWA38" s="49"/>
      <c r="AWB38" s="49"/>
      <c r="AWC38" s="49"/>
      <c r="AWD38" s="67"/>
      <c r="AWE38" s="68"/>
      <c r="AWF38" s="48"/>
      <c r="AWG38" s="49"/>
      <c r="AWH38" s="49"/>
      <c r="AWI38" s="49"/>
      <c r="AWJ38" s="49"/>
      <c r="AWK38" s="49"/>
      <c r="AWL38" s="67"/>
      <c r="AWM38" s="184"/>
      <c r="AWN38" s="48"/>
      <c r="AWO38" s="49"/>
      <c r="AWP38" s="49"/>
      <c r="AWQ38" s="49"/>
      <c r="AWR38" s="49"/>
      <c r="AWS38" s="49"/>
      <c r="AWT38" s="42"/>
      <c r="AWU38" s="43"/>
      <c r="AWV38" s="48"/>
      <c r="AWW38" s="49"/>
      <c r="AWX38" s="49"/>
      <c r="AWY38" s="49"/>
      <c r="AWZ38" s="49"/>
      <c r="AXA38" s="49"/>
      <c r="AXB38" s="42"/>
      <c r="AXC38" s="43"/>
      <c r="AXD38" s="48"/>
      <c r="AXE38" s="49"/>
      <c r="AXF38" s="49"/>
      <c r="AXG38" s="49"/>
      <c r="AXH38" s="49"/>
      <c r="AXI38" s="49"/>
      <c r="AXJ38" s="42"/>
      <c r="AXK38" s="43"/>
      <c r="AXL38" s="48"/>
      <c r="AXM38" s="49"/>
      <c r="AXN38" s="49"/>
      <c r="AXO38" s="49"/>
      <c r="AXP38" s="49"/>
      <c r="AXQ38" s="49"/>
      <c r="AXR38" s="42"/>
      <c r="AXS38" s="43"/>
      <c r="AXT38" s="48"/>
      <c r="AXU38" s="49"/>
      <c r="AXV38" s="49"/>
      <c r="AXW38" s="49"/>
      <c r="AXX38" s="49"/>
      <c r="AXY38" s="49"/>
      <c r="AXZ38" s="42"/>
      <c r="AYA38" s="43"/>
      <c r="AYB38" s="48"/>
      <c r="AYC38" s="49"/>
      <c r="AYD38" s="49"/>
      <c r="AYE38" s="49"/>
      <c r="AYF38" s="49"/>
      <c r="AYG38" s="49"/>
      <c r="AYH38" s="42"/>
      <c r="AYI38" s="43"/>
      <c r="AYJ38" s="48"/>
      <c r="AYK38" s="49"/>
      <c r="AYL38" s="49"/>
      <c r="AYM38" s="49"/>
      <c r="AYN38" s="49"/>
      <c r="AYO38" s="49"/>
      <c r="AYP38" s="42"/>
      <c r="AYQ38" s="43"/>
      <c r="AYR38" s="48"/>
      <c r="AYS38" s="49"/>
      <c r="AYT38" s="49"/>
      <c r="AYU38" s="49"/>
      <c r="AYV38" s="49"/>
      <c r="AYW38" s="49"/>
      <c r="AYX38" s="42"/>
      <c r="AYY38" s="43"/>
      <c r="AYZ38" s="48"/>
      <c r="AZA38" s="49"/>
      <c r="AZB38" s="49"/>
      <c r="AZC38" s="49"/>
      <c r="AZD38" s="49"/>
      <c r="AZE38" s="49"/>
      <c r="AZF38" s="42"/>
      <c r="AZG38" s="43"/>
      <c r="AZH38" s="48"/>
      <c r="AZI38" s="49"/>
      <c r="AZJ38" s="49"/>
      <c r="AZK38" s="49"/>
      <c r="AZL38" s="49"/>
      <c r="AZM38" s="49"/>
      <c r="AZN38" s="42"/>
      <c r="AZO38" s="43"/>
      <c r="AZP38" s="48"/>
      <c r="AZQ38" s="49"/>
      <c r="AZR38" s="49"/>
      <c r="AZS38" s="49"/>
      <c r="AZT38" s="49"/>
      <c r="AZU38" s="49"/>
      <c r="AZV38" s="42"/>
      <c r="AZW38" s="43"/>
      <c r="AZX38" s="82"/>
      <c r="AZY38" s="83"/>
      <c r="AZZ38" s="83"/>
      <c r="BAA38" s="83"/>
      <c r="BAB38" s="83"/>
      <c r="BAC38" s="83"/>
      <c r="BAD38" s="42"/>
      <c r="BAE38" s="43"/>
      <c r="BAF38" s="48"/>
      <c r="BAG38" s="49"/>
      <c r="BAH38" s="49"/>
      <c r="BAI38" s="49"/>
      <c r="BAJ38" s="49"/>
      <c r="BAK38" s="49"/>
      <c r="BAL38" s="42"/>
      <c r="BAM38" s="43"/>
      <c r="BAN38" s="48"/>
      <c r="BAO38" s="49"/>
      <c r="BAP38" s="49"/>
      <c r="BAQ38" s="49"/>
      <c r="BAR38" s="49"/>
      <c r="BAS38" s="49"/>
      <c r="BAT38" s="42"/>
      <c r="BAU38" s="43"/>
      <c r="BAV38" s="48"/>
      <c r="BAW38" s="49"/>
      <c r="BAX38" s="49"/>
      <c r="BAY38" s="49"/>
      <c r="BAZ38" s="49"/>
      <c r="BBA38" s="49"/>
      <c r="BBB38" s="42"/>
      <c r="BBC38" s="43"/>
      <c r="BBD38" s="48"/>
      <c r="BBE38" s="49"/>
      <c r="BBF38" s="49"/>
      <c r="BBG38" s="49"/>
      <c r="BBH38" s="49"/>
      <c r="BBI38" s="49"/>
      <c r="BBJ38" s="42"/>
      <c r="BBK38" s="43"/>
      <c r="BBL38" s="48"/>
      <c r="BBM38" s="49"/>
      <c r="BBN38" s="49"/>
      <c r="BBO38" s="49"/>
      <c r="BBP38" s="49"/>
      <c r="BBQ38" s="49"/>
      <c r="BBR38" s="42"/>
      <c r="BBS38" s="43"/>
      <c r="BBT38" s="48"/>
      <c r="BBU38" s="49"/>
      <c r="BBV38" s="49"/>
      <c r="BBW38" s="49"/>
      <c r="BBX38" s="49"/>
      <c r="BBY38" s="49"/>
      <c r="BBZ38" s="42"/>
      <c r="BCA38" s="43"/>
      <c r="BCB38" s="48"/>
      <c r="BCC38" s="49"/>
      <c r="BCD38" s="49"/>
      <c r="BCE38" s="49"/>
      <c r="BCF38" s="49"/>
      <c r="BCG38" s="49"/>
      <c r="BCH38" s="42"/>
      <c r="BCI38" s="43"/>
      <c r="BCJ38" s="48"/>
      <c r="BCK38" s="49"/>
      <c r="BCL38" s="49"/>
      <c r="BCM38" s="49"/>
      <c r="BCN38" s="49"/>
      <c r="BCO38" s="49"/>
      <c r="BCP38" s="42"/>
      <c r="BCQ38" s="43"/>
      <c r="BCR38" s="48"/>
      <c r="BCS38" s="49"/>
      <c r="BCT38" s="49"/>
      <c r="BCU38" s="49"/>
      <c r="BCV38" s="49"/>
      <c r="BCW38" s="49"/>
      <c r="BCX38" s="42"/>
      <c r="BCY38" s="43"/>
      <c r="BCZ38" s="48"/>
      <c r="BDA38" s="49"/>
      <c r="BDB38" s="49"/>
      <c r="BDC38" s="49"/>
      <c r="BDD38" s="49"/>
      <c r="BDE38" s="49"/>
      <c r="BDF38" s="42"/>
      <c r="BDG38" s="43"/>
      <c r="BDH38" s="48"/>
      <c r="BDI38" s="49"/>
      <c r="BDJ38" s="49"/>
      <c r="BDK38" s="49"/>
      <c r="BDL38" s="49"/>
      <c r="BDM38" s="49"/>
      <c r="BDN38" s="42"/>
      <c r="BDO38" s="43"/>
      <c r="BDP38" s="48"/>
      <c r="BDQ38" s="49"/>
      <c r="BDR38" s="49"/>
      <c r="BDS38" s="49"/>
      <c r="BDT38" s="49"/>
      <c r="BDU38" s="49"/>
      <c r="BDV38" s="42"/>
      <c r="BDW38" s="43"/>
      <c r="BDX38" s="48"/>
      <c r="BDY38" s="49"/>
      <c r="BDZ38" s="49"/>
      <c r="BEA38" s="49"/>
      <c r="BEB38" s="49"/>
      <c r="BEC38" s="49"/>
      <c r="BED38" s="42"/>
      <c r="BEE38" s="43"/>
      <c r="BEF38" s="48"/>
      <c r="BEG38" s="49"/>
      <c r="BEH38" s="49"/>
      <c r="BEI38" s="49"/>
      <c r="BEJ38" s="49"/>
      <c r="BEK38" s="49"/>
      <c r="BEL38" s="42"/>
      <c r="BEM38" s="43"/>
      <c r="BEN38" s="48"/>
      <c r="BEO38" s="49"/>
      <c r="BEP38" s="49"/>
      <c r="BEQ38" s="49"/>
      <c r="BER38" s="49"/>
      <c r="BES38" s="49"/>
      <c r="BET38" s="42"/>
      <c r="BEU38" s="43"/>
      <c r="BEV38" s="82"/>
      <c r="BEW38" s="83"/>
      <c r="BEX38" s="83"/>
      <c r="BEY38" s="83"/>
      <c r="BEZ38" s="83"/>
      <c r="BFA38" s="83"/>
      <c r="BFB38" s="42"/>
      <c r="BFC38" s="43"/>
      <c r="BFD38" s="48"/>
      <c r="BFE38" s="49"/>
      <c r="BFF38" s="49"/>
      <c r="BFG38" s="49"/>
      <c r="BFH38" s="49"/>
      <c r="BFI38" s="49"/>
      <c r="BFJ38" s="42"/>
      <c r="BFK38" s="43"/>
      <c r="BFL38" s="48"/>
      <c r="BFM38" s="49"/>
      <c r="BFN38" s="49"/>
      <c r="BFO38" s="49"/>
      <c r="BFP38" s="49"/>
      <c r="BFQ38" s="49"/>
      <c r="BFR38" s="42"/>
      <c r="BFS38" s="43"/>
      <c r="BFT38" s="48"/>
      <c r="BFU38" s="49"/>
      <c r="BFV38" s="49"/>
      <c r="BFW38" s="49"/>
      <c r="BFX38" s="49"/>
      <c r="BFY38" s="49"/>
      <c r="BFZ38" s="42"/>
      <c r="BGA38" s="43"/>
      <c r="BGB38" s="48"/>
      <c r="BGC38" s="49"/>
      <c r="BGD38" s="49"/>
      <c r="BGE38" s="49"/>
      <c r="BGF38" s="49"/>
      <c r="BGG38" s="49"/>
      <c r="BGH38" s="42"/>
      <c r="BGI38" s="43"/>
      <c r="BGJ38" s="48"/>
      <c r="BGK38" s="49"/>
      <c r="BGL38" s="49"/>
      <c r="BGM38" s="49"/>
      <c r="BGN38" s="49"/>
      <c r="BGO38" s="49"/>
      <c r="BGP38" s="42"/>
      <c r="BGQ38" s="43"/>
      <c r="BGR38" s="48"/>
      <c r="BGS38" s="49"/>
      <c r="BGT38" s="49"/>
      <c r="BGU38" s="49"/>
      <c r="BGV38" s="49"/>
      <c r="BGW38" s="49"/>
      <c r="BGX38" s="42"/>
      <c r="BGY38" s="43"/>
      <c r="BGZ38" s="239"/>
      <c r="BHA38" s="1"/>
      <c r="BHB38" s="1"/>
      <c r="BHC38" s="1"/>
      <c r="BHD38" s="1"/>
      <c r="BHE38" s="1"/>
      <c r="BHF38" s="42"/>
      <c r="BHG38" s="43"/>
      <c r="BHH38" s="48"/>
      <c r="BHI38" s="49"/>
      <c r="BHJ38" s="49"/>
      <c r="BHK38" s="49"/>
      <c r="BHL38" s="49"/>
      <c r="BHM38" s="49"/>
      <c r="BHN38" s="42"/>
      <c r="BHO38" s="43"/>
      <c r="BHP38" s="48"/>
      <c r="BHQ38" s="49"/>
      <c r="BHR38" s="49"/>
      <c r="BHS38" s="49"/>
      <c r="BHT38" s="49"/>
      <c r="BHU38" s="49"/>
      <c r="BHV38" s="42"/>
      <c r="BHW38" s="43"/>
      <c r="BHX38" s="48"/>
      <c r="BHY38" s="49"/>
      <c r="BHZ38" s="49"/>
      <c r="BIA38" s="49"/>
      <c r="BIB38" s="49"/>
      <c r="BIC38" s="49"/>
      <c r="BID38" s="42"/>
      <c r="BIE38" s="43"/>
      <c r="BIF38" s="48"/>
      <c r="BIG38" s="49"/>
      <c r="BIH38" s="49"/>
      <c r="BII38" s="49"/>
      <c r="BIJ38" s="49"/>
      <c r="BIK38" s="49"/>
      <c r="BIL38" s="42"/>
      <c r="BIM38" s="43"/>
      <c r="BIN38" s="48"/>
      <c r="BIO38" s="49"/>
      <c r="BIP38" s="49"/>
      <c r="BIQ38" s="49"/>
      <c r="BIR38" s="49"/>
      <c r="BIS38" s="49"/>
      <c r="BIT38" s="42"/>
      <c r="BIU38" s="101"/>
      <c r="BIV38" s="195"/>
      <c r="BIW38" s="49"/>
      <c r="BIX38" s="49"/>
      <c r="BIY38" s="49"/>
      <c r="BIZ38" s="49"/>
      <c r="BJA38" s="49"/>
      <c r="BJB38" s="42"/>
      <c r="BJC38" s="101"/>
      <c r="BJD38" s="48"/>
      <c r="BJE38" s="49"/>
      <c r="BJF38" s="49"/>
      <c r="BJG38" s="49"/>
      <c r="BJH38" s="49"/>
      <c r="BJI38" s="49"/>
      <c r="BJJ38" s="42"/>
      <c r="BJK38" s="43"/>
      <c r="BJL38" s="48"/>
      <c r="BJM38" s="49"/>
      <c r="BJN38" s="49"/>
      <c r="BJO38" s="49"/>
      <c r="BJP38" s="49"/>
      <c r="BJQ38" s="49"/>
      <c r="BJR38" s="42"/>
      <c r="BJS38" s="43"/>
      <c r="BJT38" s="48"/>
      <c r="BJU38" s="49"/>
      <c r="BJV38" s="49"/>
      <c r="BJW38" s="49"/>
      <c r="BJX38" s="49"/>
      <c r="BJY38" s="49"/>
      <c r="BJZ38" s="42"/>
      <c r="BKA38" s="43"/>
      <c r="BKB38" s="48"/>
      <c r="BKC38" s="49"/>
      <c r="BKD38" s="49"/>
      <c r="BKE38" s="49"/>
      <c r="BKF38" s="49"/>
      <c r="BKG38" s="49"/>
      <c r="BKH38" s="67"/>
      <c r="BKI38" s="68"/>
      <c r="BKJ38" s="48"/>
      <c r="BKK38" s="49"/>
      <c r="BKL38" s="49"/>
      <c r="BKM38" s="49"/>
      <c r="BKN38" s="49"/>
      <c r="BKO38" s="49"/>
      <c r="BKP38" s="42"/>
      <c r="BKQ38" s="43"/>
      <c r="BKR38" s="48"/>
      <c r="BKS38" s="49"/>
      <c r="BKT38" s="49"/>
      <c r="BKU38" s="49"/>
      <c r="BKV38" s="49"/>
      <c r="BKW38" s="49"/>
      <c r="BKX38" s="42"/>
      <c r="BKY38" s="43"/>
      <c r="BKZ38" s="48"/>
      <c r="BLA38" s="49"/>
      <c r="BLB38" s="49"/>
      <c r="BLC38" s="49"/>
      <c r="BLD38" s="49"/>
      <c r="BLE38" s="49"/>
      <c r="BLF38" s="42"/>
      <c r="BLG38" s="43"/>
      <c r="BLH38" s="48"/>
      <c r="BLI38" s="49"/>
      <c r="BLJ38" s="49"/>
      <c r="BLK38" s="49"/>
      <c r="BLL38" s="49"/>
      <c r="BLM38" s="49"/>
      <c r="BLN38" s="42"/>
      <c r="BLO38" s="43"/>
      <c r="BLP38" s="48"/>
      <c r="BLQ38" s="49"/>
      <c r="BLR38" s="49"/>
      <c r="BLS38" s="49"/>
      <c r="BLT38" s="49"/>
      <c r="BLU38" s="49"/>
      <c r="BLV38" s="42"/>
      <c r="BLW38" s="43"/>
      <c r="BLX38" s="48"/>
      <c r="BLY38" s="49"/>
      <c r="BLZ38" s="49"/>
      <c r="BMA38" s="49"/>
      <c r="BMB38" s="49"/>
      <c r="BMC38" s="49"/>
      <c r="BMD38" s="42"/>
      <c r="BME38" s="43"/>
      <c r="BMF38" s="48"/>
      <c r="BMG38" s="49"/>
      <c r="BMH38" s="49"/>
      <c r="BMI38" s="49"/>
      <c r="BMJ38" s="49"/>
      <c r="BMK38" s="49"/>
      <c r="BML38" s="42"/>
      <c r="BMM38" s="43"/>
      <c r="BMN38" s="48"/>
      <c r="BMO38" s="49"/>
      <c r="BMP38" s="49"/>
      <c r="BMQ38" s="49"/>
      <c r="BMR38" s="49"/>
      <c r="BMS38" s="49"/>
      <c r="BMT38" s="42"/>
      <c r="BMU38" s="43"/>
      <c r="BMV38" s="48"/>
      <c r="BMW38" s="49"/>
      <c r="BMX38" s="49"/>
      <c r="BMY38" s="49"/>
      <c r="BMZ38" s="49"/>
      <c r="BNA38" s="49"/>
      <c r="BNB38" s="42"/>
      <c r="BNC38" s="43"/>
      <c r="BND38" s="48"/>
      <c r="BNE38" s="49"/>
      <c r="BNF38" s="49"/>
      <c r="BNG38" s="49"/>
      <c r="BNH38" s="49"/>
      <c r="BNI38" s="49"/>
      <c r="BNJ38" s="42"/>
      <c r="BNK38" s="43"/>
      <c r="BNL38" s="48"/>
      <c r="BNM38" s="49"/>
      <c r="BNN38" s="49"/>
      <c r="BNO38" s="49"/>
      <c r="BNP38" s="49"/>
      <c r="BNQ38" s="49"/>
      <c r="BNR38" s="42"/>
      <c r="BNS38" s="43"/>
      <c r="BNT38" s="48"/>
      <c r="BNU38" s="49"/>
      <c r="BNV38" s="49"/>
      <c r="BNW38" s="49"/>
      <c r="BNX38" s="49"/>
      <c r="BNY38" s="49"/>
      <c r="BNZ38" s="42"/>
      <c r="BOA38" s="43"/>
      <c r="BOB38" s="48"/>
      <c r="BOC38" s="49"/>
      <c r="BOD38" s="49"/>
      <c r="BOE38" s="49"/>
      <c r="BOF38" s="49"/>
      <c r="BOG38" s="49"/>
      <c r="BOH38" s="42"/>
      <c r="BOI38" s="43"/>
      <c r="BOJ38" s="48"/>
      <c r="BOK38" s="49"/>
      <c r="BOL38" s="49"/>
      <c r="BOM38" s="49"/>
      <c r="BON38" s="49"/>
      <c r="BOO38" s="49"/>
      <c r="BOP38" s="42"/>
      <c r="BOQ38" s="43"/>
      <c r="BOR38" s="48"/>
      <c r="BOS38" s="49"/>
      <c r="BOT38" s="49"/>
      <c r="BOU38" s="49"/>
      <c r="BOV38" s="49"/>
      <c r="BOW38" s="49"/>
      <c r="BOX38" s="42"/>
      <c r="BOY38" s="43"/>
      <c r="BOZ38" s="48"/>
      <c r="BPA38" s="49"/>
      <c r="BPB38" s="49"/>
      <c r="BPC38" s="49"/>
      <c r="BPD38" s="49"/>
      <c r="BPE38" s="49"/>
      <c r="BPF38" s="42"/>
      <c r="BPG38" s="43"/>
      <c r="BPH38" s="48"/>
      <c r="BPI38" s="49"/>
      <c r="BPJ38" s="49"/>
      <c r="BPK38" s="49"/>
      <c r="BPL38" s="49"/>
      <c r="BPM38" s="49"/>
      <c r="BPN38" s="42"/>
      <c r="BPO38" s="43"/>
      <c r="BPP38" s="48"/>
      <c r="BPQ38" s="49"/>
      <c r="BPR38" s="49"/>
      <c r="BPS38" s="49"/>
      <c r="BPT38" s="49"/>
      <c r="BPU38" s="49"/>
      <c r="BPV38" s="42"/>
      <c r="BPW38" s="43"/>
      <c r="BPX38" s="48"/>
      <c r="BPY38" s="49"/>
      <c r="BPZ38" s="49"/>
      <c r="BQA38" s="49"/>
      <c r="BQB38" s="49"/>
      <c r="BQC38" s="49"/>
      <c r="BQD38" s="67"/>
      <c r="BQE38" s="43"/>
      <c r="BQF38" s="48"/>
      <c r="BQG38" s="49"/>
      <c r="BQH38" s="49"/>
      <c r="BQI38" s="49"/>
      <c r="BQJ38" s="49"/>
      <c r="BQK38" s="49"/>
      <c r="BQL38" s="67"/>
      <c r="BQM38" s="43"/>
      <c r="BQN38" s="48"/>
      <c r="BQO38" s="49"/>
      <c r="BQP38" s="49"/>
      <c r="BQQ38" s="49"/>
      <c r="BQR38" s="49"/>
      <c r="BQS38" s="49"/>
      <c r="BQT38" s="67"/>
      <c r="BQU38" s="43"/>
      <c r="BQV38" s="48"/>
      <c r="BQW38" s="49"/>
      <c r="BQX38" s="49"/>
      <c r="BQY38" s="49"/>
      <c r="BQZ38" s="49"/>
      <c r="BRA38" s="49"/>
      <c r="BRB38" s="67"/>
      <c r="BRC38" s="43"/>
      <c r="BRD38" s="48"/>
      <c r="BRE38" s="49"/>
      <c r="BRF38" s="49"/>
      <c r="BRG38" s="49"/>
      <c r="BRH38" s="49"/>
      <c r="BRI38" s="49"/>
      <c r="BRJ38" s="67"/>
      <c r="BRK38" s="43"/>
      <c r="BRL38" s="48"/>
      <c r="BRM38" s="49"/>
      <c r="BRN38" s="49"/>
      <c r="BRO38" s="49"/>
      <c r="BRP38" s="49"/>
      <c r="BRQ38" s="49"/>
      <c r="BRR38" s="67"/>
      <c r="BRS38" s="68"/>
      <c r="BRT38" s="63"/>
      <c r="BRU38" s="64"/>
      <c r="BRV38" s="64"/>
      <c r="BRW38" s="64"/>
      <c r="BRX38" s="64"/>
      <c r="BRY38" s="64"/>
      <c r="BRZ38" s="67"/>
      <c r="BSA38" s="43"/>
      <c r="BSB38" s="48"/>
      <c r="BSC38" s="49"/>
      <c r="BSD38" s="49"/>
      <c r="BSE38" s="49"/>
      <c r="BSF38" s="49"/>
      <c r="BSG38" s="49"/>
      <c r="BSH38" s="67"/>
      <c r="BSI38" s="43"/>
      <c r="BSJ38" s="48"/>
      <c r="BSK38" s="49"/>
      <c r="BSL38" s="49"/>
      <c r="BSM38" s="49"/>
      <c r="BSN38" s="49"/>
      <c r="BSO38" s="49"/>
      <c r="BSP38" s="67"/>
      <c r="BSQ38" s="43"/>
      <c r="BSR38" s="48"/>
      <c r="BSS38" s="49"/>
      <c r="BST38" s="49"/>
      <c r="BSU38" s="49"/>
      <c r="BSV38" s="49"/>
      <c r="BSW38" s="49"/>
      <c r="BSX38" s="67"/>
      <c r="BSY38" s="43"/>
      <c r="BSZ38" s="48"/>
      <c r="BTA38" s="49"/>
      <c r="BTB38" s="49"/>
      <c r="BTC38" s="49"/>
      <c r="BTD38" s="49"/>
      <c r="BTE38" s="49"/>
      <c r="BTF38" s="67"/>
      <c r="BTG38" s="43"/>
      <c r="BTH38" s="48"/>
      <c r="BTI38" s="49"/>
      <c r="BTJ38" s="49"/>
      <c r="BTK38" s="49"/>
      <c r="BTL38" s="49"/>
      <c r="BTM38" s="49"/>
      <c r="BTN38" s="67"/>
      <c r="BTO38" s="68"/>
      <c r="BTP38" s="48"/>
      <c r="BTQ38" s="49"/>
      <c r="BTR38" s="49"/>
      <c r="BTS38" s="49"/>
      <c r="BTT38" s="49"/>
      <c r="BTU38" s="49"/>
      <c r="BTV38" s="67"/>
      <c r="BTW38" s="43"/>
      <c r="BTX38" s="48"/>
      <c r="BTY38" s="49"/>
      <c r="BTZ38" s="49"/>
      <c r="BUA38" s="49"/>
      <c r="BUB38" s="49"/>
      <c r="BUC38" s="49"/>
      <c r="BUD38" s="67"/>
      <c r="BUE38" s="68"/>
      <c r="BUF38" s="48"/>
      <c r="BUG38" s="49"/>
      <c r="BUH38" s="49"/>
      <c r="BUI38" s="49"/>
      <c r="BUJ38" s="49"/>
      <c r="BUK38" s="49"/>
      <c r="BUL38" s="67"/>
      <c r="BUM38" s="68"/>
      <c r="BUN38" s="48"/>
      <c r="BUO38" s="49"/>
      <c r="BUP38" s="49"/>
      <c r="BUQ38" s="49"/>
      <c r="BUR38" s="49"/>
      <c r="BUS38" s="49"/>
      <c r="BUT38" s="67"/>
      <c r="BUU38" s="68"/>
      <c r="BUV38" s="48"/>
      <c r="BUW38" s="49"/>
      <c r="BUX38" s="49"/>
      <c r="BUY38" s="49"/>
      <c r="BUZ38" s="49"/>
      <c r="BVA38" s="49"/>
      <c r="BVB38" s="67"/>
      <c r="BVC38" s="68"/>
      <c r="BVD38" s="48"/>
      <c r="BVE38" s="49"/>
      <c r="BVF38" s="49"/>
      <c r="BVG38" s="49"/>
      <c r="BVH38" s="49"/>
      <c r="BVI38" s="49"/>
      <c r="BVJ38" s="67"/>
      <c r="BVK38" s="68"/>
      <c r="BVL38" s="48"/>
      <c r="BVM38" s="49"/>
      <c r="BVN38" s="49"/>
      <c r="BVO38" s="49"/>
      <c r="BVP38" s="49"/>
      <c r="BVQ38" s="49"/>
      <c r="BVR38" s="67"/>
      <c r="BVS38" s="68"/>
      <c r="BVT38" s="48"/>
      <c r="BVU38" s="49"/>
      <c r="BVV38" s="49"/>
      <c r="BVW38" s="49"/>
      <c r="BVX38" s="49"/>
      <c r="BVY38" s="49"/>
      <c r="BVZ38" s="67"/>
      <c r="BWA38" s="68"/>
      <c r="BWB38" s="48"/>
      <c r="BWC38" s="49"/>
      <c r="BWD38" s="49"/>
      <c r="BWE38" s="49"/>
      <c r="BWF38" s="49"/>
      <c r="BWG38" s="49"/>
      <c r="BWH38" s="67"/>
      <c r="BWI38" s="68"/>
      <c r="BWJ38" s="48"/>
      <c r="BWK38" s="49"/>
      <c r="BWL38" s="49"/>
      <c r="BWM38" s="49"/>
      <c r="BWN38" s="49"/>
      <c r="BWO38" s="49"/>
      <c r="BWP38" s="67"/>
      <c r="BWQ38" s="68"/>
      <c r="BWR38" s="48"/>
      <c r="BWS38" s="49"/>
      <c r="BWT38" s="49"/>
      <c r="BWU38" s="49"/>
      <c r="BWV38" s="49"/>
      <c r="BWW38" s="49"/>
      <c r="BWX38" s="67"/>
      <c r="BWY38" s="68"/>
      <c r="BWZ38" s="48"/>
      <c r="BXA38" s="49"/>
      <c r="BXB38" s="49"/>
      <c r="BXC38" s="49"/>
      <c r="BXD38" s="49"/>
      <c r="BXE38" s="49"/>
      <c r="BXF38" s="67"/>
      <c r="BXG38" s="68"/>
      <c r="BXH38" s="48"/>
      <c r="BXI38" s="49"/>
      <c r="BXJ38" s="49"/>
      <c r="BXK38" s="49"/>
      <c r="BXL38" s="49"/>
      <c r="BXM38" s="49"/>
      <c r="BXN38" s="67"/>
      <c r="BXO38" s="68"/>
      <c r="BXP38" s="48"/>
      <c r="BXQ38" s="49"/>
      <c r="BXR38" s="49"/>
      <c r="BXS38" s="49"/>
      <c r="BXT38" s="49"/>
      <c r="BXU38" s="49"/>
      <c r="BXV38" s="67"/>
      <c r="BXW38" s="68"/>
      <c r="BXX38" s="48"/>
      <c r="BXY38" s="49"/>
      <c r="BXZ38" s="49"/>
      <c r="BYA38" s="49"/>
      <c r="BYB38" s="49"/>
      <c r="BYC38" s="49"/>
      <c r="BYD38" s="67"/>
      <c r="BYE38" s="68"/>
      <c r="BYF38" s="48"/>
      <c r="BYG38" s="49"/>
      <c r="BYH38" s="49"/>
      <c r="BYI38" s="49"/>
      <c r="BYJ38" s="49"/>
      <c r="BYK38" s="49"/>
      <c r="BYL38" s="67"/>
      <c r="BYM38" s="68"/>
      <c r="BYN38" s="48"/>
      <c r="BYO38" s="49"/>
      <c r="BYP38" s="49"/>
      <c r="BYQ38" s="49"/>
      <c r="BYR38" s="49"/>
      <c r="BYS38" s="49"/>
      <c r="BYT38" s="67"/>
      <c r="BYU38" s="68"/>
      <c r="BYV38" s="48"/>
      <c r="BYW38" s="49"/>
      <c r="BYX38" s="49"/>
      <c r="BYY38" s="49"/>
      <c r="BYZ38" s="49"/>
      <c r="BZA38" s="49"/>
      <c r="BZB38" s="67"/>
      <c r="BZC38" s="68"/>
      <c r="BZD38" s="48"/>
      <c r="BZE38" s="49"/>
      <c r="BZF38" s="49"/>
      <c r="BZG38" s="49"/>
      <c r="BZH38" s="49"/>
      <c r="BZI38" s="49"/>
      <c r="BZJ38" s="67"/>
      <c r="BZK38" s="68"/>
      <c r="BZL38" s="48"/>
      <c r="BZM38" s="49"/>
      <c r="BZN38" s="49"/>
      <c r="BZO38" s="49"/>
      <c r="BZP38" s="49"/>
      <c r="BZQ38" s="49"/>
      <c r="BZR38" s="67"/>
      <c r="BZS38" s="68"/>
      <c r="BZT38" s="48"/>
      <c r="BZU38" s="49"/>
      <c r="BZV38" s="49"/>
      <c r="BZW38" s="49"/>
      <c r="BZX38" s="49"/>
      <c r="BZY38" s="49"/>
      <c r="BZZ38" s="67"/>
      <c r="CAA38" s="68"/>
      <c r="CAB38" s="48"/>
      <c r="CAC38" s="49"/>
      <c r="CAD38" s="49"/>
      <c r="CAE38" s="49"/>
      <c r="CAF38" s="49"/>
      <c r="CAG38" s="49"/>
      <c r="CAH38" s="67"/>
      <c r="CAI38" s="68"/>
      <c r="CAJ38" s="48"/>
      <c r="CAK38" s="49"/>
      <c r="CAL38" s="49"/>
      <c r="CAM38" s="49"/>
      <c r="CAN38" s="49"/>
      <c r="CAO38" s="49"/>
      <c r="CAP38" s="67"/>
      <c r="CAQ38" s="68"/>
      <c r="CAR38" s="48"/>
      <c r="CAS38" s="49"/>
      <c r="CAT38" s="49"/>
      <c r="CAU38" s="49"/>
      <c r="CAV38" s="49"/>
      <c r="CAW38" s="49"/>
      <c r="CAX38" s="67"/>
      <c r="CAY38" s="68"/>
      <c r="CAZ38" s="48"/>
      <c r="CBA38" s="49"/>
      <c r="CBB38" s="49"/>
      <c r="CBC38" s="49"/>
      <c r="CBD38" s="49"/>
      <c r="CBE38" s="49"/>
      <c r="CBF38" s="67"/>
      <c r="CBG38" s="68"/>
      <c r="CBH38" s="48"/>
      <c r="CBI38" s="49"/>
      <c r="CBJ38" s="49"/>
      <c r="CBK38" s="49"/>
      <c r="CBL38" s="49"/>
      <c r="CBM38" s="49"/>
      <c r="CBN38" s="67"/>
      <c r="CBO38" s="68"/>
      <c r="CBP38" s="48"/>
      <c r="CBQ38" s="49"/>
      <c r="CBR38" s="49"/>
      <c r="CBS38" s="49"/>
      <c r="CBT38" s="49"/>
      <c r="CBU38" s="49"/>
      <c r="CBV38" s="67"/>
      <c r="CBW38" s="68"/>
      <c r="CBX38" s="48"/>
      <c r="CBY38" s="49"/>
      <c r="CBZ38" s="49"/>
      <c r="CCA38" s="49"/>
      <c r="CCB38" s="49"/>
      <c r="CCC38" s="49"/>
      <c r="CCD38" s="67"/>
      <c r="CCE38" s="68"/>
      <c r="CCF38" s="48"/>
      <c r="CCG38" s="49"/>
      <c r="CCH38" s="49"/>
      <c r="CCI38" s="49"/>
      <c r="CCJ38" s="49"/>
      <c r="CCK38" s="49"/>
      <c r="CCL38" s="67"/>
      <c r="CCM38" s="68"/>
      <c r="CCN38" s="48"/>
      <c r="CCO38" s="49"/>
      <c r="CCP38" s="49"/>
      <c r="CCQ38" s="49"/>
      <c r="CCR38" s="49"/>
      <c r="CCS38" s="49"/>
      <c r="CCT38" s="67"/>
      <c r="CCU38" s="68"/>
      <c r="CCV38" s="48"/>
      <c r="CCW38" s="49"/>
      <c r="CCX38" s="49"/>
      <c r="CCY38" s="49"/>
      <c r="CCZ38" s="49"/>
      <c r="CDA38" s="49"/>
      <c r="CDB38" s="67"/>
      <c r="CDC38" s="68"/>
      <c r="CDD38" s="48"/>
      <c r="CDE38" s="49"/>
      <c r="CDF38" s="49"/>
      <c r="CDG38" s="49"/>
      <c r="CDH38" s="49"/>
      <c r="CDI38" s="49"/>
      <c r="CDJ38" s="67"/>
      <c r="CDK38" s="68"/>
      <c r="CDL38" s="48"/>
      <c r="CDM38" s="49"/>
      <c r="CDN38" s="49"/>
      <c r="CDO38" s="49"/>
      <c r="CDP38" s="49"/>
      <c r="CDQ38" s="49"/>
      <c r="CDR38" s="67"/>
      <c r="CDS38" s="68"/>
      <c r="CDT38" s="48"/>
      <c r="CDU38" s="49"/>
      <c r="CDV38" s="49"/>
      <c r="CDW38" s="49"/>
      <c r="CDX38" s="49"/>
      <c r="CDY38" s="49"/>
      <c r="CDZ38" s="67"/>
      <c r="CEA38" s="68"/>
      <c r="CEB38" s="48"/>
      <c r="CEC38" s="49"/>
      <c r="CED38" s="49"/>
      <c r="CEE38" s="49"/>
      <c r="CEF38" s="49"/>
      <c r="CEG38" s="49"/>
      <c r="CEH38" s="67"/>
      <c r="CEI38" s="68"/>
      <c r="CEJ38" s="48"/>
      <c r="CEK38" s="49"/>
      <c r="CEL38" s="49"/>
      <c r="CEM38" s="49"/>
      <c r="CEN38" s="49"/>
      <c r="CEO38" s="49"/>
      <c r="CEP38" s="67"/>
      <c r="CEQ38" s="68"/>
      <c r="CER38" s="48"/>
      <c r="CES38" s="49"/>
      <c r="CET38" s="49"/>
      <c r="CEU38" s="49"/>
      <c r="CEV38" s="49"/>
      <c r="CEW38" s="49"/>
      <c r="CEX38" s="67"/>
      <c r="CEY38" s="68"/>
      <c r="CEZ38" s="48"/>
      <c r="CFA38" s="49"/>
      <c r="CFB38" s="49"/>
      <c r="CFC38" s="49"/>
      <c r="CFD38" s="49"/>
      <c r="CFE38" s="49"/>
      <c r="CFF38" s="67"/>
      <c r="CFG38" s="68"/>
      <c r="CFH38" s="48"/>
      <c r="CFI38" s="49"/>
      <c r="CFJ38" s="49"/>
      <c r="CFK38" s="49"/>
      <c r="CFL38" s="49"/>
      <c r="CFM38" s="49"/>
      <c r="CFN38" s="67">
        <f t="shared" si="1645"/>
        <v>0</v>
      </c>
      <c r="CFO38" s="68">
        <f t="shared" si="1646"/>
        <v>0</v>
      </c>
      <c r="CFP38" s="48"/>
      <c r="CFQ38" s="49"/>
      <c r="CFR38" s="49"/>
      <c r="CFS38" s="49"/>
      <c r="CFT38" s="49"/>
      <c r="CFU38" s="49"/>
      <c r="CFV38" s="67">
        <f t="shared" si="1647"/>
        <v>0</v>
      </c>
      <c r="CFW38" s="68">
        <f t="shared" si="1648"/>
        <v>0</v>
      </c>
      <c r="CFX38" s="48"/>
      <c r="CFY38" s="49"/>
      <c r="CFZ38" s="49"/>
      <c r="CGA38" s="49"/>
      <c r="CGB38" s="49"/>
      <c r="CGC38" s="49"/>
      <c r="CGD38" s="67">
        <f t="shared" si="1649"/>
        <v>0</v>
      </c>
      <c r="CGE38" s="68">
        <f t="shared" si="1650"/>
        <v>0</v>
      </c>
      <c r="CGF38" s="48"/>
      <c r="CGG38" s="49"/>
      <c r="CGH38" s="49"/>
      <c r="CGI38" s="49"/>
      <c r="CGJ38" s="49"/>
      <c r="CGK38" s="49"/>
      <c r="CGL38" s="67">
        <f t="shared" si="1651"/>
        <v>0</v>
      </c>
      <c r="CGM38" s="68">
        <f t="shared" si="1652"/>
        <v>0</v>
      </c>
      <c r="CGN38" s="48"/>
      <c r="CGO38" s="49"/>
      <c r="CGP38" s="49"/>
      <c r="CGQ38" s="49"/>
      <c r="CGR38" s="49"/>
      <c r="CGS38" s="49"/>
      <c r="CGT38" s="67">
        <f t="shared" si="1653"/>
        <v>0</v>
      </c>
      <c r="CGU38" s="68">
        <f t="shared" si="1654"/>
        <v>0</v>
      </c>
      <c r="CGV38" s="48"/>
      <c r="CGW38" s="49"/>
      <c r="CGX38" s="49"/>
      <c r="CGY38" s="49"/>
      <c r="CGZ38" s="49"/>
      <c r="CHA38" s="49"/>
      <c r="CHB38" s="67">
        <f t="shared" si="1655"/>
        <v>0</v>
      </c>
      <c r="CHC38" s="68">
        <f t="shared" si="1656"/>
        <v>0</v>
      </c>
      <c r="CHD38" s="48">
        <v>496</v>
      </c>
      <c r="CHE38" s="49"/>
      <c r="CHF38" s="49"/>
      <c r="CHG38" s="49"/>
      <c r="CHH38" s="49"/>
      <c r="CHI38" s="49"/>
      <c r="CHJ38" s="67">
        <f t="shared" si="1657"/>
        <v>496</v>
      </c>
      <c r="CHK38" s="68">
        <f t="shared" si="1658"/>
        <v>82.666666666666671</v>
      </c>
      <c r="CHL38" s="48"/>
      <c r="CHM38" s="49"/>
      <c r="CHN38" s="49"/>
      <c r="CHO38" s="49"/>
      <c r="CHP38" s="49">
        <v>1455</v>
      </c>
      <c r="CHQ38" s="49"/>
      <c r="CHR38" s="67">
        <f t="shared" si="1659"/>
        <v>1455</v>
      </c>
      <c r="CHS38" s="68">
        <f t="shared" si="1660"/>
        <v>242.5</v>
      </c>
      <c r="CHT38" s="48"/>
      <c r="CHU38" s="49"/>
      <c r="CHV38" s="49"/>
      <c r="CHW38" s="49">
        <v>896</v>
      </c>
      <c r="CHX38" s="49"/>
      <c r="CHY38" s="49"/>
      <c r="CHZ38" s="67">
        <f t="shared" si="1661"/>
        <v>896</v>
      </c>
      <c r="CIA38" s="68">
        <f t="shared" si="1662"/>
        <v>149.33333333333334</v>
      </c>
      <c r="CIB38" s="48"/>
      <c r="CIC38" s="49">
        <v>1777</v>
      </c>
      <c r="CID38" s="49"/>
      <c r="CIE38" s="49">
        <v>1290</v>
      </c>
      <c r="CIF38" s="49"/>
      <c r="CIG38" s="49"/>
      <c r="CIH38" s="67">
        <f t="shared" si="1663"/>
        <v>3067</v>
      </c>
      <c r="CII38" s="68">
        <f t="shared" si="1664"/>
        <v>511.16666666666669</v>
      </c>
      <c r="CIJ38" s="48"/>
      <c r="CIK38" s="49"/>
      <c r="CIL38" s="49"/>
      <c r="CIM38" s="49"/>
      <c r="CIN38" s="49"/>
      <c r="CIO38" s="49">
        <v>503</v>
      </c>
      <c r="CIP38" s="67">
        <f t="shared" si="1665"/>
        <v>503</v>
      </c>
      <c r="CIQ38" s="68">
        <f t="shared" si="1666"/>
        <v>83.833333333333329</v>
      </c>
      <c r="CIR38" s="48"/>
      <c r="CIS38" s="49"/>
      <c r="CIT38" s="49"/>
      <c r="CIU38" s="49"/>
      <c r="CIV38" s="49"/>
      <c r="CIW38" s="49"/>
      <c r="CIX38" s="67">
        <f t="shared" si="1667"/>
        <v>0</v>
      </c>
      <c r="CIY38" s="68">
        <f t="shared" si="1668"/>
        <v>0</v>
      </c>
      <c r="CIZ38" s="63"/>
      <c r="CJA38" s="64"/>
      <c r="CJB38" s="64">
        <v>818</v>
      </c>
      <c r="CJC38" s="64"/>
      <c r="CJD38" s="64"/>
      <c r="CJE38" s="64">
        <v>4</v>
      </c>
      <c r="CJF38" s="67">
        <f t="shared" si="1669"/>
        <v>822</v>
      </c>
      <c r="CJG38" s="68">
        <f t="shared" si="1670"/>
        <v>137</v>
      </c>
      <c r="CJH38" s="48"/>
      <c r="CJI38" s="49">
        <v>1502</v>
      </c>
      <c r="CJJ38" s="49"/>
      <c r="CJK38" s="49">
        <v>1625</v>
      </c>
      <c r="CJL38" s="49"/>
      <c r="CJM38" s="49"/>
      <c r="CJN38" s="67">
        <f t="shared" si="1671"/>
        <v>3127</v>
      </c>
      <c r="CJO38" s="184">
        <f t="shared" si="1672"/>
        <v>521.16666666666663</v>
      </c>
      <c r="CJP38" s="48"/>
      <c r="CJQ38" s="49">
        <v>659</v>
      </c>
      <c r="CJR38" s="49"/>
      <c r="CJS38" s="49">
        <v>998</v>
      </c>
      <c r="CJT38" s="49"/>
      <c r="CJU38" s="49"/>
      <c r="CJV38" s="67">
        <f t="shared" si="1673"/>
        <v>1657</v>
      </c>
      <c r="CJW38" s="68">
        <f t="shared" si="1674"/>
        <v>276.16666666666669</v>
      </c>
      <c r="CJX38" s="48"/>
      <c r="CJY38" s="49"/>
      <c r="CJZ38" s="49"/>
      <c r="CKA38" s="49">
        <v>1591</v>
      </c>
      <c r="CKB38" s="49"/>
      <c r="CKC38" s="49"/>
      <c r="CKD38" s="67">
        <f t="shared" si="2412"/>
        <v>1591</v>
      </c>
      <c r="CKE38" s="68">
        <f t="shared" si="1675"/>
        <v>265.16666666666669</v>
      </c>
      <c r="CKF38" s="48"/>
      <c r="CKG38" s="49"/>
      <c r="CKH38" s="49"/>
      <c r="CKI38" s="49"/>
      <c r="CKJ38" s="49"/>
      <c r="CKK38" s="49">
        <v>1315</v>
      </c>
      <c r="CKL38" s="67">
        <f t="shared" si="1676"/>
        <v>1315</v>
      </c>
      <c r="CKM38" s="68">
        <f t="shared" si="1677"/>
        <v>219.16666666666666</v>
      </c>
      <c r="CKN38" s="48"/>
      <c r="CKO38" s="49">
        <v>1662</v>
      </c>
      <c r="CKP38" s="49"/>
      <c r="CKQ38" s="49"/>
      <c r="CKR38" s="49"/>
      <c r="CKS38" s="47"/>
      <c r="CKT38" s="67">
        <f t="shared" si="1678"/>
        <v>1662</v>
      </c>
      <c r="CKU38" s="68">
        <f t="shared" si="1679"/>
        <v>277</v>
      </c>
      <c r="CKV38" s="48">
        <v>49</v>
      </c>
      <c r="CKW38" s="49">
        <v>2298</v>
      </c>
      <c r="CKX38" s="49"/>
      <c r="CKY38" s="49"/>
      <c r="CKZ38" s="49"/>
      <c r="CLA38" s="49"/>
      <c r="CLB38" s="67">
        <f t="shared" si="1680"/>
        <v>2347</v>
      </c>
      <c r="CLC38" s="68">
        <f t="shared" si="1681"/>
        <v>391.16666666666669</v>
      </c>
      <c r="CLD38" s="48"/>
      <c r="CLE38" s="49"/>
      <c r="CLF38" s="49"/>
      <c r="CLG38" s="49"/>
      <c r="CLH38" s="49"/>
      <c r="CLI38" s="49"/>
      <c r="CLJ38" s="67">
        <f t="shared" si="1682"/>
        <v>0</v>
      </c>
      <c r="CLK38" s="68">
        <f t="shared" si="1683"/>
        <v>0</v>
      </c>
      <c r="CLL38" s="48"/>
      <c r="CLM38" s="49"/>
      <c r="CLN38" s="49"/>
      <c r="CLO38" s="49">
        <v>666</v>
      </c>
      <c r="CLP38" s="49"/>
      <c r="CLQ38" s="49">
        <v>110</v>
      </c>
      <c r="CLR38" s="67">
        <f t="shared" si="1684"/>
        <v>776</v>
      </c>
      <c r="CLS38" s="68">
        <f t="shared" si="1685"/>
        <v>129.33333333333334</v>
      </c>
      <c r="CLT38" s="48"/>
      <c r="CLU38" s="49"/>
      <c r="CLV38" s="49"/>
      <c r="CLW38" s="49">
        <v>1302</v>
      </c>
      <c r="CLX38" s="49"/>
      <c r="CLY38" s="49"/>
      <c r="CLZ38" s="67">
        <f t="shared" si="1686"/>
        <v>1302</v>
      </c>
      <c r="CMA38" s="68">
        <f t="shared" si="1687"/>
        <v>217</v>
      </c>
      <c r="CMB38" s="48"/>
      <c r="CMC38" s="49"/>
      <c r="CMD38" s="49">
        <v>1312</v>
      </c>
      <c r="CME38" s="49"/>
      <c r="CMF38" s="49">
        <v>441</v>
      </c>
      <c r="CMG38" s="49"/>
      <c r="CMH38" s="67">
        <f t="shared" si="1688"/>
        <v>1753</v>
      </c>
      <c r="CMI38" s="68">
        <f t="shared" si="1689"/>
        <v>292.16666666666669</v>
      </c>
      <c r="CMJ38" s="48">
        <v>786</v>
      </c>
      <c r="CMK38" s="49"/>
      <c r="CML38" s="49"/>
      <c r="CMM38" s="49">
        <v>1201</v>
      </c>
      <c r="CMN38" s="49"/>
      <c r="CMO38" s="49"/>
      <c r="CMP38" s="67">
        <f t="shared" si="1690"/>
        <v>1987</v>
      </c>
      <c r="CMQ38" s="68">
        <f t="shared" si="1691"/>
        <v>331.16666666666669</v>
      </c>
      <c r="CMR38" s="48"/>
      <c r="CMS38" s="49"/>
      <c r="CMT38" s="49"/>
      <c r="CMU38" s="49">
        <v>1307</v>
      </c>
      <c r="CMV38" s="49"/>
      <c r="CMW38" s="49"/>
      <c r="CMX38" s="67">
        <f t="shared" si="1692"/>
        <v>1307</v>
      </c>
      <c r="CMY38" s="68">
        <f t="shared" si="1693"/>
        <v>217.83333333333334</v>
      </c>
      <c r="CMZ38" s="48">
        <v>440</v>
      </c>
      <c r="CNA38" s="49"/>
      <c r="CNB38" s="49"/>
      <c r="CNC38" s="49">
        <v>987</v>
      </c>
      <c r="CND38" s="49"/>
      <c r="CNE38" s="49"/>
      <c r="CNF38" s="67">
        <f t="shared" si="1694"/>
        <v>1427</v>
      </c>
      <c r="CNG38" s="68">
        <f t="shared" si="1695"/>
        <v>237.83333333333334</v>
      </c>
      <c r="CNH38" s="48"/>
      <c r="CNI38" s="49">
        <v>440</v>
      </c>
      <c r="CNJ38" s="49"/>
      <c r="CNK38" s="49"/>
      <c r="CNL38" s="49">
        <v>1818</v>
      </c>
      <c r="CNM38" s="49"/>
      <c r="CNN38" s="67">
        <f t="shared" si="1696"/>
        <v>2258</v>
      </c>
      <c r="CNO38" s="68">
        <f t="shared" si="1697"/>
        <v>376.33333333333331</v>
      </c>
      <c r="CNP38" s="48"/>
      <c r="CNQ38" s="49">
        <v>442</v>
      </c>
      <c r="CNR38" s="49"/>
      <c r="CNS38" s="49"/>
      <c r="CNT38" s="49"/>
      <c r="CNU38" s="49">
        <v>1994</v>
      </c>
      <c r="CNV38" s="67">
        <f t="shared" si="1698"/>
        <v>2436</v>
      </c>
      <c r="CNW38" s="68">
        <f t="shared" si="1699"/>
        <v>406</v>
      </c>
      <c r="CNX38" s="48"/>
      <c r="CNY38" s="49"/>
      <c r="CNZ38" s="49">
        <v>863</v>
      </c>
      <c r="COA38" s="49"/>
      <c r="COB38" s="49"/>
      <c r="COC38" s="49"/>
      <c r="COD38" s="67">
        <f t="shared" si="1700"/>
        <v>863</v>
      </c>
      <c r="COE38" s="68">
        <f t="shared" si="1701"/>
        <v>143.83333333333334</v>
      </c>
      <c r="COF38" s="48"/>
      <c r="COG38" s="49"/>
      <c r="COH38" s="49"/>
      <c r="COI38" s="49">
        <v>1837</v>
      </c>
      <c r="COJ38" s="49"/>
      <c r="COK38" s="49"/>
      <c r="COL38" s="67">
        <f t="shared" si="1702"/>
        <v>1837</v>
      </c>
      <c r="COM38" s="68">
        <f t="shared" si="1703"/>
        <v>306.16666666666669</v>
      </c>
      <c r="CON38" s="48"/>
      <c r="COO38" s="49"/>
      <c r="COP38" s="49">
        <v>432</v>
      </c>
      <c r="COQ38" s="49">
        <v>1035</v>
      </c>
      <c r="COR38" s="49"/>
      <c r="COS38" s="49"/>
      <c r="COT38" s="67">
        <f t="shared" si="1704"/>
        <v>1467</v>
      </c>
      <c r="COU38" s="68">
        <f t="shared" si="1705"/>
        <v>244.5</v>
      </c>
      <c r="COV38" s="48">
        <v>801</v>
      </c>
      <c r="COW38" s="49"/>
      <c r="COX38" s="49"/>
      <c r="COY38" s="49">
        <v>220</v>
      </c>
      <c r="COZ38" s="49"/>
      <c r="CPA38" s="49">
        <v>0</v>
      </c>
      <c r="CPB38" s="67">
        <f t="shared" si="1706"/>
        <v>1021</v>
      </c>
      <c r="CPC38" s="68">
        <f t="shared" si="1707"/>
        <v>170.16666666666666</v>
      </c>
      <c r="CPD38" s="48"/>
      <c r="CPE38" s="49">
        <v>1407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08"/>
        <v>1407</v>
      </c>
      <c r="CPK38" s="68">
        <f t="shared" si="1709"/>
        <v>234.5</v>
      </c>
      <c r="CPL38" s="48"/>
      <c r="CPM38" s="49">
        <v>0</v>
      </c>
      <c r="CPN38" s="49">
        <v>1370</v>
      </c>
      <c r="CPO38" s="49"/>
      <c r="CPP38" s="49">
        <v>0</v>
      </c>
      <c r="CPQ38" s="49"/>
      <c r="CPR38" s="67">
        <f t="shared" si="1710"/>
        <v>1370</v>
      </c>
      <c r="CPS38" s="68">
        <f t="shared" si="1711"/>
        <v>228.33333333333334</v>
      </c>
      <c r="CPT38" s="48">
        <v>0</v>
      </c>
      <c r="CPU38" s="49">
        <v>1140</v>
      </c>
      <c r="CPV38" s="49">
        <v>0</v>
      </c>
      <c r="CPW38" s="49"/>
      <c r="CPX38" s="49">
        <v>0</v>
      </c>
      <c r="CPY38" s="49">
        <v>0</v>
      </c>
      <c r="CPZ38" s="67">
        <f t="shared" si="1712"/>
        <v>1140</v>
      </c>
      <c r="CQA38" s="68">
        <f t="shared" si="1713"/>
        <v>190</v>
      </c>
      <c r="CQB38" s="48">
        <v>440</v>
      </c>
      <c r="CQC38" s="49">
        <v>117</v>
      </c>
      <c r="CQD38" s="49">
        <v>59</v>
      </c>
      <c r="CQE38" s="49">
        <v>0</v>
      </c>
      <c r="CQF38" s="49">
        <v>770</v>
      </c>
      <c r="CQG38" s="49">
        <v>251</v>
      </c>
      <c r="CQH38" s="67">
        <f t="shared" si="1714"/>
        <v>1637</v>
      </c>
      <c r="CQI38" s="68">
        <f t="shared" si="1715"/>
        <v>272.83333333333331</v>
      </c>
      <c r="CQJ38" s="82">
        <v>0</v>
      </c>
      <c r="CQK38" s="83">
        <v>0</v>
      </c>
      <c r="CQL38" s="83">
        <v>0</v>
      </c>
      <c r="CQM38" s="83">
        <v>996</v>
      </c>
      <c r="CQN38" s="83"/>
      <c r="CQO38" s="83"/>
      <c r="CQP38" s="67">
        <f t="shared" si="1716"/>
        <v>996</v>
      </c>
      <c r="CQQ38" s="68">
        <f t="shared" si="1717"/>
        <v>166</v>
      </c>
      <c r="CQR38" s="239"/>
      <c r="CQS38" s="1">
        <v>0</v>
      </c>
      <c r="CQT38" s="1">
        <v>0</v>
      </c>
      <c r="CQU38" s="1">
        <v>0</v>
      </c>
      <c r="CQV38" s="1">
        <v>0</v>
      </c>
      <c r="CQW38" s="1"/>
      <c r="CQX38" s="67">
        <f t="shared" si="1718"/>
        <v>0</v>
      </c>
      <c r="CQY38" s="68">
        <f t="shared" si="1719"/>
        <v>0</v>
      </c>
      <c r="CQZ38" s="48">
        <v>660</v>
      </c>
      <c r="CRA38" s="49"/>
      <c r="CRB38" s="49">
        <v>0</v>
      </c>
      <c r="CRC38" s="49">
        <v>0</v>
      </c>
      <c r="CRD38" s="49">
        <v>0</v>
      </c>
      <c r="CRE38" s="49">
        <v>0</v>
      </c>
      <c r="CRF38" s="67">
        <f t="shared" si="1720"/>
        <v>660</v>
      </c>
      <c r="CRG38" s="68">
        <f t="shared" si="1721"/>
        <v>110</v>
      </c>
      <c r="CRH38" s="48">
        <v>451</v>
      </c>
      <c r="CRI38" s="49">
        <v>441</v>
      </c>
      <c r="CRJ38" s="49">
        <v>0</v>
      </c>
      <c r="CRK38" s="49">
        <v>0</v>
      </c>
      <c r="CRL38" s="49">
        <v>0</v>
      </c>
      <c r="CRM38" s="49">
        <v>0</v>
      </c>
      <c r="CRN38" s="67">
        <f t="shared" si="1722"/>
        <v>892</v>
      </c>
      <c r="CRO38" s="68">
        <f t="shared" si="1723"/>
        <v>148.66666666666666</v>
      </c>
      <c r="CRP38" s="48"/>
      <c r="CRQ38" s="49">
        <v>0</v>
      </c>
      <c r="CRR38" s="49">
        <v>3</v>
      </c>
      <c r="CRS38" s="49">
        <v>0</v>
      </c>
      <c r="CRT38" s="49">
        <v>693</v>
      </c>
      <c r="CRU38" s="49">
        <v>382</v>
      </c>
      <c r="CRV38" s="47">
        <f t="shared" si="1724"/>
        <v>1078</v>
      </c>
      <c r="CRW38" s="68">
        <f t="shared" si="1725"/>
        <v>179.66666666666666</v>
      </c>
      <c r="CRX38" s="48">
        <v>0</v>
      </c>
      <c r="CRY38" s="49">
        <v>111</v>
      </c>
      <c r="CRZ38" s="49">
        <v>0</v>
      </c>
      <c r="CSA38" s="49">
        <v>0</v>
      </c>
      <c r="CSB38" s="49">
        <v>0</v>
      </c>
      <c r="CSC38" s="49">
        <v>0</v>
      </c>
      <c r="CSD38" s="67">
        <f t="shared" si="1726"/>
        <v>111</v>
      </c>
      <c r="CSE38" s="68">
        <f t="shared" si="1727"/>
        <v>18.5</v>
      </c>
      <c r="CSF38" s="48">
        <v>0</v>
      </c>
      <c r="CSG38" s="49">
        <v>219</v>
      </c>
      <c r="CSH38" s="49">
        <v>0</v>
      </c>
      <c r="CSI38" s="49">
        <v>550</v>
      </c>
      <c r="CSJ38" s="49">
        <v>101</v>
      </c>
      <c r="CSK38" s="360">
        <f>SUMIF(SUMPK!$B:$B,$B:$B,SUMPK!$O:$O)</f>
        <v>0</v>
      </c>
      <c r="CSL38" s="64">
        <f t="shared" si="1728"/>
        <v>870</v>
      </c>
      <c r="CSM38" s="68">
        <f t="shared" si="1729"/>
        <v>145</v>
      </c>
      <c r="CSN38" s="48">
        <v>0</v>
      </c>
      <c r="CSO38" s="49">
        <v>0</v>
      </c>
      <c r="CSP38" s="49">
        <v>0</v>
      </c>
      <c r="CSQ38" s="49"/>
      <c r="CSR38" s="49">
        <v>399</v>
      </c>
      <c r="CSS38" s="49">
        <v>0</v>
      </c>
      <c r="CST38" s="64">
        <f t="shared" si="1730"/>
        <v>399</v>
      </c>
      <c r="CSU38" s="68">
        <f t="shared" si="1731"/>
        <v>66.5</v>
      </c>
      <c r="CSV38" s="48">
        <v>0</v>
      </c>
      <c r="CSW38" s="49">
        <v>1631</v>
      </c>
      <c r="CSX38" s="49">
        <v>0</v>
      </c>
      <c r="CSY38" s="49">
        <v>0</v>
      </c>
      <c r="CSZ38" s="49">
        <v>0</v>
      </c>
      <c r="CTA38" s="49">
        <v>674</v>
      </c>
      <c r="CTB38" s="64">
        <f t="shared" si="1732"/>
        <v>2305</v>
      </c>
      <c r="CTC38" s="68">
        <f t="shared" si="1733"/>
        <v>384.16666666666669</v>
      </c>
      <c r="CTD38" s="48">
        <v>0</v>
      </c>
      <c r="CTE38" s="49">
        <v>0</v>
      </c>
      <c r="CTF38" s="49">
        <v>220</v>
      </c>
      <c r="CTG38" s="49">
        <v>0</v>
      </c>
      <c r="CTH38" s="49"/>
      <c r="CTI38" s="49"/>
      <c r="CTJ38" s="64">
        <f t="shared" si="1734"/>
        <v>220</v>
      </c>
      <c r="CTK38" s="68">
        <f t="shared" si="1735"/>
        <v>36.666666666666664</v>
      </c>
      <c r="CTL38" s="48">
        <v>0</v>
      </c>
      <c r="CTM38" s="49">
        <v>0</v>
      </c>
      <c r="CTN38" s="49"/>
      <c r="CTO38" s="49"/>
      <c r="CTP38" s="49">
        <v>218</v>
      </c>
      <c r="CTQ38" s="49"/>
      <c r="CTR38" s="64">
        <f t="shared" si="1736"/>
        <v>218</v>
      </c>
      <c r="CTS38" s="68">
        <f t="shared" si="1737"/>
        <v>36.333333333333336</v>
      </c>
      <c r="CTT38" s="48"/>
      <c r="CTU38" s="49">
        <v>0</v>
      </c>
      <c r="CTV38" s="49">
        <v>475</v>
      </c>
      <c r="CTW38" s="49"/>
      <c r="CTX38" s="49"/>
      <c r="CTY38" s="49">
        <v>1019</v>
      </c>
      <c r="CTZ38" s="64">
        <f t="shared" si="1738"/>
        <v>1494</v>
      </c>
      <c r="CUA38" s="68">
        <f t="shared" si="1739"/>
        <v>249</v>
      </c>
      <c r="CUB38" s="48"/>
      <c r="CUC38" s="49"/>
      <c r="CUD38" s="49">
        <v>220</v>
      </c>
      <c r="CUE38" s="49"/>
      <c r="CUF38" s="49"/>
      <c r="CUG38" s="49"/>
      <c r="CUH38" s="64">
        <f t="shared" si="1740"/>
        <v>220</v>
      </c>
      <c r="CUI38" s="68">
        <f t="shared" si="1741"/>
        <v>36.666666666666664</v>
      </c>
      <c r="CUJ38" s="48"/>
      <c r="CUK38" s="49"/>
      <c r="CUL38" s="49">
        <f>242+744</f>
        <v>986</v>
      </c>
      <c r="CUM38" s="49">
        <v>0</v>
      </c>
      <c r="CUN38" s="49">
        <v>0</v>
      </c>
      <c r="CUO38" s="49">
        <v>0</v>
      </c>
      <c r="CUP38" s="64">
        <f t="shared" si="1742"/>
        <v>986</v>
      </c>
      <c r="CUQ38" s="68">
        <f t="shared" si="1743"/>
        <v>164.33333333333334</v>
      </c>
      <c r="CUR38" s="48">
        <v>0</v>
      </c>
      <c r="CUS38" s="49"/>
      <c r="CUT38" s="49"/>
      <c r="CUU38" s="49">
        <v>220</v>
      </c>
      <c r="CUV38" s="49">
        <v>0</v>
      </c>
      <c r="CUW38" s="49">
        <v>0</v>
      </c>
      <c r="CUX38" s="64">
        <f t="shared" si="1744"/>
        <v>220</v>
      </c>
      <c r="CUY38" s="68">
        <f t="shared" si="1745"/>
        <v>36.666666666666664</v>
      </c>
      <c r="CUZ38" s="48">
        <v>0</v>
      </c>
      <c r="CVA38" s="49">
        <v>0</v>
      </c>
      <c r="CVB38" s="49"/>
      <c r="CVC38" s="49">
        <v>0</v>
      </c>
      <c r="CVD38" s="49">
        <v>0</v>
      </c>
      <c r="CVE38" s="49">
        <v>329</v>
      </c>
      <c r="CVF38" s="64">
        <f t="shared" si="1746"/>
        <v>329</v>
      </c>
      <c r="CVG38" s="68">
        <f t="shared" si="1747"/>
        <v>54.833333333333336</v>
      </c>
      <c r="CVH38" s="48">
        <v>0</v>
      </c>
      <c r="CVI38" s="49">
        <v>796</v>
      </c>
      <c r="CVJ38" s="49">
        <v>101</v>
      </c>
      <c r="CVK38" s="49">
        <v>69</v>
      </c>
      <c r="CVL38" s="49">
        <v>0</v>
      </c>
      <c r="CVM38" s="49"/>
      <c r="CVN38" s="64">
        <f t="shared" si="1748"/>
        <v>966</v>
      </c>
      <c r="CVO38" s="68">
        <f t="shared" si="1749"/>
        <v>161</v>
      </c>
      <c r="CVP38" s="48">
        <v>0</v>
      </c>
      <c r="CVQ38" s="49">
        <v>0</v>
      </c>
      <c r="CVR38" s="49">
        <v>0</v>
      </c>
      <c r="CVS38" s="49">
        <v>353</v>
      </c>
      <c r="CVT38" s="49">
        <v>0</v>
      </c>
      <c r="CVU38" s="49">
        <v>380</v>
      </c>
      <c r="CVV38" s="64">
        <f t="shared" si="1750"/>
        <v>733</v>
      </c>
      <c r="CVW38" s="68">
        <f t="shared" si="1751"/>
        <v>122.16666666666667</v>
      </c>
      <c r="CVX38" s="48">
        <v>500</v>
      </c>
      <c r="CVY38" s="49">
        <v>0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52"/>
        <v>500</v>
      </c>
      <c r="CWE38" s="68">
        <f t="shared" si="1753"/>
        <v>83.333333333333329</v>
      </c>
      <c r="CWF38" s="48">
        <v>0</v>
      </c>
      <c r="CWG38" s="49">
        <v>111</v>
      </c>
      <c r="CWH38" s="49">
        <v>0</v>
      </c>
      <c r="CWI38" s="49">
        <v>1364</v>
      </c>
      <c r="CWJ38" s="49">
        <v>0</v>
      </c>
      <c r="CWK38" s="49"/>
      <c r="CWL38" s="64">
        <f t="shared" si="1754"/>
        <v>1475</v>
      </c>
      <c r="CWM38" s="68">
        <f t="shared" si="1755"/>
        <v>245.83333333333334</v>
      </c>
      <c r="CWN38" s="48">
        <v>0</v>
      </c>
      <c r="CWO38" s="49">
        <v>0</v>
      </c>
      <c r="CWP38" s="49">
        <v>0</v>
      </c>
      <c r="CWQ38" s="49">
        <v>220</v>
      </c>
      <c r="CWR38" s="49">
        <v>0</v>
      </c>
      <c r="CWS38" s="49">
        <v>0</v>
      </c>
      <c r="CWT38" s="64">
        <f t="shared" si="1756"/>
        <v>220</v>
      </c>
      <c r="CWU38" s="68">
        <f t="shared" si="1757"/>
        <v>36.666666666666664</v>
      </c>
      <c r="CWV38" s="48">
        <v>1977</v>
      </c>
      <c r="CWW38" s="49">
        <v>0</v>
      </c>
      <c r="CWX38" s="49">
        <v>0</v>
      </c>
      <c r="CWY38" s="49"/>
      <c r="CWZ38" s="49">
        <v>0</v>
      </c>
      <c r="CXA38" s="49">
        <v>401</v>
      </c>
      <c r="CXB38" s="127">
        <f t="shared" si="1758"/>
        <v>2378</v>
      </c>
      <c r="CXC38" s="43">
        <f t="shared" si="1759"/>
        <v>396.33333333333331</v>
      </c>
      <c r="CXD38" s="48">
        <v>0</v>
      </c>
      <c r="CXE38" s="49">
        <v>322</v>
      </c>
      <c r="CXF38" s="49">
        <v>0</v>
      </c>
      <c r="CXG38" s="49">
        <v>0</v>
      </c>
      <c r="CXH38" s="49">
        <v>401</v>
      </c>
      <c r="CXI38" s="49">
        <v>0</v>
      </c>
      <c r="CXJ38" s="127">
        <f t="shared" si="1760"/>
        <v>723</v>
      </c>
      <c r="CXK38" s="43">
        <f t="shared" si="1761"/>
        <v>120.5</v>
      </c>
      <c r="CXL38" s="48">
        <v>0</v>
      </c>
      <c r="CXM38" s="49">
        <v>1036</v>
      </c>
      <c r="CXN38" s="49">
        <v>0</v>
      </c>
      <c r="CXO38" s="49">
        <v>0</v>
      </c>
      <c r="CXP38" s="49">
        <v>0</v>
      </c>
      <c r="CXQ38" s="49">
        <v>0</v>
      </c>
      <c r="CXR38" s="127">
        <f t="shared" si="1762"/>
        <v>1036</v>
      </c>
      <c r="CXS38" s="43">
        <f t="shared" si="1763"/>
        <v>172.66666666666666</v>
      </c>
      <c r="CXT38" s="48">
        <v>998</v>
      </c>
      <c r="CXU38" s="49">
        <v>0</v>
      </c>
      <c r="CXV38" s="49">
        <v>0</v>
      </c>
      <c r="CXW38" s="49"/>
      <c r="CXX38" s="49">
        <v>1610</v>
      </c>
      <c r="CXY38" s="49">
        <v>0</v>
      </c>
      <c r="CXZ38" s="127">
        <f t="shared" si="1764"/>
        <v>2608</v>
      </c>
      <c r="CYA38" s="43">
        <f t="shared" si="1765"/>
        <v>434.66666666666669</v>
      </c>
      <c r="CYB38" s="48">
        <v>999</v>
      </c>
      <c r="CYC38" s="49">
        <v>0</v>
      </c>
      <c r="CYD38" s="49">
        <v>0</v>
      </c>
      <c r="CYE38" s="49">
        <v>0</v>
      </c>
      <c r="CYF38" s="49">
        <v>0</v>
      </c>
      <c r="CYG38" s="49">
        <v>600</v>
      </c>
      <c r="CYH38" s="127">
        <f t="shared" si="1766"/>
        <v>1599</v>
      </c>
      <c r="CYI38" s="43">
        <f t="shared" si="1767"/>
        <v>266.5</v>
      </c>
      <c r="CYJ38" s="48"/>
      <c r="CYK38" s="49">
        <v>0</v>
      </c>
      <c r="CYL38" s="49">
        <v>0</v>
      </c>
      <c r="CYM38" s="49">
        <v>0</v>
      </c>
      <c r="CYN38" s="49">
        <v>0</v>
      </c>
      <c r="CYO38" s="49">
        <v>0</v>
      </c>
      <c r="CYP38" s="127">
        <f t="shared" si="1768"/>
        <v>0</v>
      </c>
      <c r="CYQ38" s="43">
        <f t="shared" si="1769"/>
        <v>0</v>
      </c>
      <c r="CYR38" s="48">
        <v>0</v>
      </c>
      <c r="CYS38" s="49">
        <v>0</v>
      </c>
      <c r="CYT38" s="49">
        <v>0</v>
      </c>
      <c r="CYU38" s="49">
        <v>0</v>
      </c>
      <c r="CYV38" s="49">
        <v>0</v>
      </c>
      <c r="CYW38" s="49">
        <v>220</v>
      </c>
      <c r="CYX38" s="127">
        <f t="shared" si="1770"/>
        <v>220</v>
      </c>
      <c r="CYY38" s="43">
        <f t="shared" si="1771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660</v>
      </c>
      <c r="CZE38" s="49">
        <v>0</v>
      </c>
      <c r="CZF38" s="127">
        <f t="shared" si="1772"/>
        <v>660</v>
      </c>
      <c r="CZG38" s="43">
        <f t="shared" si="1773"/>
        <v>132</v>
      </c>
      <c r="CZH38" s="48">
        <v>0</v>
      </c>
      <c r="CZI38" s="49">
        <v>0</v>
      </c>
      <c r="CZJ38" s="49">
        <v>2321</v>
      </c>
      <c r="CZK38" s="49">
        <v>0</v>
      </c>
      <c r="CZL38" s="49">
        <v>0</v>
      </c>
      <c r="CZM38" s="49">
        <v>0</v>
      </c>
      <c r="CZN38" s="127">
        <f t="shared" si="1774"/>
        <v>2321</v>
      </c>
      <c r="CZO38" s="43">
        <f t="shared" si="1775"/>
        <v>386.83333333333331</v>
      </c>
      <c r="CZP38" s="48"/>
      <c r="CZQ38" s="49">
        <v>0</v>
      </c>
      <c r="CZR38" s="49"/>
      <c r="CZS38" s="49">
        <v>800</v>
      </c>
      <c r="CZT38" s="49">
        <v>0</v>
      </c>
      <c r="CZU38" s="49">
        <v>0</v>
      </c>
      <c r="CZV38" s="127">
        <f t="shared" si="1776"/>
        <v>800</v>
      </c>
      <c r="CZW38" s="43">
        <f t="shared" si="1777"/>
        <v>133.33333333333334</v>
      </c>
      <c r="CZX38" s="48">
        <v>0</v>
      </c>
      <c r="CZY38" s="49">
        <v>0</v>
      </c>
      <c r="CZZ38" s="49">
        <v>0</v>
      </c>
      <c r="DAA38" s="49">
        <v>0</v>
      </c>
      <c r="DAB38" s="49"/>
      <c r="DAC38" s="49">
        <v>772</v>
      </c>
      <c r="DAD38" s="64">
        <f t="shared" si="1778"/>
        <v>772</v>
      </c>
      <c r="DAE38" s="68">
        <f t="shared" si="1779"/>
        <v>128.66666666666666</v>
      </c>
      <c r="DAF38" s="48">
        <v>0</v>
      </c>
      <c r="DAG38" s="49">
        <v>100</v>
      </c>
      <c r="DAH38" s="49">
        <v>0</v>
      </c>
      <c r="DAI38" s="49">
        <v>0</v>
      </c>
      <c r="DAJ38" s="49">
        <v>0</v>
      </c>
      <c r="DAK38" s="49">
        <v>0</v>
      </c>
      <c r="DAL38" s="64">
        <f t="shared" si="1780"/>
        <v>100</v>
      </c>
      <c r="DAM38" s="68">
        <f t="shared" si="1781"/>
        <v>16.666666666666668</v>
      </c>
      <c r="DAN38" s="48">
        <v>0</v>
      </c>
      <c r="DAO38" s="49">
        <v>0</v>
      </c>
      <c r="DAP38" s="49">
        <v>0</v>
      </c>
      <c r="DAQ38" s="49">
        <v>0</v>
      </c>
      <c r="DAR38" s="49">
        <v>0</v>
      </c>
      <c r="DAS38" s="49">
        <v>0</v>
      </c>
      <c r="DAT38" s="64">
        <f t="shared" si="1782"/>
        <v>0</v>
      </c>
      <c r="DAU38" s="68">
        <f t="shared" si="1783"/>
        <v>0</v>
      </c>
      <c r="DAV38" s="48"/>
      <c r="DAW38" s="49">
        <v>989</v>
      </c>
      <c r="DAX38" s="49">
        <v>0</v>
      </c>
      <c r="DAY38" s="49">
        <v>0</v>
      </c>
      <c r="DAZ38" s="49">
        <v>330</v>
      </c>
      <c r="DBA38" s="49">
        <v>0</v>
      </c>
      <c r="DBB38" s="64">
        <f t="shared" si="1784"/>
        <v>1319</v>
      </c>
      <c r="DBC38" s="68">
        <f t="shared" si="1785"/>
        <v>219.83333333333334</v>
      </c>
      <c r="DBD38" s="48"/>
      <c r="DBE38" s="49">
        <v>220</v>
      </c>
      <c r="DBF38" s="49">
        <v>0</v>
      </c>
      <c r="DBG38" s="49">
        <v>0</v>
      </c>
      <c r="DBH38" s="49">
        <v>0</v>
      </c>
      <c r="DBI38" s="49">
        <v>0</v>
      </c>
      <c r="DBJ38" s="64">
        <f t="shared" si="1786"/>
        <v>220</v>
      </c>
      <c r="DBK38" s="68">
        <f t="shared" si="1787"/>
        <v>36.666666666666664</v>
      </c>
      <c r="DBL38" s="48">
        <v>761</v>
      </c>
      <c r="DBM38" s="49">
        <v>0</v>
      </c>
      <c r="DBN38" s="49">
        <v>0</v>
      </c>
      <c r="DBO38" s="49">
        <v>967</v>
      </c>
      <c r="DBP38" s="49"/>
      <c r="DBQ38" s="49">
        <v>660</v>
      </c>
      <c r="DBR38" s="64">
        <f t="shared" si="1788"/>
        <v>2388</v>
      </c>
      <c r="DBS38" s="68">
        <f t="shared" si="1789"/>
        <v>398</v>
      </c>
      <c r="DBT38" s="48">
        <v>0</v>
      </c>
      <c r="DBU38" s="49"/>
      <c r="DBV38" s="49"/>
      <c r="DBW38" s="49">
        <v>398</v>
      </c>
      <c r="DBX38" s="49"/>
      <c r="DBY38" s="49">
        <v>0</v>
      </c>
      <c r="DBZ38" s="64">
        <f t="shared" si="1790"/>
        <v>398</v>
      </c>
      <c r="DCA38" s="68">
        <f t="shared" si="1791"/>
        <v>79.599999999999994</v>
      </c>
      <c r="DCB38" s="48">
        <v>602</v>
      </c>
      <c r="DCC38" s="49"/>
      <c r="DCD38" s="49">
        <v>440</v>
      </c>
      <c r="DCE38" s="49">
        <f>1182+44</f>
        <v>1226</v>
      </c>
      <c r="DCF38" s="49">
        <v>0</v>
      </c>
      <c r="DCG38" s="49">
        <v>220</v>
      </c>
      <c r="DCH38" s="64">
        <f t="shared" si="1792"/>
        <v>2488</v>
      </c>
      <c r="DCI38" s="68">
        <f t="shared" si="1793"/>
        <v>414.66666666666669</v>
      </c>
      <c r="DCJ38" s="48"/>
      <c r="DCK38" s="49">
        <v>0</v>
      </c>
      <c r="DCL38" s="49">
        <v>0</v>
      </c>
      <c r="DCM38" s="49">
        <v>0</v>
      </c>
      <c r="DCN38" s="49">
        <v>596</v>
      </c>
      <c r="DCO38" s="49">
        <v>480</v>
      </c>
      <c r="DCP38" s="64">
        <f t="shared" si="1794"/>
        <v>1076</v>
      </c>
      <c r="DCQ38" s="68">
        <f t="shared" si="1795"/>
        <v>179.33333333333334</v>
      </c>
      <c r="DCR38" s="48">
        <v>0</v>
      </c>
      <c r="DCS38" s="49">
        <v>221</v>
      </c>
      <c r="DCT38" s="49">
        <v>117</v>
      </c>
      <c r="DCU38" s="49">
        <v>0</v>
      </c>
      <c r="DCV38" s="49">
        <v>0</v>
      </c>
      <c r="DCW38" s="49">
        <v>0</v>
      </c>
      <c r="DCX38" s="64">
        <f t="shared" si="1796"/>
        <v>338</v>
      </c>
      <c r="DCY38" s="68">
        <f t="shared" si="1797"/>
        <v>56.333333333333336</v>
      </c>
      <c r="DCZ38" s="48">
        <v>0</v>
      </c>
      <c r="DDA38" s="49">
        <v>0</v>
      </c>
      <c r="DDB38" s="49">
        <v>0</v>
      </c>
      <c r="DDC38" s="49">
        <v>419</v>
      </c>
      <c r="DDD38" s="49">
        <v>0</v>
      </c>
      <c r="DDE38" s="49">
        <v>0</v>
      </c>
      <c r="DDF38" s="64">
        <f t="shared" si="1798"/>
        <v>419</v>
      </c>
      <c r="DDG38" s="68">
        <f t="shared" si="1799"/>
        <v>69.833333333333329</v>
      </c>
      <c r="DDH38" s="48">
        <v>0</v>
      </c>
      <c r="DDI38" s="49">
        <v>434</v>
      </c>
      <c r="DDJ38" s="49">
        <v>0</v>
      </c>
      <c r="DDK38" s="49">
        <v>0</v>
      </c>
      <c r="DDL38" s="49">
        <v>750</v>
      </c>
      <c r="DDM38" s="49">
        <v>0</v>
      </c>
      <c r="DDN38" s="127">
        <f t="shared" si="1800"/>
        <v>1184</v>
      </c>
      <c r="DDO38" s="43">
        <f t="shared" si="1801"/>
        <v>197.33333333333334</v>
      </c>
      <c r="DDP38" s="48">
        <v>0</v>
      </c>
      <c r="DDQ38" s="49">
        <v>540</v>
      </c>
      <c r="DDR38" s="49">
        <v>0</v>
      </c>
      <c r="DDS38" s="49">
        <v>0</v>
      </c>
      <c r="DDT38" s="49">
        <v>659</v>
      </c>
      <c r="DDU38" s="49"/>
      <c r="DDV38" s="127">
        <f t="shared" si="1802"/>
        <v>1199</v>
      </c>
      <c r="DDW38" s="43">
        <f t="shared" si="1803"/>
        <v>199.83333333333334</v>
      </c>
      <c r="DDX38" s="48">
        <v>0</v>
      </c>
      <c r="DDY38" s="49">
        <v>442</v>
      </c>
      <c r="DDZ38" s="49">
        <v>0</v>
      </c>
      <c r="DEA38" s="49">
        <v>684</v>
      </c>
      <c r="DEB38" s="49">
        <v>0</v>
      </c>
      <c r="DEC38" s="49">
        <v>0</v>
      </c>
      <c r="DED38" s="127">
        <f t="shared" si="1804"/>
        <v>1126</v>
      </c>
      <c r="DEE38" s="43">
        <f t="shared" si="1805"/>
        <v>187.66666666666666</v>
      </c>
      <c r="DEF38" s="48">
        <v>0</v>
      </c>
      <c r="DEG38" s="49"/>
      <c r="DEH38" s="49">
        <v>0</v>
      </c>
      <c r="DEI38" s="49">
        <v>220</v>
      </c>
      <c r="DEJ38" s="49">
        <v>0</v>
      </c>
      <c r="DEK38" s="49">
        <f>SUMIF(SUMPK!$B:$B,$B:$B,SUMPK!$O:$O)</f>
        <v>0</v>
      </c>
      <c r="DEL38" s="127">
        <f t="shared" si="1806"/>
        <v>220</v>
      </c>
      <c r="DEM38" s="43">
        <f t="shared" si="1807"/>
        <v>36.666666666666664</v>
      </c>
      <c r="DEN38" s="48">
        <v>961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08"/>
        <v>961</v>
      </c>
      <c r="DEU38" s="43">
        <f t="shared" si="1809"/>
        <v>160.16666666666666</v>
      </c>
      <c r="DEV38" s="48">
        <v>0</v>
      </c>
      <c r="DEW38" s="49">
        <v>0</v>
      </c>
      <c r="DEX38" s="49">
        <v>0</v>
      </c>
      <c r="DEY38" s="49">
        <v>228</v>
      </c>
      <c r="DEZ38" s="49">
        <v>0</v>
      </c>
      <c r="DFA38" s="49">
        <v>330</v>
      </c>
      <c r="DFB38" s="127">
        <f t="shared" si="1810"/>
        <v>558</v>
      </c>
      <c r="DFC38" s="43">
        <f t="shared" si="1811"/>
        <v>93</v>
      </c>
      <c r="DFD38" s="48"/>
      <c r="DFE38" s="49">
        <v>0</v>
      </c>
      <c r="DFF38" s="49">
        <v>966</v>
      </c>
      <c r="DFG38" s="49">
        <v>613</v>
      </c>
      <c r="DFH38" s="49">
        <v>0</v>
      </c>
      <c r="DFI38" s="49">
        <v>0</v>
      </c>
      <c r="DFJ38" s="127">
        <f t="shared" si="1812"/>
        <v>1579</v>
      </c>
      <c r="DFK38" s="43">
        <f t="shared" si="1813"/>
        <v>263.16666666666669</v>
      </c>
      <c r="DFL38" s="63">
        <v>0</v>
      </c>
      <c r="DFM38" s="64">
        <v>0</v>
      </c>
      <c r="DFN38" s="64">
        <v>0</v>
      </c>
      <c r="DFO38" s="64">
        <v>629</v>
      </c>
      <c r="DFP38" s="64">
        <v>0</v>
      </c>
      <c r="DFQ38" s="64">
        <v>192</v>
      </c>
      <c r="DFR38" s="64">
        <f t="shared" si="1814"/>
        <v>821</v>
      </c>
      <c r="DFS38" s="68">
        <f t="shared" si="1815"/>
        <v>136.83333333333334</v>
      </c>
      <c r="DFT38" s="48">
        <v>0</v>
      </c>
      <c r="DFU38" s="49">
        <v>0</v>
      </c>
      <c r="DFV38" s="49">
        <v>440</v>
      </c>
      <c r="DFW38" s="49">
        <v>0</v>
      </c>
      <c r="DFX38" s="49"/>
      <c r="DFY38" s="49">
        <v>0</v>
      </c>
      <c r="DFZ38" s="127">
        <f t="shared" si="1816"/>
        <v>440</v>
      </c>
      <c r="DGA38" s="43">
        <f t="shared" si="1817"/>
        <v>73.333333333333329</v>
      </c>
      <c r="DGB38" s="48">
        <v>113</v>
      </c>
      <c r="DGC38" s="49">
        <v>0</v>
      </c>
      <c r="DGD38" s="49">
        <v>638</v>
      </c>
      <c r="DGE38" s="49">
        <v>0</v>
      </c>
      <c r="DGF38" s="49">
        <v>0</v>
      </c>
      <c r="DGG38" s="49">
        <v>23</v>
      </c>
      <c r="DGH38" s="127">
        <f t="shared" si="1818"/>
        <v>774</v>
      </c>
      <c r="DGI38" s="43">
        <f t="shared" si="1819"/>
        <v>129</v>
      </c>
      <c r="DGJ38" s="48">
        <v>220</v>
      </c>
      <c r="DGK38" s="49">
        <v>0</v>
      </c>
      <c r="DGL38" s="49">
        <v>0</v>
      </c>
      <c r="DGM38" s="49">
        <v>443</v>
      </c>
      <c r="DGN38" s="49">
        <v>0</v>
      </c>
      <c r="DGO38" s="49">
        <v>0</v>
      </c>
      <c r="DGP38" s="64">
        <f t="shared" si="1820"/>
        <v>663</v>
      </c>
      <c r="DGQ38" s="68">
        <f t="shared" si="1821"/>
        <v>110.5</v>
      </c>
      <c r="DGR38" s="48">
        <v>0</v>
      </c>
      <c r="DGS38" s="49">
        <v>0</v>
      </c>
      <c r="DGT38" s="49">
        <v>941</v>
      </c>
      <c r="DGU38" s="49">
        <v>0</v>
      </c>
      <c r="DGV38" s="49">
        <v>0</v>
      </c>
      <c r="DGW38" s="49">
        <v>0</v>
      </c>
      <c r="DGX38" s="64">
        <f t="shared" si="1822"/>
        <v>941</v>
      </c>
      <c r="DGY38" s="68">
        <f t="shared" si="1823"/>
        <v>156.83333333333334</v>
      </c>
      <c r="DGZ38" s="48">
        <v>221</v>
      </c>
      <c r="DHA38" s="49">
        <v>0</v>
      </c>
      <c r="DHB38" s="49">
        <v>0</v>
      </c>
      <c r="DHC38" s="49"/>
      <c r="DHD38" s="49">
        <v>0</v>
      </c>
      <c r="DHE38" s="49">
        <v>0</v>
      </c>
      <c r="DHF38" s="64">
        <f t="shared" si="1824"/>
        <v>221</v>
      </c>
      <c r="DHG38" s="68">
        <f t="shared" si="1825"/>
        <v>36.833333333333336</v>
      </c>
      <c r="DHH38" s="63">
        <v>0</v>
      </c>
      <c r="DHI38" s="64">
        <v>0</v>
      </c>
      <c r="DHJ38" s="64">
        <v>0</v>
      </c>
      <c r="DHK38" s="64">
        <v>649</v>
      </c>
      <c r="DHL38" s="64">
        <v>0</v>
      </c>
      <c r="DHM38" s="64">
        <v>0</v>
      </c>
      <c r="DHN38" s="64">
        <f t="shared" si="1826"/>
        <v>649</v>
      </c>
      <c r="DHO38" s="68">
        <f t="shared" si="1827"/>
        <v>108.16666666666667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28"/>
        <v>0</v>
      </c>
      <c r="DHW38" s="68">
        <f t="shared" si="1829"/>
        <v>0</v>
      </c>
      <c r="DHX38" s="48">
        <v>0</v>
      </c>
      <c r="DHY38" s="49"/>
      <c r="DHZ38" s="49"/>
      <c r="DIA38" s="49">
        <v>0</v>
      </c>
      <c r="DIB38" s="49">
        <v>0</v>
      </c>
      <c r="DIC38" s="49">
        <v>486</v>
      </c>
      <c r="DID38" s="64">
        <f t="shared" si="1830"/>
        <v>486</v>
      </c>
      <c r="DIE38" s="68">
        <f t="shared" si="1831"/>
        <v>81</v>
      </c>
      <c r="DIF38" s="48">
        <v>0</v>
      </c>
      <c r="DIG38" s="49">
        <v>0</v>
      </c>
      <c r="DIH38" s="49"/>
      <c r="DII38" s="49">
        <v>441</v>
      </c>
      <c r="DIJ38" s="49">
        <v>0</v>
      </c>
      <c r="DIK38" s="49"/>
      <c r="DIL38" s="64">
        <f t="shared" si="1832"/>
        <v>441</v>
      </c>
      <c r="DIM38" s="68">
        <f t="shared" si="1833"/>
        <v>73.5</v>
      </c>
      <c r="DIN38" s="48">
        <v>460</v>
      </c>
      <c r="DIO38" s="49"/>
      <c r="DIP38" s="49">
        <v>363</v>
      </c>
      <c r="DIQ38" s="49"/>
      <c r="DIR38" s="49">
        <v>0</v>
      </c>
      <c r="DIS38" s="49">
        <v>220</v>
      </c>
      <c r="DIT38" s="64">
        <f t="shared" si="1834"/>
        <v>1043</v>
      </c>
      <c r="DIU38" s="68">
        <f t="shared" si="1835"/>
        <v>173.83333333333334</v>
      </c>
      <c r="DIV38" s="48">
        <v>0</v>
      </c>
      <c r="DIW38" s="49">
        <v>819</v>
      </c>
      <c r="DIX38" s="49">
        <v>0</v>
      </c>
      <c r="DIY38" s="49">
        <v>0</v>
      </c>
      <c r="DIZ38" s="49">
        <v>0</v>
      </c>
      <c r="DJA38" s="49">
        <v>220</v>
      </c>
      <c r="DJB38" s="64">
        <f t="shared" si="1836"/>
        <v>1039</v>
      </c>
      <c r="DJC38" s="68">
        <f t="shared" si="1837"/>
        <v>173.16666666666666</v>
      </c>
      <c r="DJD38" s="48">
        <v>0</v>
      </c>
      <c r="DJE38" s="49">
        <v>0</v>
      </c>
      <c r="DJF38" s="49">
        <v>1014</v>
      </c>
      <c r="DJG38" s="49">
        <v>0</v>
      </c>
      <c r="DJH38" s="49">
        <v>777</v>
      </c>
      <c r="DJI38" s="49"/>
      <c r="DJJ38" s="64">
        <f t="shared" si="1838"/>
        <v>1791</v>
      </c>
      <c r="DJK38" s="68">
        <f t="shared" si="1839"/>
        <v>298.5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221</v>
      </c>
      <c r="DJR38" s="64">
        <f t="shared" si="1840"/>
        <v>221</v>
      </c>
      <c r="DJS38" s="68">
        <f t="shared" si="1841"/>
        <v>36.833333333333336</v>
      </c>
      <c r="DJT38" s="48"/>
      <c r="DJU38" s="49">
        <v>0</v>
      </c>
      <c r="DJV38" s="49">
        <v>0</v>
      </c>
      <c r="DJW38" s="49">
        <v>707</v>
      </c>
      <c r="DJX38" s="49">
        <v>0</v>
      </c>
      <c r="DJY38" s="49">
        <v>330</v>
      </c>
      <c r="DJZ38" s="64">
        <f t="shared" si="1842"/>
        <v>1037</v>
      </c>
      <c r="DKA38" s="68">
        <f t="shared" si="1843"/>
        <v>172.83333333333334</v>
      </c>
      <c r="DKB38" s="48">
        <v>0</v>
      </c>
      <c r="DKC38" s="49">
        <v>0</v>
      </c>
      <c r="DKD38" s="49">
        <v>0</v>
      </c>
      <c r="DKE38" s="49">
        <v>0</v>
      </c>
      <c r="DKF38" s="49">
        <v>0</v>
      </c>
      <c r="DKG38" s="49">
        <v>251</v>
      </c>
      <c r="DKH38" s="64">
        <f t="shared" si="1844"/>
        <v>251</v>
      </c>
      <c r="DKI38" s="68">
        <f t="shared" si="1845"/>
        <v>41.833333333333336</v>
      </c>
      <c r="DKJ38" s="48">
        <v>0</v>
      </c>
      <c r="DKK38" s="49">
        <v>0</v>
      </c>
      <c r="DKL38" s="49">
        <v>110</v>
      </c>
      <c r="DKM38" s="49"/>
      <c r="DKN38" s="49">
        <v>0</v>
      </c>
      <c r="DKO38" s="49"/>
      <c r="DKP38" s="64">
        <f t="shared" si="1846"/>
        <v>110</v>
      </c>
      <c r="DKQ38" s="68">
        <f t="shared" si="1847"/>
        <v>18.333333333333332</v>
      </c>
      <c r="DKR38" s="48">
        <v>1030</v>
      </c>
      <c r="DKS38" s="49">
        <v>0</v>
      </c>
      <c r="DKT38" s="49">
        <v>0</v>
      </c>
      <c r="DKU38" s="49">
        <v>220</v>
      </c>
      <c r="DKV38" s="49">
        <v>0</v>
      </c>
      <c r="DKW38" s="49">
        <v>403</v>
      </c>
      <c r="DKX38" s="64">
        <f t="shared" si="1848"/>
        <v>1653</v>
      </c>
      <c r="DKY38" s="68">
        <f t="shared" si="1849"/>
        <v>275.5</v>
      </c>
      <c r="DKZ38" s="48"/>
      <c r="DLA38" s="49">
        <v>0</v>
      </c>
      <c r="DLB38" s="49">
        <v>1559</v>
      </c>
      <c r="DLC38" s="49">
        <v>0</v>
      </c>
      <c r="DLD38" s="49"/>
      <c r="DLE38" s="49">
        <v>0</v>
      </c>
      <c r="DLF38" s="64">
        <f t="shared" si="1850"/>
        <v>1559</v>
      </c>
      <c r="DLG38" s="68">
        <f t="shared" si="1851"/>
        <v>259.83333333333331</v>
      </c>
      <c r="DLH38" s="48"/>
      <c r="DLI38" s="49">
        <v>0</v>
      </c>
      <c r="DLJ38" s="49">
        <v>0</v>
      </c>
      <c r="DLK38" s="49">
        <v>120</v>
      </c>
      <c r="DLL38" s="49"/>
      <c r="DLM38" s="49">
        <v>0</v>
      </c>
      <c r="DLN38" s="64">
        <f t="shared" si="1852"/>
        <v>120</v>
      </c>
      <c r="DLO38" s="68">
        <f t="shared" si="1853"/>
        <v>20</v>
      </c>
      <c r="DLP38" s="48">
        <v>299</v>
      </c>
      <c r="DLQ38" s="49"/>
      <c r="DLR38" s="49">
        <v>0</v>
      </c>
      <c r="DLS38" s="49">
        <v>0</v>
      </c>
      <c r="DLT38" s="49">
        <v>221</v>
      </c>
      <c r="DLU38" s="49">
        <v>666</v>
      </c>
      <c r="DLV38" s="64">
        <f t="shared" si="1854"/>
        <v>1186</v>
      </c>
      <c r="DLW38" s="68">
        <f t="shared" si="1855"/>
        <v>197.66666666666666</v>
      </c>
      <c r="DLX38" s="48">
        <v>0</v>
      </c>
      <c r="DLY38" s="49">
        <v>0</v>
      </c>
      <c r="DLZ38" s="49"/>
      <c r="DMA38" s="49">
        <v>160</v>
      </c>
      <c r="DMB38" s="49"/>
      <c r="DMC38" s="49">
        <v>0</v>
      </c>
      <c r="DMD38" s="64">
        <f t="shared" si="1856"/>
        <v>160</v>
      </c>
      <c r="DME38" s="68">
        <f t="shared" si="1857"/>
        <v>26.666666666666668</v>
      </c>
      <c r="DMF38" s="48"/>
      <c r="DMG38" s="49">
        <v>0</v>
      </c>
      <c r="DMH38" s="49"/>
      <c r="DMI38" s="49">
        <v>0</v>
      </c>
      <c r="DMJ38" s="49">
        <v>1208</v>
      </c>
      <c r="DMK38" s="49">
        <v>0</v>
      </c>
      <c r="DML38" s="64">
        <f t="shared" si="1858"/>
        <v>1208</v>
      </c>
      <c r="DMM38" s="68">
        <f t="shared" si="1859"/>
        <v>201.33333333333334</v>
      </c>
      <c r="DMN38" s="48">
        <v>221</v>
      </c>
      <c r="DMO38" s="49"/>
      <c r="DMP38" s="49">
        <v>0</v>
      </c>
      <c r="DMQ38" s="49">
        <v>0</v>
      </c>
      <c r="DMR38" s="49">
        <v>0</v>
      </c>
      <c r="DMS38" s="49">
        <v>219</v>
      </c>
      <c r="DMT38" s="64">
        <f t="shared" si="1860"/>
        <v>440</v>
      </c>
      <c r="DMU38" s="68">
        <f t="shared" si="1861"/>
        <v>73.333333333333329</v>
      </c>
      <c r="DMV38" s="48">
        <v>0</v>
      </c>
      <c r="DMW38" s="49">
        <v>0</v>
      </c>
      <c r="DMX38" s="49">
        <v>0</v>
      </c>
      <c r="DMY38" s="49">
        <v>977</v>
      </c>
      <c r="DMZ38" s="49">
        <v>0</v>
      </c>
      <c r="DNA38" s="49">
        <v>0</v>
      </c>
      <c r="DNB38" s="64">
        <f t="shared" si="1862"/>
        <v>977</v>
      </c>
      <c r="DNC38" s="68">
        <f t="shared" si="1863"/>
        <v>162.83333333333334</v>
      </c>
      <c r="DND38" s="48">
        <v>600</v>
      </c>
      <c r="DNE38" s="49">
        <v>0</v>
      </c>
      <c r="DNF38" s="49">
        <v>0</v>
      </c>
      <c r="DNG38" s="49"/>
      <c r="DNH38" s="49">
        <v>0</v>
      </c>
      <c r="DNI38" s="49">
        <v>330</v>
      </c>
      <c r="DNJ38" s="64">
        <f t="shared" si="1864"/>
        <v>930</v>
      </c>
      <c r="DNK38" s="68">
        <f t="shared" si="1865"/>
        <v>155</v>
      </c>
      <c r="DNL38" s="48"/>
      <c r="DNM38" s="49"/>
      <c r="DNN38" s="49">
        <v>0</v>
      </c>
      <c r="DNO38" s="49">
        <v>0</v>
      </c>
      <c r="DNP38" s="49">
        <v>1320</v>
      </c>
      <c r="DNQ38" s="49">
        <v>0</v>
      </c>
      <c r="DNR38" s="64">
        <f t="shared" si="1866"/>
        <v>1320</v>
      </c>
      <c r="DNS38" s="68">
        <f t="shared" si="1867"/>
        <v>220</v>
      </c>
      <c r="DNT38" s="48">
        <v>0</v>
      </c>
      <c r="DNU38" s="49">
        <v>557</v>
      </c>
      <c r="DNV38" s="49">
        <v>0</v>
      </c>
      <c r="DNW38" s="49">
        <v>0</v>
      </c>
      <c r="DNX38" s="49">
        <v>1321</v>
      </c>
      <c r="DNY38" s="49">
        <v>0</v>
      </c>
      <c r="DNZ38" s="64">
        <f t="shared" si="1868"/>
        <v>1878</v>
      </c>
      <c r="DOA38" s="68">
        <f t="shared" si="1869"/>
        <v>313</v>
      </c>
      <c r="DOB38" s="48">
        <v>0</v>
      </c>
      <c r="DOC38" s="49"/>
      <c r="DOD38" s="49">
        <v>0</v>
      </c>
      <c r="DOE38" s="49">
        <v>111</v>
      </c>
      <c r="DOF38" s="49">
        <v>0</v>
      </c>
      <c r="DOG38" s="49">
        <v>0</v>
      </c>
      <c r="DOH38" s="64">
        <f t="shared" si="1870"/>
        <v>111</v>
      </c>
      <c r="DOI38" s="68">
        <f t="shared" si="1871"/>
        <v>18.5</v>
      </c>
      <c r="DOJ38" s="48">
        <v>0</v>
      </c>
      <c r="DOK38" s="49">
        <v>0</v>
      </c>
      <c r="DOL38" s="49">
        <v>0</v>
      </c>
      <c r="DOM38" s="49"/>
      <c r="DON38" s="49">
        <v>0</v>
      </c>
      <c r="DOO38" s="49">
        <v>0</v>
      </c>
      <c r="DOP38" s="64">
        <f t="shared" si="1872"/>
        <v>0</v>
      </c>
      <c r="DOQ38" s="68">
        <f t="shared" si="1873"/>
        <v>0</v>
      </c>
      <c r="DOR38" s="48">
        <v>0</v>
      </c>
      <c r="DOS38" s="49">
        <v>0</v>
      </c>
      <c r="DOT38" s="49">
        <v>0</v>
      </c>
      <c r="DOU38" s="49">
        <v>0</v>
      </c>
      <c r="DOV38" s="49"/>
      <c r="DOW38" s="49">
        <v>0</v>
      </c>
      <c r="DOX38" s="64">
        <f t="shared" si="1874"/>
        <v>0</v>
      </c>
      <c r="DOY38" s="68">
        <f t="shared" si="1875"/>
        <v>0</v>
      </c>
      <c r="DOZ38" s="48"/>
      <c r="DPA38" s="49">
        <v>0</v>
      </c>
      <c r="DPB38" s="49"/>
      <c r="DPC38" s="49">
        <v>0</v>
      </c>
      <c r="DPD38" s="49"/>
      <c r="DPE38" s="49">
        <v>0</v>
      </c>
      <c r="DPF38" s="64">
        <f t="shared" si="1876"/>
        <v>0</v>
      </c>
      <c r="DPG38" s="68">
        <f t="shared" si="1877"/>
        <v>0</v>
      </c>
      <c r="DPH38" s="48">
        <v>0</v>
      </c>
      <c r="DPI38" s="49">
        <v>0</v>
      </c>
      <c r="DPJ38" s="49">
        <v>0</v>
      </c>
      <c r="DPK38" s="49">
        <v>110</v>
      </c>
      <c r="DPL38" s="49"/>
      <c r="DPM38" s="49"/>
      <c r="DPN38" s="64">
        <f t="shared" si="1878"/>
        <v>110</v>
      </c>
      <c r="DPO38" s="68">
        <f t="shared" si="1879"/>
        <v>18.333333333333332</v>
      </c>
      <c r="DPP38" s="48">
        <v>0</v>
      </c>
      <c r="DPQ38" s="49">
        <v>1320</v>
      </c>
      <c r="DPR38" s="49">
        <v>0</v>
      </c>
      <c r="DPS38" s="49"/>
      <c r="DPT38" s="49"/>
      <c r="DPU38" s="49">
        <v>0</v>
      </c>
      <c r="DPV38" s="491">
        <f t="shared" si="1880"/>
        <v>1320</v>
      </c>
      <c r="DPW38" s="492">
        <f t="shared" si="1881"/>
        <v>220</v>
      </c>
      <c r="DPX38" s="48">
        <v>0</v>
      </c>
      <c r="DPY38" s="49">
        <v>209</v>
      </c>
      <c r="DPZ38" s="49">
        <v>1528</v>
      </c>
      <c r="DQA38" s="49">
        <v>0</v>
      </c>
      <c r="DQB38" s="49">
        <v>0</v>
      </c>
      <c r="DQC38" s="49">
        <v>0</v>
      </c>
      <c r="DQD38" s="491">
        <f t="shared" si="1882"/>
        <v>1737</v>
      </c>
      <c r="DQE38" s="492">
        <f t="shared" si="1883"/>
        <v>289.5</v>
      </c>
      <c r="DQF38" s="48">
        <v>0</v>
      </c>
      <c r="DQG38" s="49">
        <v>0</v>
      </c>
      <c r="DQH38" s="49">
        <v>0</v>
      </c>
      <c r="DQI38" s="49"/>
      <c r="DQJ38" s="49">
        <v>600</v>
      </c>
      <c r="DQK38" s="49">
        <v>111</v>
      </c>
      <c r="DQL38" s="489">
        <f t="shared" si="1884"/>
        <v>711</v>
      </c>
      <c r="DQM38" s="492">
        <f t="shared" si="1885"/>
        <v>118.5</v>
      </c>
      <c r="DQN38" s="48">
        <v>0</v>
      </c>
      <c r="DQO38" s="49">
        <v>0</v>
      </c>
      <c r="DQP38" s="49">
        <v>0</v>
      </c>
      <c r="DQQ38" s="49">
        <v>0</v>
      </c>
      <c r="DQR38" s="49">
        <v>1315</v>
      </c>
      <c r="DQS38" s="49">
        <v>0</v>
      </c>
      <c r="DQT38" s="64">
        <f t="shared" si="1886"/>
        <v>1315</v>
      </c>
      <c r="DQU38" s="68">
        <f t="shared" si="1887"/>
        <v>219.16666666666666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1265</v>
      </c>
      <c r="DRB38" s="491">
        <f t="shared" si="1888"/>
        <v>1265</v>
      </c>
      <c r="DRC38" s="492">
        <f t="shared" si="1889"/>
        <v>210.83333333333334</v>
      </c>
      <c r="DRD38" s="48">
        <v>0</v>
      </c>
      <c r="DRE38" s="49">
        <v>0</v>
      </c>
      <c r="DRF38" s="49">
        <v>0</v>
      </c>
      <c r="DRG38" s="49">
        <v>0</v>
      </c>
      <c r="DRH38" s="49">
        <v>330</v>
      </c>
      <c r="DRI38" s="49"/>
      <c r="DRJ38" s="491">
        <f t="shared" si="1890"/>
        <v>330</v>
      </c>
      <c r="DRK38" s="492">
        <f t="shared" si="1891"/>
        <v>55</v>
      </c>
      <c r="DRL38" s="48">
        <v>1225</v>
      </c>
      <c r="DRM38" s="49">
        <v>0</v>
      </c>
      <c r="DRN38" s="49">
        <v>0</v>
      </c>
      <c r="DRO38" s="49">
        <v>0</v>
      </c>
      <c r="DRP38" s="49">
        <v>221</v>
      </c>
      <c r="DRQ38" s="49"/>
      <c r="DRR38" s="64">
        <f t="shared" si="1587"/>
        <v>1446</v>
      </c>
      <c r="DRS38" s="68">
        <f t="shared" si="1588"/>
        <v>241</v>
      </c>
      <c r="DRT38" s="48">
        <v>0</v>
      </c>
      <c r="DRU38" s="49">
        <v>0</v>
      </c>
      <c r="DRV38" s="49">
        <v>0</v>
      </c>
      <c r="DRW38" s="49">
        <v>0</v>
      </c>
      <c r="DRX38" s="49">
        <v>0</v>
      </c>
      <c r="DRY38" s="49"/>
      <c r="DRZ38" s="491">
        <f t="shared" si="1589"/>
        <v>0</v>
      </c>
      <c r="DSA38" s="68">
        <f t="shared" si="1590"/>
        <v>0</v>
      </c>
      <c r="DSB38" s="82"/>
      <c r="DSC38" s="83">
        <v>617</v>
      </c>
      <c r="DSD38" s="83">
        <v>0</v>
      </c>
      <c r="DSE38" s="83"/>
      <c r="DSF38" s="83">
        <v>0</v>
      </c>
      <c r="DSG38" s="83">
        <v>110</v>
      </c>
      <c r="DSH38" s="64">
        <f t="shared" si="1591"/>
        <v>727</v>
      </c>
      <c r="DSI38" s="68">
        <f t="shared" si="1592"/>
        <v>121.16666666666667</v>
      </c>
      <c r="DSJ38" s="48">
        <v>0</v>
      </c>
      <c r="DSK38" s="49">
        <v>0</v>
      </c>
      <c r="DSL38" s="49">
        <v>0</v>
      </c>
      <c r="DSM38" s="49">
        <v>0</v>
      </c>
      <c r="DSN38" s="49">
        <v>0</v>
      </c>
      <c r="DSO38" s="49">
        <v>0</v>
      </c>
      <c r="DSP38" s="64">
        <f t="shared" si="1593"/>
        <v>0</v>
      </c>
      <c r="DSQ38" s="68">
        <f t="shared" si="1594"/>
        <v>0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220</v>
      </c>
      <c r="DSX38" s="64">
        <f t="shared" si="1595"/>
        <v>220</v>
      </c>
      <c r="DSY38" s="68">
        <f t="shared" si="1596"/>
        <v>36.666666666666664</v>
      </c>
      <c r="DSZ38" s="48">
        <v>0</v>
      </c>
      <c r="DTA38" s="49">
        <v>0</v>
      </c>
      <c r="DTB38" s="49">
        <v>500</v>
      </c>
      <c r="DTC38" s="49">
        <v>0</v>
      </c>
      <c r="DTD38" s="49"/>
      <c r="DTE38" s="49">
        <v>0</v>
      </c>
      <c r="DTF38" s="64">
        <f t="shared" si="1597"/>
        <v>500</v>
      </c>
      <c r="DTG38" s="68">
        <f t="shared" si="1598"/>
        <v>83.333333333333329</v>
      </c>
      <c r="DTH38" s="48">
        <v>0</v>
      </c>
      <c r="DTI38" s="49">
        <v>0</v>
      </c>
      <c r="DTJ38" s="49">
        <v>111</v>
      </c>
      <c r="DTK38" s="49">
        <v>0</v>
      </c>
      <c r="DTL38" s="49">
        <v>110</v>
      </c>
      <c r="DTM38" s="49">
        <v>0</v>
      </c>
      <c r="DTN38" s="64">
        <f t="shared" si="1599"/>
        <v>221</v>
      </c>
      <c r="DTO38" s="68">
        <f t="shared" si="1600"/>
        <v>36.833333333333336</v>
      </c>
      <c r="DTP38" s="48">
        <v>0</v>
      </c>
      <c r="DTQ38" s="49"/>
      <c r="DTR38" s="49"/>
      <c r="DTS38" s="49">
        <v>0</v>
      </c>
      <c r="DTT38" s="49">
        <v>0</v>
      </c>
      <c r="DTU38" s="49">
        <v>220</v>
      </c>
      <c r="DTV38" s="64">
        <f t="shared" si="1601"/>
        <v>220</v>
      </c>
      <c r="DTW38" s="68">
        <f t="shared" si="1602"/>
        <v>36.666666666666664</v>
      </c>
      <c r="DTX38" s="48">
        <v>0</v>
      </c>
      <c r="DTY38" s="49">
        <v>0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03"/>
        <v>0</v>
      </c>
      <c r="DUE38" s="68">
        <f t="shared" si="1604"/>
        <v>0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05"/>
        <v>0</v>
      </c>
      <c r="DUM38" s="68">
        <f t="shared" si="1606"/>
        <v>0</v>
      </c>
      <c r="DUN38" s="48"/>
      <c r="DUO38" s="49">
        <v>0</v>
      </c>
      <c r="DUP38" s="49">
        <v>0</v>
      </c>
      <c r="DUQ38" s="49">
        <v>0</v>
      </c>
      <c r="DUR38" s="49">
        <v>666</v>
      </c>
      <c r="DUS38" s="49">
        <v>0</v>
      </c>
      <c r="DUT38" s="64">
        <f t="shared" si="1607"/>
        <v>666</v>
      </c>
      <c r="DUU38" s="68">
        <f t="shared" si="1608"/>
        <v>111</v>
      </c>
      <c r="DUV38" s="48"/>
      <c r="DUW38" s="49">
        <v>0</v>
      </c>
      <c r="DUX38" s="49">
        <v>111</v>
      </c>
      <c r="DUY38" s="49">
        <v>0</v>
      </c>
      <c r="DUZ38" s="49">
        <v>0</v>
      </c>
      <c r="DVA38" s="49">
        <v>220</v>
      </c>
      <c r="DVB38" s="64">
        <f t="shared" si="1609"/>
        <v>331</v>
      </c>
      <c r="DVC38" s="68">
        <f t="shared" si="1610"/>
        <v>55.166666666666664</v>
      </c>
      <c r="DVD38" s="48"/>
      <c r="DVE38" s="49">
        <v>0</v>
      </c>
      <c r="DVF38" s="49">
        <v>0</v>
      </c>
      <c r="DVG38" s="49">
        <v>768</v>
      </c>
      <c r="DVH38" s="49">
        <v>0</v>
      </c>
      <c r="DVI38" s="49">
        <v>0</v>
      </c>
      <c r="DVJ38" s="64">
        <f t="shared" si="1611"/>
        <v>768</v>
      </c>
      <c r="DVK38" s="68">
        <f t="shared" si="1612"/>
        <v>128</v>
      </c>
      <c r="DVL38" s="48">
        <v>0</v>
      </c>
      <c r="DVM38" s="49">
        <v>0</v>
      </c>
      <c r="DVN38" s="49">
        <v>0</v>
      </c>
      <c r="DVO38" s="49">
        <v>0</v>
      </c>
      <c r="DVP38" s="49">
        <v>0</v>
      </c>
      <c r="DVQ38" s="49">
        <v>0</v>
      </c>
      <c r="DVR38" s="64">
        <f t="shared" si="1613"/>
        <v>0</v>
      </c>
      <c r="DVS38" s="68">
        <f t="shared" si="1614"/>
        <v>0</v>
      </c>
      <c r="DVT38" s="48"/>
      <c r="DVU38" s="49">
        <v>0</v>
      </c>
      <c r="DVV38" s="49">
        <v>0</v>
      </c>
      <c r="DVW38" s="49">
        <v>0</v>
      </c>
      <c r="DVX38" s="49">
        <v>0</v>
      </c>
      <c r="DVY38" s="49">
        <v>0</v>
      </c>
      <c r="DVZ38" s="64">
        <f t="shared" si="1615"/>
        <v>0</v>
      </c>
      <c r="DWA38" s="68">
        <f t="shared" si="1616"/>
        <v>0</v>
      </c>
      <c r="DWB38" s="48">
        <v>0</v>
      </c>
      <c r="DWC38" s="49">
        <v>0</v>
      </c>
      <c r="DWD38" s="49">
        <v>7</v>
      </c>
      <c r="DWE38" s="49">
        <v>0</v>
      </c>
      <c r="DWF38" s="49">
        <v>0</v>
      </c>
      <c r="DWG38" s="49">
        <v>20</v>
      </c>
      <c r="DWH38" s="64">
        <f t="shared" si="1617"/>
        <v>27</v>
      </c>
      <c r="DWI38" s="68">
        <f t="shared" si="1618"/>
        <v>4.5</v>
      </c>
      <c r="DWJ38" s="48">
        <v>0</v>
      </c>
      <c r="DWK38" s="49">
        <v>0</v>
      </c>
      <c r="DWL38" s="49">
        <v>245</v>
      </c>
      <c r="DWM38" s="49">
        <v>0</v>
      </c>
      <c r="DWN38" s="49">
        <v>0</v>
      </c>
      <c r="DWO38" s="49">
        <v>0</v>
      </c>
      <c r="DWP38" s="64">
        <f t="shared" si="1619"/>
        <v>245</v>
      </c>
      <c r="DWQ38" s="68">
        <f t="shared" si="1620"/>
        <v>40.833333333333336</v>
      </c>
      <c r="DWR38" s="48">
        <v>0</v>
      </c>
      <c r="DWS38" s="49"/>
      <c r="DWT38" s="49">
        <v>0</v>
      </c>
      <c r="DWU38" s="49">
        <v>102</v>
      </c>
      <c r="DWV38" s="49">
        <v>0</v>
      </c>
      <c r="DWW38" s="49">
        <v>0</v>
      </c>
      <c r="DWX38" s="64">
        <f t="shared" si="1621"/>
        <v>102</v>
      </c>
      <c r="DWY38" s="68">
        <f t="shared" si="1622"/>
        <v>17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23"/>
        <v>110</v>
      </c>
      <c r="DXG38" s="68">
        <f t="shared" si="1624"/>
        <v>18.333333333333332</v>
      </c>
      <c r="DXH38" s="48">
        <v>0</v>
      </c>
      <c r="DXI38" s="49">
        <v>0</v>
      </c>
      <c r="DXJ38" s="49">
        <v>0</v>
      </c>
      <c r="DXK38" s="49">
        <v>108</v>
      </c>
      <c r="DXL38" s="49">
        <v>0</v>
      </c>
      <c r="DXM38" s="49">
        <v>0</v>
      </c>
      <c r="DXN38" s="64">
        <f t="shared" si="1625"/>
        <v>108</v>
      </c>
      <c r="DXO38" s="68">
        <f t="shared" si="1626"/>
        <v>18</v>
      </c>
      <c r="DXP38" s="48">
        <v>0</v>
      </c>
      <c r="DXQ38" s="49">
        <v>111</v>
      </c>
      <c r="DXR38" s="49">
        <v>0</v>
      </c>
      <c r="DXS38" s="49">
        <v>0</v>
      </c>
      <c r="DXT38" s="49">
        <v>0</v>
      </c>
      <c r="DXU38" s="49">
        <v>0</v>
      </c>
      <c r="DXV38" s="64">
        <f t="shared" si="1320"/>
        <v>111</v>
      </c>
      <c r="DXW38" s="68">
        <f t="shared" si="1321"/>
        <v>18.5</v>
      </c>
      <c r="DXX38" s="48">
        <v>0</v>
      </c>
      <c r="DXY38" s="49">
        <v>0</v>
      </c>
      <c r="DXZ38" s="49">
        <v>0</v>
      </c>
      <c r="DYA38" s="49">
        <v>110</v>
      </c>
      <c r="DYB38" s="49">
        <v>0</v>
      </c>
      <c r="DYC38" s="49">
        <v>0</v>
      </c>
      <c r="DYD38" s="64">
        <f t="shared" si="1322"/>
        <v>110</v>
      </c>
      <c r="DYE38" s="68">
        <f t="shared" si="1323"/>
        <v>18.333333333333332</v>
      </c>
      <c r="DYF38" s="48">
        <v>0</v>
      </c>
      <c r="DYG38" s="49">
        <v>0</v>
      </c>
      <c r="DYH38" s="49">
        <v>0</v>
      </c>
      <c r="DYI38" s="49">
        <v>104</v>
      </c>
      <c r="DYJ38" s="49">
        <v>0</v>
      </c>
      <c r="DYK38" s="49"/>
      <c r="DYL38" s="64">
        <f t="shared" si="1324"/>
        <v>104</v>
      </c>
      <c r="DYM38" s="68">
        <f t="shared" si="1325"/>
        <v>17.333333333333332</v>
      </c>
      <c r="DYN38" s="48">
        <v>0</v>
      </c>
      <c r="DYO38" s="49">
        <v>110</v>
      </c>
      <c r="DYP38" s="49">
        <v>0</v>
      </c>
      <c r="DYQ38" s="49">
        <v>0</v>
      </c>
      <c r="DYR38" s="49"/>
      <c r="DYS38" s="49"/>
      <c r="DYT38" s="64">
        <f t="shared" si="1326"/>
        <v>110</v>
      </c>
      <c r="DYU38" s="68">
        <f t="shared" si="1327"/>
        <v>18.333333333333332</v>
      </c>
      <c r="DYV38" s="48">
        <v>40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28"/>
        <v>40</v>
      </c>
      <c r="DZC38" s="68">
        <f t="shared" si="1329"/>
        <v>6.666666666666667</v>
      </c>
      <c r="DZD38" s="48">
        <v>110</v>
      </c>
      <c r="DZE38" s="49">
        <v>110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30"/>
        <v>220</v>
      </c>
      <c r="DZK38" s="68">
        <f t="shared" si="1331"/>
        <v>36.666666666666664</v>
      </c>
      <c r="DZL38" s="48">
        <v>0</v>
      </c>
      <c r="DZM38" s="49">
        <v>0</v>
      </c>
      <c r="DZN38" s="49"/>
      <c r="DZO38" s="49">
        <v>0</v>
      </c>
      <c r="DZP38" s="49">
        <v>0</v>
      </c>
      <c r="DZQ38" s="49">
        <v>0</v>
      </c>
      <c r="DZR38" s="64">
        <f t="shared" si="1332"/>
        <v>0</v>
      </c>
      <c r="DZS38" s="68">
        <f t="shared" si="1333"/>
        <v>0</v>
      </c>
      <c r="DZT38" s="48">
        <v>0</v>
      </c>
      <c r="DZU38" s="49">
        <v>0</v>
      </c>
      <c r="DZV38" s="49"/>
      <c r="DZW38" s="49">
        <v>0</v>
      </c>
      <c r="DZX38" s="49">
        <v>0</v>
      </c>
      <c r="DZY38" s="49">
        <v>0</v>
      </c>
      <c r="DZZ38" s="64">
        <f t="shared" si="1334"/>
        <v>0</v>
      </c>
      <c r="EAA38" s="68">
        <f t="shared" si="1335"/>
        <v>0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36"/>
        <v>0</v>
      </c>
      <c r="EAI38" s="68">
        <f t="shared" si="1337"/>
        <v>0</v>
      </c>
      <c r="EAJ38" s="48">
        <v>0</v>
      </c>
      <c r="EAK38" s="49">
        <v>0</v>
      </c>
      <c r="EAL38" s="49">
        <v>0</v>
      </c>
      <c r="EAM38" s="49">
        <v>0</v>
      </c>
      <c r="EAN38" s="49">
        <v>120</v>
      </c>
      <c r="EAO38" s="49">
        <v>0</v>
      </c>
      <c r="EAP38" s="64">
        <f t="shared" si="1338"/>
        <v>120</v>
      </c>
      <c r="EAQ38" s="68">
        <f t="shared" si="1339"/>
        <v>20</v>
      </c>
      <c r="EAR38" s="48">
        <v>0</v>
      </c>
      <c r="EAS38" s="49">
        <v>0</v>
      </c>
      <c r="EAT38" s="49">
        <v>0</v>
      </c>
      <c r="EAU38" s="49">
        <v>162</v>
      </c>
      <c r="EAV38" s="49">
        <v>0</v>
      </c>
      <c r="EAW38" s="49">
        <v>0</v>
      </c>
      <c r="EAX38" s="64">
        <f t="shared" si="1340"/>
        <v>162</v>
      </c>
      <c r="EAY38" s="68">
        <f t="shared" si="1341"/>
        <v>27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42"/>
        <v>0</v>
      </c>
      <c r="EBG38" s="68">
        <f t="shared" si="1343"/>
        <v>0</v>
      </c>
      <c r="EBH38" s="48">
        <v>212</v>
      </c>
      <c r="EBI38" s="49">
        <v>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44"/>
        <v>212</v>
      </c>
      <c r="EBO38" s="68">
        <f t="shared" si="1345"/>
        <v>35.333333333333336</v>
      </c>
      <c r="EBP38" s="48">
        <v>0</v>
      </c>
      <c r="EBQ38" s="49">
        <v>0</v>
      </c>
      <c r="EBR38" s="49"/>
      <c r="EBS38" s="49">
        <v>0</v>
      </c>
      <c r="EBT38" s="49"/>
      <c r="EBU38" s="49"/>
      <c r="EBV38" s="64">
        <f t="shared" si="1346"/>
        <v>0</v>
      </c>
      <c r="EBW38" s="68">
        <f t="shared" si="1347"/>
        <v>0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48"/>
        <v>0</v>
      </c>
      <c r="ECE38" s="68">
        <f t="shared" si="1349"/>
        <v>0</v>
      </c>
      <c r="ECF38" s="48">
        <v>0</v>
      </c>
      <c r="ECG38" s="49">
        <v>110</v>
      </c>
      <c r="ECH38" s="49">
        <v>0</v>
      </c>
      <c r="ECI38" s="49">
        <v>0</v>
      </c>
      <c r="ECJ38" s="49">
        <v>0</v>
      </c>
      <c r="ECK38" s="49"/>
      <c r="ECL38" s="64">
        <f t="shared" si="1350"/>
        <v>110</v>
      </c>
      <c r="ECM38" s="68">
        <f t="shared" si="1351"/>
        <v>18.333333333333332</v>
      </c>
      <c r="ECN38" s="48">
        <v>0</v>
      </c>
      <c r="ECO38" s="49">
        <v>0</v>
      </c>
      <c r="ECP38" s="49">
        <v>0</v>
      </c>
      <c r="ECQ38" s="49"/>
      <c r="ECR38" s="49">
        <v>110</v>
      </c>
      <c r="ECS38" s="49">
        <v>0</v>
      </c>
      <c r="ECT38" s="64">
        <f t="shared" si="1352"/>
        <v>110</v>
      </c>
      <c r="ECU38" s="68">
        <f t="shared" si="1353"/>
        <v>18.333333333333332</v>
      </c>
      <c r="ECV38" s="48">
        <v>0</v>
      </c>
      <c r="ECW38" s="49">
        <v>109</v>
      </c>
      <c r="ECX38" s="49">
        <v>0</v>
      </c>
      <c r="ECY38" s="49">
        <v>0</v>
      </c>
      <c r="ECZ38" s="49"/>
      <c r="EDA38" s="49"/>
      <c r="EDB38" s="64">
        <f t="shared" si="1354"/>
        <v>109</v>
      </c>
      <c r="EDC38" s="68">
        <f t="shared" si="1355"/>
        <v>18.166666666666668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56"/>
        <v>0</v>
      </c>
      <c r="EDK38" s="68">
        <f t="shared" si="1357"/>
        <v>0</v>
      </c>
      <c r="EDL38" s="48">
        <v>110</v>
      </c>
      <c r="EDM38" s="49">
        <v>0</v>
      </c>
      <c r="EDN38" s="49"/>
      <c r="EDO38" s="49">
        <v>0</v>
      </c>
      <c r="EDP38" s="49">
        <v>0</v>
      </c>
      <c r="EDQ38" s="49">
        <v>0</v>
      </c>
      <c r="EDR38" s="64">
        <f t="shared" si="1358"/>
        <v>110</v>
      </c>
      <c r="EDS38" s="68">
        <f t="shared" si="1359"/>
        <v>18.333333333333332</v>
      </c>
      <c r="EDT38" s="48">
        <v>0</v>
      </c>
      <c r="EDU38" s="49">
        <v>0</v>
      </c>
      <c r="EDV38" s="49">
        <v>220</v>
      </c>
      <c r="EDW38" s="49">
        <v>0</v>
      </c>
      <c r="EDX38" s="49">
        <v>0</v>
      </c>
      <c r="EDY38" s="49"/>
      <c r="EDZ38" s="64">
        <f t="shared" si="1360"/>
        <v>220</v>
      </c>
      <c r="EEA38" s="68">
        <f t="shared" si="1361"/>
        <v>36.666666666666664</v>
      </c>
      <c r="EEB38" s="48">
        <v>0</v>
      </c>
      <c r="EEC38" s="49">
        <v>0</v>
      </c>
      <c r="EED38" s="49">
        <v>0</v>
      </c>
      <c r="EEE38" s="49">
        <v>0</v>
      </c>
      <c r="EEF38" s="49">
        <v>0</v>
      </c>
      <c r="EEG38" s="49"/>
      <c r="EEH38" s="64">
        <f t="shared" si="1362"/>
        <v>0</v>
      </c>
      <c r="EEI38" s="68">
        <f t="shared" si="1363"/>
        <v>0</v>
      </c>
      <c r="EEJ38" s="48">
        <v>0</v>
      </c>
      <c r="EEK38" s="49">
        <v>0</v>
      </c>
      <c r="EEL38" s="49">
        <v>0</v>
      </c>
      <c r="EEM38" s="49">
        <v>110</v>
      </c>
      <c r="EEN38" s="49">
        <v>0</v>
      </c>
      <c r="EEO38" s="49">
        <v>0</v>
      </c>
      <c r="EEP38" s="64">
        <f t="shared" si="1364"/>
        <v>110</v>
      </c>
      <c r="EEQ38" s="68">
        <f t="shared" si="1365"/>
        <v>18.333333333333332</v>
      </c>
      <c r="EER38" s="48">
        <v>0</v>
      </c>
      <c r="EES38" s="49">
        <v>0</v>
      </c>
      <c r="EET38" s="49">
        <v>0</v>
      </c>
      <c r="EEU38" s="49">
        <v>0</v>
      </c>
      <c r="EEV38" s="49">
        <v>0</v>
      </c>
      <c r="EEW38" s="49"/>
      <c r="EEX38" s="64">
        <f t="shared" si="1366"/>
        <v>0</v>
      </c>
      <c r="EEY38" s="68">
        <f t="shared" si="1367"/>
        <v>0</v>
      </c>
      <c r="EEZ38" s="48">
        <v>0</v>
      </c>
      <c r="EFA38" s="49"/>
      <c r="EFB38" s="49">
        <v>0</v>
      </c>
      <c r="EFC38" s="49">
        <v>0</v>
      </c>
      <c r="EFD38" s="49">
        <v>220</v>
      </c>
      <c r="EFE38" s="49">
        <v>0</v>
      </c>
      <c r="EFF38" s="64">
        <f t="shared" si="1368"/>
        <v>220</v>
      </c>
      <c r="EFG38" s="68">
        <f t="shared" si="1369"/>
        <v>36.666666666666664</v>
      </c>
      <c r="EFH38" s="48">
        <v>0</v>
      </c>
      <c r="EFI38" s="49">
        <v>0</v>
      </c>
      <c r="EFJ38" s="49">
        <v>0</v>
      </c>
      <c r="EFK38" s="49">
        <v>0</v>
      </c>
      <c r="EFL38" s="49">
        <v>0</v>
      </c>
      <c r="EFM38" s="49">
        <v>0</v>
      </c>
      <c r="EFN38" s="64">
        <f t="shared" si="1370"/>
        <v>0</v>
      </c>
      <c r="EFO38" s="68">
        <f t="shared" si="1371"/>
        <v>0</v>
      </c>
      <c r="EFP38" s="48">
        <v>167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72"/>
        <v>167</v>
      </c>
      <c r="EFW38" s="68">
        <f t="shared" si="1373"/>
        <v>27.833333333333332</v>
      </c>
      <c r="EFX38" s="48">
        <v>0</v>
      </c>
      <c r="EFY38" s="49">
        <v>0</v>
      </c>
      <c r="EFZ38" s="49"/>
      <c r="EGA38" s="49">
        <v>153</v>
      </c>
      <c r="EGB38" s="49">
        <v>0</v>
      </c>
      <c r="EGC38" s="49">
        <v>0</v>
      </c>
      <c r="EGD38" s="64">
        <f t="shared" si="1374"/>
        <v>153</v>
      </c>
      <c r="EGE38" s="68">
        <f t="shared" si="1375"/>
        <v>25.5</v>
      </c>
      <c r="EGF38" s="48">
        <v>0</v>
      </c>
      <c r="EGG38" s="49">
        <v>0</v>
      </c>
      <c r="EGH38" s="49"/>
      <c r="EGI38" s="49">
        <v>0</v>
      </c>
      <c r="EGJ38" s="49">
        <v>0</v>
      </c>
      <c r="EGK38" s="49">
        <v>111</v>
      </c>
      <c r="EGL38" s="64">
        <f t="shared" si="1376"/>
        <v>111</v>
      </c>
      <c r="EGM38" s="68">
        <f t="shared" si="1377"/>
        <v>18.5</v>
      </c>
      <c r="EGN38" s="48">
        <v>0</v>
      </c>
      <c r="EGO38" s="49">
        <v>0</v>
      </c>
      <c r="EGP38" s="49"/>
      <c r="EGQ38" s="49">
        <v>0</v>
      </c>
      <c r="EGR38" s="49">
        <v>0</v>
      </c>
      <c r="EGS38" s="49">
        <v>487</v>
      </c>
      <c r="EGT38" s="64">
        <f t="shared" si="1378"/>
        <v>487</v>
      </c>
      <c r="EGU38" s="68">
        <f t="shared" si="1379"/>
        <v>81.166666666666671</v>
      </c>
      <c r="EGV38" s="48">
        <v>0</v>
      </c>
      <c r="EGW38" s="49">
        <v>524</v>
      </c>
      <c r="EGX38" s="49">
        <v>0</v>
      </c>
      <c r="EGY38" s="49">
        <v>0</v>
      </c>
      <c r="EGZ38" s="49">
        <v>241</v>
      </c>
      <c r="EHA38" s="49">
        <v>0</v>
      </c>
      <c r="EHB38" s="64">
        <f t="shared" si="1380"/>
        <v>765</v>
      </c>
      <c r="EHC38" s="68">
        <f t="shared" si="1381"/>
        <v>127.5</v>
      </c>
      <c r="EHD38" s="48">
        <v>0</v>
      </c>
      <c r="EHE38" s="49">
        <v>922</v>
      </c>
      <c r="EHF38" s="49"/>
      <c r="EHG38" s="49">
        <v>0</v>
      </c>
      <c r="EHH38" s="49">
        <v>110</v>
      </c>
      <c r="EHI38" s="49">
        <v>0</v>
      </c>
      <c r="EHJ38" s="64">
        <f t="shared" si="1382"/>
        <v>1032</v>
      </c>
      <c r="EHK38" s="68">
        <f t="shared" si="1383"/>
        <v>172</v>
      </c>
      <c r="EHL38" s="48">
        <v>41</v>
      </c>
      <c r="EHM38" s="49">
        <v>0</v>
      </c>
      <c r="EHN38" s="49"/>
      <c r="EHO38" s="49">
        <v>765</v>
      </c>
      <c r="EHP38" s="49"/>
      <c r="EHQ38" s="49">
        <v>0</v>
      </c>
      <c r="EHR38" s="64">
        <f t="shared" si="1384"/>
        <v>806</v>
      </c>
      <c r="EHS38" s="68">
        <f t="shared" si="1385"/>
        <v>134.33333333333334</v>
      </c>
      <c r="EHT38" s="48">
        <v>0</v>
      </c>
      <c r="EHU38" s="49">
        <v>0</v>
      </c>
      <c r="EHV38" s="49"/>
      <c r="EHW38" s="49">
        <v>661</v>
      </c>
      <c r="EHX38" s="49">
        <v>550</v>
      </c>
      <c r="EHY38" s="49">
        <v>0</v>
      </c>
      <c r="EHZ38" s="64">
        <f t="shared" si="1386"/>
        <v>1211</v>
      </c>
      <c r="EIA38" s="68">
        <f t="shared" si="1387"/>
        <v>201.83333333333334</v>
      </c>
      <c r="EIB38" s="48">
        <v>330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88"/>
        <v>330</v>
      </c>
      <c r="EII38" s="68">
        <f t="shared" si="1389"/>
        <v>55</v>
      </c>
      <c r="EIJ38" s="48">
        <v>307</v>
      </c>
      <c r="EIK38" s="49">
        <v>0</v>
      </c>
      <c r="EIL38" s="49">
        <v>0</v>
      </c>
      <c r="EIM38" s="49">
        <v>0</v>
      </c>
      <c r="EIN38" s="49">
        <v>209</v>
      </c>
      <c r="EIO38" s="49">
        <v>0</v>
      </c>
      <c r="EIP38" s="64">
        <f t="shared" si="1390"/>
        <v>516</v>
      </c>
      <c r="EIQ38" s="68">
        <f t="shared" si="1391"/>
        <v>86</v>
      </c>
      <c r="EIR38" s="48">
        <v>0</v>
      </c>
      <c r="EIS38" s="49">
        <v>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392"/>
        <v>0</v>
      </c>
      <c r="EIY38" s="68">
        <f t="shared" si="1393"/>
        <v>0</v>
      </c>
      <c r="EIZ38" s="48">
        <v>0</v>
      </c>
      <c r="EJA38" s="49">
        <v>613</v>
      </c>
      <c r="EJB38" s="49">
        <v>707</v>
      </c>
      <c r="EJC38" s="49">
        <v>0</v>
      </c>
      <c r="EJD38" s="49">
        <v>668</v>
      </c>
      <c r="EJE38" s="49">
        <v>249</v>
      </c>
      <c r="EJF38" s="64">
        <f t="shared" si="1394"/>
        <v>2237</v>
      </c>
      <c r="EJG38" s="68">
        <f t="shared" si="1395"/>
        <v>372.83333333333331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396"/>
        <v>0</v>
      </c>
      <c r="EJO38" s="68">
        <f t="shared" si="1397"/>
        <v>0</v>
      </c>
      <c r="EJP38" s="48">
        <v>0</v>
      </c>
      <c r="EJQ38" s="49">
        <v>0</v>
      </c>
      <c r="EJR38" s="49">
        <v>0</v>
      </c>
      <c r="EJS38" s="49">
        <v>0</v>
      </c>
      <c r="EJT38" s="49">
        <v>879</v>
      </c>
      <c r="EJU38" s="49">
        <v>0</v>
      </c>
      <c r="EJV38" s="64">
        <f t="shared" si="1398"/>
        <v>879</v>
      </c>
      <c r="EJW38" s="68">
        <f t="shared" si="1399"/>
        <v>146.5</v>
      </c>
      <c r="EJX38" s="48">
        <v>44</v>
      </c>
      <c r="EJY38" s="49">
        <v>0</v>
      </c>
      <c r="EJZ38" s="49">
        <v>0</v>
      </c>
      <c r="EKA38" s="49"/>
      <c r="EKB38" s="49">
        <v>0</v>
      </c>
      <c r="EKC38" s="49"/>
      <c r="EKD38" s="64">
        <f t="shared" si="1400"/>
        <v>44</v>
      </c>
      <c r="EKE38" s="68">
        <f t="shared" si="1401"/>
        <v>7.333333333333333</v>
      </c>
      <c r="EKF38" s="48">
        <v>0</v>
      </c>
      <c r="EKG38" s="49">
        <v>0</v>
      </c>
      <c r="EKH38" s="49">
        <v>822</v>
      </c>
      <c r="EKI38" s="49"/>
      <c r="EKJ38" s="49">
        <v>110</v>
      </c>
      <c r="EKK38" s="49">
        <v>0</v>
      </c>
      <c r="EKL38" s="64">
        <f t="shared" si="1402"/>
        <v>932</v>
      </c>
      <c r="EKM38" s="68">
        <f t="shared" si="1403"/>
        <v>155.33333333333334</v>
      </c>
      <c r="EKN38" s="48">
        <v>0</v>
      </c>
      <c r="EKO38" s="49">
        <v>747</v>
      </c>
      <c r="EKP38" s="49">
        <v>0</v>
      </c>
      <c r="EKQ38" s="49">
        <v>0</v>
      </c>
      <c r="EKR38" s="49">
        <v>0</v>
      </c>
      <c r="EKS38" s="49">
        <v>0</v>
      </c>
      <c r="EKT38" s="64">
        <f t="shared" si="1404"/>
        <v>747</v>
      </c>
      <c r="EKU38" s="184">
        <f t="shared" si="1405"/>
        <v>124.5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06"/>
        <v>0</v>
      </c>
      <c r="ELD38" s="211">
        <f t="shared" si="1407"/>
        <v>0</v>
      </c>
      <c r="ELE38" s="195">
        <v>0</v>
      </c>
      <c r="ELF38" s="49">
        <v>1398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08"/>
        <v>1398</v>
      </c>
      <c r="ELL38" s="211">
        <f t="shared" si="1409"/>
        <v>233</v>
      </c>
      <c r="ELM38" s="195">
        <v>661</v>
      </c>
      <c r="ELN38" s="49">
        <v>0</v>
      </c>
      <c r="ELO38" s="49">
        <v>0</v>
      </c>
      <c r="ELP38" s="49">
        <v>0</v>
      </c>
      <c r="ELQ38" s="49">
        <v>0</v>
      </c>
      <c r="ELR38" s="49">
        <v>0</v>
      </c>
      <c r="ELS38" s="64">
        <f t="shared" si="1410"/>
        <v>661</v>
      </c>
      <c r="ELT38" s="211">
        <f t="shared" si="1411"/>
        <v>110.16666666666667</v>
      </c>
      <c r="ELU38" s="195">
        <v>507</v>
      </c>
      <c r="ELV38" s="49">
        <v>0</v>
      </c>
      <c r="ELW38" s="49">
        <v>0</v>
      </c>
      <c r="ELX38" s="49">
        <v>0</v>
      </c>
      <c r="ELY38" s="49">
        <v>0</v>
      </c>
      <c r="ELZ38" s="49">
        <v>303</v>
      </c>
      <c r="EMA38" s="64">
        <f t="shared" si="1412"/>
        <v>810</v>
      </c>
      <c r="EMB38" s="211">
        <f t="shared" si="1413"/>
        <v>135</v>
      </c>
      <c r="EMC38" s="195">
        <v>0</v>
      </c>
      <c r="EMD38" s="49">
        <v>341</v>
      </c>
      <c r="EME38" s="49">
        <v>0</v>
      </c>
      <c r="EMF38" s="49">
        <v>0</v>
      </c>
      <c r="EMG38" s="49"/>
      <c r="EMH38" s="49">
        <v>0</v>
      </c>
      <c r="EMI38" s="64">
        <f t="shared" si="1414"/>
        <v>341</v>
      </c>
      <c r="EMJ38" s="211">
        <f t="shared" si="1415"/>
        <v>56.833333333333336</v>
      </c>
      <c r="EMK38" s="195">
        <v>0</v>
      </c>
      <c r="EML38" s="49">
        <v>334</v>
      </c>
      <c r="EMM38" s="49">
        <v>248</v>
      </c>
      <c r="EMN38" s="49">
        <v>456</v>
      </c>
      <c r="EMO38" s="49">
        <v>343</v>
      </c>
      <c r="EMP38" s="49">
        <v>452</v>
      </c>
      <c r="EMQ38" s="64">
        <f t="shared" si="1416"/>
        <v>1833</v>
      </c>
      <c r="EMR38" s="211">
        <f t="shared" si="1417"/>
        <v>305.5</v>
      </c>
      <c r="EMS38" s="195">
        <v>0</v>
      </c>
      <c r="EMT38" s="49">
        <v>0</v>
      </c>
      <c r="EMU38" s="49">
        <v>0</v>
      </c>
      <c r="EMV38" s="49">
        <v>0</v>
      </c>
      <c r="EMW38" s="49">
        <v>552</v>
      </c>
      <c r="EMX38" s="49">
        <v>0</v>
      </c>
      <c r="EMY38" s="64">
        <f t="shared" si="1418"/>
        <v>552</v>
      </c>
      <c r="EMZ38" s="211">
        <f t="shared" si="1419"/>
        <v>92</v>
      </c>
      <c r="ENA38" s="195">
        <v>318</v>
      </c>
      <c r="ENB38" s="49">
        <v>1227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20"/>
        <v>1545</v>
      </c>
      <c r="ENH38" s="211">
        <f t="shared" si="1421"/>
        <v>257.5</v>
      </c>
      <c r="ENI38" s="195">
        <v>0</v>
      </c>
      <c r="ENJ38" s="49"/>
      <c r="ENK38" s="49">
        <v>495</v>
      </c>
      <c r="ENL38" s="49">
        <v>0</v>
      </c>
      <c r="ENM38" s="49">
        <v>112</v>
      </c>
      <c r="ENN38" s="49">
        <v>0</v>
      </c>
      <c r="ENO38" s="64">
        <f t="shared" si="1422"/>
        <v>607</v>
      </c>
      <c r="ENP38" s="211">
        <f t="shared" si="1423"/>
        <v>101.16666666666667</v>
      </c>
      <c r="ENQ38" s="195">
        <v>0</v>
      </c>
      <c r="ENR38" s="49">
        <v>1345</v>
      </c>
      <c r="ENS38" s="49">
        <v>0</v>
      </c>
      <c r="ENT38" s="49">
        <v>0</v>
      </c>
      <c r="ENU38" s="49">
        <v>0</v>
      </c>
      <c r="ENV38" s="49">
        <v>1291</v>
      </c>
      <c r="ENW38" s="64">
        <f t="shared" si="1424"/>
        <v>2636</v>
      </c>
      <c r="ENX38" s="211">
        <f t="shared" si="1425"/>
        <v>439.33333333333331</v>
      </c>
      <c r="ENY38" s="195">
        <v>0</v>
      </c>
      <c r="ENZ38" s="49"/>
      <c r="EOA38" s="49">
        <v>0</v>
      </c>
      <c r="EOB38" s="49">
        <v>0</v>
      </c>
      <c r="EOC38" s="49">
        <v>0</v>
      </c>
      <c r="EOD38" s="49">
        <v>0</v>
      </c>
      <c r="EOE38" s="64">
        <f t="shared" si="1426"/>
        <v>0</v>
      </c>
      <c r="EOF38" s="211">
        <f t="shared" si="1427"/>
        <v>0</v>
      </c>
      <c r="EOG38" s="1"/>
      <c r="EOH38" s="195"/>
      <c r="EOI38" s="49">
        <v>1304</v>
      </c>
      <c r="EOJ38" s="49">
        <v>0</v>
      </c>
      <c r="EOK38" s="49">
        <v>0</v>
      </c>
      <c r="EOL38" s="49">
        <v>786</v>
      </c>
      <c r="EOM38" s="49">
        <v>513</v>
      </c>
      <c r="EON38" s="184">
        <f t="shared" si="1428"/>
        <v>2603</v>
      </c>
      <c r="EOO38" s="244">
        <v>0</v>
      </c>
      <c r="EOP38" s="49">
        <v>0</v>
      </c>
      <c r="EOQ38" s="49">
        <v>0</v>
      </c>
      <c r="EOR38" s="49">
        <v>1234</v>
      </c>
      <c r="EOS38" s="49">
        <v>0</v>
      </c>
      <c r="EOT38" s="49">
        <v>0</v>
      </c>
      <c r="EOU38" s="64">
        <f t="shared" si="1429"/>
        <v>1234</v>
      </c>
      <c r="EOV38" s="211">
        <f t="shared" si="1430"/>
        <v>205.66666666666666</v>
      </c>
      <c r="EOW38" s="195">
        <v>0</v>
      </c>
      <c r="EOX38" s="49">
        <v>1341</v>
      </c>
      <c r="EOY38" s="49">
        <v>0</v>
      </c>
      <c r="EOZ38" s="49"/>
      <c r="EPA38" s="49">
        <v>113</v>
      </c>
      <c r="EPB38" s="49">
        <v>0</v>
      </c>
      <c r="EPC38" s="64">
        <f t="shared" si="1431"/>
        <v>1454</v>
      </c>
      <c r="EPD38" s="211">
        <f t="shared" si="1432"/>
        <v>242.33333333333334</v>
      </c>
      <c r="EPE38" s="195">
        <v>1309</v>
      </c>
      <c r="EPF38" s="49">
        <v>0</v>
      </c>
      <c r="EPG38" s="49">
        <v>0</v>
      </c>
      <c r="EPH38" s="49">
        <v>0</v>
      </c>
      <c r="EPI38" s="49">
        <v>0</v>
      </c>
      <c r="EPJ38" s="49">
        <v>794</v>
      </c>
      <c r="EPK38" s="64">
        <f t="shared" si="1433"/>
        <v>2103</v>
      </c>
      <c r="EPL38" s="211">
        <f t="shared" si="1434"/>
        <v>350.5</v>
      </c>
      <c r="EPM38" s="195">
        <v>170</v>
      </c>
      <c r="EPN38" s="49">
        <v>0</v>
      </c>
      <c r="EPO38" s="49">
        <v>520</v>
      </c>
      <c r="EPP38" s="49">
        <v>219</v>
      </c>
      <c r="EPQ38" s="49">
        <v>0</v>
      </c>
      <c r="EPR38" s="49">
        <v>1252</v>
      </c>
      <c r="EPS38" s="64">
        <f t="shared" si="1435"/>
        <v>2161</v>
      </c>
      <c r="EPT38" s="211">
        <f t="shared" si="1436"/>
        <v>360.16666666666669</v>
      </c>
      <c r="EPU38" s="195">
        <v>0</v>
      </c>
      <c r="EPV38" s="49">
        <v>113</v>
      </c>
      <c r="EPW38" s="49">
        <v>304</v>
      </c>
      <c r="EPX38" s="49">
        <v>305</v>
      </c>
      <c r="EPY38" s="49">
        <f>SUMIF(SUMPK!$B:$B,$B:$B,SUMPK!$O:$O)</f>
        <v>0</v>
      </c>
      <c r="EPZ38" s="49">
        <v>0</v>
      </c>
      <c r="EQA38" s="64">
        <f t="shared" si="1437"/>
        <v>722</v>
      </c>
      <c r="EQB38" s="211">
        <f t="shared" si="1438"/>
        <v>120.33333333333333</v>
      </c>
      <c r="EQC38" s="195">
        <v>0</v>
      </c>
      <c r="EQD38" s="49">
        <v>0</v>
      </c>
      <c r="EQE38" s="49">
        <v>0</v>
      </c>
      <c r="EQF38" s="49">
        <v>0</v>
      </c>
      <c r="EQG38" s="49">
        <v>0</v>
      </c>
      <c r="EQH38" s="49"/>
      <c r="EQI38" s="64">
        <f t="shared" si="1439"/>
        <v>0</v>
      </c>
      <c r="EQJ38" s="211">
        <f t="shared" si="1440"/>
        <v>0</v>
      </c>
      <c r="EQK38" s="195">
        <v>0</v>
      </c>
      <c r="EQL38" s="49">
        <v>0</v>
      </c>
      <c r="EQM38" s="49">
        <v>1036</v>
      </c>
      <c r="EQN38" s="49"/>
      <c r="EQO38" s="49">
        <v>529</v>
      </c>
      <c r="EQP38" s="49">
        <v>0</v>
      </c>
      <c r="EQQ38" s="64">
        <f t="shared" si="1441"/>
        <v>1565</v>
      </c>
      <c r="EQR38" s="211">
        <f t="shared" si="1442"/>
        <v>260.83333333333331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43"/>
        <v>0</v>
      </c>
      <c r="EQZ38" s="211">
        <f t="shared" si="1444"/>
        <v>0</v>
      </c>
      <c r="ERA38" s="195">
        <v>0</v>
      </c>
      <c r="ERB38" s="49">
        <v>1073</v>
      </c>
      <c r="ERC38" s="49">
        <v>682</v>
      </c>
      <c r="ERD38" s="49">
        <v>0</v>
      </c>
      <c r="ERE38" s="49">
        <v>0</v>
      </c>
      <c r="ERF38" s="49"/>
      <c r="ERG38" s="64">
        <f t="shared" si="1445"/>
        <v>1755</v>
      </c>
      <c r="ERH38" s="211">
        <f t="shared" si="1446"/>
        <v>292.5</v>
      </c>
      <c r="ERI38" s="195"/>
      <c r="ERJ38" s="49">
        <v>0</v>
      </c>
      <c r="ERK38" s="49">
        <v>0</v>
      </c>
      <c r="ERL38" s="49">
        <v>0</v>
      </c>
      <c r="ERM38" s="49">
        <v>0</v>
      </c>
      <c r="ERN38" s="49">
        <v>0</v>
      </c>
      <c r="ERO38" s="64">
        <f t="shared" si="1447"/>
        <v>0</v>
      </c>
      <c r="ERP38" s="211">
        <f t="shared" si="1448"/>
        <v>0</v>
      </c>
      <c r="ERQ38" s="195"/>
      <c r="ERR38" s="49">
        <v>0</v>
      </c>
      <c r="ERS38" s="49"/>
      <c r="ERT38" s="49">
        <v>0</v>
      </c>
      <c r="ERU38" s="49">
        <v>0</v>
      </c>
      <c r="ERV38" s="49">
        <v>0</v>
      </c>
      <c r="ERW38" s="64">
        <f t="shared" si="1449"/>
        <v>0</v>
      </c>
      <c r="ERX38" s="211">
        <f t="shared" si="1450"/>
        <v>0</v>
      </c>
      <c r="ERY38" s="195">
        <v>0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51"/>
        <v>0</v>
      </c>
      <c r="ESF38" s="211">
        <f t="shared" si="1452"/>
        <v>0</v>
      </c>
      <c r="ESG38" s="195">
        <v>0</v>
      </c>
      <c r="ESH38" s="49">
        <v>0</v>
      </c>
      <c r="ESI38" s="49">
        <v>0</v>
      </c>
      <c r="ESJ38" s="49">
        <v>0</v>
      </c>
      <c r="ESK38" s="49"/>
      <c r="ESL38" s="49">
        <v>0</v>
      </c>
      <c r="ESM38" s="64">
        <f t="shared" si="1453"/>
        <v>0</v>
      </c>
      <c r="ESN38" s="211">
        <f t="shared" si="1454"/>
        <v>0</v>
      </c>
      <c r="ESO38" s="458">
        <v>0</v>
      </c>
      <c r="ESP38" s="83">
        <v>0</v>
      </c>
      <c r="ESQ38" s="83">
        <v>0</v>
      </c>
      <c r="ESR38" s="83">
        <v>40</v>
      </c>
      <c r="ESS38" s="83">
        <v>0</v>
      </c>
      <c r="EST38" s="83"/>
      <c r="ESU38" s="64">
        <f t="shared" si="1455"/>
        <v>40</v>
      </c>
      <c r="ESV38" s="211">
        <f t="shared" si="1456"/>
        <v>6.666666666666667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57"/>
        <v>0</v>
      </c>
      <c r="ETD38" s="211">
        <f t="shared" si="1458"/>
        <v>0</v>
      </c>
      <c r="ETE38" s="195">
        <v>0</v>
      </c>
      <c r="ETF38" s="49">
        <v>0</v>
      </c>
      <c r="ETG38" s="49">
        <v>0</v>
      </c>
      <c r="ETH38" s="49">
        <v>0</v>
      </c>
      <c r="ETI38" s="49">
        <v>0</v>
      </c>
      <c r="ETJ38" s="49">
        <v>0</v>
      </c>
      <c r="ETK38" s="808">
        <f t="shared" si="1459"/>
        <v>0</v>
      </c>
      <c r="ETL38" s="211">
        <f t="shared" si="1460"/>
        <v>0</v>
      </c>
      <c r="ETM38" s="814">
        <v>0</v>
      </c>
      <c r="ETN38" s="815">
        <v>0</v>
      </c>
      <c r="ETO38" s="815">
        <v>0</v>
      </c>
      <c r="ETP38" s="815">
        <v>40</v>
      </c>
      <c r="ETQ38" s="815">
        <v>0</v>
      </c>
      <c r="ETR38" s="815">
        <v>50</v>
      </c>
      <c r="ETS38" s="808">
        <f t="shared" si="1461"/>
        <v>90</v>
      </c>
      <c r="ETT38" s="211">
        <f t="shared" si="1462"/>
        <v>15</v>
      </c>
      <c r="ETU38" s="458">
        <v>0</v>
      </c>
      <c r="ETV38" s="83">
        <v>0</v>
      </c>
      <c r="ETW38" s="83">
        <v>0</v>
      </c>
      <c r="ETX38" s="83">
        <v>0</v>
      </c>
      <c r="ETY38" s="83">
        <v>0</v>
      </c>
      <c r="ETZ38" s="83">
        <v>0</v>
      </c>
      <c r="EUA38" s="808">
        <f t="shared" si="1463"/>
        <v>0</v>
      </c>
      <c r="EUB38" s="211">
        <f t="shared" si="1464"/>
        <v>0</v>
      </c>
      <c r="EUC38" s="458"/>
      <c r="EUD38" s="83">
        <v>0</v>
      </c>
      <c r="EUE38" s="83"/>
      <c r="EUF38" s="83">
        <v>0</v>
      </c>
      <c r="EUG38" s="83">
        <v>0</v>
      </c>
      <c r="EUH38" s="83">
        <v>0</v>
      </c>
      <c r="EUI38" s="808">
        <f t="shared" si="1465"/>
        <v>0</v>
      </c>
      <c r="EUJ38" s="211">
        <f t="shared" si="1466"/>
        <v>0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0</v>
      </c>
      <c r="EUQ38" s="808">
        <f t="shared" si="1467"/>
        <v>0</v>
      </c>
      <c r="EUR38" s="211">
        <f t="shared" si="1468"/>
        <v>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69"/>
        <v>0</v>
      </c>
      <c r="EUZ38" s="211">
        <f t="shared" si="1470"/>
        <v>0</v>
      </c>
      <c r="EVA38" s="195">
        <v>0</v>
      </c>
      <c r="EVB38" s="49">
        <v>0</v>
      </c>
      <c r="EVC38" s="49">
        <v>0</v>
      </c>
      <c r="EVD38" s="49"/>
      <c r="EVE38" s="49">
        <v>0</v>
      </c>
      <c r="EVF38" s="49"/>
      <c r="EVG38" s="808">
        <f t="shared" si="1471"/>
        <v>0</v>
      </c>
      <c r="EVH38" s="211">
        <f t="shared" si="1472"/>
        <v>0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73"/>
        <v>0</v>
      </c>
      <c r="EVP38" s="211">
        <f t="shared" si="1474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75"/>
        <v>0</v>
      </c>
      <c r="EVX38" s="211">
        <f t="shared" si="1476"/>
        <v>0</v>
      </c>
      <c r="EVY38" s="195">
        <v>0</v>
      </c>
      <c r="EVZ38" s="49">
        <v>0</v>
      </c>
      <c r="EWA38" s="49">
        <v>0</v>
      </c>
      <c r="EWB38" s="49">
        <v>0</v>
      </c>
      <c r="EWC38" s="49">
        <v>0</v>
      </c>
      <c r="EWD38" s="49"/>
      <c r="EWE38" s="808">
        <f t="shared" si="1477"/>
        <v>0</v>
      </c>
      <c r="EWF38" s="211">
        <f t="shared" si="1478"/>
        <v>0</v>
      </c>
      <c r="EWG38" s="195">
        <v>0</v>
      </c>
      <c r="EWH38" s="49">
        <v>0</v>
      </c>
      <c r="EWI38" s="49"/>
      <c r="EWJ38" s="49">
        <v>0</v>
      </c>
      <c r="EWK38" s="49">
        <v>0</v>
      </c>
      <c r="EWL38" s="49"/>
      <c r="EWM38" s="808">
        <f t="shared" si="1479"/>
        <v>0</v>
      </c>
      <c r="EWN38" s="211">
        <f t="shared" si="1480"/>
        <v>0</v>
      </c>
      <c r="EWO38" s="195">
        <v>0</v>
      </c>
      <c r="EWP38" s="49"/>
      <c r="EWQ38" s="49"/>
      <c r="EWR38" s="49">
        <v>0</v>
      </c>
      <c r="EWS38" s="49">
        <v>0</v>
      </c>
      <c r="EWT38" s="49">
        <v>0</v>
      </c>
      <c r="EWU38" s="808">
        <f t="shared" si="1481"/>
        <v>0</v>
      </c>
      <c r="EWV38" s="211">
        <f t="shared" si="1482"/>
        <v>0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83"/>
        <v>0</v>
      </c>
      <c r="EXD38" s="211">
        <f t="shared" si="1484"/>
        <v>0</v>
      </c>
      <c r="EXE38" s="195"/>
      <c r="EXF38" s="49">
        <v>0</v>
      </c>
      <c r="EXG38" s="49">
        <v>0</v>
      </c>
      <c r="EXH38" s="49"/>
      <c r="EXI38" s="49">
        <v>0</v>
      </c>
      <c r="EXJ38" s="49">
        <v>0</v>
      </c>
      <c r="EXK38" s="808">
        <f t="shared" si="1485"/>
        <v>0</v>
      </c>
      <c r="EXL38" s="211">
        <f t="shared" si="1486"/>
        <v>0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87"/>
        <v>0</v>
      </c>
      <c r="EXT38" s="211">
        <f t="shared" si="1488"/>
        <v>0</v>
      </c>
      <c r="EXU38" s="195">
        <v>0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89"/>
        <v>0</v>
      </c>
      <c r="EYB38" s="211">
        <f t="shared" si="1490"/>
        <v>0</v>
      </c>
      <c r="EYC38" s="195">
        <v>0</v>
      </c>
      <c r="EYD38" s="49"/>
      <c r="EYE38" s="49">
        <v>0</v>
      </c>
      <c r="EYF38" s="49"/>
      <c r="EYG38" s="49">
        <v>0</v>
      </c>
      <c r="EYH38" s="49">
        <v>0</v>
      </c>
      <c r="EYI38" s="808">
        <f t="shared" si="1491"/>
        <v>0</v>
      </c>
      <c r="EYJ38" s="211">
        <f t="shared" si="1492"/>
        <v>0</v>
      </c>
      <c r="EYK38" s="195">
        <v>0</v>
      </c>
      <c r="EYL38" s="49">
        <v>0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493"/>
        <v>0</v>
      </c>
      <c r="EYR38" s="211">
        <f t="shared" si="1494"/>
        <v>0</v>
      </c>
      <c r="EYS38" s="195">
        <v>0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495"/>
        <v>0</v>
      </c>
      <c r="EYZ38" s="873">
        <f t="shared" si="1496"/>
        <v>0</v>
      </c>
      <c r="EZA38" s="195">
        <v>0</v>
      </c>
      <c r="EZB38" s="49">
        <v>0</v>
      </c>
      <c r="EZC38" s="49">
        <v>0</v>
      </c>
      <c r="EZD38" s="49"/>
      <c r="EZE38" s="49">
        <v>0</v>
      </c>
      <c r="EZF38" s="49">
        <v>0</v>
      </c>
      <c r="EZG38" s="872">
        <f t="shared" si="1497"/>
        <v>0</v>
      </c>
      <c r="EZH38" s="873">
        <f t="shared" si="1498"/>
        <v>0</v>
      </c>
      <c r="EZI38" s="195">
        <v>0</v>
      </c>
      <c r="EZJ38" s="49">
        <v>0</v>
      </c>
      <c r="EZK38" s="49"/>
      <c r="EZL38" s="49"/>
      <c r="EZM38" s="49"/>
      <c r="EZN38" s="49"/>
      <c r="EZO38" s="872">
        <f t="shared" si="1499"/>
        <v>0</v>
      </c>
      <c r="EZP38" s="873">
        <f t="shared" si="1500"/>
        <v>0</v>
      </c>
    </row>
    <row r="39" spans="1:4072" s="8" customFormat="1" ht="13.5" thickBot="1" x14ac:dyDescent="0.25">
      <c r="A39" s="21">
        <v>10</v>
      </c>
      <c r="B39" s="297" t="s">
        <v>35</v>
      </c>
      <c r="C39" s="725" t="s">
        <v>36</v>
      </c>
      <c r="D39" s="297">
        <v>25</v>
      </c>
      <c r="E39" s="24"/>
      <c r="F39" s="24">
        <v>2106</v>
      </c>
      <c r="G39" s="24"/>
      <c r="H39" s="24"/>
      <c r="I39" s="24"/>
      <c r="J39" s="360">
        <f>SUMIF(SUMPK!$B:$B,$B:$B,SUMPK!$O:$O)</f>
        <v>0</v>
      </c>
      <c r="K39" s="24">
        <f t="shared" si="1220"/>
        <v>0</v>
      </c>
      <c r="L39" s="24">
        <f t="shared" si="1505"/>
        <v>2106</v>
      </c>
      <c r="M39" s="15">
        <f t="shared" si="1627"/>
        <v>2106</v>
      </c>
      <c r="N39" s="15">
        <v>0</v>
      </c>
      <c r="O39" s="276">
        <f t="shared" si="1223"/>
        <v>0</v>
      </c>
      <c r="P39" s="712">
        <v>55</v>
      </c>
      <c r="Q39" s="276">
        <f t="shared" si="1506"/>
        <v>229.74545454545455</v>
      </c>
      <c r="R39" s="277">
        <f t="shared" si="1507"/>
        <v>61.53846153846154</v>
      </c>
      <c r="S39" s="222">
        <v>1600</v>
      </c>
      <c r="T39" s="276">
        <f t="shared" si="1628"/>
        <v>34.222499999999997</v>
      </c>
      <c r="U39" s="278"/>
      <c r="V39" s="276">
        <f t="shared" si="1227"/>
        <v>34.222499999999997</v>
      </c>
      <c r="W39" s="279">
        <f t="shared" si="1228"/>
        <v>1</v>
      </c>
      <c r="X39" s="278"/>
      <c r="Y39" s="7"/>
      <c r="Z39" s="7"/>
      <c r="AA39" s="7"/>
      <c r="AB39" s="7"/>
      <c r="AC39" s="662">
        <v>15</v>
      </c>
      <c r="AD39" s="649">
        <v>425</v>
      </c>
      <c r="AE39" s="49"/>
      <c r="AF39" s="49"/>
      <c r="AG39" s="49"/>
      <c r="AH39" s="49">
        <v>389</v>
      </c>
      <c r="AI39" s="49"/>
      <c r="AJ39" s="42">
        <f t="shared" si="1892"/>
        <v>814</v>
      </c>
      <c r="AK39" s="43">
        <f t="shared" si="1893"/>
        <v>135.66666666666666</v>
      </c>
      <c r="AL39" s="48"/>
      <c r="AM39" s="49"/>
      <c r="AN39" s="49">
        <v>600</v>
      </c>
      <c r="AO39" s="49"/>
      <c r="AP39" s="49"/>
      <c r="AQ39" s="49"/>
      <c r="AR39" s="42">
        <f t="shared" si="1894"/>
        <v>600</v>
      </c>
      <c r="AS39" s="43">
        <f t="shared" si="1895"/>
        <v>100</v>
      </c>
      <c r="AT39" s="48"/>
      <c r="AU39" s="49"/>
      <c r="AV39" s="49"/>
      <c r="AW39" s="49">
        <v>404</v>
      </c>
      <c r="AX39" s="49"/>
      <c r="AY39" s="49"/>
      <c r="AZ39" s="42">
        <f t="shared" si="1896"/>
        <v>404</v>
      </c>
      <c r="BA39" s="43">
        <f t="shared" si="1897"/>
        <v>67.333333333333329</v>
      </c>
      <c r="BB39" s="48">
        <v>796</v>
      </c>
      <c r="BC39" s="49"/>
      <c r="BD39" s="49"/>
      <c r="BE39" s="49"/>
      <c r="BF39" s="49"/>
      <c r="BG39" s="49">
        <v>600</v>
      </c>
      <c r="BH39" s="42">
        <f t="shared" si="1898"/>
        <v>1396</v>
      </c>
      <c r="BI39" s="43">
        <f t="shared" si="1899"/>
        <v>232.66666666666666</v>
      </c>
      <c r="BJ39" s="48"/>
      <c r="BK39" s="49">
        <v>602</v>
      </c>
      <c r="BL39" s="49"/>
      <c r="BM39" s="49"/>
      <c r="BN39" s="49"/>
      <c r="BO39" s="49"/>
      <c r="BP39" s="42">
        <f t="shared" si="1900"/>
        <v>602</v>
      </c>
      <c r="BQ39" s="43">
        <f t="shared" si="1901"/>
        <v>100.33333333333333</v>
      </c>
      <c r="BR39" s="48"/>
      <c r="BS39" s="49"/>
      <c r="BT39" s="49">
        <v>398</v>
      </c>
      <c r="BU39" s="49"/>
      <c r="BV39" s="49">
        <v>599</v>
      </c>
      <c r="BW39" s="49"/>
      <c r="BX39" s="42">
        <f t="shared" si="1902"/>
        <v>997</v>
      </c>
      <c r="BY39" s="43">
        <f t="shared" si="1903"/>
        <v>166.16666666666666</v>
      </c>
      <c r="BZ39" s="48"/>
      <c r="CA39" s="49"/>
      <c r="CB39" s="49">
        <v>404</v>
      </c>
      <c r="CC39" s="49"/>
      <c r="CD39" s="49"/>
      <c r="CE39" s="49"/>
      <c r="CF39" s="42">
        <f t="shared" si="1904"/>
        <v>404</v>
      </c>
      <c r="CG39" s="43">
        <f t="shared" si="1905"/>
        <v>67.333333333333329</v>
      </c>
      <c r="CH39" s="48"/>
      <c r="CI39" s="49"/>
      <c r="CJ39" s="49">
        <v>400</v>
      </c>
      <c r="CK39" s="49"/>
      <c r="CL39" s="49"/>
      <c r="CM39" s="49"/>
      <c r="CN39" s="42">
        <f t="shared" si="1906"/>
        <v>400</v>
      </c>
      <c r="CO39" s="43">
        <f t="shared" si="1907"/>
        <v>66.666666666666671</v>
      </c>
      <c r="CP39" s="48">
        <v>600</v>
      </c>
      <c r="CQ39" s="49"/>
      <c r="CR39" s="49">
        <v>401</v>
      </c>
      <c r="CS39" s="49"/>
      <c r="CT39" s="49"/>
      <c r="CU39" s="49"/>
      <c r="CV39" s="42">
        <f t="shared" si="1908"/>
        <v>1001</v>
      </c>
      <c r="CW39" s="43">
        <f t="shared" si="1909"/>
        <v>166.83333333333334</v>
      </c>
      <c r="CX39" s="48"/>
      <c r="CY39" s="49"/>
      <c r="CZ39" s="49"/>
      <c r="DA39" s="49"/>
      <c r="DB39" s="49"/>
      <c r="DC39" s="49"/>
      <c r="DD39" s="42">
        <f t="shared" si="1910"/>
        <v>0</v>
      </c>
      <c r="DE39" s="43">
        <f t="shared" si="1911"/>
        <v>0</v>
      </c>
      <c r="DF39" s="48"/>
      <c r="DG39" s="49"/>
      <c r="DH39" s="49"/>
      <c r="DI39" s="49"/>
      <c r="DJ39" s="49">
        <v>299</v>
      </c>
      <c r="DK39" s="49"/>
      <c r="DL39" s="42">
        <f t="shared" si="1912"/>
        <v>299</v>
      </c>
      <c r="DM39" s="43">
        <f t="shared" si="1913"/>
        <v>49.833333333333336</v>
      </c>
      <c r="DN39" s="48"/>
      <c r="DO39" s="49"/>
      <c r="DP39" s="49"/>
      <c r="DQ39" s="49"/>
      <c r="DR39" s="49">
        <v>600</v>
      </c>
      <c r="DS39" s="49"/>
      <c r="DT39" s="42">
        <f t="shared" si="1914"/>
        <v>600</v>
      </c>
      <c r="DU39" s="43">
        <f t="shared" si="1915"/>
        <v>100</v>
      </c>
      <c r="DV39" s="48"/>
      <c r="DW39" s="49"/>
      <c r="DX39" s="49">
        <v>200</v>
      </c>
      <c r="DY39" s="49"/>
      <c r="DZ39" s="49"/>
      <c r="EA39" s="49"/>
      <c r="EB39" s="42">
        <f t="shared" si="1916"/>
        <v>200</v>
      </c>
      <c r="EC39" s="43">
        <f t="shared" si="1917"/>
        <v>33.333333333333336</v>
      </c>
      <c r="ED39" s="48"/>
      <c r="EE39" s="49">
        <v>721</v>
      </c>
      <c r="EF39" s="49"/>
      <c r="EG39" s="49"/>
      <c r="EH39" s="49"/>
      <c r="EI39" s="49"/>
      <c r="EJ39" s="42">
        <f t="shared" si="1918"/>
        <v>721</v>
      </c>
      <c r="EK39" s="43">
        <f t="shared" si="1919"/>
        <v>120.16666666666667</v>
      </c>
      <c r="EL39" s="48"/>
      <c r="EM39" s="49"/>
      <c r="EN39" s="49">
        <v>395</v>
      </c>
      <c r="EO39" s="49"/>
      <c r="EP39" s="49"/>
      <c r="EQ39" s="49"/>
      <c r="ER39" s="42">
        <f t="shared" si="1920"/>
        <v>395</v>
      </c>
      <c r="ES39" s="43">
        <f t="shared" si="1921"/>
        <v>65.833333333333329</v>
      </c>
      <c r="ET39" s="48"/>
      <c r="EU39" s="49"/>
      <c r="EV39" s="49">
        <v>200</v>
      </c>
      <c r="EW39" s="49">
        <v>400</v>
      </c>
      <c r="EX39" s="49"/>
      <c r="EY39" s="49"/>
      <c r="EZ39" s="42">
        <f t="shared" si="1922"/>
        <v>600</v>
      </c>
      <c r="FA39" s="43">
        <f t="shared" si="1923"/>
        <v>100</v>
      </c>
      <c r="FB39" s="48"/>
      <c r="FC39" s="49">
        <v>387</v>
      </c>
      <c r="FD39" s="49"/>
      <c r="FE39" s="49"/>
      <c r="FF39" s="49">
        <v>399</v>
      </c>
      <c r="FG39" s="49"/>
      <c r="FH39" s="42">
        <f t="shared" si="1924"/>
        <v>786</v>
      </c>
      <c r="FI39" s="43">
        <f t="shared" si="1925"/>
        <v>131</v>
      </c>
      <c r="FJ39" s="48"/>
      <c r="FK39" s="49">
        <v>200</v>
      </c>
      <c r="FL39" s="49"/>
      <c r="FM39" s="49">
        <v>100</v>
      </c>
      <c r="FN39" s="49"/>
      <c r="FO39" s="49"/>
      <c r="FP39" s="42">
        <f t="shared" si="1926"/>
        <v>300</v>
      </c>
      <c r="FQ39" s="43">
        <f t="shared" si="1927"/>
        <v>50</v>
      </c>
      <c r="FR39" s="48">
        <v>397</v>
      </c>
      <c r="FS39" s="49"/>
      <c r="FT39" s="49"/>
      <c r="FU39" s="49"/>
      <c r="FV39" s="49">
        <v>397</v>
      </c>
      <c r="FW39" s="49"/>
      <c r="FX39" s="42">
        <f t="shared" si="1928"/>
        <v>794</v>
      </c>
      <c r="FY39" s="43">
        <f t="shared" si="1929"/>
        <v>132.33333333333334</v>
      </c>
      <c r="FZ39" s="48"/>
      <c r="GA39" s="49"/>
      <c r="GB39" s="49">
        <v>30</v>
      </c>
      <c r="GC39" s="49"/>
      <c r="GD39" s="49">
        <v>573</v>
      </c>
      <c r="GE39" s="49"/>
      <c r="GF39" s="42">
        <f t="shared" si="1930"/>
        <v>603</v>
      </c>
      <c r="GG39" s="43">
        <f t="shared" si="1931"/>
        <v>100.5</v>
      </c>
      <c r="GH39" s="48"/>
      <c r="GI39" s="49"/>
      <c r="GJ39" s="49"/>
      <c r="GK39" s="49"/>
      <c r="GL39" s="49">
        <v>200</v>
      </c>
      <c r="GM39" s="49"/>
      <c r="GN39" s="42">
        <f t="shared" si="1932"/>
        <v>200</v>
      </c>
      <c r="GO39" s="43">
        <f t="shared" si="1933"/>
        <v>33.333333333333336</v>
      </c>
      <c r="GP39" s="48">
        <v>571</v>
      </c>
      <c r="GQ39" s="49">
        <v>204</v>
      </c>
      <c r="GR39" s="49">
        <v>600</v>
      </c>
      <c r="GS39" s="49"/>
      <c r="GT39" s="49"/>
      <c r="GU39" s="49"/>
      <c r="GV39" s="42">
        <f t="shared" si="1934"/>
        <v>1375</v>
      </c>
      <c r="GW39" s="43">
        <f t="shared" si="1935"/>
        <v>229.16666666666666</v>
      </c>
      <c r="GX39" s="48"/>
      <c r="GY39" s="49"/>
      <c r="GZ39" s="49"/>
      <c r="HA39" s="49"/>
      <c r="HB39" s="49">
        <v>399</v>
      </c>
      <c r="HC39" s="49"/>
      <c r="HD39" s="42">
        <f t="shared" si="1936"/>
        <v>399</v>
      </c>
      <c r="HE39" s="43">
        <f t="shared" si="1937"/>
        <v>66.5</v>
      </c>
      <c r="HF39" s="48"/>
      <c r="HG39" s="49"/>
      <c r="HH39" s="49">
        <v>403</v>
      </c>
      <c r="HI39" s="49"/>
      <c r="HJ39" s="49"/>
      <c r="HK39" s="49">
        <v>191</v>
      </c>
      <c r="HL39" s="42">
        <f t="shared" si="1938"/>
        <v>594</v>
      </c>
      <c r="HM39" s="43">
        <f t="shared" si="1939"/>
        <v>99</v>
      </c>
      <c r="HN39" s="82"/>
      <c r="HO39" s="83">
        <v>598</v>
      </c>
      <c r="HP39" s="83"/>
      <c r="HQ39" s="83"/>
      <c r="HR39" s="83">
        <v>402</v>
      </c>
      <c r="HS39" s="83"/>
      <c r="HT39" s="42">
        <f t="shared" si="1940"/>
        <v>1000</v>
      </c>
      <c r="HU39" s="43">
        <f t="shared" si="1941"/>
        <v>166.66666666666666</v>
      </c>
      <c r="HV39" s="48">
        <v>200</v>
      </c>
      <c r="HW39" s="49"/>
      <c r="HX39" s="49">
        <v>599</v>
      </c>
      <c r="HY39" s="49"/>
      <c r="HZ39" s="49"/>
      <c r="IA39" s="49"/>
      <c r="IB39" s="42">
        <f t="shared" si="1942"/>
        <v>799</v>
      </c>
      <c r="IC39" s="43">
        <f t="shared" si="1943"/>
        <v>133.16666666666666</v>
      </c>
      <c r="ID39" s="48"/>
      <c r="IE39" s="49"/>
      <c r="IF39" s="49"/>
      <c r="IG39" s="49"/>
      <c r="IH39" s="49"/>
      <c r="II39" s="49">
        <v>600</v>
      </c>
      <c r="IJ39" s="42">
        <f t="shared" si="1944"/>
        <v>600</v>
      </c>
      <c r="IK39" s="43">
        <f t="shared" si="1945"/>
        <v>100</v>
      </c>
      <c r="IL39" s="48"/>
      <c r="IM39" s="49"/>
      <c r="IN39" s="49"/>
      <c r="IO39" s="49"/>
      <c r="IP39" s="49"/>
      <c r="IQ39" s="49"/>
      <c r="IR39" s="67">
        <f t="shared" si="1946"/>
        <v>0</v>
      </c>
      <c r="IS39" s="68">
        <f t="shared" si="1947"/>
        <v>0</v>
      </c>
      <c r="IT39" s="48"/>
      <c r="IU39" s="49"/>
      <c r="IV39" s="49"/>
      <c r="IW39" s="49"/>
      <c r="IX39" s="49"/>
      <c r="IY39" s="49">
        <v>100</v>
      </c>
      <c r="IZ39" s="67">
        <f t="shared" si="1948"/>
        <v>100</v>
      </c>
      <c r="JA39" s="68">
        <f t="shared" si="1949"/>
        <v>16.666666666666668</v>
      </c>
      <c r="JB39" s="48"/>
      <c r="JC39" s="49"/>
      <c r="JD39" s="49"/>
      <c r="JE39" s="49">
        <v>374</v>
      </c>
      <c r="JF39" s="49"/>
      <c r="JG39" s="49"/>
      <c r="JH39" s="67">
        <f t="shared" si="1950"/>
        <v>374</v>
      </c>
      <c r="JI39" s="68">
        <f t="shared" si="1951"/>
        <v>62.333333333333336</v>
      </c>
      <c r="JJ39" s="48"/>
      <c r="JK39" s="49">
        <v>603</v>
      </c>
      <c r="JL39" s="49"/>
      <c r="JM39" s="49"/>
      <c r="JN39" s="49">
        <v>404</v>
      </c>
      <c r="JO39" s="49"/>
      <c r="JP39" s="42">
        <f t="shared" si="1952"/>
        <v>1007</v>
      </c>
      <c r="JQ39" s="43">
        <f t="shared" si="1953"/>
        <v>167.83333333333334</v>
      </c>
      <c r="JR39" s="48"/>
      <c r="JS39" s="49">
        <v>655</v>
      </c>
      <c r="JT39" s="49"/>
      <c r="JU39" s="49"/>
      <c r="JV39" s="49"/>
      <c r="JW39" s="49">
        <v>411</v>
      </c>
      <c r="JX39" s="42">
        <f t="shared" si="1954"/>
        <v>1066</v>
      </c>
      <c r="JY39" s="43">
        <f t="shared" si="1955"/>
        <v>177.66666666666666</v>
      </c>
      <c r="JZ39" s="48"/>
      <c r="KA39" s="49"/>
      <c r="KB39" s="49"/>
      <c r="KC39" s="49"/>
      <c r="KD39" s="49">
        <v>608</v>
      </c>
      <c r="KE39" s="49"/>
      <c r="KF39" s="42">
        <f t="shared" si="1956"/>
        <v>608</v>
      </c>
      <c r="KG39" s="43">
        <f t="shared" si="1957"/>
        <v>101.33333333333333</v>
      </c>
      <c r="KH39" s="48"/>
      <c r="KI39" s="49"/>
      <c r="KJ39" s="49">
        <v>198</v>
      </c>
      <c r="KK39" s="49"/>
      <c r="KL39" s="49"/>
      <c r="KM39" s="49"/>
      <c r="KN39" s="67">
        <f t="shared" si="1958"/>
        <v>198</v>
      </c>
      <c r="KO39" s="68">
        <f t="shared" si="1959"/>
        <v>33</v>
      </c>
      <c r="KP39" s="48"/>
      <c r="KQ39" s="49"/>
      <c r="KR39" s="49">
        <v>396</v>
      </c>
      <c r="KS39" s="49"/>
      <c r="KT39" s="49"/>
      <c r="KU39" s="49">
        <v>387</v>
      </c>
      <c r="KV39" s="67">
        <f t="shared" si="1960"/>
        <v>783</v>
      </c>
      <c r="KW39" s="68">
        <f t="shared" si="1961"/>
        <v>130.5</v>
      </c>
      <c r="KX39" s="48"/>
      <c r="KY39" s="49"/>
      <c r="KZ39" s="49"/>
      <c r="LA39" s="49"/>
      <c r="LB39" s="49">
        <v>598</v>
      </c>
      <c r="LC39" s="49"/>
      <c r="LD39" s="67">
        <f t="shared" si="1962"/>
        <v>598</v>
      </c>
      <c r="LE39" s="68">
        <f t="shared" si="1963"/>
        <v>99.666666666666671</v>
      </c>
      <c r="LF39" s="48"/>
      <c r="LG39" s="49"/>
      <c r="LH39" s="49"/>
      <c r="LI39" s="49"/>
      <c r="LJ39" s="49">
        <v>400</v>
      </c>
      <c r="LK39" s="49"/>
      <c r="LL39" s="67">
        <f t="shared" si="1964"/>
        <v>400</v>
      </c>
      <c r="LM39" s="68">
        <f t="shared" si="1965"/>
        <v>66.666666666666671</v>
      </c>
      <c r="LN39" s="48"/>
      <c r="LO39" s="49"/>
      <c r="LP39" s="49">
        <v>399</v>
      </c>
      <c r="LQ39" s="49">
        <v>400</v>
      </c>
      <c r="LR39" s="49"/>
      <c r="LS39" s="49"/>
      <c r="LT39" s="67">
        <f t="shared" si="1966"/>
        <v>799</v>
      </c>
      <c r="LU39" s="68">
        <f t="shared" si="1967"/>
        <v>133.16666666666666</v>
      </c>
      <c r="LV39" s="48"/>
      <c r="LW39" s="49"/>
      <c r="LX39" s="49"/>
      <c r="LY39" s="49"/>
      <c r="LZ39" s="49"/>
      <c r="MA39" s="49"/>
      <c r="MB39" s="67">
        <f t="shared" si="1968"/>
        <v>0</v>
      </c>
      <c r="MC39" s="68">
        <f t="shared" si="1969"/>
        <v>0</v>
      </c>
      <c r="MD39" s="48"/>
      <c r="ME39" s="49">
        <v>199</v>
      </c>
      <c r="MF39" s="49"/>
      <c r="MG39" s="49"/>
      <c r="MH39" s="49">
        <v>300</v>
      </c>
      <c r="MI39" s="49"/>
      <c r="MJ39" s="67">
        <f t="shared" si="1970"/>
        <v>499</v>
      </c>
      <c r="MK39" s="68">
        <f t="shared" si="1971"/>
        <v>83.166666666666671</v>
      </c>
      <c r="ML39" s="48"/>
      <c r="MM39" s="49">
        <v>384</v>
      </c>
      <c r="MN39" s="49"/>
      <c r="MO39" s="49"/>
      <c r="MP39" s="49">
        <v>397</v>
      </c>
      <c r="MQ39" s="49"/>
      <c r="MR39" s="67">
        <f t="shared" si="1972"/>
        <v>781</v>
      </c>
      <c r="MS39" s="68">
        <f t="shared" si="1973"/>
        <v>130.16666666666666</v>
      </c>
      <c r="MT39" s="48"/>
      <c r="MU39" s="49"/>
      <c r="MV39" s="49"/>
      <c r="MW39" s="49">
        <v>393</v>
      </c>
      <c r="MX39" s="49"/>
      <c r="MY39" s="49"/>
      <c r="MZ39" s="67">
        <f t="shared" si="1974"/>
        <v>393</v>
      </c>
      <c r="NA39" s="68">
        <f t="shared" si="1975"/>
        <v>65.5</v>
      </c>
      <c r="NB39" s="48"/>
      <c r="NC39" s="49"/>
      <c r="ND39" s="49"/>
      <c r="NE39" s="49">
        <v>598</v>
      </c>
      <c r="NF39" s="49"/>
      <c r="NG39" s="49"/>
      <c r="NH39" s="67">
        <f t="shared" si="1976"/>
        <v>598</v>
      </c>
      <c r="NI39" s="68">
        <f t="shared" si="1977"/>
        <v>99.666666666666671</v>
      </c>
      <c r="NJ39" s="48"/>
      <c r="NK39" s="49"/>
      <c r="NL39" s="49">
        <v>597</v>
      </c>
      <c r="NM39" s="49"/>
      <c r="NN39" s="49"/>
      <c r="NO39" s="49">
        <v>400</v>
      </c>
      <c r="NP39" s="67">
        <f t="shared" si="1978"/>
        <v>997</v>
      </c>
      <c r="NQ39" s="68">
        <f t="shared" si="1979"/>
        <v>166.16666666666666</v>
      </c>
      <c r="NR39" s="48"/>
      <c r="NS39" s="49"/>
      <c r="NT39" s="49"/>
      <c r="NU39" s="49">
        <v>390</v>
      </c>
      <c r="NV39" s="49"/>
      <c r="NW39" s="49"/>
      <c r="NX39" s="67">
        <f t="shared" si="1980"/>
        <v>390</v>
      </c>
      <c r="NY39" s="68">
        <f t="shared" si="1981"/>
        <v>65</v>
      </c>
      <c r="NZ39" s="48"/>
      <c r="OA39" s="49"/>
      <c r="OB39" s="49"/>
      <c r="OC39" s="49">
        <v>593</v>
      </c>
      <c r="OD39" s="49">
        <v>185</v>
      </c>
      <c r="OE39" s="49"/>
      <c r="OF39" s="67">
        <f t="shared" si="1982"/>
        <v>778</v>
      </c>
      <c r="OG39" s="68">
        <f t="shared" si="1983"/>
        <v>129.66666666666666</v>
      </c>
      <c r="OH39" s="48"/>
      <c r="OI39" s="49"/>
      <c r="OJ39" s="49"/>
      <c r="OK39" s="49">
        <v>377</v>
      </c>
      <c r="OL39" s="49"/>
      <c r="OM39" s="49"/>
      <c r="ON39" s="67">
        <f t="shared" si="1984"/>
        <v>377</v>
      </c>
      <c r="OO39" s="68">
        <f t="shared" si="1985"/>
        <v>62.833333333333336</v>
      </c>
      <c r="OP39" s="48"/>
      <c r="OQ39" s="49"/>
      <c r="OR39" s="49">
        <v>1034</v>
      </c>
      <c r="OS39" s="49"/>
      <c r="OT39" s="49"/>
      <c r="OU39" s="49"/>
      <c r="OV39" s="67">
        <f t="shared" si="1986"/>
        <v>1034</v>
      </c>
      <c r="OW39" s="68">
        <f t="shared" si="1987"/>
        <v>172.33333333333334</v>
      </c>
      <c r="OX39" s="48"/>
      <c r="OY39" s="49"/>
      <c r="OZ39" s="49"/>
      <c r="PA39" s="49"/>
      <c r="PB39" s="49"/>
      <c r="PC39" s="49"/>
      <c r="PD39" s="67">
        <f t="shared" si="1988"/>
        <v>0</v>
      </c>
      <c r="PE39" s="68">
        <f t="shared" si="1989"/>
        <v>0</v>
      </c>
      <c r="PF39" s="48">
        <v>607</v>
      </c>
      <c r="PG39" s="49"/>
      <c r="PH39" s="49"/>
      <c r="PI39" s="49"/>
      <c r="PJ39" s="49"/>
      <c r="PK39" s="49"/>
      <c r="PL39" s="67">
        <f t="shared" si="1990"/>
        <v>607</v>
      </c>
      <c r="PM39" s="68">
        <f t="shared" si="1991"/>
        <v>101.16666666666667</v>
      </c>
      <c r="PN39" s="48">
        <v>200</v>
      </c>
      <c r="PO39" s="49"/>
      <c r="PP39" s="49"/>
      <c r="PQ39" s="49"/>
      <c r="PR39" s="49"/>
      <c r="PS39" s="49"/>
      <c r="PT39" s="67">
        <f t="shared" si="1992"/>
        <v>200</v>
      </c>
      <c r="PU39" s="68">
        <f t="shared" si="1993"/>
        <v>33.333333333333336</v>
      </c>
      <c r="PV39" s="106"/>
      <c r="PW39" s="107"/>
      <c r="PX39" s="107">
        <v>402</v>
      </c>
      <c r="PY39" s="107"/>
      <c r="PZ39" s="107">
        <v>402</v>
      </c>
      <c r="QA39" s="107"/>
      <c r="QB39" s="104">
        <f t="shared" si="1994"/>
        <v>804</v>
      </c>
      <c r="QC39" s="105">
        <f t="shared" si="1995"/>
        <v>134</v>
      </c>
      <c r="QD39" s="106">
        <v>589</v>
      </c>
      <c r="QE39" s="107"/>
      <c r="QF39" s="107"/>
      <c r="QG39" s="107"/>
      <c r="QH39" s="107"/>
      <c r="QI39" s="107"/>
      <c r="QJ39" s="104">
        <f t="shared" si="1996"/>
        <v>589</v>
      </c>
      <c r="QK39" s="105">
        <f t="shared" si="1997"/>
        <v>98.166666666666671</v>
      </c>
      <c r="QL39" s="106"/>
      <c r="QM39" s="107">
        <v>396</v>
      </c>
      <c r="QN39" s="107"/>
      <c r="QO39" s="107"/>
      <c r="QP39" s="107">
        <v>400</v>
      </c>
      <c r="QQ39" s="107"/>
      <c r="QR39" s="104">
        <f t="shared" si="1998"/>
        <v>796</v>
      </c>
      <c r="QS39" s="105">
        <f t="shared" si="1999"/>
        <v>132.66666666666666</v>
      </c>
      <c r="QT39" s="106"/>
      <c r="QU39" s="107"/>
      <c r="QV39" s="107">
        <v>198</v>
      </c>
      <c r="QW39" s="107"/>
      <c r="QX39" s="107">
        <v>595</v>
      </c>
      <c r="QY39" s="107"/>
      <c r="QZ39" s="104">
        <f t="shared" si="2000"/>
        <v>793</v>
      </c>
      <c r="RA39" s="105">
        <f t="shared" si="2001"/>
        <v>132.16666666666666</v>
      </c>
      <c r="RB39" s="106"/>
      <c r="RC39" s="107"/>
      <c r="RD39" s="107">
        <v>95</v>
      </c>
      <c r="RE39" s="107">
        <v>522</v>
      </c>
      <c r="RF39" s="107"/>
      <c r="RG39" s="107"/>
      <c r="RH39" s="104">
        <f t="shared" si="2002"/>
        <v>617</v>
      </c>
      <c r="RI39" s="105">
        <f t="shared" si="2003"/>
        <v>102.83333333333333</v>
      </c>
      <c r="RJ39" s="106"/>
      <c r="RK39" s="107"/>
      <c r="RL39" s="107"/>
      <c r="RM39" s="107">
        <v>409</v>
      </c>
      <c r="RN39" s="107">
        <v>198</v>
      </c>
      <c r="RO39" s="107"/>
      <c r="RP39" s="104">
        <f t="shared" si="2004"/>
        <v>607</v>
      </c>
      <c r="RQ39" s="105">
        <f t="shared" si="2005"/>
        <v>101.16666666666667</v>
      </c>
      <c r="RR39" s="106"/>
      <c r="RS39" s="107"/>
      <c r="RT39" s="107"/>
      <c r="RU39" s="107">
        <v>305</v>
      </c>
      <c r="RV39" s="107"/>
      <c r="RW39" s="107"/>
      <c r="RX39" s="104">
        <f t="shared" si="2006"/>
        <v>305</v>
      </c>
      <c r="RY39" s="105">
        <f t="shared" si="2007"/>
        <v>50.833333333333336</v>
      </c>
      <c r="RZ39" s="106"/>
      <c r="SA39" s="107">
        <v>388</v>
      </c>
      <c r="SB39" s="107"/>
      <c r="SC39" s="107"/>
      <c r="SD39" s="107"/>
      <c r="SE39" s="107">
        <v>434</v>
      </c>
      <c r="SF39" s="104">
        <f t="shared" si="2008"/>
        <v>822</v>
      </c>
      <c r="SG39" s="105">
        <f t="shared" si="2009"/>
        <v>137</v>
      </c>
      <c r="SH39" s="106"/>
      <c r="SI39" s="107"/>
      <c r="SJ39" s="107">
        <v>389</v>
      </c>
      <c r="SK39" s="107"/>
      <c r="SL39" s="107"/>
      <c r="SM39" s="107"/>
      <c r="SN39" s="104">
        <f t="shared" si="2010"/>
        <v>389</v>
      </c>
      <c r="SO39" s="105">
        <f t="shared" si="2011"/>
        <v>64.833333333333329</v>
      </c>
      <c r="SP39" s="106"/>
      <c r="SQ39" s="107">
        <v>304</v>
      </c>
      <c r="SR39" s="107"/>
      <c r="SS39" s="107">
        <v>100</v>
      </c>
      <c r="ST39" s="107"/>
      <c r="SU39" s="107">
        <v>201</v>
      </c>
      <c r="SV39" s="104">
        <f t="shared" si="2012"/>
        <v>605</v>
      </c>
      <c r="SW39" s="105">
        <f t="shared" si="2013"/>
        <v>100.83333333333333</v>
      </c>
      <c r="SX39" s="106">
        <v>201</v>
      </c>
      <c r="SY39" s="107"/>
      <c r="SZ39" s="107">
        <v>607</v>
      </c>
      <c r="TA39" s="107"/>
      <c r="TB39" s="107"/>
      <c r="TC39" s="107"/>
      <c r="TD39" s="104">
        <f t="shared" si="2014"/>
        <v>808</v>
      </c>
      <c r="TE39" s="105">
        <f t="shared" si="2015"/>
        <v>134.66666666666666</v>
      </c>
      <c r="TF39" s="106"/>
      <c r="TG39" s="107">
        <v>200</v>
      </c>
      <c r="TH39" s="107"/>
      <c r="TI39" s="107"/>
      <c r="TJ39" s="107"/>
      <c r="TK39" s="107"/>
      <c r="TL39" s="104">
        <f t="shared" si="2016"/>
        <v>200</v>
      </c>
      <c r="TM39" s="105">
        <f t="shared" si="2017"/>
        <v>33.333333333333336</v>
      </c>
      <c r="TN39" s="130">
        <v>500</v>
      </c>
      <c r="TO39" s="107"/>
      <c r="TP39" s="107">
        <v>440</v>
      </c>
      <c r="TQ39" s="107"/>
      <c r="TR39" s="107"/>
      <c r="TS39" s="107"/>
      <c r="TT39" s="104">
        <f t="shared" si="2018"/>
        <v>940</v>
      </c>
      <c r="TU39" s="105">
        <f t="shared" si="2019"/>
        <v>156.66666666666666</v>
      </c>
      <c r="TV39" s="106"/>
      <c r="TW39" s="107"/>
      <c r="TX39" s="107"/>
      <c r="TY39" s="107"/>
      <c r="TZ39" s="107"/>
      <c r="UA39" s="107">
        <v>640</v>
      </c>
      <c r="UB39" s="104">
        <f t="shared" si="2020"/>
        <v>640</v>
      </c>
      <c r="UC39" s="105">
        <f t="shared" si="2021"/>
        <v>106.66666666666667</v>
      </c>
      <c r="UD39" s="106"/>
      <c r="UE39" s="107"/>
      <c r="UF39" s="107"/>
      <c r="UG39" s="107"/>
      <c r="UH39" s="107"/>
      <c r="UI39" s="107"/>
      <c r="UJ39" s="104">
        <f t="shared" si="2022"/>
        <v>0</v>
      </c>
      <c r="UK39" s="105">
        <f t="shared" si="2023"/>
        <v>0</v>
      </c>
      <c r="UL39" s="106">
        <v>402</v>
      </c>
      <c r="UM39" s="107"/>
      <c r="UN39" s="107"/>
      <c r="UO39" s="107"/>
      <c r="UP39" s="107"/>
      <c r="UQ39" s="107"/>
      <c r="UR39" s="107"/>
      <c r="US39" s="104">
        <f t="shared" si="1579"/>
        <v>402</v>
      </c>
      <c r="UT39" s="105">
        <f t="shared" si="2024"/>
        <v>67</v>
      </c>
      <c r="UU39" s="106">
        <v>400</v>
      </c>
      <c r="UV39" s="107"/>
      <c r="UW39" s="107"/>
      <c r="UX39" s="107"/>
      <c r="UY39" s="107"/>
      <c r="UZ39" s="107"/>
      <c r="VA39" s="104">
        <f t="shared" si="2025"/>
        <v>400</v>
      </c>
      <c r="VB39" s="105">
        <f t="shared" si="2026"/>
        <v>66.666666666666671</v>
      </c>
      <c r="VC39" s="106"/>
      <c r="VD39" s="107">
        <v>399</v>
      </c>
      <c r="VE39" s="107"/>
      <c r="VF39" s="107"/>
      <c r="VG39" s="107"/>
      <c r="VH39" s="107"/>
      <c r="VI39" s="104">
        <f t="shared" si="2027"/>
        <v>399</v>
      </c>
      <c r="VJ39" s="105">
        <f t="shared" si="2028"/>
        <v>66.5</v>
      </c>
      <c r="VK39" s="48"/>
      <c r="VL39" s="49">
        <v>532</v>
      </c>
      <c r="VM39" s="49"/>
      <c r="VN39" s="49"/>
      <c r="VO39" s="49"/>
      <c r="VP39" s="49"/>
      <c r="VQ39" s="67">
        <f t="shared" si="2029"/>
        <v>532</v>
      </c>
      <c r="VR39" s="68">
        <f t="shared" si="2030"/>
        <v>88.666666666666671</v>
      </c>
      <c r="VS39" s="106">
        <v>397</v>
      </c>
      <c r="VT39" s="107"/>
      <c r="VU39" s="107"/>
      <c r="VV39" s="107"/>
      <c r="VW39" s="107"/>
      <c r="VX39" s="107"/>
      <c r="VY39" s="104">
        <f t="shared" si="2031"/>
        <v>397</v>
      </c>
      <c r="VZ39" s="105">
        <f t="shared" si="2032"/>
        <v>66.166666666666671</v>
      </c>
      <c r="WA39" s="63"/>
      <c r="WB39" s="64">
        <v>200</v>
      </c>
      <c r="WC39" s="64"/>
      <c r="WD39" s="64">
        <v>388</v>
      </c>
      <c r="WE39" s="64"/>
      <c r="WF39" s="64"/>
      <c r="WG39" s="67">
        <f t="shared" si="2033"/>
        <v>588</v>
      </c>
      <c r="WH39" s="68">
        <f t="shared" si="2034"/>
        <v>98</v>
      </c>
      <c r="WI39" s="106"/>
      <c r="WJ39" s="107"/>
      <c r="WK39" s="107">
        <v>200</v>
      </c>
      <c r="WL39" s="107"/>
      <c r="WM39" s="107"/>
      <c r="WN39" s="107"/>
      <c r="WO39" s="104">
        <f t="shared" si="2035"/>
        <v>200</v>
      </c>
      <c r="WP39" s="105">
        <f t="shared" si="2036"/>
        <v>33.333333333333336</v>
      </c>
      <c r="WQ39" s="48"/>
      <c r="WR39" s="49"/>
      <c r="WS39" s="49">
        <v>200</v>
      </c>
      <c r="WT39" s="49">
        <v>600</v>
      </c>
      <c r="WU39" s="49"/>
      <c r="WV39" s="49"/>
      <c r="WW39" s="49"/>
      <c r="WX39" s="67">
        <f t="shared" si="2037"/>
        <v>800</v>
      </c>
      <c r="WY39" s="68">
        <f t="shared" si="2038"/>
        <v>133.33333333333334</v>
      </c>
      <c r="WZ39" s="48"/>
      <c r="XA39" s="49"/>
      <c r="XB39" s="49"/>
      <c r="XC39" s="49"/>
      <c r="XD39" s="49">
        <v>308</v>
      </c>
      <c r="XE39" s="49"/>
      <c r="XF39" s="49"/>
      <c r="XG39" s="67">
        <f t="shared" si="2039"/>
        <v>308</v>
      </c>
      <c r="XH39" s="68">
        <f t="shared" si="2040"/>
        <v>51.333333333333336</v>
      </c>
      <c r="XI39" s="48">
        <v>299</v>
      </c>
      <c r="XJ39" s="49"/>
      <c r="XK39" s="49"/>
      <c r="XL39" s="49"/>
      <c r="XM39" s="49"/>
      <c r="XN39" s="49">
        <v>200</v>
      </c>
      <c r="XO39" s="49"/>
      <c r="XP39" s="67">
        <f t="shared" si="2041"/>
        <v>200</v>
      </c>
      <c r="XQ39" s="68">
        <f t="shared" si="2042"/>
        <v>33.333333333333336</v>
      </c>
      <c r="XR39" s="48"/>
      <c r="XS39" s="49"/>
      <c r="XT39" s="49"/>
      <c r="XU39" s="49"/>
      <c r="XV39" s="49"/>
      <c r="XW39" s="49"/>
      <c r="XX39" s="49">
        <v>315</v>
      </c>
      <c r="XY39" s="67">
        <f t="shared" si="2043"/>
        <v>315</v>
      </c>
      <c r="XZ39" s="68">
        <f t="shared" si="2044"/>
        <v>52.5</v>
      </c>
      <c r="YA39" s="48"/>
      <c r="YB39" s="49"/>
      <c r="YC39" s="49"/>
      <c r="YD39" s="49">
        <v>197</v>
      </c>
      <c r="YE39" s="49"/>
      <c r="YF39" s="49"/>
      <c r="YG39" s="49">
        <v>223</v>
      </c>
      <c r="YH39" s="67">
        <f t="shared" si="2045"/>
        <v>420</v>
      </c>
      <c r="YI39" s="68">
        <f t="shared" si="2046"/>
        <v>70</v>
      </c>
      <c r="YJ39" s="48"/>
      <c r="YK39" s="49">
        <v>205</v>
      </c>
      <c r="YL39" s="49"/>
      <c r="YM39" s="49"/>
      <c r="YN39" s="49">
        <v>300</v>
      </c>
      <c r="YO39" s="49"/>
      <c r="YP39" s="49"/>
      <c r="YQ39" s="67">
        <f t="shared" si="2047"/>
        <v>505</v>
      </c>
      <c r="YR39" s="68">
        <f t="shared" si="2048"/>
        <v>84.166666666666671</v>
      </c>
      <c r="YS39" s="48"/>
      <c r="YT39" s="49"/>
      <c r="YU39" s="49"/>
      <c r="YV39" s="49"/>
      <c r="YW39" s="49"/>
      <c r="YX39" s="49">
        <v>600</v>
      </c>
      <c r="YY39" s="67">
        <f t="shared" si="2049"/>
        <v>600</v>
      </c>
      <c r="YZ39" s="68">
        <f t="shared" si="2050"/>
        <v>100</v>
      </c>
      <c r="ZA39" s="48"/>
      <c r="ZB39" s="49"/>
      <c r="ZC39" s="49"/>
      <c r="ZD39" s="49"/>
      <c r="ZE39" s="49"/>
      <c r="ZF39" s="49"/>
      <c r="ZG39" s="67">
        <f t="shared" si="2051"/>
        <v>0</v>
      </c>
      <c r="ZH39" s="68">
        <f t="shared" si="2052"/>
        <v>0</v>
      </c>
      <c r="ZI39" s="48">
        <v>400</v>
      </c>
      <c r="ZJ39" s="49"/>
      <c r="ZK39" s="49"/>
      <c r="ZL39" s="49"/>
      <c r="ZM39" s="49"/>
      <c r="ZN39" s="24"/>
      <c r="ZO39" s="67">
        <f t="shared" si="2053"/>
        <v>400</v>
      </c>
      <c r="ZP39" s="68">
        <f t="shared" si="2054"/>
        <v>66.666666666666671</v>
      </c>
      <c r="ZQ39" s="48"/>
      <c r="ZR39" s="49">
        <v>400</v>
      </c>
      <c r="ZS39" s="49"/>
      <c r="ZT39" s="49"/>
      <c r="ZU39" s="49"/>
      <c r="ZV39" s="49"/>
      <c r="ZW39" s="49"/>
      <c r="ZX39" s="67">
        <f t="shared" si="2055"/>
        <v>400</v>
      </c>
      <c r="ZY39" s="70">
        <f t="shared" si="2056"/>
        <v>66.666666666666671</v>
      </c>
      <c r="ZZ39" s="48"/>
      <c r="AAA39" s="49">
        <v>300</v>
      </c>
      <c r="AAB39" s="49">
        <v>294</v>
      </c>
      <c r="AAC39" s="49"/>
      <c r="AAD39" s="49"/>
      <c r="AAE39" s="49"/>
      <c r="AAF39" s="49"/>
      <c r="AAG39" s="67">
        <f t="shared" si="2057"/>
        <v>594</v>
      </c>
      <c r="AAH39" s="68">
        <f t="shared" si="2058"/>
        <v>99</v>
      </c>
      <c r="AAI39" s="48"/>
      <c r="AAJ39" s="49"/>
      <c r="AAK39" s="49">
        <v>382</v>
      </c>
      <c r="AAL39" s="49"/>
      <c r="AAM39" s="49">
        <v>497</v>
      </c>
      <c r="AAN39" s="49"/>
      <c r="AAO39" s="67">
        <f t="shared" si="2059"/>
        <v>879</v>
      </c>
      <c r="AAP39" s="68">
        <f t="shared" si="2060"/>
        <v>146.5</v>
      </c>
      <c r="AAQ39" s="48"/>
      <c r="AAR39" s="49"/>
      <c r="AAS39" s="49">
        <v>104</v>
      </c>
      <c r="AAT39" s="49"/>
      <c r="AAU39" s="49"/>
      <c r="AAV39" s="49"/>
      <c r="AAW39" s="67">
        <f t="shared" si="2061"/>
        <v>104</v>
      </c>
      <c r="AAX39" s="68">
        <f t="shared" si="2062"/>
        <v>17.333333333333332</v>
      </c>
      <c r="AAY39" s="48"/>
      <c r="AAZ39" s="49"/>
      <c r="ABA39" s="49"/>
      <c r="ABB39" s="49">
        <v>607</v>
      </c>
      <c r="ABC39" s="49"/>
      <c r="ABD39" s="49"/>
      <c r="ABE39" s="67">
        <f t="shared" si="2063"/>
        <v>607</v>
      </c>
      <c r="ABF39" s="68">
        <f t="shared" si="2064"/>
        <v>101.16666666666667</v>
      </c>
      <c r="ABG39" s="48"/>
      <c r="ABH39" s="49"/>
      <c r="ABI39" s="49"/>
      <c r="ABJ39" s="49"/>
      <c r="ABK39" s="49"/>
      <c r="ABL39" s="49"/>
      <c r="ABM39" s="67">
        <f t="shared" si="2065"/>
        <v>0</v>
      </c>
      <c r="ABN39" s="68">
        <f t="shared" si="2066"/>
        <v>0</v>
      </c>
      <c r="ABO39" s="48">
        <v>200</v>
      </c>
      <c r="ABP39" s="49"/>
      <c r="ABQ39" s="49"/>
      <c r="ABR39" s="49">
        <v>194</v>
      </c>
      <c r="ABS39" s="49">
        <v>200</v>
      </c>
      <c r="ABT39" s="49"/>
      <c r="ABU39" s="67">
        <f t="shared" si="2067"/>
        <v>594</v>
      </c>
      <c r="ABV39" s="68">
        <f t="shared" si="2068"/>
        <v>99</v>
      </c>
      <c r="ABW39" s="48"/>
      <c r="ABX39" s="49"/>
      <c r="ABY39" s="49">
        <v>403</v>
      </c>
      <c r="ABZ39" s="49"/>
      <c r="ACA39" s="49"/>
      <c r="ACB39" s="49"/>
      <c r="ACC39" s="67">
        <f t="shared" si="2069"/>
        <v>403</v>
      </c>
      <c r="ACD39" s="68">
        <f t="shared" si="2070"/>
        <v>67.166666666666671</v>
      </c>
      <c r="ACE39" s="24"/>
      <c r="ACF39" s="49">
        <v>293</v>
      </c>
      <c r="ACG39" s="49"/>
      <c r="ACH39" s="49">
        <v>488</v>
      </c>
      <c r="ACI39" s="49"/>
      <c r="ACJ39" s="49"/>
      <c r="ACK39" s="67">
        <f t="shared" si="2071"/>
        <v>781</v>
      </c>
      <c r="ACL39" s="68">
        <f t="shared" si="2072"/>
        <v>130.16666666666666</v>
      </c>
      <c r="ACM39" s="48"/>
      <c r="ACN39" s="49"/>
      <c r="ACO39" s="49"/>
      <c r="ACP39" s="49"/>
      <c r="ACQ39" s="49"/>
      <c r="ACR39" s="49"/>
      <c r="ACS39" s="67">
        <f t="shared" si="2073"/>
        <v>0</v>
      </c>
      <c r="ACT39" s="68">
        <f t="shared" si="2074"/>
        <v>0</v>
      </c>
      <c r="ACU39" s="48"/>
      <c r="ACV39" s="49"/>
      <c r="ACW39" s="49"/>
      <c r="ACX39" s="49"/>
      <c r="ACY39" s="49">
        <v>218</v>
      </c>
      <c r="ACZ39" s="49"/>
      <c r="ADA39" s="67">
        <f t="shared" si="2075"/>
        <v>218</v>
      </c>
      <c r="ADB39" s="68">
        <f t="shared" si="2076"/>
        <v>36.333333333333336</v>
      </c>
      <c r="ADC39" s="48"/>
      <c r="ADD39" s="49">
        <v>439</v>
      </c>
      <c r="ADE39" s="49"/>
      <c r="ADF39" s="49"/>
      <c r="ADG39" s="49"/>
      <c r="ADH39" s="49"/>
      <c r="ADI39" s="67">
        <f t="shared" si="2077"/>
        <v>439</v>
      </c>
      <c r="ADJ39" s="68">
        <f t="shared" si="2078"/>
        <v>73.166666666666671</v>
      </c>
      <c r="ADK39" s="48"/>
      <c r="ADL39" s="49">
        <v>218</v>
      </c>
      <c r="ADM39" s="49"/>
      <c r="ADN39" s="49"/>
      <c r="ADO39" s="49">
        <v>199</v>
      </c>
      <c r="ADP39" s="49"/>
      <c r="ADQ39" s="67">
        <f t="shared" si="2079"/>
        <v>417</v>
      </c>
      <c r="ADR39" s="68">
        <f t="shared" si="2080"/>
        <v>69.5</v>
      </c>
      <c r="ADS39" s="48"/>
      <c r="ADT39" s="49"/>
      <c r="ADU39" s="49"/>
      <c r="ADV39" s="49"/>
      <c r="ADW39" s="49">
        <v>100</v>
      </c>
      <c r="ADX39" s="49"/>
      <c r="ADY39" s="67">
        <f t="shared" si="2081"/>
        <v>100</v>
      </c>
      <c r="ADZ39" s="68">
        <f t="shared" si="2082"/>
        <v>16.666666666666668</v>
      </c>
      <c r="AEA39" s="48"/>
      <c r="AEB39" s="49">
        <v>585</v>
      </c>
      <c r="AEC39" s="49"/>
      <c r="AED39" s="49"/>
      <c r="AEE39" s="49"/>
      <c r="AEF39" s="49">
        <v>327</v>
      </c>
      <c r="AEG39" s="67">
        <f t="shared" si="2083"/>
        <v>912</v>
      </c>
      <c r="AEH39" s="68">
        <f t="shared" si="2084"/>
        <v>152</v>
      </c>
      <c r="AEI39" s="48"/>
      <c r="AEJ39" s="49"/>
      <c r="AEK39" s="49"/>
      <c r="AEL39" s="49"/>
      <c r="AEM39" s="49">
        <v>199</v>
      </c>
      <c r="AEN39" s="49"/>
      <c r="AEO39" s="67">
        <f t="shared" si="2085"/>
        <v>199</v>
      </c>
      <c r="AEP39" s="68">
        <f t="shared" si="2086"/>
        <v>33.166666666666664</v>
      </c>
      <c r="AEQ39" s="48"/>
      <c r="AER39" s="49">
        <v>404</v>
      </c>
      <c r="AES39" s="49"/>
      <c r="AET39" s="49"/>
      <c r="AEU39" s="49"/>
      <c r="AEV39" s="49"/>
      <c r="AEW39" s="67">
        <f t="shared" si="2087"/>
        <v>404</v>
      </c>
      <c r="AEX39" s="68">
        <f t="shared" si="2088"/>
        <v>67.333333333333329</v>
      </c>
      <c r="AEY39" s="48"/>
      <c r="AEZ39" s="49">
        <v>198</v>
      </c>
      <c r="AFA39" s="49"/>
      <c r="AFB39" s="49"/>
      <c r="AFC39" s="49"/>
      <c r="AFD39" s="49"/>
      <c r="AFE39" s="67">
        <f t="shared" si="2089"/>
        <v>198</v>
      </c>
      <c r="AFF39" s="68">
        <f t="shared" si="2090"/>
        <v>33</v>
      </c>
      <c r="AFG39" s="48"/>
      <c r="AFH39" s="49"/>
      <c r="AFI39" s="49">
        <v>302</v>
      </c>
      <c r="AFJ39" s="49"/>
      <c r="AFK39" s="49"/>
      <c r="AFL39" s="49">
        <v>400</v>
      </c>
      <c r="AFM39" s="67">
        <f t="shared" si="2091"/>
        <v>702</v>
      </c>
      <c r="AFN39" s="68">
        <f t="shared" si="2092"/>
        <v>117</v>
      </c>
      <c r="AFO39" s="48"/>
      <c r="AFP39" s="49"/>
      <c r="AFQ39" s="49"/>
      <c r="AFR39" s="49"/>
      <c r="AFS39" s="49">
        <v>220</v>
      </c>
      <c r="AFT39" s="49"/>
      <c r="AFU39" s="67">
        <f t="shared" si="2093"/>
        <v>220</v>
      </c>
      <c r="AFV39" s="68">
        <f t="shared" si="2094"/>
        <v>36.666666666666664</v>
      </c>
      <c r="AFW39" s="48"/>
      <c r="AFX39" s="49"/>
      <c r="AFY39" s="49">
        <v>442</v>
      </c>
      <c r="AFZ39" s="49"/>
      <c r="AGA39" s="49"/>
      <c r="AGB39" s="49"/>
      <c r="AGC39" s="67">
        <f t="shared" si="2095"/>
        <v>442</v>
      </c>
      <c r="AGD39" s="68">
        <f t="shared" si="2096"/>
        <v>73.666666666666671</v>
      </c>
      <c r="AGE39" s="48"/>
      <c r="AGF39" s="49"/>
      <c r="AGG39" s="49">
        <v>220</v>
      </c>
      <c r="AGH39" s="49"/>
      <c r="AGI39" s="49">
        <v>218</v>
      </c>
      <c r="AGJ39" s="49"/>
      <c r="AGK39" s="67">
        <f t="shared" si="2097"/>
        <v>438</v>
      </c>
      <c r="AGL39" s="68">
        <f t="shared" si="2098"/>
        <v>73</v>
      </c>
      <c r="AGM39" s="48"/>
      <c r="AGN39" s="49"/>
      <c r="AGO39" s="49"/>
      <c r="AGP39" s="49"/>
      <c r="AGQ39" s="49">
        <v>330</v>
      </c>
      <c r="AGR39" s="49"/>
      <c r="AGS39" s="49"/>
      <c r="AGT39" s="67">
        <f t="shared" si="2099"/>
        <v>330</v>
      </c>
      <c r="AGU39" s="68">
        <f t="shared" si="2100"/>
        <v>55</v>
      </c>
      <c r="AGV39" s="48"/>
      <c r="AGW39" s="49"/>
      <c r="AGX39" s="49">
        <v>440</v>
      </c>
      <c r="AGY39" s="49"/>
      <c r="AGZ39" s="49"/>
      <c r="AHA39" s="49"/>
      <c r="AHB39" s="67">
        <f t="shared" si="2101"/>
        <v>440</v>
      </c>
      <c r="AHC39" s="68">
        <f t="shared" si="2102"/>
        <v>15.172413793103448</v>
      </c>
      <c r="AHD39" s="48"/>
      <c r="AHE39" s="49"/>
      <c r="AHF39" s="49"/>
      <c r="AHG39" s="49">
        <v>218</v>
      </c>
      <c r="AHH39" s="49"/>
      <c r="AHI39" s="49"/>
      <c r="AHJ39" s="67">
        <f t="shared" si="2103"/>
        <v>218</v>
      </c>
      <c r="AHK39" s="68">
        <f t="shared" si="2104"/>
        <v>7.5172413793103452</v>
      </c>
      <c r="AHL39" s="48"/>
      <c r="AHM39" s="49"/>
      <c r="AHN39" s="49"/>
      <c r="AHO39" s="49">
        <v>342</v>
      </c>
      <c r="AHP39" s="49"/>
      <c r="AHQ39" s="49"/>
      <c r="AHR39" s="67">
        <f t="shared" si="2105"/>
        <v>342</v>
      </c>
      <c r="AHS39" s="68">
        <f t="shared" si="2106"/>
        <v>11.793103448275861</v>
      </c>
      <c r="AHT39" s="48"/>
      <c r="AHU39" s="49"/>
      <c r="AHV39" s="49"/>
      <c r="AHW39" s="49">
        <v>453</v>
      </c>
      <c r="AHX39" s="49"/>
      <c r="AHY39" s="49"/>
      <c r="AHZ39" s="67">
        <f t="shared" si="2107"/>
        <v>453</v>
      </c>
      <c r="AIA39" s="68">
        <f t="shared" si="2108"/>
        <v>15.620689655172415</v>
      </c>
      <c r="AIB39" s="48"/>
      <c r="AIC39" s="49"/>
      <c r="AID39" s="49">
        <v>220</v>
      </c>
      <c r="AIE39" s="49"/>
      <c r="AIF39" s="49"/>
      <c r="AIG39" s="49"/>
      <c r="AIH39" s="67">
        <f t="shared" si="2109"/>
        <v>220</v>
      </c>
      <c r="AII39" s="68">
        <f t="shared" si="2110"/>
        <v>7.5862068965517242</v>
      </c>
      <c r="AIJ39" s="48">
        <v>220</v>
      </c>
      <c r="AIK39" s="49"/>
      <c r="AIL39" s="49"/>
      <c r="AIM39" s="49">
        <v>110</v>
      </c>
      <c r="AIN39" s="49"/>
      <c r="AIO39" s="49"/>
      <c r="AIP39" s="67">
        <f t="shared" si="2111"/>
        <v>330</v>
      </c>
      <c r="AIQ39" s="68">
        <f t="shared" si="2112"/>
        <v>11.379310344827585</v>
      </c>
      <c r="AIR39" s="48"/>
      <c r="AIS39" s="49"/>
      <c r="AIT39" s="49">
        <v>219</v>
      </c>
      <c r="AIU39" s="49"/>
      <c r="AIV39" s="49"/>
      <c r="AIW39" s="49"/>
      <c r="AIX39" s="67">
        <f t="shared" si="2113"/>
        <v>219</v>
      </c>
      <c r="AIY39" s="68">
        <f t="shared" si="2114"/>
        <v>7.5517241379310347</v>
      </c>
      <c r="AIZ39" s="48">
        <v>399</v>
      </c>
      <c r="AJA39" s="49"/>
      <c r="AJB39" s="49">
        <v>201</v>
      </c>
      <c r="AJC39" s="49"/>
      <c r="AJD39" s="49"/>
      <c r="AJE39" s="49"/>
      <c r="AJF39" s="67">
        <f t="shared" si="2115"/>
        <v>600</v>
      </c>
      <c r="AJG39" s="68">
        <f t="shared" si="2116"/>
        <v>20.689655172413794</v>
      </c>
      <c r="AJH39" s="48"/>
      <c r="AJI39" s="49"/>
      <c r="AJJ39" s="49"/>
      <c r="AJK39" s="49"/>
      <c r="AJL39" s="49">
        <v>551</v>
      </c>
      <c r="AJM39" s="49"/>
      <c r="AJN39" s="42">
        <f t="shared" si="2117"/>
        <v>551</v>
      </c>
      <c r="AJO39" s="43">
        <f t="shared" si="2118"/>
        <v>19</v>
      </c>
      <c r="AJP39" s="48"/>
      <c r="AJQ39" s="49"/>
      <c r="AJR39" s="49"/>
      <c r="AJS39" s="49">
        <v>152</v>
      </c>
      <c r="AJT39" s="49">
        <v>247</v>
      </c>
      <c r="AJU39" s="49"/>
      <c r="AJV39" s="42">
        <f t="shared" si="2119"/>
        <v>399</v>
      </c>
      <c r="AJW39" s="43">
        <f t="shared" si="2120"/>
        <v>13.758620689655173</v>
      </c>
      <c r="AJX39" s="48"/>
      <c r="AJY39" s="49">
        <v>250</v>
      </c>
      <c r="AJZ39" s="49"/>
      <c r="AKA39" s="49"/>
      <c r="AKB39" s="49"/>
      <c r="AKC39" s="49"/>
      <c r="AKD39" s="67">
        <f t="shared" si="2121"/>
        <v>250</v>
      </c>
      <c r="AKE39" s="68">
        <f t="shared" si="2122"/>
        <v>8.6206896551724146</v>
      </c>
      <c r="AKF39" s="48"/>
      <c r="AKG39" s="49">
        <v>332</v>
      </c>
      <c r="AKH39" s="49"/>
      <c r="AKI39" s="49"/>
      <c r="AKJ39" s="49"/>
      <c r="AKK39" s="49"/>
      <c r="AKL39" s="67">
        <f t="shared" si="2123"/>
        <v>332</v>
      </c>
      <c r="AKM39" s="184">
        <f t="shared" si="2124"/>
        <v>55.333333333333336</v>
      </c>
      <c r="AKN39" s="195"/>
      <c r="AKO39" s="49"/>
      <c r="AKP39" s="49"/>
      <c r="AKQ39" s="49">
        <v>220</v>
      </c>
      <c r="AKR39" s="49"/>
      <c r="AKS39" s="49"/>
      <c r="AKT39" s="67">
        <f t="shared" si="2125"/>
        <v>220</v>
      </c>
      <c r="AKU39" s="184">
        <f t="shared" si="2126"/>
        <v>36.666666666666664</v>
      </c>
      <c r="AKV39" s="48"/>
      <c r="AKW39" s="49"/>
      <c r="AKX39" s="49"/>
      <c r="AKY39" s="49"/>
      <c r="AKZ39" s="49"/>
      <c r="ALA39" s="49"/>
      <c r="ALB39" s="67">
        <f t="shared" si="2127"/>
        <v>0</v>
      </c>
      <c r="ALC39" s="68">
        <f t="shared" si="2128"/>
        <v>0</v>
      </c>
      <c r="ALD39" s="48"/>
      <c r="ALE39" s="49"/>
      <c r="ALF39" s="49">
        <v>220</v>
      </c>
      <c r="ALG39" s="49"/>
      <c r="ALH39" s="49">
        <v>223</v>
      </c>
      <c r="ALI39" s="49"/>
      <c r="ALJ39" s="67">
        <f t="shared" si="2129"/>
        <v>443</v>
      </c>
      <c r="ALK39" s="68">
        <f t="shared" si="2130"/>
        <v>73.833333333333329</v>
      </c>
      <c r="ALL39" s="48"/>
      <c r="ALM39" s="49"/>
      <c r="ALN39" s="49">
        <v>110</v>
      </c>
      <c r="ALO39" s="49"/>
      <c r="ALP39" s="49"/>
      <c r="ALQ39" s="49">
        <v>340</v>
      </c>
      <c r="ALR39" s="67">
        <f t="shared" si="2131"/>
        <v>450</v>
      </c>
      <c r="ALS39" s="68">
        <f t="shared" si="2132"/>
        <v>75</v>
      </c>
      <c r="ALT39" s="48"/>
      <c r="ALU39" s="49"/>
      <c r="ALV39" s="49"/>
      <c r="ALW39" s="49"/>
      <c r="ALX39" s="49"/>
      <c r="ALY39" s="49"/>
      <c r="ALZ39" s="67">
        <f t="shared" si="2133"/>
        <v>0</v>
      </c>
      <c r="AMA39" s="68">
        <f t="shared" si="2134"/>
        <v>0</v>
      </c>
      <c r="AMB39" s="24">
        <v>400</v>
      </c>
      <c r="AMC39" s="49"/>
      <c r="AMD39" s="49"/>
      <c r="AME39" s="49">
        <v>110</v>
      </c>
      <c r="AMF39" s="49"/>
      <c r="AMG39" s="49"/>
      <c r="AMH39" s="67">
        <f t="shared" si="2135"/>
        <v>510</v>
      </c>
      <c r="AMI39" s="68">
        <f t="shared" si="2136"/>
        <v>85</v>
      </c>
      <c r="AMJ39" s="48"/>
      <c r="AMK39" s="49">
        <v>110</v>
      </c>
      <c r="AML39" s="49"/>
      <c r="AMM39" s="49"/>
      <c r="AMN39" s="49"/>
      <c r="AMO39" s="49"/>
      <c r="AMP39" s="67">
        <f t="shared" si="2137"/>
        <v>110</v>
      </c>
      <c r="AMQ39" s="68">
        <f t="shared" si="2138"/>
        <v>18.333333333333332</v>
      </c>
      <c r="AMR39" s="48">
        <v>353</v>
      </c>
      <c r="AMS39" s="49"/>
      <c r="AMT39" s="49"/>
      <c r="AMU39" s="49"/>
      <c r="AMV39" s="49"/>
      <c r="AMW39" s="49"/>
      <c r="AMX39" s="67">
        <f t="shared" si="2139"/>
        <v>353</v>
      </c>
      <c r="AMY39" s="68">
        <f t="shared" si="2140"/>
        <v>58.833333333333336</v>
      </c>
      <c r="AMZ39" s="48"/>
      <c r="ANA39" s="49"/>
      <c r="ANB39" s="49">
        <v>438</v>
      </c>
      <c r="ANC39" s="49"/>
      <c r="AND39" s="49"/>
      <c r="ANE39" s="49"/>
      <c r="ANF39" s="67">
        <f t="shared" si="2141"/>
        <v>438</v>
      </c>
      <c r="ANG39" s="68">
        <f t="shared" si="2142"/>
        <v>73</v>
      </c>
      <c r="ANH39" s="48">
        <v>448</v>
      </c>
      <c r="ANI39" s="49"/>
      <c r="ANJ39" s="49"/>
      <c r="ANK39" s="49"/>
      <c r="ANL39" s="49"/>
      <c r="ANM39" s="49"/>
      <c r="ANN39" s="67">
        <f t="shared" si="2143"/>
        <v>448</v>
      </c>
      <c r="ANO39" s="68">
        <f t="shared" si="2144"/>
        <v>74.666666666666671</v>
      </c>
      <c r="ANP39" s="48"/>
      <c r="ANQ39" s="49"/>
      <c r="ANR39" s="49"/>
      <c r="ANS39" s="49">
        <v>107</v>
      </c>
      <c r="ANT39" s="49"/>
      <c r="ANU39" s="49"/>
      <c r="ANV39" s="67">
        <f t="shared" si="2145"/>
        <v>107</v>
      </c>
      <c r="ANW39" s="68">
        <f t="shared" si="2146"/>
        <v>17.833333333333332</v>
      </c>
      <c r="ANX39" s="82"/>
      <c r="ANY39" s="83"/>
      <c r="ANZ39" s="83">
        <v>331</v>
      </c>
      <c r="AOA39" s="83"/>
      <c r="AOB39" s="83"/>
      <c r="AOC39" s="83"/>
      <c r="AOD39" s="67">
        <f t="shared" si="2147"/>
        <v>331</v>
      </c>
      <c r="AOE39" s="68">
        <f t="shared" si="2148"/>
        <v>55.166666666666664</v>
      </c>
      <c r="AOF39" s="48"/>
      <c r="AOG39" s="49"/>
      <c r="AOH39" s="49"/>
      <c r="AOI39" s="49"/>
      <c r="AOJ39" s="49"/>
      <c r="AOK39" s="49">
        <v>110</v>
      </c>
      <c r="AOL39" s="67">
        <f t="shared" si="2149"/>
        <v>110</v>
      </c>
      <c r="AOM39" s="68">
        <f t="shared" si="2150"/>
        <v>18.333333333333332</v>
      </c>
      <c r="AON39" s="48">
        <v>109</v>
      </c>
      <c r="AOO39" s="49"/>
      <c r="AOP39" s="49"/>
      <c r="AOQ39" s="49">
        <v>310</v>
      </c>
      <c r="AOR39" s="49"/>
      <c r="AOS39" s="49"/>
      <c r="AOT39" s="67">
        <f t="shared" si="2151"/>
        <v>419</v>
      </c>
      <c r="AOU39" s="68">
        <f t="shared" si="2152"/>
        <v>69.833333333333329</v>
      </c>
      <c r="AOV39" s="48"/>
      <c r="AOW39" s="49"/>
      <c r="AOX39" s="49"/>
      <c r="AOY39" s="49"/>
      <c r="AOZ39" s="49"/>
      <c r="APA39" s="49"/>
      <c r="APB39" s="67">
        <f t="shared" si="2153"/>
        <v>0</v>
      </c>
      <c r="APC39" s="68">
        <f t="shared" si="2154"/>
        <v>0</v>
      </c>
      <c r="APD39" s="48"/>
      <c r="APE39" s="49">
        <v>220</v>
      </c>
      <c r="APF39" s="49"/>
      <c r="APG39" s="49"/>
      <c r="APH39" s="49"/>
      <c r="API39" s="49"/>
      <c r="APJ39" s="67">
        <f t="shared" si="2155"/>
        <v>220</v>
      </c>
      <c r="APK39" s="68">
        <f t="shared" si="2156"/>
        <v>36.666666666666664</v>
      </c>
      <c r="APL39" s="48">
        <v>220</v>
      </c>
      <c r="APM39" s="49"/>
      <c r="APN39" s="49"/>
      <c r="APO39" s="49">
        <v>105</v>
      </c>
      <c r="APP39" s="49"/>
      <c r="APQ39" s="49"/>
      <c r="APR39" s="67">
        <f t="shared" si="2157"/>
        <v>325</v>
      </c>
      <c r="APS39" s="68">
        <f t="shared" si="2158"/>
        <v>54.166666666666664</v>
      </c>
      <c r="APT39" s="48">
        <v>222</v>
      </c>
      <c r="APU39" s="49"/>
      <c r="APV39" s="49">
        <v>220</v>
      </c>
      <c r="APW39" s="49"/>
      <c r="APX39" s="49"/>
      <c r="APY39" s="49">
        <v>220</v>
      </c>
      <c r="APZ39" s="67">
        <f t="shared" si="2159"/>
        <v>662</v>
      </c>
      <c r="AQA39" s="68">
        <f t="shared" si="2160"/>
        <v>110.33333333333333</v>
      </c>
      <c r="AQB39" s="48"/>
      <c r="AQC39" s="49"/>
      <c r="AQD39" s="49"/>
      <c r="AQE39" s="49"/>
      <c r="AQF39" s="49">
        <v>110</v>
      </c>
      <c r="AQG39" s="49"/>
      <c r="AQH39" s="67">
        <f t="shared" si="2161"/>
        <v>110</v>
      </c>
      <c r="AQI39" s="68">
        <f t="shared" si="2162"/>
        <v>18.333333333333332</v>
      </c>
      <c r="AQJ39" s="48"/>
      <c r="AQK39" s="49">
        <v>207</v>
      </c>
      <c r="AQL39" s="49"/>
      <c r="AQM39" s="49">
        <v>220</v>
      </c>
      <c r="AQN39" s="49"/>
      <c r="AQO39" s="49"/>
      <c r="AQP39" s="67">
        <f t="shared" si="2163"/>
        <v>427</v>
      </c>
      <c r="AQQ39" s="68">
        <f t="shared" si="2164"/>
        <v>71.166666666666671</v>
      </c>
      <c r="AQR39" s="48"/>
      <c r="AQS39" s="49"/>
      <c r="AQT39" s="49">
        <v>220</v>
      </c>
      <c r="AQU39" s="49">
        <v>219</v>
      </c>
      <c r="AQV39" s="49"/>
      <c r="AQW39" s="49"/>
      <c r="AQX39" s="67">
        <f t="shared" si="2165"/>
        <v>439</v>
      </c>
      <c r="AQY39" s="68">
        <f t="shared" si="2166"/>
        <v>73.166666666666671</v>
      </c>
      <c r="AQZ39" s="48"/>
      <c r="ARA39" s="49"/>
      <c r="ARB39" s="49">
        <v>383</v>
      </c>
      <c r="ARC39" s="49"/>
      <c r="ARD39" s="49"/>
      <c r="ARE39" s="49">
        <v>219</v>
      </c>
      <c r="ARF39" s="67">
        <f t="shared" si="2167"/>
        <v>602</v>
      </c>
      <c r="ARG39" s="68">
        <f t="shared" si="2168"/>
        <v>100.33333333333333</v>
      </c>
      <c r="ARH39" s="48"/>
      <c r="ARI39" s="49"/>
      <c r="ARJ39" s="49">
        <v>327</v>
      </c>
      <c r="ARK39" s="49"/>
      <c r="ARL39" s="49"/>
      <c r="ARM39" s="49">
        <v>220</v>
      </c>
      <c r="ARN39" s="67">
        <f t="shared" si="2169"/>
        <v>547</v>
      </c>
      <c r="ARO39" s="68">
        <f t="shared" si="2170"/>
        <v>91.166666666666671</v>
      </c>
      <c r="ARP39" s="48">
        <v>219</v>
      </c>
      <c r="ARQ39" s="49">
        <v>275</v>
      </c>
      <c r="ARR39" s="49"/>
      <c r="ARS39" s="49"/>
      <c r="ART39" s="49"/>
      <c r="ARU39" s="49"/>
      <c r="ARV39" s="67">
        <f t="shared" si="2171"/>
        <v>494</v>
      </c>
      <c r="ARW39" s="68">
        <f t="shared" si="2172"/>
        <v>82.333333333333329</v>
      </c>
      <c r="ARX39" s="48">
        <v>20</v>
      </c>
      <c r="ARY39" s="49">
        <v>221</v>
      </c>
      <c r="ARZ39" s="49"/>
      <c r="ASA39" s="49">
        <v>221</v>
      </c>
      <c r="ASB39" s="49"/>
      <c r="ASC39" s="49"/>
      <c r="ASD39" s="67">
        <f t="shared" si="2173"/>
        <v>462</v>
      </c>
      <c r="ASE39" s="68">
        <f t="shared" si="2174"/>
        <v>77</v>
      </c>
      <c r="ASF39" s="48"/>
      <c r="ASG39" s="49"/>
      <c r="ASH39" s="49">
        <v>444</v>
      </c>
      <c r="ASI39" s="49">
        <v>301</v>
      </c>
      <c r="ASJ39" s="49"/>
      <c r="ASK39" s="49"/>
      <c r="ASL39" s="67">
        <f t="shared" si="2175"/>
        <v>745</v>
      </c>
      <c r="ASM39" s="68">
        <f t="shared" si="2176"/>
        <v>124.16666666666667</v>
      </c>
      <c r="ASN39" s="48"/>
      <c r="ASO39" s="49">
        <v>436</v>
      </c>
      <c r="ASP39" s="49"/>
      <c r="ASQ39" s="49"/>
      <c r="ASR39" s="49"/>
      <c r="ASS39" s="49"/>
      <c r="AST39" s="67">
        <f t="shared" si="2177"/>
        <v>436</v>
      </c>
      <c r="ASU39" s="68">
        <f t="shared" si="2178"/>
        <v>72.666666666666671</v>
      </c>
      <c r="ASV39" s="48"/>
      <c r="ASW39" s="49"/>
      <c r="ASX39" s="49">
        <v>440</v>
      </c>
      <c r="ASY39" s="49">
        <v>42</v>
      </c>
      <c r="ASZ39" s="49"/>
      <c r="ATA39" s="49"/>
      <c r="ATB39" s="67">
        <f t="shared" si="2179"/>
        <v>482</v>
      </c>
      <c r="ATC39" s="68">
        <f t="shared" si="2180"/>
        <v>80.333333333333329</v>
      </c>
      <c r="ATD39" s="48">
        <v>107</v>
      </c>
      <c r="ATE39" s="49"/>
      <c r="ATF39" s="49"/>
      <c r="ATG39" s="49"/>
      <c r="ATH39" s="49"/>
      <c r="ATI39" s="49"/>
      <c r="ATJ39" s="67">
        <f t="shared" si="2181"/>
        <v>107</v>
      </c>
      <c r="ATK39" s="68">
        <f t="shared" si="2182"/>
        <v>17.833333333333332</v>
      </c>
      <c r="ATL39" s="48"/>
      <c r="ATM39" s="49"/>
      <c r="ATN39" s="49"/>
      <c r="ATO39" s="49"/>
      <c r="ATP39" s="49"/>
      <c r="ATQ39" s="49">
        <v>196</v>
      </c>
      <c r="ATR39" s="67">
        <f t="shared" si="2183"/>
        <v>196</v>
      </c>
      <c r="ATS39" s="68">
        <f t="shared" si="2184"/>
        <v>32.666666666666664</v>
      </c>
      <c r="ATT39" s="48"/>
      <c r="ATU39" s="49">
        <v>220</v>
      </c>
      <c r="ATV39" s="49"/>
      <c r="ATW39" s="49"/>
      <c r="ATX39" s="49"/>
      <c r="ATY39" s="49"/>
      <c r="ATZ39" s="67">
        <f t="shared" si="2185"/>
        <v>220</v>
      </c>
      <c r="AUA39" s="68">
        <f t="shared" si="2186"/>
        <v>36.666666666666664</v>
      </c>
      <c r="AUB39" s="48"/>
      <c r="AUC39" s="49"/>
      <c r="AUD39" s="49"/>
      <c r="AUE39" s="49">
        <v>220</v>
      </c>
      <c r="AUF39" s="49"/>
      <c r="AUG39" s="49">
        <v>219</v>
      </c>
      <c r="AUH39" s="67">
        <f t="shared" si="2187"/>
        <v>439</v>
      </c>
      <c r="AUI39" s="68">
        <f t="shared" si="2188"/>
        <v>73.166666666666671</v>
      </c>
      <c r="AUJ39" s="48"/>
      <c r="AUK39" s="49"/>
      <c r="AUL39" s="49"/>
      <c r="AUM39" s="49"/>
      <c r="AUN39" s="49"/>
      <c r="AUO39" s="49"/>
      <c r="AUP39" s="67">
        <f t="shared" si="2189"/>
        <v>0</v>
      </c>
      <c r="AUQ39" s="68">
        <f t="shared" si="2190"/>
        <v>0</v>
      </c>
      <c r="AUR39" s="48"/>
      <c r="AUS39" s="49"/>
      <c r="AUT39" s="49"/>
      <c r="AUU39" s="49"/>
      <c r="AUV39" s="49"/>
      <c r="AUW39" s="49"/>
      <c r="AUX39" s="67">
        <f t="shared" si="2191"/>
        <v>0</v>
      </c>
      <c r="AUY39" s="68">
        <f t="shared" si="2192"/>
        <v>0</v>
      </c>
      <c r="AUZ39" s="48">
        <v>220</v>
      </c>
      <c r="AVA39" s="49"/>
      <c r="AVB39" s="49"/>
      <c r="AVC39" s="49"/>
      <c r="AVD39" s="49"/>
      <c r="AVE39" s="49">
        <v>219</v>
      </c>
      <c r="AVF39" s="67">
        <f t="shared" si="2193"/>
        <v>439</v>
      </c>
      <c r="AVG39" s="68">
        <f t="shared" si="2194"/>
        <v>73.166666666666671</v>
      </c>
      <c r="AVH39" s="48"/>
      <c r="AVI39" s="49"/>
      <c r="AVJ39" s="49"/>
      <c r="AVK39" s="49">
        <v>111</v>
      </c>
      <c r="AVL39" s="49"/>
      <c r="AVM39" s="49"/>
      <c r="AVN39" s="67">
        <f t="shared" si="2195"/>
        <v>111</v>
      </c>
      <c r="AVO39" s="68">
        <f t="shared" si="2196"/>
        <v>18.5</v>
      </c>
      <c r="AVP39" s="48"/>
      <c r="AVQ39" s="49">
        <v>109</v>
      </c>
      <c r="AVR39" s="49"/>
      <c r="AVS39" s="49"/>
      <c r="AVT39" s="49"/>
      <c r="AVU39" s="49"/>
      <c r="AVV39" s="67">
        <f t="shared" si="2197"/>
        <v>109</v>
      </c>
      <c r="AVW39" s="68">
        <f t="shared" si="2198"/>
        <v>18.166666666666668</v>
      </c>
      <c r="AVX39" s="48"/>
      <c r="AVY39" s="49"/>
      <c r="AVZ39" s="49">
        <v>110</v>
      </c>
      <c r="AWA39" s="49"/>
      <c r="AWB39" s="49"/>
      <c r="AWC39" s="49"/>
      <c r="AWD39" s="67">
        <f t="shared" si="2199"/>
        <v>110</v>
      </c>
      <c r="AWE39" s="68">
        <f t="shared" si="2200"/>
        <v>18.333333333333332</v>
      </c>
      <c r="AWF39" s="48"/>
      <c r="AWG39" s="49"/>
      <c r="AWH39" s="49"/>
      <c r="AWI39" s="49"/>
      <c r="AWJ39" s="49">
        <v>110</v>
      </c>
      <c r="AWK39" s="49"/>
      <c r="AWL39" s="67">
        <f t="shared" si="2201"/>
        <v>110</v>
      </c>
      <c r="AWM39" s="184">
        <f t="shared" si="2202"/>
        <v>18.333333333333332</v>
      </c>
      <c r="AWN39" s="48">
        <v>110</v>
      </c>
      <c r="AWO39" s="49"/>
      <c r="AWP39" s="49"/>
      <c r="AWQ39" s="49">
        <v>107</v>
      </c>
      <c r="AWR39" s="49"/>
      <c r="AWS39" s="49">
        <v>110</v>
      </c>
      <c r="AWT39" s="42">
        <f t="shared" si="2203"/>
        <v>327</v>
      </c>
      <c r="AWU39" s="43">
        <f t="shared" si="2204"/>
        <v>54.5</v>
      </c>
      <c r="AWV39" s="48"/>
      <c r="AWW39" s="49"/>
      <c r="AWX39" s="49"/>
      <c r="AWY39" s="49"/>
      <c r="AWZ39" s="49"/>
      <c r="AXA39" s="49"/>
      <c r="AXB39" s="42">
        <f t="shared" si="2205"/>
        <v>0</v>
      </c>
      <c r="AXC39" s="43">
        <f t="shared" si="2206"/>
        <v>0</v>
      </c>
      <c r="AXD39" s="48"/>
      <c r="AXE39" s="49"/>
      <c r="AXF39" s="49"/>
      <c r="AXG39" s="49">
        <v>112</v>
      </c>
      <c r="AXH39" s="49"/>
      <c r="AXI39" s="49"/>
      <c r="AXJ39" s="42">
        <f t="shared" si="2207"/>
        <v>112</v>
      </c>
      <c r="AXK39" s="43">
        <f t="shared" si="2208"/>
        <v>18.666666666666668</v>
      </c>
      <c r="AXL39" s="48"/>
      <c r="AXM39" s="49">
        <v>110</v>
      </c>
      <c r="AXN39" s="49"/>
      <c r="AXO39" s="49"/>
      <c r="AXP39" s="49"/>
      <c r="AXQ39" s="49">
        <v>110</v>
      </c>
      <c r="AXR39" s="42">
        <f t="shared" si="2209"/>
        <v>220</v>
      </c>
      <c r="AXS39" s="43">
        <f t="shared" si="2210"/>
        <v>36.666666666666664</v>
      </c>
      <c r="AXT39" s="48"/>
      <c r="AXU39" s="49"/>
      <c r="AXV39" s="49"/>
      <c r="AXW39" s="49"/>
      <c r="AXX39" s="49">
        <v>102</v>
      </c>
      <c r="AXY39" s="49"/>
      <c r="AXZ39" s="42">
        <f t="shared" si="2211"/>
        <v>102</v>
      </c>
      <c r="AYA39" s="43">
        <f t="shared" si="2212"/>
        <v>17</v>
      </c>
      <c r="AYB39" s="48"/>
      <c r="AYC39" s="49"/>
      <c r="AYD39" s="49"/>
      <c r="AYE39" s="49">
        <v>210</v>
      </c>
      <c r="AYF39" s="49"/>
      <c r="AYG39" s="49"/>
      <c r="AYH39" s="42">
        <f t="shared" si="2213"/>
        <v>210</v>
      </c>
      <c r="AYI39" s="43">
        <f t="shared" si="2214"/>
        <v>35</v>
      </c>
      <c r="AYJ39" s="48"/>
      <c r="AYK39" s="49"/>
      <c r="AYL39" s="49">
        <v>138</v>
      </c>
      <c r="AYM39" s="49"/>
      <c r="AYN39" s="49"/>
      <c r="AYO39" s="49"/>
      <c r="AYP39" s="42">
        <f t="shared" si="2215"/>
        <v>138</v>
      </c>
      <c r="AYQ39" s="43">
        <f t="shared" si="2216"/>
        <v>23</v>
      </c>
      <c r="AYR39" s="48"/>
      <c r="AYS39" s="49"/>
      <c r="AYT39" s="49"/>
      <c r="AYU39" s="49"/>
      <c r="AYV39" s="49"/>
      <c r="AYW39" s="49"/>
      <c r="AYX39" s="42">
        <f t="shared" si="2217"/>
        <v>0</v>
      </c>
      <c r="AYY39" s="43">
        <f t="shared" si="2218"/>
        <v>0</v>
      </c>
      <c r="AYZ39" s="48"/>
      <c r="AZA39" s="49">
        <v>219</v>
      </c>
      <c r="AZB39" s="49"/>
      <c r="AZC39" s="49"/>
      <c r="AZD39" s="49"/>
      <c r="AZE39" s="49"/>
      <c r="AZF39" s="42">
        <f t="shared" si="2219"/>
        <v>219</v>
      </c>
      <c r="AZG39" s="43">
        <f t="shared" si="2220"/>
        <v>36.5</v>
      </c>
      <c r="AZH39" s="48"/>
      <c r="AZI39" s="49"/>
      <c r="AZJ39" s="49"/>
      <c r="AZK39" s="49"/>
      <c r="AZL39" s="49"/>
      <c r="AZM39" s="49"/>
      <c r="AZN39" s="42">
        <f t="shared" si="2221"/>
        <v>0</v>
      </c>
      <c r="AZO39" s="43">
        <f t="shared" si="2222"/>
        <v>0</v>
      </c>
      <c r="AZP39" s="48">
        <v>110</v>
      </c>
      <c r="AZQ39" s="49"/>
      <c r="AZR39" s="49"/>
      <c r="AZS39" s="49"/>
      <c r="AZT39" s="49"/>
      <c r="AZU39" s="49"/>
      <c r="AZV39" s="42">
        <f t="shared" si="2223"/>
        <v>110</v>
      </c>
      <c r="AZW39" s="43">
        <f t="shared" si="2224"/>
        <v>18.333333333333332</v>
      </c>
      <c r="AZX39" s="82"/>
      <c r="AZY39" s="83">
        <v>230</v>
      </c>
      <c r="AZZ39" s="83"/>
      <c r="BAA39" s="83"/>
      <c r="BAB39" s="83"/>
      <c r="BAC39" s="83"/>
      <c r="BAD39" s="42">
        <f t="shared" si="2225"/>
        <v>230</v>
      </c>
      <c r="BAE39" s="43">
        <f t="shared" si="2226"/>
        <v>38.333333333333336</v>
      </c>
      <c r="BAF39" s="48"/>
      <c r="BAG39" s="49"/>
      <c r="BAH39" s="49"/>
      <c r="BAI39" s="49"/>
      <c r="BAJ39" s="49"/>
      <c r="BAK39" s="49"/>
      <c r="BAL39" s="42">
        <f t="shared" si="2227"/>
        <v>0</v>
      </c>
      <c r="BAM39" s="43">
        <f t="shared" si="2228"/>
        <v>0</v>
      </c>
      <c r="BAN39" s="48"/>
      <c r="BAO39" s="49"/>
      <c r="BAP39" s="49"/>
      <c r="BAQ39" s="49"/>
      <c r="BAR39" s="49"/>
      <c r="BAS39" s="49"/>
      <c r="BAT39" s="42">
        <f t="shared" si="2229"/>
        <v>0</v>
      </c>
      <c r="BAU39" s="43">
        <f t="shared" si="2230"/>
        <v>0</v>
      </c>
      <c r="BAV39" s="48"/>
      <c r="BAW39" s="49"/>
      <c r="BAX39" s="49"/>
      <c r="BAY39" s="49">
        <v>265</v>
      </c>
      <c r="BAZ39" s="49"/>
      <c r="BBA39" s="49"/>
      <c r="BBB39" s="42">
        <f t="shared" si="2231"/>
        <v>265</v>
      </c>
      <c r="BBC39" s="43">
        <f t="shared" si="2232"/>
        <v>44.166666666666664</v>
      </c>
      <c r="BBD39" s="48"/>
      <c r="BBE39" s="49"/>
      <c r="BBF39" s="49"/>
      <c r="BBG39" s="49">
        <v>110</v>
      </c>
      <c r="BBH39" s="49"/>
      <c r="BBI39" s="49"/>
      <c r="BBJ39" s="42">
        <f t="shared" si="2233"/>
        <v>110</v>
      </c>
      <c r="BBK39" s="43">
        <f t="shared" si="2234"/>
        <v>18.333333333333332</v>
      </c>
      <c r="BBL39" s="48"/>
      <c r="BBM39" s="49"/>
      <c r="BBN39" s="49"/>
      <c r="BBO39" s="49"/>
      <c r="BBP39" s="49"/>
      <c r="BBQ39" s="49"/>
      <c r="BBR39" s="42">
        <f t="shared" si="2235"/>
        <v>0</v>
      </c>
      <c r="BBS39" s="43">
        <f t="shared" si="2236"/>
        <v>0</v>
      </c>
      <c r="BBT39" s="48"/>
      <c r="BBU39" s="49"/>
      <c r="BBV39" s="49">
        <v>214</v>
      </c>
      <c r="BBW39" s="49"/>
      <c r="BBX39" s="49"/>
      <c r="BBY39" s="49"/>
      <c r="BBZ39" s="42">
        <f t="shared" si="2237"/>
        <v>214</v>
      </c>
      <c r="BCA39" s="43">
        <f t="shared" si="2238"/>
        <v>35.666666666666664</v>
      </c>
      <c r="BCB39" s="48"/>
      <c r="BCC39" s="49"/>
      <c r="BCD39" s="49"/>
      <c r="BCE39" s="49"/>
      <c r="BCF39" s="49"/>
      <c r="BCG39" s="49"/>
      <c r="BCH39" s="42">
        <f t="shared" si="2239"/>
        <v>0</v>
      </c>
      <c r="BCI39" s="43">
        <f t="shared" si="2240"/>
        <v>0</v>
      </c>
      <c r="BCJ39" s="48"/>
      <c r="BCK39" s="49">
        <v>110</v>
      </c>
      <c r="BCL39" s="49"/>
      <c r="BCM39" s="49"/>
      <c r="BCN39" s="49"/>
      <c r="BCO39" s="49"/>
      <c r="BCP39" s="42">
        <f t="shared" si="2241"/>
        <v>110</v>
      </c>
      <c r="BCQ39" s="43">
        <f t="shared" si="2242"/>
        <v>18.333333333333332</v>
      </c>
      <c r="BCR39" s="48"/>
      <c r="BCS39" s="49"/>
      <c r="BCT39" s="49"/>
      <c r="BCU39" s="49"/>
      <c r="BCV39" s="49"/>
      <c r="BCW39" s="49"/>
      <c r="BCX39" s="42">
        <f t="shared" si="2243"/>
        <v>0</v>
      </c>
      <c r="BCY39" s="43">
        <f t="shared" si="2244"/>
        <v>0</v>
      </c>
      <c r="BCZ39" s="48">
        <v>120</v>
      </c>
      <c r="BDA39" s="49"/>
      <c r="BDB39" s="49"/>
      <c r="BDC39" s="49"/>
      <c r="BDD39" s="49"/>
      <c r="BDE39" s="49"/>
      <c r="BDF39" s="42">
        <f t="shared" si="2245"/>
        <v>120</v>
      </c>
      <c r="BDG39" s="43">
        <f t="shared" si="2246"/>
        <v>20</v>
      </c>
      <c r="BDH39" s="48"/>
      <c r="BDI39" s="49"/>
      <c r="BDJ39" s="49">
        <v>110</v>
      </c>
      <c r="BDK39" s="49"/>
      <c r="BDL39" s="49"/>
      <c r="BDM39" s="49"/>
      <c r="BDN39" s="42">
        <f t="shared" si="2247"/>
        <v>110</v>
      </c>
      <c r="BDO39" s="43">
        <f t="shared" si="2248"/>
        <v>18.333333333333332</v>
      </c>
      <c r="BDP39" s="48"/>
      <c r="BDQ39" s="49"/>
      <c r="BDR39" s="49"/>
      <c r="BDS39" s="49"/>
      <c r="BDT39" s="49"/>
      <c r="BDU39" s="49"/>
      <c r="BDV39" s="42">
        <f t="shared" si="2249"/>
        <v>0</v>
      </c>
      <c r="BDW39" s="43">
        <f t="shared" si="2250"/>
        <v>0</v>
      </c>
      <c r="BDX39" s="48"/>
      <c r="BDY39" s="49">
        <v>107</v>
      </c>
      <c r="BDZ39" s="49"/>
      <c r="BEA39" s="49"/>
      <c r="BEB39" s="49">
        <v>110</v>
      </c>
      <c r="BEC39" s="49"/>
      <c r="BED39" s="42">
        <f t="shared" si="2251"/>
        <v>217</v>
      </c>
      <c r="BEE39" s="43">
        <f t="shared" si="2252"/>
        <v>36.166666666666664</v>
      </c>
      <c r="BEF39" s="48"/>
      <c r="BEG39" s="49"/>
      <c r="BEH39" s="49">
        <v>100</v>
      </c>
      <c r="BEI39" s="49"/>
      <c r="BEJ39" s="49"/>
      <c r="BEK39" s="49"/>
      <c r="BEL39" s="42">
        <f t="shared" si="2253"/>
        <v>100</v>
      </c>
      <c r="BEM39" s="43">
        <f t="shared" si="2254"/>
        <v>16.666666666666668</v>
      </c>
      <c r="BEN39" s="48"/>
      <c r="BEO39" s="49"/>
      <c r="BEP39" s="49">
        <v>106</v>
      </c>
      <c r="BEQ39" s="49"/>
      <c r="BER39" s="49"/>
      <c r="BES39" s="49"/>
      <c r="BET39" s="42">
        <f t="shared" si="2255"/>
        <v>106</v>
      </c>
      <c r="BEU39" s="43">
        <f t="shared" si="2256"/>
        <v>17.666666666666668</v>
      </c>
      <c r="BEV39" s="82"/>
      <c r="BEW39" s="83"/>
      <c r="BEX39" s="83"/>
      <c r="BEY39" s="83"/>
      <c r="BEZ39" s="83"/>
      <c r="BFA39" s="83"/>
      <c r="BFB39" s="42">
        <f t="shared" si="2257"/>
        <v>0</v>
      </c>
      <c r="BFC39" s="43">
        <f t="shared" si="2258"/>
        <v>0</v>
      </c>
      <c r="BFD39" s="48"/>
      <c r="BFE39" s="49"/>
      <c r="BFF39" s="49"/>
      <c r="BFG39" s="49"/>
      <c r="BFH39" s="49"/>
      <c r="BFI39" s="49">
        <v>110</v>
      </c>
      <c r="BFJ39" s="42">
        <f t="shared" si="2259"/>
        <v>110</v>
      </c>
      <c r="BFK39" s="43">
        <f t="shared" si="2260"/>
        <v>18.333333333333332</v>
      </c>
      <c r="BFL39" s="48"/>
      <c r="BFM39" s="49"/>
      <c r="BFN39" s="49"/>
      <c r="BFO39" s="49">
        <v>202</v>
      </c>
      <c r="BFP39" s="49"/>
      <c r="BFQ39" s="49"/>
      <c r="BFR39" s="42">
        <f t="shared" si="2261"/>
        <v>202</v>
      </c>
      <c r="BFS39" s="43">
        <f t="shared" si="2262"/>
        <v>33.666666666666664</v>
      </c>
      <c r="BFT39" s="48"/>
      <c r="BFU39" s="49"/>
      <c r="BFV39" s="49"/>
      <c r="BFW39" s="49"/>
      <c r="BFX39" s="49"/>
      <c r="BFY39" s="49"/>
      <c r="BFZ39" s="42">
        <f t="shared" si="2263"/>
        <v>0</v>
      </c>
      <c r="BGA39" s="43">
        <f t="shared" si="2264"/>
        <v>0</v>
      </c>
      <c r="BGB39" s="48"/>
      <c r="BGC39" s="49"/>
      <c r="BGD39" s="49"/>
      <c r="BGE39" s="49"/>
      <c r="BGF39" s="49">
        <v>218</v>
      </c>
      <c r="BGG39" s="49"/>
      <c r="BGH39" s="42">
        <f t="shared" si="2265"/>
        <v>218</v>
      </c>
      <c r="BGI39" s="43">
        <f t="shared" si="2266"/>
        <v>36.333333333333336</v>
      </c>
      <c r="BGJ39" s="48"/>
      <c r="BGK39" s="49"/>
      <c r="BGL39" s="49">
        <v>108</v>
      </c>
      <c r="BGM39" s="49"/>
      <c r="BGN39" s="49"/>
      <c r="BGO39" s="49"/>
      <c r="BGP39" s="42">
        <f t="shared" si="2267"/>
        <v>108</v>
      </c>
      <c r="BGQ39" s="43">
        <f t="shared" si="2268"/>
        <v>18</v>
      </c>
      <c r="BGR39" s="48"/>
      <c r="BGS39" s="49"/>
      <c r="BGT39" s="49"/>
      <c r="BGU39" s="49"/>
      <c r="BGV39" s="49"/>
      <c r="BGW39" s="49"/>
      <c r="BGX39" s="42">
        <f t="shared" si="2269"/>
        <v>0</v>
      </c>
      <c r="BGY39" s="43">
        <f t="shared" si="2270"/>
        <v>0</v>
      </c>
      <c r="BGZ39" s="239"/>
      <c r="BHA39" s="1"/>
      <c r="BHB39" s="1">
        <v>219</v>
      </c>
      <c r="BHC39" s="1"/>
      <c r="BHD39" s="1"/>
      <c r="BHE39" s="1"/>
      <c r="BHF39" s="42">
        <f t="shared" si="2271"/>
        <v>219</v>
      </c>
      <c r="BHG39" s="43">
        <f t="shared" si="2272"/>
        <v>36.5</v>
      </c>
      <c r="BHH39" s="48"/>
      <c r="BHI39" s="49">
        <v>110</v>
      </c>
      <c r="BHJ39" s="49"/>
      <c r="BHK39" s="49"/>
      <c r="BHL39" s="49"/>
      <c r="BHM39" s="49"/>
      <c r="BHN39" s="42">
        <f t="shared" si="2273"/>
        <v>110</v>
      </c>
      <c r="BHO39" s="43">
        <f t="shared" si="2274"/>
        <v>18.333333333333332</v>
      </c>
      <c r="BHP39" s="48"/>
      <c r="BHQ39" s="49"/>
      <c r="BHR39" s="49"/>
      <c r="BHS39" s="49">
        <v>220</v>
      </c>
      <c r="BHT39" s="49"/>
      <c r="BHU39" s="49"/>
      <c r="BHV39" s="42">
        <f t="shared" si="2275"/>
        <v>220</v>
      </c>
      <c r="BHW39" s="43">
        <f t="shared" si="2276"/>
        <v>36.666666666666664</v>
      </c>
      <c r="BHX39" s="48"/>
      <c r="BHY39" s="49"/>
      <c r="BHZ39" s="49">
        <v>119</v>
      </c>
      <c r="BIA39" s="49"/>
      <c r="BIB39" s="49"/>
      <c r="BIC39" s="49"/>
      <c r="BID39" s="42">
        <f t="shared" si="2277"/>
        <v>119</v>
      </c>
      <c r="BIE39" s="43">
        <f t="shared" si="2278"/>
        <v>19.833333333333332</v>
      </c>
      <c r="BIF39" s="48"/>
      <c r="BIG39" s="49"/>
      <c r="BIH39" s="49">
        <v>98</v>
      </c>
      <c r="BII39" s="49"/>
      <c r="BIJ39" s="49"/>
      <c r="BIK39" s="49"/>
      <c r="BIL39" s="42">
        <f t="shared" si="2279"/>
        <v>98</v>
      </c>
      <c r="BIM39" s="43">
        <f t="shared" si="2280"/>
        <v>16.333333333333332</v>
      </c>
      <c r="BIN39" s="48"/>
      <c r="BIO39" s="49"/>
      <c r="BIP39" s="49">
        <v>208</v>
      </c>
      <c r="BIQ39" s="49"/>
      <c r="BIR39" s="49"/>
      <c r="BIS39" s="49"/>
      <c r="BIT39" s="42">
        <f t="shared" si="2281"/>
        <v>208</v>
      </c>
      <c r="BIU39" s="101">
        <f t="shared" si="2282"/>
        <v>34.666666666666664</v>
      </c>
      <c r="BIV39" s="195">
        <v>109</v>
      </c>
      <c r="BIW39" s="49"/>
      <c r="BIX39" s="49">
        <v>110</v>
      </c>
      <c r="BIY39" s="49"/>
      <c r="BIZ39" s="49"/>
      <c r="BJA39" s="49"/>
      <c r="BJB39" s="42">
        <f t="shared" si="2283"/>
        <v>219</v>
      </c>
      <c r="BJC39" s="101">
        <f t="shared" si="2284"/>
        <v>36.5</v>
      </c>
      <c r="BJD39" s="48">
        <v>110</v>
      </c>
      <c r="BJE39" s="49"/>
      <c r="BJF39" s="49"/>
      <c r="BJG39" s="49"/>
      <c r="BJH39" s="49">
        <v>110</v>
      </c>
      <c r="BJI39" s="49"/>
      <c r="BJJ39" s="42">
        <f t="shared" si="2285"/>
        <v>220</v>
      </c>
      <c r="BJK39" s="43">
        <f t="shared" si="2286"/>
        <v>36.666666666666664</v>
      </c>
      <c r="BJL39" s="48"/>
      <c r="BJM39" s="49"/>
      <c r="BJN39" s="49"/>
      <c r="BJO39" s="49"/>
      <c r="BJP39" s="49"/>
      <c r="BJQ39" s="49"/>
      <c r="BJR39" s="42">
        <f t="shared" si="2287"/>
        <v>0</v>
      </c>
      <c r="BJS39" s="43">
        <f t="shared" si="2288"/>
        <v>0</v>
      </c>
      <c r="BJT39" s="48"/>
      <c r="BJU39" s="49"/>
      <c r="BJV39" s="49"/>
      <c r="BJW39" s="49"/>
      <c r="BJX39" s="49">
        <v>110</v>
      </c>
      <c r="BJY39" s="49"/>
      <c r="BJZ39" s="42">
        <f t="shared" si="2289"/>
        <v>110</v>
      </c>
      <c r="BKA39" s="43">
        <f t="shared" si="2290"/>
        <v>22</v>
      </c>
      <c r="BKB39" s="48"/>
      <c r="BKC39" s="49">
        <v>110</v>
      </c>
      <c r="BKD39" s="49"/>
      <c r="BKE39" s="49"/>
      <c r="BKF39" s="49"/>
      <c r="BKG39" s="49"/>
      <c r="BKH39" s="67">
        <f t="shared" si="2291"/>
        <v>110</v>
      </c>
      <c r="BKI39" s="68">
        <f t="shared" si="2292"/>
        <v>18.333333333333332</v>
      </c>
      <c r="BKJ39" s="48"/>
      <c r="BKK39" s="49"/>
      <c r="BKL39" s="49">
        <v>110</v>
      </c>
      <c r="BKM39" s="49"/>
      <c r="BKN39" s="49"/>
      <c r="BKO39" s="49"/>
      <c r="BKP39" s="42">
        <f t="shared" si="2293"/>
        <v>110</v>
      </c>
      <c r="BKQ39" s="43">
        <f t="shared" si="2294"/>
        <v>18.333333333333332</v>
      </c>
      <c r="BKR39" s="48"/>
      <c r="BKS39" s="49">
        <v>110</v>
      </c>
      <c r="BKT39" s="49"/>
      <c r="BKU39" s="49"/>
      <c r="BKV39" s="49"/>
      <c r="BKW39" s="49">
        <v>110</v>
      </c>
      <c r="BKX39" s="42">
        <f t="shared" si="2295"/>
        <v>220</v>
      </c>
      <c r="BKY39" s="43">
        <f t="shared" si="2296"/>
        <v>36.666666666666664</v>
      </c>
      <c r="BKZ39" s="48"/>
      <c r="BLA39" s="49"/>
      <c r="BLB39" s="49"/>
      <c r="BLC39" s="49">
        <v>110</v>
      </c>
      <c r="BLD39" s="49"/>
      <c r="BLE39" s="49"/>
      <c r="BLF39" s="42">
        <f t="shared" si="2297"/>
        <v>110</v>
      </c>
      <c r="BLG39" s="43">
        <f t="shared" si="2298"/>
        <v>18.333333333333332</v>
      </c>
      <c r="BLH39" s="48"/>
      <c r="BLI39" s="49"/>
      <c r="BLJ39" s="49"/>
      <c r="BLK39" s="49">
        <v>220</v>
      </c>
      <c r="BLL39" s="49"/>
      <c r="BLM39" s="49"/>
      <c r="BLN39" s="42">
        <f t="shared" si="2299"/>
        <v>220</v>
      </c>
      <c r="BLO39" s="43">
        <f t="shared" si="2300"/>
        <v>36.666666666666664</v>
      </c>
      <c r="BLP39" s="48"/>
      <c r="BLQ39" s="49"/>
      <c r="BLR39" s="49"/>
      <c r="BLS39" s="49"/>
      <c r="BLT39" s="49"/>
      <c r="BLU39" s="49"/>
      <c r="BLV39" s="42">
        <f t="shared" si="2301"/>
        <v>0</v>
      </c>
      <c r="BLW39" s="43">
        <f t="shared" si="2302"/>
        <v>0</v>
      </c>
      <c r="BLX39" s="48"/>
      <c r="BLY39" s="49">
        <v>220</v>
      </c>
      <c r="BLZ39" s="49"/>
      <c r="BMA39" s="49"/>
      <c r="BMB39" s="49"/>
      <c r="BMC39" s="49">
        <v>200</v>
      </c>
      <c r="BMD39" s="42">
        <f t="shared" si="2303"/>
        <v>420</v>
      </c>
      <c r="BME39" s="43">
        <f t="shared" si="2304"/>
        <v>70</v>
      </c>
      <c r="BMF39" s="48"/>
      <c r="BMG39" s="49"/>
      <c r="BMH39" s="49"/>
      <c r="BMI39" s="49"/>
      <c r="BMJ39" s="49"/>
      <c r="BMK39" s="49"/>
      <c r="BML39" s="42">
        <f t="shared" si="2305"/>
        <v>0</v>
      </c>
      <c r="BMM39" s="43">
        <f t="shared" si="2306"/>
        <v>0</v>
      </c>
      <c r="BMN39" s="48">
        <v>108</v>
      </c>
      <c r="BMO39" s="49"/>
      <c r="BMP39" s="49"/>
      <c r="BMQ39" s="49"/>
      <c r="BMR39" s="49"/>
      <c r="BMS39" s="49"/>
      <c r="BMT39" s="42">
        <f t="shared" si="2307"/>
        <v>108</v>
      </c>
      <c r="BMU39" s="43">
        <f t="shared" si="2308"/>
        <v>18</v>
      </c>
      <c r="BMV39" s="48"/>
      <c r="BMW39" s="49">
        <v>110</v>
      </c>
      <c r="BMX39" s="49">
        <v>282</v>
      </c>
      <c r="BMY39" s="49"/>
      <c r="BMZ39" s="49"/>
      <c r="BNA39" s="49"/>
      <c r="BNB39" s="42">
        <f t="shared" si="2309"/>
        <v>392</v>
      </c>
      <c r="BNC39" s="43">
        <f t="shared" si="2310"/>
        <v>65.333333333333329</v>
      </c>
      <c r="BND39" s="48"/>
      <c r="BNE39" s="49"/>
      <c r="BNF39" s="49"/>
      <c r="BNG39" s="49"/>
      <c r="BNH39" s="49">
        <v>110</v>
      </c>
      <c r="BNI39" s="49"/>
      <c r="BNJ39" s="42">
        <f t="shared" si="2311"/>
        <v>110</v>
      </c>
      <c r="BNK39" s="43">
        <f t="shared" si="2312"/>
        <v>18.333333333333332</v>
      </c>
      <c r="BNL39" s="48"/>
      <c r="BNM39" s="49"/>
      <c r="BNN39" s="49"/>
      <c r="BNO39" s="49"/>
      <c r="BNP39" s="49"/>
      <c r="BNQ39" s="49">
        <v>110</v>
      </c>
      <c r="BNR39" s="42">
        <f t="shared" si="2313"/>
        <v>110</v>
      </c>
      <c r="BNS39" s="43">
        <f t="shared" si="2314"/>
        <v>18.333333333333332</v>
      </c>
      <c r="BNT39" s="48"/>
      <c r="BNU39" s="49"/>
      <c r="BNV39" s="49"/>
      <c r="BNW39" s="49"/>
      <c r="BNX39" s="49"/>
      <c r="BNY39" s="49">
        <v>106</v>
      </c>
      <c r="BNZ39" s="42">
        <f t="shared" si="2315"/>
        <v>106</v>
      </c>
      <c r="BOA39" s="43">
        <f t="shared" si="2316"/>
        <v>17.666666666666668</v>
      </c>
      <c r="BOB39" s="48"/>
      <c r="BOC39" s="49"/>
      <c r="BOD39" s="49"/>
      <c r="BOE39" s="49"/>
      <c r="BOF39" s="49"/>
      <c r="BOG39" s="49"/>
      <c r="BOH39" s="42">
        <f t="shared" si="2317"/>
        <v>0</v>
      </c>
      <c r="BOI39" s="43">
        <f t="shared" si="2318"/>
        <v>0</v>
      </c>
      <c r="BOJ39" s="48"/>
      <c r="BOK39" s="49"/>
      <c r="BOL39" s="49">
        <v>120</v>
      </c>
      <c r="BOM39" s="49"/>
      <c r="BON39" s="49"/>
      <c r="BOO39" s="49"/>
      <c r="BOP39" s="42">
        <f t="shared" si="2319"/>
        <v>120</v>
      </c>
      <c r="BOQ39" s="43">
        <f t="shared" si="2320"/>
        <v>20</v>
      </c>
      <c r="BOR39" s="48"/>
      <c r="BOS39" s="49"/>
      <c r="BOT39" s="49">
        <v>111</v>
      </c>
      <c r="BOU39" s="49"/>
      <c r="BOV39" s="49"/>
      <c r="BOW39" s="49"/>
      <c r="BOX39" s="42">
        <f t="shared" si="2321"/>
        <v>111</v>
      </c>
      <c r="BOY39" s="43">
        <f t="shared" si="2322"/>
        <v>18.5</v>
      </c>
      <c r="BOZ39" s="48"/>
      <c r="BPA39" s="49">
        <v>80</v>
      </c>
      <c r="BPB39" s="49"/>
      <c r="BPC39" s="49"/>
      <c r="BPD39" s="49"/>
      <c r="BPE39" s="49"/>
      <c r="BPF39" s="42">
        <f t="shared" si="2323"/>
        <v>80</v>
      </c>
      <c r="BPG39" s="43">
        <f t="shared" si="2324"/>
        <v>13.333333333333334</v>
      </c>
      <c r="BPH39" s="48"/>
      <c r="BPI39" s="49">
        <v>124</v>
      </c>
      <c r="BPJ39" s="49"/>
      <c r="BPK39" s="49"/>
      <c r="BPL39" s="49"/>
      <c r="BPM39" s="49"/>
      <c r="BPN39" s="42">
        <f t="shared" si="2325"/>
        <v>124</v>
      </c>
      <c r="BPO39" s="43">
        <f t="shared" si="2326"/>
        <v>20.666666666666668</v>
      </c>
      <c r="BPP39" s="48"/>
      <c r="BPQ39" s="49"/>
      <c r="BPR39" s="49">
        <v>220</v>
      </c>
      <c r="BPS39" s="49"/>
      <c r="BPT39" s="49"/>
      <c r="BPU39" s="49"/>
      <c r="BPV39" s="42">
        <f t="shared" si="2327"/>
        <v>220</v>
      </c>
      <c r="BPW39" s="43">
        <f t="shared" si="2328"/>
        <v>36.666666666666664</v>
      </c>
      <c r="BPX39" s="48"/>
      <c r="BPY39" s="49"/>
      <c r="BPZ39" s="49"/>
      <c r="BQA39" s="49">
        <v>160</v>
      </c>
      <c r="BQB39" s="49"/>
      <c r="BQC39" s="49"/>
      <c r="BQD39" s="67">
        <f t="shared" si="2329"/>
        <v>160</v>
      </c>
      <c r="BQE39" s="43">
        <f t="shared" si="2330"/>
        <v>26.666666666666668</v>
      </c>
      <c r="BQF39" s="48">
        <v>212</v>
      </c>
      <c r="BQG39" s="49"/>
      <c r="BQH39" s="49"/>
      <c r="BQI39" s="49">
        <v>121</v>
      </c>
      <c r="BQJ39" s="49"/>
      <c r="BQK39" s="49"/>
      <c r="BQL39" s="67">
        <f t="shared" si="2331"/>
        <v>333</v>
      </c>
      <c r="BQM39" s="43">
        <f t="shared" si="2332"/>
        <v>55.5</v>
      </c>
      <c r="BQN39" s="48"/>
      <c r="BQO39" s="49">
        <v>110</v>
      </c>
      <c r="BQP39" s="49"/>
      <c r="BQQ39" s="49"/>
      <c r="BQR39" s="49"/>
      <c r="BQS39" s="49"/>
      <c r="BQT39" s="67">
        <f t="shared" si="2333"/>
        <v>110</v>
      </c>
      <c r="BQU39" s="43">
        <f t="shared" si="2334"/>
        <v>18.333333333333332</v>
      </c>
      <c r="BQV39" s="48"/>
      <c r="BQW39" s="49">
        <v>222</v>
      </c>
      <c r="BQX39" s="49"/>
      <c r="BQY39" s="49"/>
      <c r="BQZ39" s="49"/>
      <c r="BRA39" s="49"/>
      <c r="BRB39" s="67">
        <f t="shared" si="2335"/>
        <v>222</v>
      </c>
      <c r="BRC39" s="43">
        <f t="shared" si="2336"/>
        <v>37</v>
      </c>
      <c r="BRD39" s="48"/>
      <c r="BRE39" s="49"/>
      <c r="BRF39" s="49"/>
      <c r="BRG39" s="49">
        <v>110</v>
      </c>
      <c r="BRH39" s="49"/>
      <c r="BRI39" s="49"/>
      <c r="BRJ39" s="67">
        <f t="shared" si="2337"/>
        <v>110</v>
      </c>
      <c r="BRK39" s="43">
        <f t="shared" si="2338"/>
        <v>18.333333333333332</v>
      </c>
      <c r="BRL39" s="48"/>
      <c r="BRM39" s="49"/>
      <c r="BRN39" s="49"/>
      <c r="BRO39" s="49"/>
      <c r="BRP39" s="49"/>
      <c r="BRQ39" s="49">
        <v>298</v>
      </c>
      <c r="BRR39" s="67">
        <f t="shared" si="2339"/>
        <v>298</v>
      </c>
      <c r="BRS39" s="68">
        <f t="shared" si="2340"/>
        <v>49.666666666666664</v>
      </c>
      <c r="BRT39" s="63"/>
      <c r="BRU39" s="64"/>
      <c r="BRV39" s="64"/>
      <c r="BRW39" s="64"/>
      <c r="BRX39" s="64"/>
      <c r="BRY39" s="64"/>
      <c r="BRZ39" s="67">
        <f t="shared" si="2341"/>
        <v>0</v>
      </c>
      <c r="BSA39" s="43">
        <f t="shared" si="2342"/>
        <v>0</v>
      </c>
      <c r="BSB39" s="48"/>
      <c r="BSC39" s="49"/>
      <c r="BSD39" s="49"/>
      <c r="BSE39" s="49"/>
      <c r="BSF39" s="49"/>
      <c r="BSG39" s="49"/>
      <c r="BSH39" s="67">
        <f t="shared" si="2343"/>
        <v>0</v>
      </c>
      <c r="BSI39" s="43">
        <f t="shared" si="2344"/>
        <v>0</v>
      </c>
      <c r="BSJ39" s="48"/>
      <c r="BSK39" s="49">
        <v>220</v>
      </c>
      <c r="BSL39" s="49"/>
      <c r="BSM39" s="49"/>
      <c r="BSN39" s="49"/>
      <c r="BSO39" s="49">
        <v>121</v>
      </c>
      <c r="BSP39" s="67">
        <f t="shared" si="2345"/>
        <v>341</v>
      </c>
      <c r="BSQ39" s="43">
        <f t="shared" si="2346"/>
        <v>56.833333333333336</v>
      </c>
      <c r="BSR39" s="48"/>
      <c r="BSS39" s="49"/>
      <c r="BST39" s="49"/>
      <c r="BSU39" s="49">
        <v>111</v>
      </c>
      <c r="BSV39" s="49"/>
      <c r="BSW39" s="49"/>
      <c r="BSX39" s="67">
        <f t="shared" si="2347"/>
        <v>111</v>
      </c>
      <c r="BSY39" s="43">
        <f t="shared" si="2348"/>
        <v>18.5</v>
      </c>
      <c r="BSZ39" s="48">
        <v>110</v>
      </c>
      <c r="BTA39" s="49">
        <v>220</v>
      </c>
      <c r="BTB39" s="49"/>
      <c r="BTC39" s="49"/>
      <c r="BTD39" s="49"/>
      <c r="BTE39" s="49"/>
      <c r="BTF39" s="67">
        <f t="shared" si="2349"/>
        <v>330</v>
      </c>
      <c r="BTG39" s="43">
        <f t="shared" si="2350"/>
        <v>55</v>
      </c>
      <c r="BTH39" s="48"/>
      <c r="BTI39" s="49"/>
      <c r="BTJ39" s="49"/>
      <c r="BTK39" s="49"/>
      <c r="BTL39" s="49"/>
      <c r="BTM39" s="49"/>
      <c r="BTN39" s="67">
        <f t="shared" si="2351"/>
        <v>0</v>
      </c>
      <c r="BTO39" s="68">
        <f t="shared" si="2352"/>
        <v>0</v>
      </c>
      <c r="BTP39" s="48"/>
      <c r="BTQ39" s="49"/>
      <c r="BTR39" s="49"/>
      <c r="BTS39" s="49"/>
      <c r="BTT39" s="49"/>
      <c r="BTU39" s="49"/>
      <c r="BTV39" s="67">
        <f t="shared" si="2353"/>
        <v>0</v>
      </c>
      <c r="BTW39" s="43">
        <f t="shared" si="2354"/>
        <v>0</v>
      </c>
      <c r="BTX39" s="48"/>
      <c r="BTY39" s="49">
        <v>217</v>
      </c>
      <c r="BTZ39" s="49"/>
      <c r="BUA39" s="49">
        <v>158</v>
      </c>
      <c r="BUB39" s="49"/>
      <c r="BUC39" s="49"/>
      <c r="BUD39" s="67">
        <f t="shared" si="2355"/>
        <v>375</v>
      </c>
      <c r="BUE39" s="68">
        <f t="shared" si="2356"/>
        <v>62.5</v>
      </c>
      <c r="BUF39" s="48"/>
      <c r="BUG39" s="49"/>
      <c r="BUH39" s="49">
        <v>108</v>
      </c>
      <c r="BUI39" s="49"/>
      <c r="BUJ39" s="49">
        <v>110</v>
      </c>
      <c r="BUK39" s="49"/>
      <c r="BUL39" s="67">
        <f t="shared" si="2357"/>
        <v>218</v>
      </c>
      <c r="BUM39" s="68">
        <f t="shared" si="2358"/>
        <v>36.333333333333336</v>
      </c>
      <c r="BUN39" s="48"/>
      <c r="BUO39" s="49"/>
      <c r="BUP39" s="49"/>
      <c r="BUQ39" s="49"/>
      <c r="BUR39" s="49"/>
      <c r="BUS39" s="49"/>
      <c r="BUT39" s="67">
        <f t="shared" si="2359"/>
        <v>0</v>
      </c>
      <c r="BUU39" s="68">
        <f t="shared" si="2360"/>
        <v>0</v>
      </c>
      <c r="BUV39" s="48"/>
      <c r="BUW39" s="49"/>
      <c r="BUX39" s="49"/>
      <c r="BUY39" s="49">
        <v>232</v>
      </c>
      <c r="BUZ39" s="49"/>
      <c r="BVA39" s="49"/>
      <c r="BVB39" s="67">
        <f t="shared" si="2361"/>
        <v>232</v>
      </c>
      <c r="BVC39" s="68">
        <f t="shared" si="2362"/>
        <v>38.666666666666664</v>
      </c>
      <c r="BVD39" s="48"/>
      <c r="BVE39" s="49"/>
      <c r="BVF39" s="49"/>
      <c r="BVG39" s="49"/>
      <c r="BVH39" s="49"/>
      <c r="BVI39" s="49"/>
      <c r="BVJ39" s="67">
        <f t="shared" si="2363"/>
        <v>0</v>
      </c>
      <c r="BVK39" s="68">
        <f t="shared" si="2364"/>
        <v>0</v>
      </c>
      <c r="BVL39" s="48"/>
      <c r="BVM39" s="49">
        <v>201</v>
      </c>
      <c r="BVN39" s="49"/>
      <c r="BVO39" s="49"/>
      <c r="BVP39" s="49"/>
      <c r="BVQ39" s="49"/>
      <c r="BVR39" s="67">
        <f t="shared" si="2365"/>
        <v>201</v>
      </c>
      <c r="BVS39" s="68">
        <f t="shared" si="2366"/>
        <v>33.5</v>
      </c>
      <c r="BVT39" s="48"/>
      <c r="BVU39" s="49"/>
      <c r="BVV39" s="49"/>
      <c r="BVW39" s="49"/>
      <c r="BVX39" s="49">
        <v>219</v>
      </c>
      <c r="BVY39" s="49"/>
      <c r="BVZ39" s="67">
        <f t="shared" si="2367"/>
        <v>219</v>
      </c>
      <c r="BWA39" s="68">
        <f t="shared" si="2368"/>
        <v>36.5</v>
      </c>
      <c r="BWB39" s="48"/>
      <c r="BWC39" s="49"/>
      <c r="BWD39" s="49"/>
      <c r="BWE39" s="49"/>
      <c r="BWF39" s="49"/>
      <c r="BWG39" s="49">
        <v>219</v>
      </c>
      <c r="BWH39" s="67">
        <f t="shared" si="2369"/>
        <v>219</v>
      </c>
      <c r="BWI39" s="68">
        <f t="shared" si="2370"/>
        <v>36.5</v>
      </c>
      <c r="BWJ39" s="48"/>
      <c r="BWK39" s="49"/>
      <c r="BWL39" s="49">
        <v>109</v>
      </c>
      <c r="BWM39" s="49"/>
      <c r="BWN39" s="49">
        <v>219</v>
      </c>
      <c r="BWO39" s="49"/>
      <c r="BWP39" s="67">
        <f t="shared" si="2371"/>
        <v>328</v>
      </c>
      <c r="BWQ39" s="68">
        <f t="shared" si="2372"/>
        <v>54.666666666666664</v>
      </c>
      <c r="BWR39" s="48">
        <v>107</v>
      </c>
      <c r="BWS39" s="49"/>
      <c r="BWT39" s="49"/>
      <c r="BWU39" s="49">
        <v>220</v>
      </c>
      <c r="BWV39" s="49"/>
      <c r="BWW39" s="49">
        <v>222</v>
      </c>
      <c r="BWX39" s="67">
        <f t="shared" si="2373"/>
        <v>549</v>
      </c>
      <c r="BWY39" s="68">
        <f t="shared" si="2374"/>
        <v>91.5</v>
      </c>
      <c r="BWZ39" s="48"/>
      <c r="BXA39" s="49"/>
      <c r="BXB39" s="49"/>
      <c r="BXC39" s="49"/>
      <c r="BXD39" s="49"/>
      <c r="BXE39" s="49">
        <v>149</v>
      </c>
      <c r="BXF39" s="67">
        <f t="shared" si="2375"/>
        <v>149</v>
      </c>
      <c r="BXG39" s="68">
        <f t="shared" si="2376"/>
        <v>24.833333333333332</v>
      </c>
      <c r="BXH39" s="48"/>
      <c r="BXI39" s="49">
        <v>221</v>
      </c>
      <c r="BXJ39" s="49"/>
      <c r="BXK39" s="49"/>
      <c r="BXL39" s="49"/>
      <c r="BXM39" s="49">
        <v>218</v>
      </c>
      <c r="BXN39" s="67">
        <f t="shared" si="2377"/>
        <v>439</v>
      </c>
      <c r="BXO39" s="68">
        <f t="shared" si="2378"/>
        <v>73.166666666666671</v>
      </c>
      <c r="BXP39" s="48"/>
      <c r="BXQ39" s="49"/>
      <c r="BXR39" s="49">
        <v>220</v>
      </c>
      <c r="BXS39" s="49"/>
      <c r="BXT39" s="49"/>
      <c r="BXU39" s="49"/>
      <c r="BXV39" s="67">
        <f t="shared" si="2379"/>
        <v>220</v>
      </c>
      <c r="BXW39" s="68">
        <f t="shared" si="1584"/>
        <v>36.666666666666664</v>
      </c>
      <c r="BXX39" s="48"/>
      <c r="BXY39" s="49">
        <v>223</v>
      </c>
      <c r="BXZ39" s="49"/>
      <c r="BYA39" s="49"/>
      <c r="BYB39" s="49">
        <v>80</v>
      </c>
      <c r="BYC39" s="49"/>
      <c r="BYD39" s="67">
        <f t="shared" si="2380"/>
        <v>303</v>
      </c>
      <c r="BYE39" s="68">
        <f t="shared" si="2381"/>
        <v>50.5</v>
      </c>
      <c r="BYF39" s="48"/>
      <c r="BYG39" s="49"/>
      <c r="BYH39" s="49">
        <v>110</v>
      </c>
      <c r="BYI39" s="49">
        <v>200</v>
      </c>
      <c r="BYJ39" s="49"/>
      <c r="BYK39" s="49"/>
      <c r="BYL39" s="67">
        <f t="shared" si="2382"/>
        <v>310</v>
      </c>
      <c r="BYM39" s="68">
        <f t="shared" si="2383"/>
        <v>51.666666666666664</v>
      </c>
      <c r="BYN39" s="48"/>
      <c r="BYO39" s="49">
        <v>240</v>
      </c>
      <c r="BYP39" s="49"/>
      <c r="BYQ39" s="49">
        <v>265</v>
      </c>
      <c r="BYR39" s="49"/>
      <c r="BYS39" s="49">
        <v>220</v>
      </c>
      <c r="BYT39" s="67">
        <f t="shared" si="2384"/>
        <v>725</v>
      </c>
      <c r="BYU39" s="68">
        <f t="shared" si="2385"/>
        <v>120.83333333333333</v>
      </c>
      <c r="BYV39" s="48"/>
      <c r="BYW39" s="49">
        <v>195</v>
      </c>
      <c r="BYX39" s="49"/>
      <c r="BYY39" s="49"/>
      <c r="BYZ39" s="49">
        <v>240</v>
      </c>
      <c r="BZA39" s="49">
        <v>199</v>
      </c>
      <c r="BZB39" s="67">
        <f t="shared" si="2386"/>
        <v>634</v>
      </c>
      <c r="BZC39" s="68">
        <f t="shared" si="2387"/>
        <v>105.66666666666667</v>
      </c>
      <c r="BZD39" s="48"/>
      <c r="BZE39" s="49"/>
      <c r="BZF39" s="49"/>
      <c r="BZG39" s="49"/>
      <c r="BZH39" s="49"/>
      <c r="BZI39" s="49"/>
      <c r="BZJ39" s="67">
        <f t="shared" si="2388"/>
        <v>0</v>
      </c>
      <c r="BZK39" s="68">
        <f t="shared" si="2389"/>
        <v>0</v>
      </c>
      <c r="BZL39" s="48"/>
      <c r="BZM39" s="49">
        <v>220</v>
      </c>
      <c r="BZN39" s="49"/>
      <c r="BZO39" s="49">
        <v>218</v>
      </c>
      <c r="BZP39" s="49"/>
      <c r="BZQ39" s="49"/>
      <c r="BZR39" s="67">
        <f t="shared" si="2390"/>
        <v>438</v>
      </c>
      <c r="BZS39" s="68">
        <f t="shared" si="2391"/>
        <v>73</v>
      </c>
      <c r="BZT39" s="48"/>
      <c r="BZU39" s="49"/>
      <c r="BZV39" s="49">
        <v>223</v>
      </c>
      <c r="BZW39" s="49"/>
      <c r="BZX39" s="49"/>
      <c r="BZY39" s="49"/>
      <c r="BZZ39" s="67">
        <f t="shared" si="2392"/>
        <v>223</v>
      </c>
      <c r="CAA39" s="68">
        <f t="shared" si="2393"/>
        <v>37.166666666666664</v>
      </c>
      <c r="CAB39" s="48">
        <v>188</v>
      </c>
      <c r="CAC39" s="49"/>
      <c r="CAD39" s="49"/>
      <c r="CAE39" s="49"/>
      <c r="CAF39" s="49">
        <v>110</v>
      </c>
      <c r="CAG39" s="49"/>
      <c r="CAH39" s="67">
        <f t="shared" si="2394"/>
        <v>298</v>
      </c>
      <c r="CAI39" s="68">
        <f t="shared" si="2395"/>
        <v>49.666666666666664</v>
      </c>
      <c r="CAJ39" s="48"/>
      <c r="CAK39" s="49">
        <v>269</v>
      </c>
      <c r="CAL39" s="49"/>
      <c r="CAM39" s="49"/>
      <c r="CAN39" s="49"/>
      <c r="CAO39" s="49">
        <v>121</v>
      </c>
      <c r="CAP39" s="67">
        <f t="shared" si="2396"/>
        <v>390</v>
      </c>
      <c r="CAQ39" s="68">
        <f t="shared" si="2397"/>
        <v>65</v>
      </c>
      <c r="CAR39" s="48">
        <v>220</v>
      </c>
      <c r="CAS39" s="49"/>
      <c r="CAT39" s="49"/>
      <c r="CAU39" s="49">
        <v>219</v>
      </c>
      <c r="CAV39" s="49"/>
      <c r="CAW39" s="49">
        <v>110</v>
      </c>
      <c r="CAX39" s="67">
        <f t="shared" si="2398"/>
        <v>549</v>
      </c>
      <c r="CAY39" s="68">
        <f t="shared" si="2399"/>
        <v>91.5</v>
      </c>
      <c r="CAZ39" s="48"/>
      <c r="CBA39" s="49"/>
      <c r="CBB39" s="49"/>
      <c r="CBC39" s="49"/>
      <c r="CBD39" s="49"/>
      <c r="CBE39" s="49">
        <v>110</v>
      </c>
      <c r="CBF39" s="67">
        <f t="shared" si="2400"/>
        <v>110</v>
      </c>
      <c r="CBG39" s="68">
        <f t="shared" si="2401"/>
        <v>18.333333333333332</v>
      </c>
      <c r="CBH39" s="48"/>
      <c r="CBI39" s="49">
        <v>140</v>
      </c>
      <c r="CBJ39" s="49"/>
      <c r="CBK39" s="49">
        <v>214</v>
      </c>
      <c r="CBL39" s="49"/>
      <c r="CBM39" s="49">
        <v>218</v>
      </c>
      <c r="CBN39" s="67">
        <f t="shared" si="2402"/>
        <v>572</v>
      </c>
      <c r="CBO39" s="68">
        <f t="shared" si="2403"/>
        <v>95.333333333333329</v>
      </c>
      <c r="CBP39" s="48"/>
      <c r="CBQ39" s="49">
        <v>110</v>
      </c>
      <c r="CBR39" s="49"/>
      <c r="CBS39" s="49"/>
      <c r="CBT39" s="49">
        <v>220</v>
      </c>
      <c r="CBU39" s="49"/>
      <c r="CBV39" s="67">
        <f t="shared" si="2404"/>
        <v>330</v>
      </c>
      <c r="CBW39" s="68">
        <f t="shared" si="2405"/>
        <v>55</v>
      </c>
      <c r="CBX39" s="48"/>
      <c r="CBY39" s="49">
        <v>110</v>
      </c>
      <c r="CBZ39" s="49"/>
      <c r="CCA39" s="49">
        <v>110</v>
      </c>
      <c r="CCB39" s="49"/>
      <c r="CCC39" s="49">
        <v>110</v>
      </c>
      <c r="CCD39" s="67">
        <f t="shared" si="2406"/>
        <v>330</v>
      </c>
      <c r="CCE39" s="68">
        <f t="shared" si="2407"/>
        <v>55</v>
      </c>
      <c r="CCF39" s="48"/>
      <c r="CCG39" s="49"/>
      <c r="CCH39" s="49">
        <v>218</v>
      </c>
      <c r="CCI39" s="49"/>
      <c r="CCJ39" s="49"/>
      <c r="CCK39" s="49"/>
      <c r="CCL39" s="67">
        <f t="shared" si="2408"/>
        <v>218</v>
      </c>
      <c r="CCM39" s="68">
        <f t="shared" si="2409"/>
        <v>36.333333333333336</v>
      </c>
      <c r="CCN39" s="48">
        <v>87</v>
      </c>
      <c r="CCO39" s="49">
        <v>5</v>
      </c>
      <c r="CCP39" s="49"/>
      <c r="CCQ39" s="49"/>
      <c r="CCR39" s="49">
        <v>25</v>
      </c>
      <c r="CCS39" s="49"/>
      <c r="CCT39" s="67">
        <f t="shared" si="2410"/>
        <v>117</v>
      </c>
      <c r="CCU39" s="68">
        <f t="shared" si="2411"/>
        <v>19.5</v>
      </c>
      <c r="CCV39" s="48"/>
      <c r="CCW39" s="49"/>
      <c r="CCX39" s="49"/>
      <c r="CCY39" s="49"/>
      <c r="CCZ39" s="49"/>
      <c r="CDA39" s="49"/>
      <c r="CDB39" s="67">
        <f t="shared" si="1629"/>
        <v>0</v>
      </c>
      <c r="CDC39" s="68">
        <f t="shared" si="1630"/>
        <v>0</v>
      </c>
      <c r="CDD39" s="48"/>
      <c r="CDE39" s="49">
        <v>92</v>
      </c>
      <c r="CDF39" s="49"/>
      <c r="CDG39" s="49"/>
      <c r="CDH39" s="49">
        <v>220</v>
      </c>
      <c r="CDI39" s="49"/>
      <c r="CDJ39" s="67">
        <f t="shared" si="1631"/>
        <v>312</v>
      </c>
      <c r="CDK39" s="68">
        <f t="shared" si="1632"/>
        <v>52</v>
      </c>
      <c r="CDL39" s="48"/>
      <c r="CDM39" s="49"/>
      <c r="CDN39" s="49"/>
      <c r="CDO39" s="49"/>
      <c r="CDP39" s="49"/>
      <c r="CDQ39" s="49"/>
      <c r="CDR39" s="67">
        <f t="shared" si="1633"/>
        <v>0</v>
      </c>
      <c r="CDS39" s="68">
        <f t="shared" si="1634"/>
        <v>0</v>
      </c>
      <c r="CDT39" s="48"/>
      <c r="CDU39" s="49"/>
      <c r="CDV39" s="49"/>
      <c r="CDW39" s="49">
        <v>39</v>
      </c>
      <c r="CDX39" s="49"/>
      <c r="CDY39" s="49"/>
      <c r="CDZ39" s="67">
        <f t="shared" si="1635"/>
        <v>39</v>
      </c>
      <c r="CEA39" s="68">
        <f t="shared" si="1636"/>
        <v>6.5</v>
      </c>
      <c r="CEB39" s="48"/>
      <c r="CEC39" s="49"/>
      <c r="CED39" s="49"/>
      <c r="CEE39" s="49"/>
      <c r="CEF39" s="49"/>
      <c r="CEG39" s="49">
        <v>40</v>
      </c>
      <c r="CEH39" s="67">
        <f t="shared" si="1637"/>
        <v>40</v>
      </c>
      <c r="CEI39" s="68">
        <f t="shared" si="1638"/>
        <v>6.666666666666667</v>
      </c>
      <c r="CEJ39" s="48"/>
      <c r="CEK39" s="49">
        <v>210</v>
      </c>
      <c r="CEL39" s="49"/>
      <c r="CEM39" s="49"/>
      <c r="CEN39" s="49"/>
      <c r="CEO39" s="49"/>
      <c r="CEP39" s="67">
        <f t="shared" si="1639"/>
        <v>210</v>
      </c>
      <c r="CEQ39" s="68">
        <f t="shared" si="1640"/>
        <v>35</v>
      </c>
      <c r="CER39" s="48">
        <v>203</v>
      </c>
      <c r="CES39" s="49"/>
      <c r="CET39" s="49"/>
      <c r="CEU39" s="49"/>
      <c r="CEV39" s="49"/>
      <c r="CEW39" s="49"/>
      <c r="CEX39" s="67">
        <f t="shared" si="1641"/>
        <v>203</v>
      </c>
      <c r="CEY39" s="68">
        <f t="shared" si="1642"/>
        <v>33.833333333333336</v>
      </c>
      <c r="CEZ39" s="48"/>
      <c r="CFA39" s="49"/>
      <c r="CFB39" s="49"/>
      <c r="CFC39" s="49"/>
      <c r="CFD39" s="49">
        <v>9</v>
      </c>
      <c r="CFE39" s="49">
        <v>256</v>
      </c>
      <c r="CFF39" s="67">
        <f t="shared" si="1643"/>
        <v>265</v>
      </c>
      <c r="CFG39" s="68">
        <f t="shared" si="1644"/>
        <v>44.166666666666664</v>
      </c>
      <c r="CFH39" s="48"/>
      <c r="CFI39" s="49"/>
      <c r="CFJ39" s="49"/>
      <c r="CFK39" s="49"/>
      <c r="CFL39" s="49"/>
      <c r="CFM39" s="49">
        <v>220</v>
      </c>
      <c r="CFN39" s="67">
        <f t="shared" si="1645"/>
        <v>220</v>
      </c>
      <c r="CFO39" s="68">
        <f t="shared" si="1646"/>
        <v>36.666666666666664</v>
      </c>
      <c r="CFP39" s="48"/>
      <c r="CFQ39" s="49"/>
      <c r="CFR39" s="49"/>
      <c r="CFS39" s="49"/>
      <c r="CFT39" s="49"/>
      <c r="CFU39" s="49">
        <v>310</v>
      </c>
      <c r="CFV39" s="67">
        <f t="shared" si="1647"/>
        <v>310</v>
      </c>
      <c r="CFW39" s="68">
        <f t="shared" si="1648"/>
        <v>51.666666666666664</v>
      </c>
      <c r="CFX39" s="48"/>
      <c r="CFY39" s="49"/>
      <c r="CFZ39" s="49"/>
      <c r="CGA39" s="49"/>
      <c r="CGB39" s="49"/>
      <c r="CGC39" s="49">
        <v>343</v>
      </c>
      <c r="CGD39" s="67">
        <f t="shared" si="1649"/>
        <v>343</v>
      </c>
      <c r="CGE39" s="68">
        <f t="shared" si="1650"/>
        <v>57.166666666666664</v>
      </c>
      <c r="CGF39" s="48"/>
      <c r="CGG39" s="49"/>
      <c r="CGH39" s="49"/>
      <c r="CGI39" s="49"/>
      <c r="CGJ39" s="49"/>
      <c r="CGK39" s="49"/>
      <c r="CGL39" s="67">
        <f t="shared" si="1651"/>
        <v>0</v>
      </c>
      <c r="CGM39" s="68">
        <f t="shared" si="1652"/>
        <v>0</v>
      </c>
      <c r="CGN39" s="48"/>
      <c r="CGO39" s="49">
        <v>109</v>
      </c>
      <c r="CGP39" s="49"/>
      <c r="CGQ39" s="49"/>
      <c r="CGR39" s="49"/>
      <c r="CGS39" s="49"/>
      <c r="CGT39" s="67">
        <f t="shared" si="1653"/>
        <v>109</v>
      </c>
      <c r="CGU39" s="68">
        <f t="shared" si="1654"/>
        <v>18.166666666666668</v>
      </c>
      <c r="CGV39" s="48">
        <v>305</v>
      </c>
      <c r="CGW39" s="49"/>
      <c r="CGX39" s="49">
        <v>110</v>
      </c>
      <c r="CGY39" s="49">
        <v>101</v>
      </c>
      <c r="CGZ39" s="49">
        <v>110</v>
      </c>
      <c r="CHA39" s="49"/>
      <c r="CHB39" s="67">
        <f t="shared" si="1655"/>
        <v>626</v>
      </c>
      <c r="CHC39" s="68">
        <f t="shared" si="1656"/>
        <v>104.33333333333333</v>
      </c>
      <c r="CHD39" s="48"/>
      <c r="CHE39" s="49"/>
      <c r="CHF39" s="49"/>
      <c r="CHG39" s="49"/>
      <c r="CHH39" s="49"/>
      <c r="CHI39" s="49">
        <v>220</v>
      </c>
      <c r="CHJ39" s="67">
        <f t="shared" si="1657"/>
        <v>220</v>
      </c>
      <c r="CHK39" s="68">
        <f t="shared" si="1658"/>
        <v>36.666666666666664</v>
      </c>
      <c r="CHL39" s="48"/>
      <c r="CHM39" s="49"/>
      <c r="CHN39" s="49"/>
      <c r="CHO39" s="49"/>
      <c r="CHP39" s="49"/>
      <c r="CHQ39" s="49"/>
      <c r="CHR39" s="67">
        <f t="shared" si="1659"/>
        <v>0</v>
      </c>
      <c r="CHS39" s="68">
        <f t="shared" si="1660"/>
        <v>0</v>
      </c>
      <c r="CHT39" s="48"/>
      <c r="CHU39" s="49">
        <v>310</v>
      </c>
      <c r="CHV39" s="49"/>
      <c r="CHW39" s="49"/>
      <c r="CHX39" s="49"/>
      <c r="CHY39" s="49"/>
      <c r="CHZ39" s="67">
        <f t="shared" si="1661"/>
        <v>310</v>
      </c>
      <c r="CIA39" s="68">
        <f t="shared" si="1662"/>
        <v>51.666666666666664</v>
      </c>
      <c r="CIB39" s="48"/>
      <c r="CIC39" s="49">
        <v>110</v>
      </c>
      <c r="CID39" s="49"/>
      <c r="CIE39" s="49">
        <v>218</v>
      </c>
      <c r="CIF39" s="49"/>
      <c r="CIG39" s="49"/>
      <c r="CIH39" s="67">
        <f t="shared" si="1663"/>
        <v>328</v>
      </c>
      <c r="CII39" s="68">
        <f t="shared" si="1664"/>
        <v>54.666666666666664</v>
      </c>
      <c r="CIJ39" s="48"/>
      <c r="CIK39" s="49">
        <v>109</v>
      </c>
      <c r="CIL39" s="49"/>
      <c r="CIM39" s="49"/>
      <c r="CIN39" s="49"/>
      <c r="CIO39" s="49"/>
      <c r="CIP39" s="67">
        <f t="shared" si="1665"/>
        <v>109</v>
      </c>
      <c r="CIQ39" s="68">
        <f t="shared" si="1666"/>
        <v>18.166666666666668</v>
      </c>
      <c r="CIR39" s="48"/>
      <c r="CIS39" s="49">
        <v>289</v>
      </c>
      <c r="CIT39" s="49"/>
      <c r="CIU39" s="49"/>
      <c r="CIV39" s="49"/>
      <c r="CIW39" s="49"/>
      <c r="CIX39" s="67">
        <f t="shared" si="1667"/>
        <v>289</v>
      </c>
      <c r="CIY39" s="68">
        <f t="shared" si="1668"/>
        <v>48.166666666666664</v>
      </c>
      <c r="CIZ39" s="63">
        <v>6</v>
      </c>
      <c r="CJA39" s="64"/>
      <c r="CJB39" s="64">
        <v>220</v>
      </c>
      <c r="CJC39" s="64"/>
      <c r="CJD39" s="64"/>
      <c r="CJE39" s="64"/>
      <c r="CJF39" s="67">
        <f t="shared" si="1669"/>
        <v>226</v>
      </c>
      <c r="CJG39" s="68">
        <f t="shared" si="1670"/>
        <v>37.666666666666664</v>
      </c>
      <c r="CJH39" s="48">
        <v>201</v>
      </c>
      <c r="CJI39" s="49"/>
      <c r="CJJ39" s="49"/>
      <c r="CJK39" s="49"/>
      <c r="CJL39" s="49"/>
      <c r="CJM39" s="49"/>
      <c r="CJN39" s="67">
        <f t="shared" si="1671"/>
        <v>201</v>
      </c>
      <c r="CJO39" s="184">
        <f t="shared" si="1672"/>
        <v>33.5</v>
      </c>
      <c r="CJP39" s="48">
        <v>229</v>
      </c>
      <c r="CJQ39" s="49"/>
      <c r="CJR39" s="49"/>
      <c r="CJS39" s="49"/>
      <c r="CJT39" s="49"/>
      <c r="CJU39" s="49"/>
      <c r="CJV39" s="67">
        <f t="shared" si="1673"/>
        <v>229</v>
      </c>
      <c r="CJW39" s="68">
        <f t="shared" si="1674"/>
        <v>38.166666666666664</v>
      </c>
      <c r="CJX39" s="48"/>
      <c r="CJY39" s="49"/>
      <c r="CJZ39" s="49">
        <v>219</v>
      </c>
      <c r="CKA39" s="49"/>
      <c r="CKB39" s="49"/>
      <c r="CKC39" s="49"/>
      <c r="CKD39" s="67">
        <f t="shared" si="2412"/>
        <v>219</v>
      </c>
      <c r="CKE39" s="68">
        <f t="shared" si="1675"/>
        <v>36.5</v>
      </c>
      <c r="CKF39" s="48"/>
      <c r="CKG39" s="49">
        <v>230</v>
      </c>
      <c r="CKH39" s="49"/>
      <c r="CKI39" s="49"/>
      <c r="CKJ39" s="49"/>
      <c r="CKK39" s="49"/>
      <c r="CKL39" s="67">
        <f t="shared" si="1676"/>
        <v>230</v>
      </c>
      <c r="CKM39" s="68">
        <f t="shared" si="1677"/>
        <v>38.333333333333336</v>
      </c>
      <c r="CKN39" s="48"/>
      <c r="CKO39" s="49">
        <v>220</v>
      </c>
      <c r="CKP39" s="49"/>
      <c r="CKQ39" s="49"/>
      <c r="CKR39" s="49"/>
      <c r="CKS39" s="47"/>
      <c r="CKT39" s="67">
        <f t="shared" si="1678"/>
        <v>220</v>
      </c>
      <c r="CKU39" s="68">
        <f t="shared" si="1679"/>
        <v>36.666666666666664</v>
      </c>
      <c r="CKV39" s="48"/>
      <c r="CKW39" s="49"/>
      <c r="CKX39" s="49">
        <v>329</v>
      </c>
      <c r="CKY39" s="49"/>
      <c r="CKZ39" s="49"/>
      <c r="CLA39" s="49"/>
      <c r="CLB39" s="67">
        <f t="shared" si="1680"/>
        <v>329</v>
      </c>
      <c r="CLC39" s="68">
        <f t="shared" si="1681"/>
        <v>54.833333333333336</v>
      </c>
      <c r="CLD39" s="48">
        <v>109</v>
      </c>
      <c r="CLE39" s="49"/>
      <c r="CLF39" s="49"/>
      <c r="CLG39" s="49"/>
      <c r="CLH39" s="49"/>
      <c r="CLI39" s="49"/>
      <c r="CLJ39" s="67">
        <f t="shared" si="1682"/>
        <v>109</v>
      </c>
      <c r="CLK39" s="68">
        <f t="shared" si="1683"/>
        <v>18.166666666666668</v>
      </c>
      <c r="CLL39" s="48">
        <v>120</v>
      </c>
      <c r="CLM39" s="49"/>
      <c r="CLN39" s="49"/>
      <c r="CLO39" s="49"/>
      <c r="CLP39" s="49"/>
      <c r="CLQ39" s="49"/>
      <c r="CLR39" s="67">
        <f t="shared" si="1684"/>
        <v>120</v>
      </c>
      <c r="CLS39" s="68">
        <f t="shared" si="1685"/>
        <v>20</v>
      </c>
      <c r="CLT39" s="48"/>
      <c r="CLU39" s="49"/>
      <c r="CLV39" s="49"/>
      <c r="CLW39" s="49"/>
      <c r="CLX39" s="49">
        <v>220</v>
      </c>
      <c r="CLY39" s="49"/>
      <c r="CLZ39" s="67">
        <f t="shared" si="1686"/>
        <v>220</v>
      </c>
      <c r="CMA39" s="68">
        <f t="shared" si="1687"/>
        <v>36.666666666666664</v>
      </c>
      <c r="CMB39" s="48"/>
      <c r="CMC39" s="49"/>
      <c r="CMD39" s="49">
        <v>365</v>
      </c>
      <c r="CME39" s="49"/>
      <c r="CMF39" s="49"/>
      <c r="CMG39" s="49"/>
      <c r="CMH39" s="67">
        <f t="shared" si="1688"/>
        <v>365</v>
      </c>
      <c r="CMI39" s="68">
        <f t="shared" si="1689"/>
        <v>60.833333333333336</v>
      </c>
      <c r="CMJ39" s="48"/>
      <c r="CMK39" s="49"/>
      <c r="CML39" s="49">
        <v>220</v>
      </c>
      <c r="CMM39" s="49"/>
      <c r="CMN39" s="49"/>
      <c r="CMO39" s="49">
        <v>214</v>
      </c>
      <c r="CMP39" s="67">
        <f t="shared" si="1690"/>
        <v>434</v>
      </c>
      <c r="CMQ39" s="68">
        <f t="shared" si="1691"/>
        <v>72.333333333333329</v>
      </c>
      <c r="CMR39" s="48">
        <v>97</v>
      </c>
      <c r="CMS39" s="49"/>
      <c r="CMT39" s="49"/>
      <c r="CMU39" s="49"/>
      <c r="CMV39" s="49"/>
      <c r="CMW39" s="49"/>
      <c r="CMX39" s="67">
        <f t="shared" si="1692"/>
        <v>97</v>
      </c>
      <c r="CMY39" s="68">
        <f t="shared" si="1693"/>
        <v>16.166666666666668</v>
      </c>
      <c r="CMZ39" s="48">
        <v>220</v>
      </c>
      <c r="CNA39" s="49"/>
      <c r="CNB39" s="49"/>
      <c r="CNC39" s="49"/>
      <c r="CND39" s="49">
        <v>109</v>
      </c>
      <c r="CNE39" s="49"/>
      <c r="CNF39" s="67">
        <f t="shared" si="1694"/>
        <v>329</v>
      </c>
      <c r="CNG39" s="68">
        <f t="shared" si="1695"/>
        <v>54.833333333333336</v>
      </c>
      <c r="CNH39" s="48"/>
      <c r="CNI39" s="49">
        <v>108</v>
      </c>
      <c r="CNJ39" s="49"/>
      <c r="CNK39" s="49">
        <v>439</v>
      </c>
      <c r="CNL39" s="49"/>
      <c r="CNM39" s="49">
        <v>330</v>
      </c>
      <c r="CNN39" s="67">
        <f t="shared" si="1696"/>
        <v>877</v>
      </c>
      <c r="CNO39" s="68">
        <f t="shared" si="1697"/>
        <v>146.16666666666666</v>
      </c>
      <c r="CNP39" s="48"/>
      <c r="CNQ39" s="49"/>
      <c r="CNR39" s="49"/>
      <c r="CNS39" s="49"/>
      <c r="CNT39" s="49"/>
      <c r="CNU39" s="49"/>
      <c r="CNV39" s="67">
        <f t="shared" si="1698"/>
        <v>0</v>
      </c>
      <c r="CNW39" s="68">
        <f t="shared" si="1699"/>
        <v>0</v>
      </c>
      <c r="CNX39" s="48"/>
      <c r="CNY39" s="49"/>
      <c r="CNZ39" s="49"/>
      <c r="COA39" s="49">
        <v>244</v>
      </c>
      <c r="COB39" s="49"/>
      <c r="COC39" s="49"/>
      <c r="COD39" s="67">
        <f t="shared" si="1700"/>
        <v>244</v>
      </c>
      <c r="COE39" s="68">
        <f t="shared" si="1701"/>
        <v>40.666666666666664</v>
      </c>
      <c r="COF39" s="48"/>
      <c r="COG39" s="49"/>
      <c r="COH39" s="49"/>
      <c r="COI39" s="49">
        <v>329</v>
      </c>
      <c r="COJ39" s="49"/>
      <c r="COK39" s="49">
        <v>329</v>
      </c>
      <c r="COL39" s="67">
        <f t="shared" si="1702"/>
        <v>658</v>
      </c>
      <c r="COM39" s="68">
        <f t="shared" si="1703"/>
        <v>109.66666666666667</v>
      </c>
      <c r="CON39" s="48"/>
      <c r="COO39" s="49"/>
      <c r="COP39" s="49"/>
      <c r="COQ39" s="49"/>
      <c r="COR39" s="49"/>
      <c r="COS39" s="49"/>
      <c r="COT39" s="67">
        <f t="shared" si="1704"/>
        <v>0</v>
      </c>
      <c r="COU39" s="68">
        <f t="shared" si="1705"/>
        <v>0</v>
      </c>
      <c r="COV39" s="48">
        <v>110</v>
      </c>
      <c r="COW39" s="49"/>
      <c r="COX39" s="49"/>
      <c r="COY39" s="49"/>
      <c r="COZ39" s="49"/>
      <c r="CPA39" s="49">
        <v>0</v>
      </c>
      <c r="CPB39" s="67">
        <f t="shared" si="1706"/>
        <v>110</v>
      </c>
      <c r="CPC39" s="68">
        <f t="shared" si="1707"/>
        <v>18.333333333333332</v>
      </c>
      <c r="CPD39" s="48"/>
      <c r="CPE39" s="49">
        <v>0</v>
      </c>
      <c r="CPF39" s="49">
        <v>0</v>
      </c>
      <c r="CPG39" s="49">
        <v>0</v>
      </c>
      <c r="CPH39" s="49">
        <v>0</v>
      </c>
      <c r="CPI39" s="49">
        <v>11</v>
      </c>
      <c r="CPJ39" s="67">
        <f t="shared" si="1708"/>
        <v>11</v>
      </c>
      <c r="CPK39" s="68">
        <f t="shared" si="1709"/>
        <v>1.8333333333333333</v>
      </c>
      <c r="CPL39" s="48"/>
      <c r="CPM39" s="49">
        <v>0</v>
      </c>
      <c r="CPN39" s="49">
        <v>108</v>
      </c>
      <c r="CPO39" s="49"/>
      <c r="CPP39" s="49">
        <v>0</v>
      </c>
      <c r="CPQ39" s="49"/>
      <c r="CPR39" s="67">
        <f t="shared" si="1710"/>
        <v>108</v>
      </c>
      <c r="CPS39" s="68">
        <f t="shared" si="1711"/>
        <v>18</v>
      </c>
      <c r="CPT39" s="48">
        <v>301</v>
      </c>
      <c r="CPU39" s="49">
        <v>0</v>
      </c>
      <c r="CPV39" s="49">
        <v>0</v>
      </c>
      <c r="CPW39" s="49"/>
      <c r="CPX39" s="49">
        <v>0</v>
      </c>
      <c r="CPY39" s="49">
        <v>113</v>
      </c>
      <c r="CPZ39" s="67">
        <f t="shared" si="1712"/>
        <v>414</v>
      </c>
      <c r="CQA39" s="68">
        <f t="shared" si="1713"/>
        <v>69</v>
      </c>
      <c r="CQB39" s="48">
        <v>0</v>
      </c>
      <c r="CQC39" s="49">
        <v>0</v>
      </c>
      <c r="CQD39" s="49">
        <v>0</v>
      </c>
      <c r="CQE39" s="49">
        <v>0</v>
      </c>
      <c r="CQF39" s="49">
        <v>189</v>
      </c>
      <c r="CQG39" s="49">
        <v>0</v>
      </c>
      <c r="CQH39" s="67">
        <f t="shared" si="1714"/>
        <v>189</v>
      </c>
      <c r="CQI39" s="68">
        <f t="shared" si="1715"/>
        <v>31.5</v>
      </c>
      <c r="CQJ39" s="82">
        <v>0</v>
      </c>
      <c r="CQK39" s="83">
        <v>0</v>
      </c>
      <c r="CQL39" s="83">
        <v>0</v>
      </c>
      <c r="CQM39" s="83">
        <v>0</v>
      </c>
      <c r="CQN39" s="83"/>
      <c r="CQO39" s="83"/>
      <c r="CQP39" s="67">
        <f t="shared" si="1716"/>
        <v>0</v>
      </c>
      <c r="CQQ39" s="68">
        <f t="shared" si="1717"/>
        <v>0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18"/>
        <v>0</v>
      </c>
      <c r="CQY39" s="68">
        <f t="shared" si="1719"/>
        <v>0</v>
      </c>
      <c r="CQZ39" s="48">
        <v>111</v>
      </c>
      <c r="CRA39" s="49"/>
      <c r="CRB39" s="49">
        <v>0</v>
      </c>
      <c r="CRC39" s="49">
        <v>0</v>
      </c>
      <c r="CRD39" s="49">
        <v>0</v>
      </c>
      <c r="CRE39" s="49">
        <v>300</v>
      </c>
      <c r="CRF39" s="67">
        <f t="shared" si="1720"/>
        <v>411</v>
      </c>
      <c r="CRG39" s="68">
        <f t="shared" si="1721"/>
        <v>68.5</v>
      </c>
      <c r="CRH39" s="48">
        <v>0</v>
      </c>
      <c r="CRI39" s="49">
        <v>0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22"/>
        <v>0</v>
      </c>
      <c r="CRO39" s="68">
        <f t="shared" si="1723"/>
        <v>0</v>
      </c>
      <c r="CRP39" s="48"/>
      <c r="CRQ39" s="49">
        <v>28</v>
      </c>
      <c r="CRR39" s="49">
        <v>0</v>
      </c>
      <c r="CRS39" s="49">
        <v>220</v>
      </c>
      <c r="CRT39" s="49">
        <v>0</v>
      </c>
      <c r="CRU39" s="49">
        <v>0</v>
      </c>
      <c r="CRV39" s="47">
        <f t="shared" si="1724"/>
        <v>248</v>
      </c>
      <c r="CRW39" s="68">
        <f t="shared" si="1725"/>
        <v>41.333333333333336</v>
      </c>
      <c r="CRX39" s="48">
        <v>411</v>
      </c>
      <c r="CRY39" s="49">
        <v>181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26"/>
        <v>592</v>
      </c>
      <c r="CSE39" s="68">
        <f t="shared" si="1727"/>
        <v>98.666666666666671</v>
      </c>
      <c r="CSF39" s="48">
        <v>0</v>
      </c>
      <c r="CSG39" s="49">
        <v>0</v>
      </c>
      <c r="CSH39" s="49">
        <v>0</v>
      </c>
      <c r="CSI39" s="49">
        <v>0</v>
      </c>
      <c r="CSJ39" s="49">
        <v>1</v>
      </c>
      <c r="CSK39" s="360">
        <f>SUMIF(SUMPK!$B:$B,$B:$B,SUMPK!$O:$O)</f>
        <v>0</v>
      </c>
      <c r="CSL39" s="64">
        <f t="shared" si="1728"/>
        <v>1</v>
      </c>
      <c r="CSM39" s="68">
        <f t="shared" si="1729"/>
        <v>0.16666666666666666</v>
      </c>
      <c r="CSN39" s="48">
        <v>124</v>
      </c>
      <c r="CSO39" s="49">
        <v>0</v>
      </c>
      <c r="CSP39" s="49">
        <v>0</v>
      </c>
      <c r="CSQ39" s="49"/>
      <c r="CSR39" s="49">
        <v>100</v>
      </c>
      <c r="CSS39" s="49">
        <v>0</v>
      </c>
      <c r="CST39" s="64">
        <f t="shared" si="1730"/>
        <v>224</v>
      </c>
      <c r="CSU39" s="68">
        <f t="shared" si="1731"/>
        <v>37.333333333333336</v>
      </c>
      <c r="CSV39" s="48">
        <v>0</v>
      </c>
      <c r="CSW39" s="49">
        <v>0</v>
      </c>
      <c r="CSX39" s="49">
        <v>237</v>
      </c>
      <c r="CSY39" s="49">
        <v>0</v>
      </c>
      <c r="CSZ39" s="49">
        <v>0</v>
      </c>
      <c r="CTA39" s="49">
        <v>0</v>
      </c>
      <c r="CTB39" s="64">
        <f t="shared" si="1732"/>
        <v>237</v>
      </c>
      <c r="CTC39" s="68">
        <f t="shared" si="1733"/>
        <v>39.5</v>
      </c>
      <c r="CTD39" s="48">
        <v>0</v>
      </c>
      <c r="CTE39" s="49">
        <v>210</v>
      </c>
      <c r="CTF39" s="49">
        <v>221</v>
      </c>
      <c r="CTG39" s="49">
        <v>0</v>
      </c>
      <c r="CTH39" s="49"/>
      <c r="CTI39" s="49"/>
      <c r="CTJ39" s="64">
        <f t="shared" si="1734"/>
        <v>431</v>
      </c>
      <c r="CTK39" s="68">
        <f t="shared" si="1735"/>
        <v>71.833333333333329</v>
      </c>
      <c r="CTL39" s="48">
        <v>0</v>
      </c>
      <c r="CTM39" s="49">
        <v>0</v>
      </c>
      <c r="CTN39" s="49">
        <v>0</v>
      </c>
      <c r="CTO39" s="49">
        <v>0</v>
      </c>
      <c r="CTP39" s="49">
        <v>218</v>
      </c>
      <c r="CTQ39" s="49">
        <v>0</v>
      </c>
      <c r="CTR39" s="64">
        <f t="shared" si="1736"/>
        <v>218</v>
      </c>
      <c r="CTS39" s="68">
        <f t="shared" si="1737"/>
        <v>36.333333333333336</v>
      </c>
      <c r="CTT39" s="48">
        <v>0</v>
      </c>
      <c r="CTU39" s="49">
        <v>205</v>
      </c>
      <c r="CTV39" s="49">
        <v>0</v>
      </c>
      <c r="CTW39" s="49">
        <v>401</v>
      </c>
      <c r="CTX39" s="49">
        <v>0</v>
      </c>
      <c r="CTY39" s="49"/>
      <c r="CTZ39" s="64">
        <f t="shared" si="1738"/>
        <v>606</v>
      </c>
      <c r="CUA39" s="68">
        <f t="shared" si="1739"/>
        <v>101</v>
      </c>
      <c r="CUB39" s="48">
        <v>0</v>
      </c>
      <c r="CUC39" s="49">
        <v>0</v>
      </c>
      <c r="CUD39" s="49"/>
      <c r="CUE39" s="49"/>
      <c r="CUF39" s="49">
        <v>0</v>
      </c>
      <c r="CUG39" s="49">
        <v>0</v>
      </c>
      <c r="CUH39" s="64">
        <f t="shared" si="1740"/>
        <v>0</v>
      </c>
      <c r="CUI39" s="68">
        <f t="shared" si="1741"/>
        <v>0</v>
      </c>
      <c r="CUJ39" s="48">
        <v>0</v>
      </c>
      <c r="CUK39" s="49">
        <v>110</v>
      </c>
      <c r="CUL39" s="49">
        <v>221</v>
      </c>
      <c r="CUM39" s="49">
        <v>0</v>
      </c>
      <c r="CUN39" s="49">
        <v>220</v>
      </c>
      <c r="CUO39" s="49">
        <v>0</v>
      </c>
      <c r="CUP39" s="64">
        <f t="shared" si="1742"/>
        <v>551</v>
      </c>
      <c r="CUQ39" s="68">
        <f t="shared" si="1743"/>
        <v>91.833333333333329</v>
      </c>
      <c r="CUR39" s="48">
        <v>0</v>
      </c>
      <c r="CUS39" s="49"/>
      <c r="CUT39" s="49"/>
      <c r="CUU39" s="49">
        <v>0</v>
      </c>
      <c r="CUV39" s="49">
        <v>0</v>
      </c>
      <c r="CUW39" s="49">
        <v>0</v>
      </c>
      <c r="CUX39" s="64">
        <f t="shared" si="1744"/>
        <v>0</v>
      </c>
      <c r="CUY39" s="68">
        <f t="shared" si="1745"/>
        <v>0</v>
      </c>
      <c r="CUZ39" s="48">
        <v>335</v>
      </c>
      <c r="CVA39" s="49">
        <v>0</v>
      </c>
      <c r="CVB39" s="49"/>
      <c r="CVC39" s="49">
        <v>0</v>
      </c>
      <c r="CVD39" s="49">
        <v>0</v>
      </c>
      <c r="CVE39" s="49">
        <v>0</v>
      </c>
      <c r="CVF39" s="64">
        <f t="shared" si="1746"/>
        <v>335</v>
      </c>
      <c r="CVG39" s="68">
        <f t="shared" si="1747"/>
        <v>55.833333333333336</v>
      </c>
      <c r="CVH39" s="48">
        <v>0</v>
      </c>
      <c r="CVI39" s="49">
        <v>0</v>
      </c>
      <c r="CVJ39" s="49">
        <v>0</v>
      </c>
      <c r="CVK39" s="49">
        <v>0</v>
      </c>
      <c r="CVL39" s="49">
        <v>330</v>
      </c>
      <c r="CVM39" s="49"/>
      <c r="CVN39" s="64">
        <f t="shared" si="1748"/>
        <v>330</v>
      </c>
      <c r="CVO39" s="68">
        <f t="shared" si="1749"/>
        <v>55</v>
      </c>
      <c r="CVP39" s="48">
        <v>0</v>
      </c>
      <c r="CVQ39" s="49">
        <v>0</v>
      </c>
      <c r="CVR39" s="49">
        <v>0</v>
      </c>
      <c r="CVS39" s="49">
        <v>110</v>
      </c>
      <c r="CVT39" s="49">
        <v>0</v>
      </c>
      <c r="CVU39" s="49">
        <v>220</v>
      </c>
      <c r="CVV39" s="64">
        <f t="shared" si="1750"/>
        <v>330</v>
      </c>
      <c r="CVW39" s="68">
        <f t="shared" si="1751"/>
        <v>55</v>
      </c>
      <c r="CVX39" s="48">
        <v>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52"/>
        <v>0</v>
      </c>
      <c r="CWE39" s="68">
        <f t="shared" si="1753"/>
        <v>0</v>
      </c>
      <c r="CWF39" s="48">
        <v>208</v>
      </c>
      <c r="CWG39" s="49">
        <v>0</v>
      </c>
      <c r="CWH39" s="49">
        <v>0</v>
      </c>
      <c r="CWI39" s="49">
        <v>0</v>
      </c>
      <c r="CWJ39" s="49">
        <v>110</v>
      </c>
      <c r="CWK39" s="49"/>
      <c r="CWL39" s="64">
        <f t="shared" si="1754"/>
        <v>318</v>
      </c>
      <c r="CWM39" s="68">
        <f t="shared" si="1755"/>
        <v>53</v>
      </c>
      <c r="CWN39" s="48">
        <v>0</v>
      </c>
      <c r="CWO39" s="49">
        <v>210</v>
      </c>
      <c r="CWP39" s="49">
        <v>0</v>
      </c>
      <c r="CWQ39" s="49">
        <v>0</v>
      </c>
      <c r="CWR39" s="49">
        <v>0</v>
      </c>
      <c r="CWS39" s="49">
        <v>0</v>
      </c>
      <c r="CWT39" s="64">
        <f t="shared" si="1756"/>
        <v>210</v>
      </c>
      <c r="CWU39" s="68">
        <f t="shared" si="1757"/>
        <v>35</v>
      </c>
      <c r="CWV39" s="48">
        <v>0</v>
      </c>
      <c r="CWW39" s="49">
        <v>220</v>
      </c>
      <c r="CWX39" s="49">
        <v>0</v>
      </c>
      <c r="CWY39" s="49"/>
      <c r="CWZ39" s="49">
        <v>0</v>
      </c>
      <c r="CXA39" s="49">
        <v>0</v>
      </c>
      <c r="CXB39" s="127">
        <f t="shared" si="1758"/>
        <v>220</v>
      </c>
      <c r="CXC39" s="43">
        <f t="shared" si="1759"/>
        <v>36.666666666666664</v>
      </c>
      <c r="CXD39" s="48">
        <v>0</v>
      </c>
      <c r="CXE39" s="49">
        <v>0</v>
      </c>
      <c r="CXF39" s="49">
        <v>110</v>
      </c>
      <c r="CXG39" s="49">
        <v>0</v>
      </c>
      <c r="CXH39" s="49">
        <v>0</v>
      </c>
      <c r="CXI39" s="49">
        <v>0</v>
      </c>
      <c r="CXJ39" s="127">
        <f t="shared" si="1760"/>
        <v>110</v>
      </c>
      <c r="CXK39" s="43">
        <f t="shared" si="1761"/>
        <v>18.333333333333332</v>
      </c>
      <c r="CXL39" s="48">
        <v>0</v>
      </c>
      <c r="CXM39" s="49">
        <v>0</v>
      </c>
      <c r="CXN39" s="49">
        <v>0</v>
      </c>
      <c r="CXO39" s="49">
        <v>0</v>
      </c>
      <c r="CXP39" s="49">
        <v>0</v>
      </c>
      <c r="CXQ39" s="49">
        <v>323</v>
      </c>
      <c r="CXR39" s="127">
        <f t="shared" si="1762"/>
        <v>323</v>
      </c>
      <c r="CXS39" s="43">
        <f t="shared" si="1763"/>
        <v>53.833333333333336</v>
      </c>
      <c r="CXT39" s="48">
        <v>0</v>
      </c>
      <c r="CXU39" s="49">
        <v>0</v>
      </c>
      <c r="CXV39" s="49">
        <v>0</v>
      </c>
      <c r="CXW39" s="49"/>
      <c r="CXX39" s="49">
        <v>0</v>
      </c>
      <c r="CXY39" s="49">
        <v>110</v>
      </c>
      <c r="CXZ39" s="127">
        <f t="shared" si="1764"/>
        <v>110</v>
      </c>
      <c r="CYA39" s="43">
        <f t="shared" si="1765"/>
        <v>18.333333333333332</v>
      </c>
      <c r="CYB39" s="48">
        <v>0</v>
      </c>
      <c r="CYC39" s="49">
        <v>0</v>
      </c>
      <c r="CYD39" s="49">
        <v>330</v>
      </c>
      <c r="CYE39" s="49">
        <v>0</v>
      </c>
      <c r="CYF39" s="49">
        <v>0</v>
      </c>
      <c r="CYG39" s="49">
        <v>0</v>
      </c>
      <c r="CYH39" s="127">
        <f t="shared" si="1766"/>
        <v>330</v>
      </c>
      <c r="CYI39" s="43">
        <f t="shared" si="1767"/>
        <v>55</v>
      </c>
      <c r="CYJ39" s="48"/>
      <c r="CYK39" s="49">
        <v>0</v>
      </c>
      <c r="CYL39" s="49">
        <v>0</v>
      </c>
      <c r="CYM39" s="49">
        <v>547</v>
      </c>
      <c r="CYN39" s="49">
        <v>0</v>
      </c>
      <c r="CYO39" s="49">
        <v>0</v>
      </c>
      <c r="CYP39" s="127">
        <f t="shared" si="1768"/>
        <v>547</v>
      </c>
      <c r="CYQ39" s="43">
        <f t="shared" si="1769"/>
        <v>91.166666666666671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0</v>
      </c>
      <c r="CYX39" s="127">
        <f t="shared" si="1770"/>
        <v>0</v>
      </c>
      <c r="CYY39" s="43">
        <f t="shared" si="1771"/>
        <v>0</v>
      </c>
      <c r="CYZ39" s="48"/>
      <c r="CZA39" s="49">
        <v>0</v>
      </c>
      <c r="CZB39" s="49">
        <v>330</v>
      </c>
      <c r="CZC39" s="49">
        <v>0</v>
      </c>
      <c r="CZD39" s="49">
        <v>0</v>
      </c>
      <c r="CZE39" s="49">
        <v>0</v>
      </c>
      <c r="CZF39" s="127">
        <f t="shared" si="1772"/>
        <v>330</v>
      </c>
      <c r="CZG39" s="43">
        <f t="shared" si="1773"/>
        <v>66</v>
      </c>
      <c r="CZH39" s="48">
        <v>0</v>
      </c>
      <c r="CZI39" s="49">
        <v>5</v>
      </c>
      <c r="CZJ39" s="49">
        <v>5</v>
      </c>
      <c r="CZK39" s="49">
        <v>485</v>
      </c>
      <c r="CZL39" s="49">
        <v>0</v>
      </c>
      <c r="CZM39" s="49">
        <v>0</v>
      </c>
      <c r="CZN39" s="127">
        <f t="shared" si="1774"/>
        <v>495</v>
      </c>
      <c r="CZO39" s="43">
        <f t="shared" si="1775"/>
        <v>82.5</v>
      </c>
      <c r="CZP39" s="48"/>
      <c r="CZQ39" s="49">
        <v>328</v>
      </c>
      <c r="CZR39" s="49"/>
      <c r="CZS39" s="49">
        <v>0</v>
      </c>
      <c r="CZT39" s="49">
        <v>0</v>
      </c>
      <c r="CZU39" s="49">
        <v>0</v>
      </c>
      <c r="CZV39" s="127">
        <f t="shared" si="1776"/>
        <v>328</v>
      </c>
      <c r="CZW39" s="43">
        <f t="shared" si="1777"/>
        <v>54.666666666666664</v>
      </c>
      <c r="CZX39" s="48">
        <v>110</v>
      </c>
      <c r="CZY39" s="49">
        <v>0</v>
      </c>
      <c r="CZZ39" s="49">
        <v>0</v>
      </c>
      <c r="DAA39" s="49">
        <v>0</v>
      </c>
      <c r="DAB39" s="49"/>
      <c r="DAC39" s="49">
        <v>0</v>
      </c>
      <c r="DAD39" s="64">
        <f t="shared" si="1778"/>
        <v>110</v>
      </c>
      <c r="DAE39" s="68">
        <f t="shared" si="1779"/>
        <v>18.333333333333332</v>
      </c>
      <c r="DAF39" s="48">
        <v>330</v>
      </c>
      <c r="DAG39" s="49">
        <v>0</v>
      </c>
      <c r="DAH39" s="49">
        <v>0</v>
      </c>
      <c r="DAI39" s="49">
        <v>0</v>
      </c>
      <c r="DAJ39" s="49">
        <v>381</v>
      </c>
      <c r="DAK39" s="49">
        <v>0</v>
      </c>
      <c r="DAL39" s="64">
        <f t="shared" si="1780"/>
        <v>711</v>
      </c>
      <c r="DAM39" s="68">
        <f t="shared" si="1781"/>
        <v>118.5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285</v>
      </c>
      <c r="DAT39" s="64">
        <f t="shared" si="1782"/>
        <v>285</v>
      </c>
      <c r="DAU39" s="68">
        <f t="shared" si="1783"/>
        <v>47.5</v>
      </c>
      <c r="DAV39" s="48"/>
      <c r="DAW39" s="49">
        <v>0</v>
      </c>
      <c r="DAX39" s="49">
        <v>0</v>
      </c>
      <c r="DAY39" s="49">
        <v>330</v>
      </c>
      <c r="DAZ39" s="49">
        <v>331</v>
      </c>
      <c r="DBA39" s="49">
        <v>0</v>
      </c>
      <c r="DBB39" s="64">
        <f t="shared" si="1784"/>
        <v>661</v>
      </c>
      <c r="DBC39" s="68">
        <f t="shared" si="1785"/>
        <v>110.16666666666667</v>
      </c>
      <c r="DBD39" s="48"/>
      <c r="DBE39" s="49">
        <v>0</v>
      </c>
      <c r="DBF39" s="49">
        <v>110</v>
      </c>
      <c r="DBG39" s="49">
        <v>490</v>
      </c>
      <c r="DBH39" s="49">
        <v>0</v>
      </c>
      <c r="DBI39" s="49">
        <v>0</v>
      </c>
      <c r="DBJ39" s="64">
        <f t="shared" si="1786"/>
        <v>600</v>
      </c>
      <c r="DBK39" s="68">
        <f t="shared" si="1787"/>
        <v>100</v>
      </c>
      <c r="DBL39" s="48">
        <v>0</v>
      </c>
      <c r="DBM39" s="49">
        <v>0</v>
      </c>
      <c r="DBN39" s="49">
        <v>0</v>
      </c>
      <c r="DBO39" s="49">
        <v>0</v>
      </c>
      <c r="DBP39" s="49"/>
      <c r="DBQ39" s="49">
        <v>230</v>
      </c>
      <c r="DBR39" s="64">
        <f t="shared" si="1788"/>
        <v>230</v>
      </c>
      <c r="DBS39" s="68">
        <f t="shared" si="1789"/>
        <v>38.333333333333336</v>
      </c>
      <c r="DBT39" s="48">
        <v>0</v>
      </c>
      <c r="DBU39" s="49"/>
      <c r="DBV39" s="49"/>
      <c r="DBW39" s="49">
        <v>111</v>
      </c>
      <c r="DBX39" s="49"/>
      <c r="DBY39" s="49">
        <v>0</v>
      </c>
      <c r="DBZ39" s="64">
        <f t="shared" si="1790"/>
        <v>111</v>
      </c>
      <c r="DCA39" s="68">
        <f t="shared" si="1791"/>
        <v>22.2</v>
      </c>
      <c r="DCB39" s="48">
        <v>329</v>
      </c>
      <c r="DCC39" s="49">
        <v>0</v>
      </c>
      <c r="DCD39" s="49"/>
      <c r="DCE39" s="49">
        <v>667</v>
      </c>
      <c r="DCF39" s="49">
        <v>0</v>
      </c>
      <c r="DCG39" s="49">
        <v>105</v>
      </c>
      <c r="DCH39" s="64">
        <f t="shared" si="1792"/>
        <v>1101</v>
      </c>
      <c r="DCI39" s="68">
        <f t="shared" si="1793"/>
        <v>183.5</v>
      </c>
      <c r="DCJ39" s="48"/>
      <c r="DCK39" s="49">
        <v>0</v>
      </c>
      <c r="DCL39" s="49">
        <v>0</v>
      </c>
      <c r="DCM39" s="49">
        <v>115</v>
      </c>
      <c r="DCN39" s="49">
        <v>0</v>
      </c>
      <c r="DCO39" s="49">
        <v>333</v>
      </c>
      <c r="DCP39" s="64">
        <f t="shared" si="1794"/>
        <v>448</v>
      </c>
      <c r="DCQ39" s="68">
        <f t="shared" si="1795"/>
        <v>74.666666666666671</v>
      </c>
      <c r="DCR39" s="48">
        <v>0</v>
      </c>
      <c r="DCS39" s="49">
        <v>0</v>
      </c>
      <c r="DCT39" s="49">
        <v>115</v>
      </c>
      <c r="DCU39" s="49">
        <v>514</v>
      </c>
      <c r="DCV39" s="49">
        <v>0</v>
      </c>
      <c r="DCW39" s="49">
        <v>0</v>
      </c>
      <c r="DCX39" s="64">
        <f t="shared" si="1796"/>
        <v>629</v>
      </c>
      <c r="DCY39" s="68">
        <f t="shared" si="1797"/>
        <v>104.83333333333333</v>
      </c>
      <c r="DCZ39" s="48">
        <v>0</v>
      </c>
      <c r="DDA39" s="49">
        <v>437</v>
      </c>
      <c r="DDB39" s="49">
        <v>0</v>
      </c>
      <c r="DDC39" s="49">
        <v>0</v>
      </c>
      <c r="DDD39" s="49">
        <v>0</v>
      </c>
      <c r="DDE39" s="49">
        <v>0</v>
      </c>
      <c r="DDF39" s="64">
        <f t="shared" si="1798"/>
        <v>437</v>
      </c>
      <c r="DDG39" s="68">
        <f t="shared" si="1799"/>
        <v>72.833333333333329</v>
      </c>
      <c r="DDH39" s="48">
        <v>0</v>
      </c>
      <c r="DDI39" s="49"/>
      <c r="DDJ39" s="49">
        <v>0</v>
      </c>
      <c r="DDK39" s="49">
        <v>0</v>
      </c>
      <c r="DDL39" s="49">
        <v>110</v>
      </c>
      <c r="DDM39" s="49">
        <v>0</v>
      </c>
      <c r="DDN39" s="127">
        <f t="shared" si="1800"/>
        <v>110</v>
      </c>
      <c r="DDO39" s="43">
        <f t="shared" si="1801"/>
        <v>18.333333333333332</v>
      </c>
      <c r="DDP39" s="48">
        <v>0</v>
      </c>
      <c r="DDQ39" s="49">
        <v>385</v>
      </c>
      <c r="DDR39" s="49">
        <v>0</v>
      </c>
      <c r="DDS39" s="49">
        <v>0</v>
      </c>
      <c r="DDT39" s="49">
        <v>221</v>
      </c>
      <c r="DDU39" s="49"/>
      <c r="DDV39" s="127">
        <f t="shared" si="1802"/>
        <v>606</v>
      </c>
      <c r="DDW39" s="43">
        <f t="shared" si="1803"/>
        <v>101</v>
      </c>
      <c r="DDX39" s="48">
        <v>0</v>
      </c>
      <c r="DDY39" s="49">
        <v>0</v>
      </c>
      <c r="DDZ39" s="49">
        <v>0</v>
      </c>
      <c r="DEA39" s="49">
        <v>0</v>
      </c>
      <c r="DEB39" s="49">
        <v>0</v>
      </c>
      <c r="DEC39" s="49">
        <v>0</v>
      </c>
      <c r="DED39" s="127">
        <f t="shared" si="1804"/>
        <v>0</v>
      </c>
      <c r="DEE39" s="43">
        <f t="shared" si="1805"/>
        <v>0</v>
      </c>
      <c r="DEF39" s="48">
        <v>0</v>
      </c>
      <c r="DEG39" s="49">
        <v>406</v>
      </c>
      <c r="DEH39" s="49">
        <v>0</v>
      </c>
      <c r="DEI39" s="49">
        <v>0</v>
      </c>
      <c r="DEJ39" s="49">
        <v>0</v>
      </c>
      <c r="DEK39" s="49"/>
      <c r="DEL39" s="127">
        <f t="shared" si="1806"/>
        <v>406</v>
      </c>
      <c r="DEM39" s="43">
        <f t="shared" si="1807"/>
        <v>67.666666666666671</v>
      </c>
      <c r="DEN39" s="48">
        <v>0</v>
      </c>
      <c r="DEO39" s="49">
        <v>334</v>
      </c>
      <c r="DEP39" s="49">
        <v>0</v>
      </c>
      <c r="DEQ39" s="49">
        <v>0</v>
      </c>
      <c r="DER39" s="49"/>
      <c r="DES39" s="49"/>
      <c r="DET39" s="127">
        <f t="shared" si="1808"/>
        <v>334</v>
      </c>
      <c r="DEU39" s="43">
        <f t="shared" si="1809"/>
        <v>55.666666666666664</v>
      </c>
      <c r="DEV39" s="48">
        <v>0</v>
      </c>
      <c r="DEW39" s="49">
        <v>496</v>
      </c>
      <c r="DEX39" s="49">
        <v>0</v>
      </c>
      <c r="DEY39" s="49">
        <v>0</v>
      </c>
      <c r="DEZ39" s="49">
        <v>0</v>
      </c>
      <c r="DFA39" s="49">
        <v>398</v>
      </c>
      <c r="DFB39" s="127">
        <f t="shared" si="1810"/>
        <v>894</v>
      </c>
      <c r="DFC39" s="43">
        <f t="shared" si="1811"/>
        <v>149</v>
      </c>
      <c r="DFD39" s="48"/>
      <c r="DFE39" s="49">
        <v>148</v>
      </c>
      <c r="DFF39" s="49">
        <v>0</v>
      </c>
      <c r="DFG39" s="49">
        <v>0</v>
      </c>
      <c r="DFH39" s="49">
        <v>0</v>
      </c>
      <c r="DFI39" s="49">
        <v>0</v>
      </c>
      <c r="DFJ39" s="127">
        <f t="shared" si="1812"/>
        <v>148</v>
      </c>
      <c r="DFK39" s="43">
        <f t="shared" si="1813"/>
        <v>24.666666666666668</v>
      </c>
      <c r="DFL39" s="63">
        <v>440</v>
      </c>
      <c r="DFM39" s="64">
        <v>0</v>
      </c>
      <c r="DFN39" s="64">
        <v>220</v>
      </c>
      <c r="DFO39" s="64">
        <v>0</v>
      </c>
      <c r="DFP39" s="64">
        <v>0</v>
      </c>
      <c r="DFQ39" s="64">
        <v>0</v>
      </c>
      <c r="DFR39" s="64">
        <f t="shared" si="1814"/>
        <v>660</v>
      </c>
      <c r="DFS39" s="68">
        <f t="shared" si="1815"/>
        <v>110</v>
      </c>
      <c r="DFT39" s="48">
        <v>529</v>
      </c>
      <c r="DFU39" s="49">
        <v>0</v>
      </c>
      <c r="DFV39" s="49">
        <v>220</v>
      </c>
      <c r="DFW39" s="49">
        <v>515</v>
      </c>
      <c r="DFX39" s="49"/>
      <c r="DFY39" s="49">
        <v>220</v>
      </c>
      <c r="DFZ39" s="127">
        <f t="shared" si="1816"/>
        <v>1484</v>
      </c>
      <c r="DGA39" s="43">
        <f t="shared" si="1817"/>
        <v>247.33333333333334</v>
      </c>
      <c r="DGB39" s="48">
        <v>424</v>
      </c>
      <c r="DGC39" s="49">
        <v>0</v>
      </c>
      <c r="DGD39" s="49">
        <v>0</v>
      </c>
      <c r="DGE39" s="49">
        <v>0</v>
      </c>
      <c r="DGF39" s="49">
        <v>224</v>
      </c>
      <c r="DGG39" s="49">
        <v>0</v>
      </c>
      <c r="DGH39" s="127">
        <f t="shared" si="1818"/>
        <v>648</v>
      </c>
      <c r="DGI39" s="43">
        <f t="shared" si="1819"/>
        <v>108</v>
      </c>
      <c r="DGJ39" s="48">
        <v>110</v>
      </c>
      <c r="DGK39" s="49">
        <v>332</v>
      </c>
      <c r="DGL39" s="49">
        <v>0</v>
      </c>
      <c r="DGM39" s="49">
        <v>0</v>
      </c>
      <c r="DGN39" s="49">
        <v>0</v>
      </c>
      <c r="DGO39" s="49">
        <v>0</v>
      </c>
      <c r="DGP39" s="64">
        <f t="shared" si="1820"/>
        <v>442</v>
      </c>
      <c r="DGQ39" s="68">
        <f t="shared" si="1821"/>
        <v>73.666666666666671</v>
      </c>
      <c r="DGR39" s="48">
        <v>436</v>
      </c>
      <c r="DGS39" s="49">
        <v>0</v>
      </c>
      <c r="DGT39" s="49">
        <v>191</v>
      </c>
      <c r="DGU39" s="49">
        <v>0</v>
      </c>
      <c r="DGV39" s="49">
        <v>223</v>
      </c>
      <c r="DGW39" s="49">
        <v>0</v>
      </c>
      <c r="DGX39" s="64">
        <f t="shared" si="1822"/>
        <v>850</v>
      </c>
      <c r="DGY39" s="68">
        <f t="shared" si="1823"/>
        <v>141.66666666666666</v>
      </c>
      <c r="DGZ39" s="48">
        <v>500</v>
      </c>
      <c r="DHA39" s="49">
        <v>0</v>
      </c>
      <c r="DHB39" s="49">
        <v>0</v>
      </c>
      <c r="DHC39" s="49"/>
      <c r="DHD39" s="49">
        <v>0</v>
      </c>
      <c r="DHE39" s="49">
        <v>138</v>
      </c>
      <c r="DHF39" s="64">
        <f t="shared" si="1824"/>
        <v>638</v>
      </c>
      <c r="DHG39" s="68">
        <f t="shared" si="1825"/>
        <v>106.33333333333333</v>
      </c>
      <c r="DHH39" s="63">
        <v>0</v>
      </c>
      <c r="DHI39" s="64">
        <v>603</v>
      </c>
      <c r="DHJ39" s="64">
        <v>0</v>
      </c>
      <c r="DHK39" s="64">
        <v>405</v>
      </c>
      <c r="DHL39" s="64">
        <v>0</v>
      </c>
      <c r="DHM39" s="64">
        <v>0</v>
      </c>
      <c r="DHN39" s="64">
        <f t="shared" si="1826"/>
        <v>1008</v>
      </c>
      <c r="DHO39" s="68">
        <f t="shared" si="1827"/>
        <v>168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28"/>
        <v>0</v>
      </c>
      <c r="DHW39" s="68">
        <f t="shared" si="1829"/>
        <v>0</v>
      </c>
      <c r="DHX39" s="48">
        <v>225</v>
      </c>
      <c r="DHY39" s="49"/>
      <c r="DHZ39" s="49"/>
      <c r="DIA39" s="49">
        <v>0</v>
      </c>
      <c r="DIB39" s="49">
        <v>0</v>
      </c>
      <c r="DIC39" s="49">
        <v>110</v>
      </c>
      <c r="DID39" s="64">
        <f t="shared" si="1830"/>
        <v>335</v>
      </c>
      <c r="DIE39" s="68">
        <f t="shared" si="1831"/>
        <v>55.833333333333336</v>
      </c>
      <c r="DIF39" s="48">
        <v>0</v>
      </c>
      <c r="DIG39" s="49">
        <v>0</v>
      </c>
      <c r="DIH39" s="49"/>
      <c r="DII39" s="49">
        <v>0</v>
      </c>
      <c r="DIJ39" s="49">
        <v>331</v>
      </c>
      <c r="DIK39" s="49"/>
      <c r="DIL39" s="64">
        <f t="shared" si="1832"/>
        <v>331</v>
      </c>
      <c r="DIM39" s="68">
        <f t="shared" si="1833"/>
        <v>55.166666666666664</v>
      </c>
      <c r="DIN39" s="48">
        <v>0</v>
      </c>
      <c r="DIO39" s="49"/>
      <c r="DIP39" s="49">
        <v>0</v>
      </c>
      <c r="DIQ39" s="49"/>
      <c r="DIR39" s="49">
        <v>0</v>
      </c>
      <c r="DIS39" s="49">
        <v>110</v>
      </c>
      <c r="DIT39" s="64">
        <f t="shared" si="1834"/>
        <v>110</v>
      </c>
      <c r="DIU39" s="68">
        <f t="shared" si="1835"/>
        <v>18.333333333333332</v>
      </c>
      <c r="DIV39" s="48">
        <v>0</v>
      </c>
      <c r="DIW39" s="49">
        <v>0</v>
      </c>
      <c r="DIX39" s="49">
        <v>0</v>
      </c>
      <c r="DIY39" s="49">
        <v>0</v>
      </c>
      <c r="DIZ39" s="49">
        <v>0</v>
      </c>
      <c r="DJA39" s="49">
        <v>0</v>
      </c>
      <c r="DJB39" s="64">
        <f t="shared" si="1836"/>
        <v>0</v>
      </c>
      <c r="DJC39" s="68">
        <f t="shared" si="1837"/>
        <v>0</v>
      </c>
      <c r="DJD39" s="48">
        <v>0</v>
      </c>
      <c r="DJE39" s="49">
        <v>0</v>
      </c>
      <c r="DJF39" s="49">
        <v>0</v>
      </c>
      <c r="DJG39" s="49">
        <v>0</v>
      </c>
      <c r="DJH39" s="49">
        <v>325</v>
      </c>
      <c r="DJI39" s="49"/>
      <c r="DJJ39" s="64">
        <f t="shared" si="1838"/>
        <v>325</v>
      </c>
      <c r="DJK39" s="68">
        <f t="shared" si="1839"/>
        <v>54.166666666666664</v>
      </c>
      <c r="DJL39" s="48">
        <v>0</v>
      </c>
      <c r="DJM39" s="49">
        <v>0</v>
      </c>
      <c r="DJN39" s="49">
        <v>110</v>
      </c>
      <c r="DJO39" s="49">
        <v>0</v>
      </c>
      <c r="DJP39" s="49">
        <v>110</v>
      </c>
      <c r="DJQ39" s="49">
        <v>0</v>
      </c>
      <c r="DJR39" s="64">
        <f t="shared" si="1840"/>
        <v>220</v>
      </c>
      <c r="DJS39" s="68">
        <f t="shared" si="1841"/>
        <v>36.666666666666664</v>
      </c>
      <c r="DJT39" s="48"/>
      <c r="DJU39" s="49">
        <v>0</v>
      </c>
      <c r="DJV39" s="49">
        <v>0</v>
      </c>
      <c r="DJW39" s="49">
        <v>0</v>
      </c>
      <c r="DJX39" s="49">
        <v>0</v>
      </c>
      <c r="DJY39" s="49">
        <v>220</v>
      </c>
      <c r="DJZ39" s="64">
        <f t="shared" si="1842"/>
        <v>220</v>
      </c>
      <c r="DKA39" s="68">
        <f t="shared" si="1843"/>
        <v>36.666666666666664</v>
      </c>
      <c r="DKB39" s="48">
        <v>112</v>
      </c>
      <c r="DKC39" s="49">
        <v>0</v>
      </c>
      <c r="DKD39" s="49">
        <v>0</v>
      </c>
      <c r="DKE39" s="49">
        <v>0</v>
      </c>
      <c r="DKF39" s="49">
        <v>0</v>
      </c>
      <c r="DKG39" s="49">
        <v>0</v>
      </c>
      <c r="DKH39" s="64">
        <f t="shared" si="1844"/>
        <v>112</v>
      </c>
      <c r="DKI39" s="68">
        <f t="shared" si="1845"/>
        <v>18.666666666666668</v>
      </c>
      <c r="DKJ39" s="48">
        <v>0</v>
      </c>
      <c r="DKK39" s="49">
        <v>0</v>
      </c>
      <c r="DKL39" s="49">
        <v>0</v>
      </c>
      <c r="DKM39" s="49"/>
      <c r="DKN39" s="49">
        <v>330</v>
      </c>
      <c r="DKO39" s="49"/>
      <c r="DKP39" s="64">
        <f t="shared" si="1846"/>
        <v>330</v>
      </c>
      <c r="DKQ39" s="68">
        <f t="shared" si="1847"/>
        <v>55</v>
      </c>
      <c r="DKR39" s="48">
        <v>0</v>
      </c>
      <c r="DKS39" s="49">
        <v>0</v>
      </c>
      <c r="DKT39" s="49"/>
      <c r="DKU39" s="49">
        <v>0</v>
      </c>
      <c r="DKV39" s="49">
        <v>0</v>
      </c>
      <c r="DKW39" s="49">
        <v>0</v>
      </c>
      <c r="DKX39" s="64">
        <f t="shared" si="1848"/>
        <v>0</v>
      </c>
      <c r="DKY39" s="68">
        <f t="shared" si="1849"/>
        <v>0</v>
      </c>
      <c r="DKZ39" s="48"/>
      <c r="DLA39" s="49">
        <v>220</v>
      </c>
      <c r="DLB39" s="49">
        <v>0</v>
      </c>
      <c r="DLC39" s="49">
        <v>0</v>
      </c>
      <c r="DLD39" s="49"/>
      <c r="DLE39" s="49">
        <v>0</v>
      </c>
      <c r="DLF39" s="64">
        <f t="shared" si="1850"/>
        <v>220</v>
      </c>
      <c r="DLG39" s="68">
        <f t="shared" si="1851"/>
        <v>36.666666666666664</v>
      </c>
      <c r="DLH39" s="48"/>
      <c r="DLI39" s="49">
        <v>0</v>
      </c>
      <c r="DLJ39" s="49">
        <v>1083</v>
      </c>
      <c r="DLK39" s="49">
        <v>0</v>
      </c>
      <c r="DLL39" s="49"/>
      <c r="DLM39" s="49">
        <v>0</v>
      </c>
      <c r="DLN39" s="64">
        <f t="shared" si="1852"/>
        <v>1083</v>
      </c>
      <c r="DLO39" s="68">
        <f t="shared" si="1853"/>
        <v>180.5</v>
      </c>
      <c r="DLP39" s="48">
        <v>0</v>
      </c>
      <c r="DLQ39" s="49"/>
      <c r="DLR39" s="49">
        <v>0</v>
      </c>
      <c r="DLS39" s="49">
        <v>0</v>
      </c>
      <c r="DLT39" s="49">
        <v>0</v>
      </c>
      <c r="DLU39" s="49">
        <v>0</v>
      </c>
      <c r="DLV39" s="64">
        <f t="shared" si="1854"/>
        <v>0</v>
      </c>
      <c r="DLW39" s="68">
        <f t="shared" si="1855"/>
        <v>0</v>
      </c>
      <c r="DLX39" s="48">
        <v>0</v>
      </c>
      <c r="DLY39" s="49">
        <v>0</v>
      </c>
      <c r="DLZ39" s="49"/>
      <c r="DMA39" s="49">
        <v>0</v>
      </c>
      <c r="DMB39" s="49"/>
      <c r="DMC39" s="49">
        <v>0</v>
      </c>
      <c r="DMD39" s="64">
        <f t="shared" si="1856"/>
        <v>0</v>
      </c>
      <c r="DME39" s="68">
        <f t="shared" si="1857"/>
        <v>0</v>
      </c>
      <c r="DMF39" s="48"/>
      <c r="DMG39" s="49">
        <v>0</v>
      </c>
      <c r="DMH39" s="49"/>
      <c r="DMI39" s="49">
        <v>94</v>
      </c>
      <c r="DMJ39" s="49">
        <v>0</v>
      </c>
      <c r="DMK39" s="49">
        <v>0</v>
      </c>
      <c r="DML39" s="64">
        <f t="shared" si="1858"/>
        <v>94</v>
      </c>
      <c r="DMM39" s="68">
        <f t="shared" si="1859"/>
        <v>15.666666666666666</v>
      </c>
      <c r="DMN39" s="48">
        <v>0</v>
      </c>
      <c r="DMO39" s="49"/>
      <c r="DMP39" s="49">
        <v>0</v>
      </c>
      <c r="DMQ39" s="49">
        <v>0</v>
      </c>
      <c r="DMR39" s="49">
        <v>330</v>
      </c>
      <c r="DMS39" s="49">
        <v>0</v>
      </c>
      <c r="DMT39" s="64">
        <f t="shared" si="1860"/>
        <v>330</v>
      </c>
      <c r="DMU39" s="68">
        <f t="shared" si="1861"/>
        <v>55</v>
      </c>
      <c r="DMV39" s="48">
        <v>0</v>
      </c>
      <c r="DMW39" s="49">
        <v>0</v>
      </c>
      <c r="DMX39" s="49">
        <v>110</v>
      </c>
      <c r="DMY39" s="49">
        <v>330</v>
      </c>
      <c r="DMZ39" s="49">
        <v>0</v>
      </c>
      <c r="DNA39" s="49">
        <v>0</v>
      </c>
      <c r="DNB39" s="64">
        <f t="shared" si="1862"/>
        <v>440</v>
      </c>
      <c r="DNC39" s="68">
        <f t="shared" si="1863"/>
        <v>73.333333333333329</v>
      </c>
      <c r="DND39" s="48">
        <v>0</v>
      </c>
      <c r="DNE39" s="49">
        <v>9</v>
      </c>
      <c r="DNF39" s="49">
        <v>300</v>
      </c>
      <c r="DNG39" s="49">
        <v>701</v>
      </c>
      <c r="DNH39" s="49">
        <v>0</v>
      </c>
      <c r="DNI39" s="49">
        <v>330</v>
      </c>
      <c r="DNJ39" s="64">
        <f t="shared" si="1864"/>
        <v>1340</v>
      </c>
      <c r="DNK39" s="68">
        <f t="shared" si="1865"/>
        <v>223.33333333333334</v>
      </c>
      <c r="DNL39" s="48"/>
      <c r="DNM39" s="49"/>
      <c r="DNN39" s="49">
        <v>0</v>
      </c>
      <c r="DNO39" s="49">
        <v>104</v>
      </c>
      <c r="DNP39" s="49">
        <v>0</v>
      </c>
      <c r="DNQ39" s="49">
        <v>221</v>
      </c>
      <c r="DNR39" s="64">
        <f t="shared" si="1866"/>
        <v>325</v>
      </c>
      <c r="DNS39" s="68">
        <f t="shared" si="1867"/>
        <v>54.166666666666664</v>
      </c>
      <c r="DNT39" s="48">
        <v>0</v>
      </c>
      <c r="DNU39" s="49">
        <v>0</v>
      </c>
      <c r="DNV39" s="49">
        <v>0</v>
      </c>
      <c r="DNW39" s="49">
        <v>0</v>
      </c>
      <c r="DNX39" s="49">
        <v>0</v>
      </c>
      <c r="DNY39" s="49">
        <v>261</v>
      </c>
      <c r="DNZ39" s="64">
        <f t="shared" si="1868"/>
        <v>261</v>
      </c>
      <c r="DOA39" s="68">
        <f t="shared" si="1869"/>
        <v>43.5</v>
      </c>
      <c r="DOB39" s="48">
        <v>0</v>
      </c>
      <c r="DOC39" s="49"/>
      <c r="DOD39" s="49">
        <v>0</v>
      </c>
      <c r="DOE39" s="49">
        <v>0</v>
      </c>
      <c r="DOF39" s="49">
        <v>0</v>
      </c>
      <c r="DOG39" s="49">
        <v>335</v>
      </c>
      <c r="DOH39" s="64">
        <f t="shared" si="1870"/>
        <v>335</v>
      </c>
      <c r="DOI39" s="68">
        <f t="shared" si="1871"/>
        <v>55.833333333333336</v>
      </c>
      <c r="DOJ39" s="48">
        <v>0</v>
      </c>
      <c r="DOK39" s="49">
        <v>0</v>
      </c>
      <c r="DOL39" s="49">
        <v>0</v>
      </c>
      <c r="DOM39" s="49"/>
      <c r="DON39" s="49">
        <v>329</v>
      </c>
      <c r="DOO39" s="49">
        <v>0</v>
      </c>
      <c r="DOP39" s="64">
        <f t="shared" si="1872"/>
        <v>329</v>
      </c>
      <c r="DOQ39" s="68">
        <f t="shared" si="1873"/>
        <v>54.833333333333336</v>
      </c>
      <c r="DOR39" s="48">
        <v>220</v>
      </c>
      <c r="DOS39" s="49">
        <v>0</v>
      </c>
      <c r="DOT39" s="49">
        <v>0</v>
      </c>
      <c r="DOU39" s="49">
        <v>0</v>
      </c>
      <c r="DOV39" s="49"/>
      <c r="DOW39" s="49">
        <v>110</v>
      </c>
      <c r="DOX39" s="64">
        <f t="shared" si="1874"/>
        <v>330</v>
      </c>
      <c r="DOY39" s="68">
        <f t="shared" si="1875"/>
        <v>55</v>
      </c>
      <c r="DOZ39" s="48"/>
      <c r="DPA39" s="49">
        <v>0</v>
      </c>
      <c r="DPB39" s="49">
        <v>330</v>
      </c>
      <c r="DPC39" s="49">
        <v>0</v>
      </c>
      <c r="DPD39" s="49"/>
      <c r="DPE39" s="49">
        <v>0</v>
      </c>
      <c r="DPF39" s="64">
        <f t="shared" si="1876"/>
        <v>330</v>
      </c>
      <c r="DPG39" s="68">
        <f t="shared" si="1877"/>
        <v>55</v>
      </c>
      <c r="DPH39" s="48">
        <v>0</v>
      </c>
      <c r="DPI39" s="49">
        <v>0</v>
      </c>
      <c r="DPJ39" s="49">
        <v>5</v>
      </c>
      <c r="DPK39" s="49">
        <v>330</v>
      </c>
      <c r="DPL39" s="49"/>
      <c r="DPM39" s="49"/>
      <c r="DPN39" s="64">
        <f t="shared" si="1878"/>
        <v>335</v>
      </c>
      <c r="DPO39" s="68">
        <f t="shared" si="1879"/>
        <v>55.833333333333336</v>
      </c>
      <c r="DPP39" s="48">
        <v>0</v>
      </c>
      <c r="DPQ39" s="49">
        <v>0</v>
      </c>
      <c r="DPR39" s="49">
        <v>0</v>
      </c>
      <c r="DPS39" s="49"/>
      <c r="DPT39" s="49"/>
      <c r="DPU39" s="49">
        <v>0</v>
      </c>
      <c r="DPV39" s="491">
        <f t="shared" si="1880"/>
        <v>0</v>
      </c>
      <c r="DPW39" s="492">
        <f t="shared" si="1881"/>
        <v>0</v>
      </c>
      <c r="DPX39" s="48">
        <v>0</v>
      </c>
      <c r="DPY39" s="49">
        <v>214</v>
      </c>
      <c r="DPZ39" s="49">
        <v>0</v>
      </c>
      <c r="DQA39" s="49">
        <v>110</v>
      </c>
      <c r="DQB39" s="49">
        <v>0</v>
      </c>
      <c r="DQC39" s="49">
        <v>0</v>
      </c>
      <c r="DQD39" s="491">
        <f t="shared" si="1882"/>
        <v>324</v>
      </c>
      <c r="DQE39" s="492">
        <f t="shared" si="1883"/>
        <v>54</v>
      </c>
      <c r="DQF39" s="48">
        <v>0</v>
      </c>
      <c r="DQG39" s="49">
        <v>0</v>
      </c>
      <c r="DQH39" s="49">
        <v>219</v>
      </c>
      <c r="DQI39" s="49"/>
      <c r="DQJ39" s="49">
        <v>0</v>
      </c>
      <c r="DQK39" s="49">
        <v>109</v>
      </c>
      <c r="DQL39" s="489">
        <f t="shared" si="1884"/>
        <v>328</v>
      </c>
      <c r="DQM39" s="492">
        <f t="shared" si="1885"/>
        <v>54.666666666666664</v>
      </c>
      <c r="DQN39" s="48">
        <v>0</v>
      </c>
      <c r="DQO39" s="49">
        <v>0</v>
      </c>
      <c r="DQP39" s="49">
        <v>0</v>
      </c>
      <c r="DQQ39" s="49">
        <v>0</v>
      </c>
      <c r="DQR39" s="49">
        <v>219</v>
      </c>
      <c r="DQS39" s="49">
        <v>0</v>
      </c>
      <c r="DQT39" s="64">
        <f t="shared" si="1886"/>
        <v>219</v>
      </c>
      <c r="DQU39" s="68">
        <f t="shared" si="1887"/>
        <v>36.5</v>
      </c>
      <c r="DQV39" s="48">
        <v>330</v>
      </c>
      <c r="DQW39" s="49">
        <v>0</v>
      </c>
      <c r="DQX39" s="49"/>
      <c r="DQY39" s="49">
        <v>0</v>
      </c>
      <c r="DQZ39" s="49">
        <v>0</v>
      </c>
      <c r="DRA39" s="49">
        <v>0</v>
      </c>
      <c r="DRB39" s="491">
        <f t="shared" si="1888"/>
        <v>330</v>
      </c>
      <c r="DRC39" s="492">
        <f t="shared" si="1889"/>
        <v>55</v>
      </c>
      <c r="DRD39" s="48">
        <v>0</v>
      </c>
      <c r="DRE39" s="49">
        <v>0</v>
      </c>
      <c r="DRF39" s="49">
        <v>0</v>
      </c>
      <c r="DRG39" s="49">
        <v>0</v>
      </c>
      <c r="DRH39" s="49">
        <v>0</v>
      </c>
      <c r="DRI39" s="49"/>
      <c r="DRJ39" s="491">
        <f t="shared" si="1890"/>
        <v>0</v>
      </c>
      <c r="DRK39" s="492">
        <f t="shared" si="1891"/>
        <v>0</v>
      </c>
      <c r="DRL39" s="48">
        <v>0</v>
      </c>
      <c r="DRM39" s="49">
        <v>217</v>
      </c>
      <c r="DRN39" s="49">
        <v>0</v>
      </c>
      <c r="DRO39" s="49">
        <v>0</v>
      </c>
      <c r="DRP39" s="49">
        <v>0</v>
      </c>
      <c r="DRQ39" s="49">
        <v>110</v>
      </c>
      <c r="DRR39" s="64">
        <f t="shared" si="1587"/>
        <v>327</v>
      </c>
      <c r="DRS39" s="68">
        <f t="shared" si="1588"/>
        <v>54.5</v>
      </c>
      <c r="DRT39" s="48">
        <v>0</v>
      </c>
      <c r="DRU39" s="49">
        <v>0</v>
      </c>
      <c r="DRV39" s="49">
        <v>0</v>
      </c>
      <c r="DRW39" s="49">
        <v>0</v>
      </c>
      <c r="DRX39" s="49">
        <v>221</v>
      </c>
      <c r="DRY39" s="49"/>
      <c r="DRZ39" s="491">
        <f t="shared" si="1589"/>
        <v>221</v>
      </c>
      <c r="DSA39" s="68">
        <f t="shared" si="1590"/>
        <v>36.833333333333336</v>
      </c>
      <c r="DSB39" s="82"/>
      <c r="DSC39" s="83">
        <v>0</v>
      </c>
      <c r="DSD39" s="83">
        <v>0</v>
      </c>
      <c r="DSE39" s="83"/>
      <c r="DSF39" s="83">
        <v>0</v>
      </c>
      <c r="DSG39" s="83">
        <v>166</v>
      </c>
      <c r="DSH39" s="64">
        <f t="shared" si="1591"/>
        <v>166</v>
      </c>
      <c r="DSI39" s="68">
        <f t="shared" si="1592"/>
        <v>27.666666666666668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107</v>
      </c>
      <c r="DSP39" s="64">
        <f t="shared" si="1593"/>
        <v>107</v>
      </c>
      <c r="DSQ39" s="68">
        <f t="shared" si="1594"/>
        <v>17.833333333333332</v>
      </c>
      <c r="DSR39" s="48"/>
      <c r="DSS39" s="49">
        <v>10</v>
      </c>
      <c r="DST39" s="49">
        <v>341</v>
      </c>
      <c r="DSU39" s="49">
        <v>0</v>
      </c>
      <c r="DSV39" s="49">
        <v>0</v>
      </c>
      <c r="DSW39" s="49">
        <v>0</v>
      </c>
      <c r="DSX39" s="64">
        <f t="shared" si="1595"/>
        <v>351</v>
      </c>
      <c r="DSY39" s="68">
        <f t="shared" si="1596"/>
        <v>58.5</v>
      </c>
      <c r="DSZ39" s="48">
        <v>0</v>
      </c>
      <c r="DTA39" s="49">
        <v>0</v>
      </c>
      <c r="DTB39" s="49">
        <v>109</v>
      </c>
      <c r="DTC39" s="49">
        <v>0</v>
      </c>
      <c r="DTD39" s="49"/>
      <c r="DTE39" s="49">
        <v>0</v>
      </c>
      <c r="DTF39" s="64">
        <f t="shared" si="1597"/>
        <v>109</v>
      </c>
      <c r="DTG39" s="68">
        <f t="shared" si="1598"/>
        <v>18.166666666666668</v>
      </c>
      <c r="DTH39" s="48">
        <v>0</v>
      </c>
      <c r="DTI39" s="49">
        <v>330</v>
      </c>
      <c r="DTJ39" s="49">
        <v>333</v>
      </c>
      <c r="DTK39" s="49">
        <v>0</v>
      </c>
      <c r="DTL39" s="49">
        <v>0</v>
      </c>
      <c r="DTM39" s="49">
        <v>0</v>
      </c>
      <c r="DTN39" s="64">
        <f t="shared" si="1599"/>
        <v>663</v>
      </c>
      <c r="DTO39" s="68">
        <f t="shared" si="1600"/>
        <v>110.5</v>
      </c>
      <c r="DTP39" s="48">
        <v>0</v>
      </c>
      <c r="DTQ39" s="49"/>
      <c r="DTR39" s="49"/>
      <c r="DTS39" s="49">
        <v>0</v>
      </c>
      <c r="DTT39" s="49">
        <v>0</v>
      </c>
      <c r="DTU39" s="49">
        <v>0</v>
      </c>
      <c r="DTV39" s="64">
        <f t="shared" si="1601"/>
        <v>0</v>
      </c>
      <c r="DTW39" s="68">
        <f t="shared" si="1602"/>
        <v>0</v>
      </c>
      <c r="DTX39" s="48">
        <v>0</v>
      </c>
      <c r="DTY39" s="49">
        <v>329</v>
      </c>
      <c r="DTZ39" s="49">
        <v>0</v>
      </c>
      <c r="DUA39" s="49">
        <v>0</v>
      </c>
      <c r="DUB39" s="49">
        <v>0</v>
      </c>
      <c r="DUC39" s="49">
        <v>110</v>
      </c>
      <c r="DUD39" s="64">
        <f t="shared" si="1603"/>
        <v>439</v>
      </c>
      <c r="DUE39" s="68">
        <f t="shared" si="1604"/>
        <v>73.166666666666671</v>
      </c>
      <c r="DUF39" s="48">
        <v>324</v>
      </c>
      <c r="DUG39" s="49">
        <v>0</v>
      </c>
      <c r="DUH39" s="49"/>
      <c r="DUI39" s="49">
        <v>0</v>
      </c>
      <c r="DUJ39" s="49">
        <v>110</v>
      </c>
      <c r="DUK39" s="49">
        <v>3</v>
      </c>
      <c r="DUL39" s="64">
        <f t="shared" si="1605"/>
        <v>437</v>
      </c>
      <c r="DUM39" s="68">
        <f t="shared" si="1606"/>
        <v>72.833333333333329</v>
      </c>
      <c r="DUN39" s="48"/>
      <c r="DUO39" s="49">
        <v>331</v>
      </c>
      <c r="DUP39" s="49">
        <v>0</v>
      </c>
      <c r="DUQ39" s="49">
        <v>0</v>
      </c>
      <c r="DUR39" s="49"/>
      <c r="DUS39" s="49">
        <v>220</v>
      </c>
      <c r="DUT39" s="64">
        <f t="shared" si="1607"/>
        <v>551</v>
      </c>
      <c r="DUU39" s="68">
        <f t="shared" si="1608"/>
        <v>91.833333333333329</v>
      </c>
      <c r="DUV39" s="48"/>
      <c r="DUW39" s="49">
        <v>0</v>
      </c>
      <c r="DUX39" s="49">
        <v>0</v>
      </c>
      <c r="DUY39" s="49">
        <v>320</v>
      </c>
      <c r="DUZ39" s="49">
        <v>0</v>
      </c>
      <c r="DVA39" s="49">
        <v>0</v>
      </c>
      <c r="DVB39" s="64">
        <f t="shared" si="1609"/>
        <v>320</v>
      </c>
      <c r="DVC39" s="68">
        <f t="shared" si="1610"/>
        <v>53.333333333333336</v>
      </c>
      <c r="DVD39" s="48"/>
      <c r="DVE39" s="49">
        <v>0</v>
      </c>
      <c r="DVF39" s="49">
        <v>0</v>
      </c>
      <c r="DVG39" s="49">
        <v>401</v>
      </c>
      <c r="DVH39" s="49">
        <v>0</v>
      </c>
      <c r="DVI39" s="49">
        <v>0</v>
      </c>
      <c r="DVJ39" s="64">
        <f t="shared" si="1611"/>
        <v>401</v>
      </c>
      <c r="DVK39" s="68">
        <f t="shared" si="1612"/>
        <v>66.833333333333329</v>
      </c>
      <c r="DVL39" s="48">
        <v>0</v>
      </c>
      <c r="DVM39" s="49">
        <v>0</v>
      </c>
      <c r="DVN39" s="49">
        <v>399</v>
      </c>
      <c r="DVO39" s="49">
        <v>0</v>
      </c>
      <c r="DVP39" s="49">
        <v>0</v>
      </c>
      <c r="DVQ39" s="49">
        <v>0</v>
      </c>
      <c r="DVR39" s="64">
        <f t="shared" si="1613"/>
        <v>399</v>
      </c>
      <c r="DVS39" s="68">
        <f t="shared" si="1614"/>
        <v>66.5</v>
      </c>
      <c r="DVT39" s="48"/>
      <c r="DVU39" s="49">
        <v>247</v>
      </c>
      <c r="DVV39" s="49">
        <v>330</v>
      </c>
      <c r="DVW39" s="49">
        <v>0</v>
      </c>
      <c r="DVX39" s="49">
        <v>0</v>
      </c>
      <c r="DVY39" s="49">
        <v>0</v>
      </c>
      <c r="DVZ39" s="64">
        <f t="shared" si="1615"/>
        <v>577</v>
      </c>
      <c r="DWA39" s="68">
        <f t="shared" si="1616"/>
        <v>96.166666666666671</v>
      </c>
      <c r="DWB39" s="48">
        <v>0</v>
      </c>
      <c r="DWC39" s="49">
        <v>220</v>
      </c>
      <c r="DWD39" s="49">
        <v>0</v>
      </c>
      <c r="DWE39" s="49">
        <v>0</v>
      </c>
      <c r="DWF39" s="49">
        <v>220</v>
      </c>
      <c r="DWG39" s="49"/>
      <c r="DWH39" s="64">
        <f t="shared" si="1617"/>
        <v>440</v>
      </c>
      <c r="DWI39" s="68">
        <f t="shared" si="1618"/>
        <v>73.333333333333329</v>
      </c>
      <c r="DWJ39" s="48">
        <v>336</v>
      </c>
      <c r="DWK39" s="49">
        <v>0</v>
      </c>
      <c r="DWL39" s="49">
        <v>0</v>
      </c>
      <c r="DWM39" s="49">
        <v>0</v>
      </c>
      <c r="DWN39" s="49">
        <v>0</v>
      </c>
      <c r="DWO39" s="49">
        <v>330</v>
      </c>
      <c r="DWP39" s="64">
        <f t="shared" si="1619"/>
        <v>666</v>
      </c>
      <c r="DWQ39" s="68">
        <f t="shared" si="1620"/>
        <v>111</v>
      </c>
      <c r="DWR39" s="48">
        <v>0</v>
      </c>
      <c r="DWS39" s="49"/>
      <c r="DWT39" s="49">
        <v>0</v>
      </c>
      <c r="DWU39" s="49">
        <v>330</v>
      </c>
      <c r="DWV39" s="49">
        <v>0</v>
      </c>
      <c r="DWW39" s="49">
        <v>0</v>
      </c>
      <c r="DWX39" s="64">
        <f t="shared" si="1621"/>
        <v>330</v>
      </c>
      <c r="DWY39" s="68">
        <f t="shared" si="1622"/>
        <v>55</v>
      </c>
      <c r="DWZ39" s="48">
        <v>220</v>
      </c>
      <c r="DXA39" s="49">
        <v>0</v>
      </c>
      <c r="DXB39" s="49">
        <v>221</v>
      </c>
      <c r="DXC39" s="49">
        <v>0</v>
      </c>
      <c r="DXD39" s="49"/>
      <c r="DXE39" s="49"/>
      <c r="DXF39" s="64">
        <f t="shared" si="1623"/>
        <v>441</v>
      </c>
      <c r="DXG39" s="68">
        <f t="shared" si="1624"/>
        <v>73.5</v>
      </c>
      <c r="DXH39" s="48">
        <v>550</v>
      </c>
      <c r="DXI39" s="49">
        <v>0</v>
      </c>
      <c r="DXJ39" s="49">
        <v>0</v>
      </c>
      <c r="DXK39" s="49">
        <v>0</v>
      </c>
      <c r="DXL39" s="49">
        <v>0</v>
      </c>
      <c r="DXM39" s="49">
        <v>0</v>
      </c>
      <c r="DXN39" s="64">
        <f t="shared" si="1625"/>
        <v>550</v>
      </c>
      <c r="DXO39" s="68">
        <f t="shared" si="1626"/>
        <v>91.666666666666671</v>
      </c>
      <c r="DXP39" s="48">
        <v>0</v>
      </c>
      <c r="DXQ39" s="49">
        <v>400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20"/>
        <v>400</v>
      </c>
      <c r="DXW39" s="68">
        <f t="shared" si="1321"/>
        <v>66.666666666666671</v>
      </c>
      <c r="DXX39" s="48">
        <v>110</v>
      </c>
      <c r="DXY39" s="49">
        <v>0</v>
      </c>
      <c r="DXZ39" s="49">
        <v>0</v>
      </c>
      <c r="DYA39" s="49">
        <v>329</v>
      </c>
      <c r="DYB39" s="49">
        <v>0</v>
      </c>
      <c r="DYC39" s="49">
        <v>0</v>
      </c>
      <c r="DYD39" s="64">
        <f t="shared" si="1322"/>
        <v>439</v>
      </c>
      <c r="DYE39" s="68">
        <f t="shared" si="1323"/>
        <v>73.166666666666671</v>
      </c>
      <c r="DYF39" s="48">
        <v>0</v>
      </c>
      <c r="DYG39" s="49">
        <v>0</v>
      </c>
      <c r="DYH39" s="49">
        <v>337</v>
      </c>
      <c r="DYI39" s="49">
        <v>0</v>
      </c>
      <c r="DYJ39" s="49">
        <v>0</v>
      </c>
      <c r="DYK39" s="49"/>
      <c r="DYL39" s="64">
        <f t="shared" si="1324"/>
        <v>337</v>
      </c>
      <c r="DYM39" s="68">
        <f t="shared" si="1325"/>
        <v>56.166666666666664</v>
      </c>
      <c r="DYN39" s="48">
        <v>0</v>
      </c>
      <c r="DYO39" s="49">
        <v>94</v>
      </c>
      <c r="DYP39" s="49">
        <v>336</v>
      </c>
      <c r="DYQ39" s="49">
        <v>0</v>
      </c>
      <c r="DYR39" s="49"/>
      <c r="DYS39" s="49"/>
      <c r="DYT39" s="64">
        <f t="shared" si="1326"/>
        <v>430</v>
      </c>
      <c r="DYU39" s="68">
        <f t="shared" si="1327"/>
        <v>71.666666666666671</v>
      </c>
      <c r="DYV39" s="48">
        <v>0</v>
      </c>
      <c r="DYW39" s="49">
        <v>0</v>
      </c>
      <c r="DYX39" s="49">
        <v>0</v>
      </c>
      <c r="DYY39" s="49">
        <v>0</v>
      </c>
      <c r="DYZ39" s="49">
        <v>231</v>
      </c>
      <c r="DZA39" s="49">
        <v>0</v>
      </c>
      <c r="DZB39" s="64">
        <f t="shared" si="1328"/>
        <v>231</v>
      </c>
      <c r="DZC39" s="68">
        <f t="shared" si="1329"/>
        <v>38.5</v>
      </c>
      <c r="DZD39" s="48">
        <v>0</v>
      </c>
      <c r="DZE39" s="49">
        <v>0</v>
      </c>
      <c r="DZF39" s="49">
        <v>0</v>
      </c>
      <c r="DZG39" s="49">
        <v>0</v>
      </c>
      <c r="DZH39" s="49">
        <v>224</v>
      </c>
      <c r="DZI39" s="49">
        <v>0</v>
      </c>
      <c r="DZJ39" s="64">
        <f t="shared" si="1330"/>
        <v>224</v>
      </c>
      <c r="DZK39" s="68">
        <f t="shared" si="1331"/>
        <v>37.333333333333336</v>
      </c>
      <c r="DZL39" s="48">
        <v>0</v>
      </c>
      <c r="DZM39" s="49">
        <v>0</v>
      </c>
      <c r="DZN39" s="49"/>
      <c r="DZO39" s="49">
        <v>0</v>
      </c>
      <c r="DZP39" s="49">
        <v>337</v>
      </c>
      <c r="DZQ39" s="49">
        <v>0</v>
      </c>
      <c r="DZR39" s="64">
        <f t="shared" si="1332"/>
        <v>337</v>
      </c>
      <c r="DZS39" s="68">
        <f t="shared" si="1333"/>
        <v>56.166666666666664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34"/>
        <v>0</v>
      </c>
      <c r="EAA39" s="68">
        <f t="shared" si="1335"/>
        <v>0</v>
      </c>
      <c r="EAB39" s="48"/>
      <c r="EAC39" s="49">
        <v>110</v>
      </c>
      <c r="EAD39" s="49">
        <v>0</v>
      </c>
      <c r="EAE39" s="49"/>
      <c r="EAF39" s="49">
        <v>0</v>
      </c>
      <c r="EAG39" s="49">
        <v>220</v>
      </c>
      <c r="EAH39" s="64">
        <f t="shared" si="1336"/>
        <v>330</v>
      </c>
      <c r="EAI39" s="68">
        <f t="shared" si="1337"/>
        <v>55</v>
      </c>
      <c r="EAJ39" s="48">
        <v>0</v>
      </c>
      <c r="EAK39" s="49">
        <v>0</v>
      </c>
      <c r="EAL39" s="49">
        <v>0</v>
      </c>
      <c r="EAM39" s="49">
        <v>110</v>
      </c>
      <c r="EAN39" s="49">
        <v>0</v>
      </c>
      <c r="EAO39" s="49">
        <v>0</v>
      </c>
      <c r="EAP39" s="64">
        <f t="shared" si="1338"/>
        <v>110</v>
      </c>
      <c r="EAQ39" s="68">
        <f t="shared" si="1339"/>
        <v>18.333333333333332</v>
      </c>
      <c r="EAR39" s="48">
        <v>331</v>
      </c>
      <c r="EAS39" s="49">
        <v>0</v>
      </c>
      <c r="EAT39" s="49">
        <v>0</v>
      </c>
      <c r="EAU39" s="49">
        <v>0</v>
      </c>
      <c r="EAV39" s="49">
        <v>110</v>
      </c>
      <c r="EAW39" s="49">
        <v>0</v>
      </c>
      <c r="EAX39" s="64">
        <f t="shared" si="1340"/>
        <v>441</v>
      </c>
      <c r="EAY39" s="68">
        <f t="shared" si="1341"/>
        <v>73.5</v>
      </c>
      <c r="EAZ39" s="48">
        <v>0</v>
      </c>
      <c r="EBA39" s="49"/>
      <c r="EBB39" s="49">
        <v>0</v>
      </c>
      <c r="EBC39" s="49">
        <v>0</v>
      </c>
      <c r="EBD39" s="49">
        <v>220</v>
      </c>
      <c r="EBE39" s="49">
        <v>0</v>
      </c>
      <c r="EBF39" s="64">
        <f t="shared" si="1342"/>
        <v>220</v>
      </c>
      <c r="EBG39" s="68">
        <f t="shared" si="1343"/>
        <v>36.666666666666664</v>
      </c>
      <c r="EBH39" s="48">
        <v>0</v>
      </c>
      <c r="EBI39" s="49">
        <v>110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44"/>
        <v>110</v>
      </c>
      <c r="EBO39" s="68">
        <f t="shared" si="1345"/>
        <v>18.333333333333332</v>
      </c>
      <c r="EBP39" s="48">
        <v>110</v>
      </c>
      <c r="EBQ39" s="49">
        <v>0</v>
      </c>
      <c r="EBR39" s="49"/>
      <c r="EBS39" s="49">
        <v>110</v>
      </c>
      <c r="EBT39" s="49"/>
      <c r="EBU39" s="49"/>
      <c r="EBV39" s="64">
        <f t="shared" si="1346"/>
        <v>220</v>
      </c>
      <c r="EBW39" s="68">
        <f t="shared" si="1347"/>
        <v>36.666666666666664</v>
      </c>
      <c r="EBX39" s="48">
        <v>0</v>
      </c>
      <c r="EBY39" s="49">
        <v>0</v>
      </c>
      <c r="EBZ39" s="49">
        <v>330</v>
      </c>
      <c r="ECA39" s="49"/>
      <c r="ECB39" s="49">
        <v>0</v>
      </c>
      <c r="ECC39" s="49">
        <v>0</v>
      </c>
      <c r="ECD39" s="64">
        <f t="shared" si="1348"/>
        <v>330</v>
      </c>
      <c r="ECE39" s="68">
        <f t="shared" si="1349"/>
        <v>55</v>
      </c>
      <c r="ECF39" s="48">
        <v>0</v>
      </c>
      <c r="ECG39" s="49">
        <v>0</v>
      </c>
      <c r="ECH39" s="49">
        <v>0</v>
      </c>
      <c r="ECI39" s="49">
        <v>0</v>
      </c>
      <c r="ECJ39" s="49">
        <v>0</v>
      </c>
      <c r="ECK39" s="49"/>
      <c r="ECL39" s="64">
        <f t="shared" si="1350"/>
        <v>0</v>
      </c>
      <c r="ECM39" s="68">
        <f t="shared" si="1351"/>
        <v>0</v>
      </c>
      <c r="ECN39" s="48">
        <v>0</v>
      </c>
      <c r="ECO39" s="49">
        <v>334</v>
      </c>
      <c r="ECP39" s="49">
        <v>0</v>
      </c>
      <c r="ECQ39" s="49"/>
      <c r="ECR39" s="49">
        <v>0</v>
      </c>
      <c r="ECS39" s="49">
        <v>0</v>
      </c>
      <c r="ECT39" s="64">
        <f t="shared" si="1352"/>
        <v>334</v>
      </c>
      <c r="ECU39" s="68">
        <f t="shared" si="1353"/>
        <v>55.666666666666664</v>
      </c>
      <c r="ECV39" s="48">
        <v>0</v>
      </c>
      <c r="ECW39" s="49">
        <v>336</v>
      </c>
      <c r="ECX39" s="49">
        <v>0</v>
      </c>
      <c r="ECY39" s="49">
        <v>0</v>
      </c>
      <c r="ECZ39" s="49"/>
      <c r="EDA39" s="49"/>
      <c r="EDB39" s="64">
        <f t="shared" si="1354"/>
        <v>336</v>
      </c>
      <c r="EDC39" s="68">
        <f t="shared" si="1355"/>
        <v>56</v>
      </c>
      <c r="EDD39" s="48"/>
      <c r="EDE39" s="49">
        <v>0</v>
      </c>
      <c r="EDF39" s="49">
        <v>0</v>
      </c>
      <c r="EDG39" s="49">
        <v>0</v>
      </c>
      <c r="EDH39" s="49"/>
      <c r="EDI39" s="49">
        <v>330</v>
      </c>
      <c r="EDJ39" s="64">
        <f t="shared" si="1356"/>
        <v>330</v>
      </c>
      <c r="EDK39" s="68">
        <f t="shared" si="1357"/>
        <v>55</v>
      </c>
      <c r="EDL39" s="48">
        <v>0</v>
      </c>
      <c r="EDM39" s="49">
        <v>0</v>
      </c>
      <c r="EDN39" s="49"/>
      <c r="EDO39" s="49">
        <v>0</v>
      </c>
      <c r="EDP39" s="49">
        <v>440</v>
      </c>
      <c r="EDQ39" s="49">
        <v>0</v>
      </c>
      <c r="EDR39" s="64">
        <f t="shared" si="1358"/>
        <v>440</v>
      </c>
      <c r="EDS39" s="68">
        <f t="shared" si="1359"/>
        <v>73.333333333333329</v>
      </c>
      <c r="EDT39" s="48">
        <v>0</v>
      </c>
      <c r="EDU39" s="49">
        <v>0</v>
      </c>
      <c r="EDV39" s="49">
        <v>0</v>
      </c>
      <c r="EDW39" s="49">
        <v>0</v>
      </c>
      <c r="EDX39" s="49">
        <v>0</v>
      </c>
      <c r="EDY39" s="49"/>
      <c r="EDZ39" s="64">
        <f t="shared" si="1360"/>
        <v>0</v>
      </c>
      <c r="EEA39" s="68">
        <f t="shared" si="1361"/>
        <v>0</v>
      </c>
      <c r="EEB39" s="48">
        <v>0</v>
      </c>
      <c r="EEC39" s="49">
        <v>0</v>
      </c>
      <c r="EED39" s="49">
        <v>110</v>
      </c>
      <c r="EEE39" s="49">
        <v>0</v>
      </c>
      <c r="EEF39" s="49">
        <v>0</v>
      </c>
      <c r="EEG39" s="49"/>
      <c r="EEH39" s="64">
        <f t="shared" si="1362"/>
        <v>110</v>
      </c>
      <c r="EEI39" s="68">
        <f t="shared" si="1363"/>
        <v>18.333333333333332</v>
      </c>
      <c r="EEJ39" s="48">
        <v>331</v>
      </c>
      <c r="EEK39" s="49">
        <v>0</v>
      </c>
      <c r="EEL39" s="49">
        <v>0</v>
      </c>
      <c r="EEM39" s="49">
        <v>0</v>
      </c>
      <c r="EEN39" s="49">
        <v>0</v>
      </c>
      <c r="EEO39" s="49">
        <v>110</v>
      </c>
      <c r="EEP39" s="64">
        <f t="shared" si="1364"/>
        <v>441</v>
      </c>
      <c r="EEQ39" s="68">
        <f t="shared" si="1365"/>
        <v>73.5</v>
      </c>
      <c r="EER39" s="48">
        <v>0</v>
      </c>
      <c r="EES39" s="49">
        <v>200</v>
      </c>
      <c r="EET39" s="49">
        <v>0</v>
      </c>
      <c r="EEU39" s="49">
        <v>330</v>
      </c>
      <c r="EEV39" s="49">
        <v>0</v>
      </c>
      <c r="EEW39" s="49"/>
      <c r="EEX39" s="64">
        <f t="shared" si="1366"/>
        <v>530</v>
      </c>
      <c r="EEY39" s="68">
        <f t="shared" si="1367"/>
        <v>88.333333333333329</v>
      </c>
      <c r="EEZ39" s="48">
        <v>0</v>
      </c>
      <c r="EFA39" s="49"/>
      <c r="EFB39" s="49">
        <v>0</v>
      </c>
      <c r="EFC39" s="49">
        <v>0</v>
      </c>
      <c r="EFD39" s="49">
        <v>0</v>
      </c>
      <c r="EFE39" s="49">
        <v>0</v>
      </c>
      <c r="EFF39" s="64">
        <f t="shared" si="1368"/>
        <v>0</v>
      </c>
      <c r="EFG39" s="68">
        <f t="shared" si="1369"/>
        <v>0</v>
      </c>
      <c r="EFH39" s="48">
        <v>0</v>
      </c>
      <c r="EFI39" s="49">
        <v>335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70"/>
        <v>335</v>
      </c>
      <c r="EFO39" s="68">
        <f t="shared" si="1371"/>
        <v>55.833333333333336</v>
      </c>
      <c r="EFP39" s="48">
        <v>0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72"/>
        <v>0</v>
      </c>
      <c r="EFW39" s="68">
        <f t="shared" si="1373"/>
        <v>0</v>
      </c>
      <c r="EFX39" s="48">
        <v>0</v>
      </c>
      <c r="EFY39" s="49">
        <v>0</v>
      </c>
      <c r="EFZ39" s="49"/>
      <c r="EGA39" s="49">
        <v>0</v>
      </c>
      <c r="EGB39" s="49">
        <v>0</v>
      </c>
      <c r="EGC39" s="49">
        <v>110</v>
      </c>
      <c r="EGD39" s="64">
        <f t="shared" si="1374"/>
        <v>110</v>
      </c>
      <c r="EGE39" s="68">
        <f t="shared" si="1375"/>
        <v>18.333333333333332</v>
      </c>
      <c r="EGF39" s="48">
        <v>0</v>
      </c>
      <c r="EGG39" s="49">
        <v>0</v>
      </c>
      <c r="EGH39" s="49"/>
      <c r="EGI39" s="49">
        <v>226</v>
      </c>
      <c r="EGJ39" s="49">
        <v>0</v>
      </c>
      <c r="EGK39" s="49">
        <v>0</v>
      </c>
      <c r="EGL39" s="64">
        <f t="shared" si="1376"/>
        <v>226</v>
      </c>
      <c r="EGM39" s="68">
        <f t="shared" si="1377"/>
        <v>37.666666666666664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0</v>
      </c>
      <c r="EGT39" s="64">
        <f t="shared" si="1378"/>
        <v>0</v>
      </c>
      <c r="EGU39" s="68">
        <f t="shared" si="1379"/>
        <v>0</v>
      </c>
      <c r="EGV39" s="48">
        <v>114</v>
      </c>
      <c r="EGW39" s="49">
        <v>0</v>
      </c>
      <c r="EGX39" s="49">
        <v>0</v>
      </c>
      <c r="EGY39" s="49">
        <v>0</v>
      </c>
      <c r="EGZ39" s="49">
        <v>226</v>
      </c>
      <c r="EHA39" s="49">
        <v>0</v>
      </c>
      <c r="EHB39" s="64">
        <f t="shared" si="1380"/>
        <v>340</v>
      </c>
      <c r="EHC39" s="68">
        <f t="shared" si="1381"/>
        <v>56.666666666666664</v>
      </c>
      <c r="EHD39" s="48">
        <v>0</v>
      </c>
      <c r="EHE39" s="49">
        <v>0</v>
      </c>
      <c r="EHF39" s="49"/>
      <c r="EHG39" s="49">
        <v>0</v>
      </c>
      <c r="EHH39" s="49">
        <v>0</v>
      </c>
      <c r="EHI39" s="49">
        <v>0</v>
      </c>
      <c r="EHJ39" s="64">
        <f t="shared" si="1382"/>
        <v>0</v>
      </c>
      <c r="EHK39" s="68">
        <f t="shared" si="1383"/>
        <v>0</v>
      </c>
      <c r="EHL39" s="48">
        <v>0</v>
      </c>
      <c r="EHM39" s="49">
        <v>341</v>
      </c>
      <c r="EHN39" s="49"/>
      <c r="EHO39" s="49">
        <v>0</v>
      </c>
      <c r="EHP39" s="49"/>
      <c r="EHQ39" s="49">
        <v>0</v>
      </c>
      <c r="EHR39" s="64">
        <f t="shared" si="1384"/>
        <v>341</v>
      </c>
      <c r="EHS39" s="68">
        <f t="shared" si="1385"/>
        <v>56.833333333333336</v>
      </c>
      <c r="EHT39" s="48">
        <v>0</v>
      </c>
      <c r="EHU39" s="49">
        <v>0</v>
      </c>
      <c r="EHV39" s="49"/>
      <c r="EHW39" s="49">
        <v>0</v>
      </c>
      <c r="EHX39" s="49">
        <v>0</v>
      </c>
      <c r="EHY39" s="49">
        <v>111</v>
      </c>
      <c r="EHZ39" s="64">
        <f t="shared" si="1386"/>
        <v>111</v>
      </c>
      <c r="EIA39" s="68">
        <f t="shared" si="1387"/>
        <v>18.5</v>
      </c>
      <c r="EIB39" s="48">
        <v>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88"/>
        <v>0</v>
      </c>
      <c r="EII39" s="68">
        <f t="shared" si="1389"/>
        <v>0</v>
      </c>
      <c r="EIJ39" s="48">
        <v>330</v>
      </c>
      <c r="EIK39" s="49">
        <v>0</v>
      </c>
      <c r="EIL39" s="49">
        <v>0</v>
      </c>
      <c r="EIM39" s="49">
        <v>0</v>
      </c>
      <c r="EIN39" s="49">
        <v>0</v>
      </c>
      <c r="EIO39" s="49">
        <v>0</v>
      </c>
      <c r="EIP39" s="64">
        <f t="shared" si="1390"/>
        <v>330</v>
      </c>
      <c r="EIQ39" s="68">
        <f t="shared" si="1391"/>
        <v>55</v>
      </c>
      <c r="EIR39" s="48">
        <v>0</v>
      </c>
      <c r="EIS39" s="49">
        <v>0</v>
      </c>
      <c r="EIT39" s="49">
        <v>0</v>
      </c>
      <c r="EIU39" s="49">
        <v>111</v>
      </c>
      <c r="EIV39" s="49">
        <v>0</v>
      </c>
      <c r="EIW39" s="49">
        <v>336</v>
      </c>
      <c r="EIX39" s="64">
        <f t="shared" si="1392"/>
        <v>447</v>
      </c>
      <c r="EIY39" s="68">
        <f t="shared" si="1393"/>
        <v>74.5</v>
      </c>
      <c r="EIZ39" s="48">
        <v>0</v>
      </c>
      <c r="EJA39" s="49">
        <v>0</v>
      </c>
      <c r="EJB39" s="49">
        <v>0</v>
      </c>
      <c r="EJC39" s="49">
        <v>0</v>
      </c>
      <c r="EJD39" s="49">
        <v>0</v>
      </c>
      <c r="EJE39" s="49">
        <v>112</v>
      </c>
      <c r="EJF39" s="64">
        <f t="shared" si="1394"/>
        <v>112</v>
      </c>
      <c r="EJG39" s="68">
        <f t="shared" si="1395"/>
        <v>18.666666666666668</v>
      </c>
      <c r="EJH39" s="48">
        <v>0</v>
      </c>
      <c r="EJI39" s="49">
        <v>0</v>
      </c>
      <c r="EJJ39" s="49"/>
      <c r="EJK39" s="49">
        <v>329</v>
      </c>
      <c r="EJL39" s="49"/>
      <c r="EJM39" s="49"/>
      <c r="EJN39" s="64">
        <f t="shared" si="1396"/>
        <v>329</v>
      </c>
      <c r="EJO39" s="68">
        <f t="shared" si="1397"/>
        <v>54.833333333333336</v>
      </c>
      <c r="EJP39" s="48">
        <v>0</v>
      </c>
      <c r="EJQ39" s="49">
        <v>0</v>
      </c>
      <c r="EJR39" s="49">
        <v>618</v>
      </c>
      <c r="EJS39" s="49">
        <v>0</v>
      </c>
      <c r="EJT39" s="49">
        <v>0</v>
      </c>
      <c r="EJU39" s="49">
        <v>0</v>
      </c>
      <c r="EJV39" s="64">
        <f t="shared" si="1398"/>
        <v>618</v>
      </c>
      <c r="EJW39" s="68">
        <f t="shared" si="1399"/>
        <v>103</v>
      </c>
      <c r="EJX39" s="48">
        <v>0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00"/>
        <v>0</v>
      </c>
      <c r="EKE39" s="68">
        <f t="shared" si="1401"/>
        <v>0</v>
      </c>
      <c r="EKF39" s="48">
        <v>0</v>
      </c>
      <c r="EKG39" s="49">
        <v>0</v>
      </c>
      <c r="EKH39" s="49">
        <v>0</v>
      </c>
      <c r="EKI39" s="49"/>
      <c r="EKJ39" s="49">
        <v>325</v>
      </c>
      <c r="EKK39" s="49">
        <v>0</v>
      </c>
      <c r="EKL39" s="64">
        <f t="shared" si="1402"/>
        <v>325</v>
      </c>
      <c r="EKM39" s="68">
        <f t="shared" si="1403"/>
        <v>54.166666666666664</v>
      </c>
      <c r="EKN39" s="48">
        <v>0</v>
      </c>
      <c r="EKO39" s="49">
        <v>0</v>
      </c>
      <c r="EKP39" s="49">
        <v>0</v>
      </c>
      <c r="EKQ39" s="49">
        <v>0</v>
      </c>
      <c r="EKR39" s="49">
        <v>0</v>
      </c>
      <c r="EKS39" s="49">
        <v>284</v>
      </c>
      <c r="EKT39" s="64">
        <f t="shared" si="1404"/>
        <v>284</v>
      </c>
      <c r="EKU39" s="184">
        <f t="shared" si="1405"/>
        <v>47.333333333333336</v>
      </c>
      <c r="EKV39" s="665"/>
      <c r="EKW39" s="195">
        <v>510</v>
      </c>
      <c r="EKX39" s="49">
        <v>0</v>
      </c>
      <c r="EKY39" s="49">
        <v>378</v>
      </c>
      <c r="EKZ39" s="49">
        <v>0</v>
      </c>
      <c r="ELA39" s="49">
        <v>0</v>
      </c>
      <c r="ELB39" s="49">
        <v>0</v>
      </c>
      <c r="ELC39" s="64">
        <f t="shared" si="1406"/>
        <v>888</v>
      </c>
      <c r="ELD39" s="211">
        <f t="shared" si="1407"/>
        <v>148</v>
      </c>
      <c r="ELE39" s="195">
        <v>223</v>
      </c>
      <c r="ELF39" s="49">
        <v>0</v>
      </c>
      <c r="ELG39" s="49">
        <v>504</v>
      </c>
      <c r="ELH39" s="49">
        <v>0</v>
      </c>
      <c r="ELI39" s="49">
        <v>0</v>
      </c>
      <c r="ELJ39" s="49">
        <v>0</v>
      </c>
      <c r="ELK39" s="64">
        <f t="shared" si="1408"/>
        <v>727</v>
      </c>
      <c r="ELL39" s="211">
        <f t="shared" si="1409"/>
        <v>121.16666666666667</v>
      </c>
      <c r="ELM39" s="195">
        <v>162</v>
      </c>
      <c r="ELN39" s="49">
        <v>0</v>
      </c>
      <c r="ELO39" s="49">
        <v>0</v>
      </c>
      <c r="ELP39" s="49">
        <v>0</v>
      </c>
      <c r="ELQ39" s="49">
        <v>0</v>
      </c>
      <c r="ELR39" s="49">
        <v>872</v>
      </c>
      <c r="ELS39" s="64">
        <f t="shared" si="1410"/>
        <v>1034</v>
      </c>
      <c r="ELT39" s="211">
        <f t="shared" si="1411"/>
        <v>172.33333333333334</v>
      </c>
      <c r="ELU39" s="195">
        <v>0</v>
      </c>
      <c r="ELV39" s="49">
        <v>0</v>
      </c>
      <c r="ELW39" s="49">
        <v>0</v>
      </c>
      <c r="ELX39" s="49">
        <v>0</v>
      </c>
      <c r="ELY39" s="49">
        <v>0</v>
      </c>
      <c r="ELZ39" s="49">
        <v>0</v>
      </c>
      <c r="EMA39" s="64">
        <f t="shared" si="1412"/>
        <v>0</v>
      </c>
      <c r="EMB39" s="211">
        <f t="shared" si="1413"/>
        <v>0</v>
      </c>
      <c r="EMC39" s="195">
        <v>120</v>
      </c>
      <c r="EMD39" s="49">
        <v>0</v>
      </c>
      <c r="EME39" s="49">
        <v>559</v>
      </c>
      <c r="EMF39" s="49">
        <v>0</v>
      </c>
      <c r="EMG39" s="49"/>
      <c r="EMH39" s="49">
        <v>0</v>
      </c>
      <c r="EMI39" s="64">
        <f t="shared" si="1414"/>
        <v>679</v>
      </c>
      <c r="EMJ39" s="211">
        <f t="shared" si="1415"/>
        <v>113.16666666666667</v>
      </c>
      <c r="EMK39" s="195">
        <v>0</v>
      </c>
      <c r="EML39" s="49">
        <v>0</v>
      </c>
      <c r="EMM39" s="49">
        <v>343</v>
      </c>
      <c r="EMN39" s="49">
        <v>0</v>
      </c>
      <c r="EMO39" s="49">
        <v>669</v>
      </c>
      <c r="EMP39" s="49">
        <v>738</v>
      </c>
      <c r="EMQ39" s="64">
        <f t="shared" si="1416"/>
        <v>1750</v>
      </c>
      <c r="EMR39" s="211">
        <f t="shared" si="1417"/>
        <v>291.66666666666669</v>
      </c>
      <c r="EMS39" s="195">
        <v>0</v>
      </c>
      <c r="EMT39" s="49">
        <v>0</v>
      </c>
      <c r="EMU39" s="49">
        <v>0</v>
      </c>
      <c r="EMV39" s="49">
        <v>0</v>
      </c>
      <c r="EMW39" s="49">
        <v>410</v>
      </c>
      <c r="EMX39" s="49">
        <v>0</v>
      </c>
      <c r="EMY39" s="64">
        <f t="shared" si="1418"/>
        <v>410</v>
      </c>
      <c r="EMZ39" s="211">
        <f t="shared" si="1419"/>
        <v>68.333333333333329</v>
      </c>
      <c r="ENA39" s="195">
        <v>625</v>
      </c>
      <c r="ENB39" s="49">
        <v>0</v>
      </c>
      <c r="ENC39" s="49">
        <v>330</v>
      </c>
      <c r="END39" s="49">
        <v>0</v>
      </c>
      <c r="ENE39" s="49">
        <v>0</v>
      </c>
      <c r="ENF39" s="49">
        <v>0</v>
      </c>
      <c r="ENG39" s="64">
        <f t="shared" si="1420"/>
        <v>955</v>
      </c>
      <c r="ENH39" s="211">
        <f t="shared" si="1421"/>
        <v>159.16666666666666</v>
      </c>
      <c r="ENI39" s="195">
        <v>13</v>
      </c>
      <c r="ENJ39" s="49"/>
      <c r="ENK39" s="49">
        <v>510</v>
      </c>
      <c r="ENL39" s="49">
        <v>0</v>
      </c>
      <c r="ENM39" s="49">
        <v>0</v>
      </c>
      <c r="ENN39" s="49">
        <v>0</v>
      </c>
      <c r="ENO39" s="64">
        <f t="shared" si="1422"/>
        <v>523</v>
      </c>
      <c r="ENP39" s="211">
        <f t="shared" si="1423"/>
        <v>87.166666666666671</v>
      </c>
      <c r="ENQ39" s="195">
        <v>345</v>
      </c>
      <c r="ENR39" s="49"/>
      <c r="ENS39" s="49">
        <v>0</v>
      </c>
      <c r="ENT39" s="49">
        <v>0</v>
      </c>
      <c r="ENU39" s="49">
        <v>0</v>
      </c>
      <c r="ENV39" s="49">
        <v>225</v>
      </c>
      <c r="ENW39" s="64">
        <f t="shared" si="1424"/>
        <v>570</v>
      </c>
      <c r="ENX39" s="211">
        <f t="shared" si="1425"/>
        <v>95</v>
      </c>
      <c r="ENY39" s="195">
        <v>0</v>
      </c>
      <c r="ENZ39" s="49"/>
      <c r="EOA39" s="49">
        <v>0</v>
      </c>
      <c r="EOB39" s="49">
        <v>0</v>
      </c>
      <c r="EOC39" s="49">
        <v>368</v>
      </c>
      <c r="EOD39" s="49">
        <v>0</v>
      </c>
      <c r="EOE39" s="64">
        <f t="shared" si="1426"/>
        <v>368</v>
      </c>
      <c r="EOF39" s="211">
        <f t="shared" si="1427"/>
        <v>61.333333333333336</v>
      </c>
      <c r="EOG39" s="1"/>
      <c r="EOH39" s="195"/>
      <c r="EOI39" s="49">
        <v>0</v>
      </c>
      <c r="EOJ39" s="49">
        <v>0</v>
      </c>
      <c r="EOK39" s="49">
        <v>0</v>
      </c>
      <c r="EOL39" s="49">
        <v>0</v>
      </c>
      <c r="EOM39" s="49">
        <v>336</v>
      </c>
      <c r="EON39" s="184">
        <f t="shared" si="1428"/>
        <v>336</v>
      </c>
      <c r="EOO39" s="244">
        <v>0</v>
      </c>
      <c r="EOP39" s="49">
        <v>0</v>
      </c>
      <c r="EOQ39" s="49">
        <v>0</v>
      </c>
      <c r="EOR39" s="49">
        <v>0</v>
      </c>
      <c r="EOS39" s="49">
        <v>0</v>
      </c>
      <c r="EOT39" s="49">
        <v>0</v>
      </c>
      <c r="EOU39" s="64">
        <f t="shared" si="1429"/>
        <v>0</v>
      </c>
      <c r="EOV39" s="211">
        <f t="shared" si="1430"/>
        <v>0</v>
      </c>
      <c r="EOW39" s="195">
        <v>338</v>
      </c>
      <c r="EOX39" s="49">
        <v>0</v>
      </c>
      <c r="EOY39" s="49">
        <v>0</v>
      </c>
      <c r="EOZ39" s="49"/>
      <c r="EPA39" s="49">
        <v>0</v>
      </c>
      <c r="EPB39" s="49">
        <v>0</v>
      </c>
      <c r="EPC39" s="64">
        <f t="shared" si="1431"/>
        <v>338</v>
      </c>
      <c r="EPD39" s="211">
        <f t="shared" si="1432"/>
        <v>56.333333333333336</v>
      </c>
      <c r="EPE39" s="195">
        <v>333</v>
      </c>
      <c r="EPF39" s="49">
        <v>0</v>
      </c>
      <c r="EPG39" s="49">
        <v>0</v>
      </c>
      <c r="EPH39" s="49">
        <v>0</v>
      </c>
      <c r="EPI39" s="49">
        <v>0</v>
      </c>
      <c r="EPJ39" s="49">
        <v>0</v>
      </c>
      <c r="EPK39" s="64">
        <f t="shared" si="1433"/>
        <v>333</v>
      </c>
      <c r="EPL39" s="211">
        <f t="shared" si="1434"/>
        <v>55.5</v>
      </c>
      <c r="EPM39" s="195">
        <v>0</v>
      </c>
      <c r="EPN39" s="49">
        <v>0</v>
      </c>
      <c r="EPO39" s="49">
        <v>0</v>
      </c>
      <c r="EPP39" s="49">
        <v>227</v>
      </c>
      <c r="EPQ39" s="49">
        <v>0</v>
      </c>
      <c r="EPR39" s="49">
        <v>0</v>
      </c>
      <c r="EPS39" s="64">
        <f t="shared" si="1435"/>
        <v>227</v>
      </c>
      <c r="EPT39" s="211">
        <f t="shared" si="1436"/>
        <v>37.833333333333336</v>
      </c>
      <c r="EPU39" s="195">
        <v>0</v>
      </c>
      <c r="EPV39" s="49">
        <v>0</v>
      </c>
      <c r="EPW39" s="49">
        <v>0</v>
      </c>
      <c r="EPX39" s="49">
        <v>222</v>
      </c>
      <c r="EPY39" s="49">
        <f>SUMIF(SUMPK!$B:$B,$B:$B,SUMPK!$O:$O)</f>
        <v>0</v>
      </c>
      <c r="EPZ39" s="49">
        <v>0</v>
      </c>
      <c r="EQA39" s="64">
        <f t="shared" si="1437"/>
        <v>222</v>
      </c>
      <c r="EQB39" s="211">
        <f t="shared" si="1438"/>
        <v>37</v>
      </c>
      <c r="EQC39" s="195">
        <v>0</v>
      </c>
      <c r="EQD39" s="49">
        <v>0</v>
      </c>
      <c r="EQE39" s="49">
        <v>296</v>
      </c>
      <c r="EQF39" s="49">
        <v>0</v>
      </c>
      <c r="EQG39" s="49">
        <v>0</v>
      </c>
      <c r="EQH39" s="49"/>
      <c r="EQI39" s="64">
        <f t="shared" si="1439"/>
        <v>296</v>
      </c>
      <c r="EQJ39" s="211">
        <f t="shared" si="1440"/>
        <v>49.333333333333336</v>
      </c>
      <c r="EQK39" s="195">
        <v>0</v>
      </c>
      <c r="EQL39" s="49">
        <v>0</v>
      </c>
      <c r="EQM39" s="49">
        <v>113</v>
      </c>
      <c r="EQN39" s="49"/>
      <c r="EQO39" s="49">
        <v>0</v>
      </c>
      <c r="EQP39" s="49">
        <v>0</v>
      </c>
      <c r="EQQ39" s="64">
        <f t="shared" si="1441"/>
        <v>113</v>
      </c>
      <c r="EQR39" s="211">
        <f t="shared" si="1442"/>
        <v>18.833333333333332</v>
      </c>
      <c r="EQS39" s="195">
        <v>225</v>
      </c>
      <c r="EQT39" s="49">
        <v>0</v>
      </c>
      <c r="EQU39" s="49">
        <v>0</v>
      </c>
      <c r="EQV39" s="49">
        <v>0</v>
      </c>
      <c r="EQW39" s="49"/>
      <c r="EQX39" s="49">
        <v>219</v>
      </c>
      <c r="EQY39" s="64">
        <f t="shared" si="1443"/>
        <v>444</v>
      </c>
      <c r="EQZ39" s="211">
        <f t="shared" si="1444"/>
        <v>74</v>
      </c>
      <c r="ERA39" s="195">
        <v>0</v>
      </c>
      <c r="ERB39" s="49">
        <v>0</v>
      </c>
      <c r="ERC39" s="49">
        <v>1628</v>
      </c>
      <c r="ERD39" s="49">
        <v>1119</v>
      </c>
      <c r="ERE39" s="49">
        <v>0</v>
      </c>
      <c r="ERF39" s="49"/>
      <c r="ERG39" s="64">
        <f t="shared" si="1445"/>
        <v>2747</v>
      </c>
      <c r="ERH39" s="211">
        <f t="shared" si="1446"/>
        <v>457.83333333333331</v>
      </c>
      <c r="ERI39" s="195"/>
      <c r="ERJ39" s="49">
        <v>0</v>
      </c>
      <c r="ERK39" s="49">
        <v>0</v>
      </c>
      <c r="ERL39" s="49">
        <v>0</v>
      </c>
      <c r="ERM39" s="49">
        <v>226</v>
      </c>
      <c r="ERN39" s="49">
        <v>0</v>
      </c>
      <c r="ERO39" s="64">
        <f t="shared" si="1447"/>
        <v>226</v>
      </c>
      <c r="ERP39" s="211">
        <f t="shared" si="1448"/>
        <v>37.666666666666664</v>
      </c>
      <c r="ERQ39" s="195"/>
      <c r="ERR39" s="49">
        <v>0</v>
      </c>
      <c r="ERS39" s="49"/>
      <c r="ERT39" s="49">
        <v>0</v>
      </c>
      <c r="ERU39" s="49">
        <v>0</v>
      </c>
      <c r="ERV39" s="49">
        <v>223</v>
      </c>
      <c r="ERW39" s="64">
        <f t="shared" si="1449"/>
        <v>223</v>
      </c>
      <c r="ERX39" s="211">
        <f t="shared" si="1450"/>
        <v>37.166666666666664</v>
      </c>
      <c r="ERY39" s="195">
        <v>0</v>
      </c>
      <c r="ERZ39" s="49">
        <v>0</v>
      </c>
      <c r="ESA39" s="49">
        <v>339</v>
      </c>
      <c r="ESB39" s="49">
        <v>0</v>
      </c>
      <c r="ESC39" s="49">
        <v>0</v>
      </c>
      <c r="ESD39" s="49">
        <v>0</v>
      </c>
      <c r="ESE39" s="64">
        <f t="shared" si="1451"/>
        <v>339</v>
      </c>
      <c r="ESF39" s="211">
        <f t="shared" si="1452"/>
        <v>56.5</v>
      </c>
      <c r="ESG39" s="195">
        <v>0</v>
      </c>
      <c r="ESH39" s="49">
        <v>336</v>
      </c>
      <c r="ESI39" s="49">
        <v>0</v>
      </c>
      <c r="ESJ39" s="49">
        <v>0</v>
      </c>
      <c r="ESK39" s="49"/>
      <c r="ESL39" s="49">
        <v>0</v>
      </c>
      <c r="ESM39" s="64">
        <f t="shared" si="1453"/>
        <v>336</v>
      </c>
      <c r="ESN39" s="211">
        <f t="shared" si="1454"/>
        <v>56</v>
      </c>
      <c r="ESO39" s="458">
        <v>234</v>
      </c>
      <c r="ESP39" s="83">
        <v>0</v>
      </c>
      <c r="ESQ39" s="83">
        <v>0</v>
      </c>
      <c r="ESR39" s="83">
        <v>0</v>
      </c>
      <c r="ESS39" s="83">
        <v>0</v>
      </c>
      <c r="EST39" s="83"/>
      <c r="ESU39" s="64">
        <f t="shared" si="1455"/>
        <v>234</v>
      </c>
      <c r="ESV39" s="211">
        <f t="shared" si="1456"/>
        <v>39</v>
      </c>
      <c r="ESW39" s="195"/>
      <c r="ESX39" s="49">
        <v>333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57"/>
        <v>333</v>
      </c>
      <c r="ETD39" s="211">
        <f t="shared" si="1458"/>
        <v>55.5</v>
      </c>
      <c r="ETE39" s="195">
        <v>0</v>
      </c>
      <c r="ETF39" s="49">
        <v>229</v>
      </c>
      <c r="ETG39" s="49">
        <v>0</v>
      </c>
      <c r="ETH39" s="49">
        <v>0</v>
      </c>
      <c r="ETI39" s="49">
        <v>0</v>
      </c>
      <c r="ETJ39" s="49">
        <v>339</v>
      </c>
      <c r="ETK39" s="808">
        <f t="shared" si="1459"/>
        <v>568</v>
      </c>
      <c r="ETL39" s="211">
        <f t="shared" si="1460"/>
        <v>94.666666666666671</v>
      </c>
      <c r="ETM39" s="814">
        <v>0</v>
      </c>
      <c r="ETN39" s="815">
        <v>0</v>
      </c>
      <c r="ETO39" s="815">
        <v>0</v>
      </c>
      <c r="ETP39" s="815">
        <v>339</v>
      </c>
      <c r="ETQ39" s="815">
        <v>0</v>
      </c>
      <c r="ETR39" s="815">
        <v>0</v>
      </c>
      <c r="ETS39" s="808">
        <f t="shared" si="1461"/>
        <v>339</v>
      </c>
      <c r="ETT39" s="211">
        <f t="shared" si="1462"/>
        <v>56.5</v>
      </c>
      <c r="ETU39" s="458">
        <v>0</v>
      </c>
      <c r="ETV39" s="83">
        <v>109</v>
      </c>
      <c r="ETW39" s="83">
        <v>0</v>
      </c>
      <c r="ETX39" s="83">
        <v>0</v>
      </c>
      <c r="ETY39" s="83">
        <v>330</v>
      </c>
      <c r="ETZ39" s="83">
        <v>0</v>
      </c>
      <c r="EUA39" s="808">
        <f t="shared" si="1463"/>
        <v>439</v>
      </c>
      <c r="EUB39" s="211">
        <f t="shared" si="1464"/>
        <v>73.166666666666671</v>
      </c>
      <c r="EUC39" s="458"/>
      <c r="EUD39" s="83">
        <v>0</v>
      </c>
      <c r="EUE39" s="83"/>
      <c r="EUF39" s="83">
        <v>327</v>
      </c>
      <c r="EUG39" s="83">
        <v>0</v>
      </c>
      <c r="EUH39" s="83">
        <v>330</v>
      </c>
      <c r="EUI39" s="808">
        <f t="shared" si="1465"/>
        <v>657</v>
      </c>
      <c r="EUJ39" s="211">
        <f t="shared" si="1466"/>
        <v>109.5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67"/>
        <v>0</v>
      </c>
      <c r="EUR39" s="211">
        <f t="shared" si="1468"/>
        <v>0</v>
      </c>
      <c r="EUS39" s="195">
        <v>332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69"/>
        <v>332</v>
      </c>
      <c r="EUZ39" s="211">
        <f t="shared" si="1470"/>
        <v>55.333333333333336</v>
      </c>
      <c r="EVA39" s="195">
        <v>0</v>
      </c>
      <c r="EVB39" s="49">
        <v>0</v>
      </c>
      <c r="EVC39" s="49">
        <v>0</v>
      </c>
      <c r="EVD39" s="49"/>
      <c r="EVE39" s="49">
        <v>217</v>
      </c>
      <c r="EVF39" s="49"/>
      <c r="EVG39" s="808">
        <f t="shared" si="1471"/>
        <v>217</v>
      </c>
      <c r="EVH39" s="211">
        <f t="shared" si="1472"/>
        <v>36.166666666666664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73"/>
        <v>0</v>
      </c>
      <c r="EVP39" s="211">
        <f t="shared" si="1474"/>
        <v>0</v>
      </c>
      <c r="EVQ39" s="195">
        <v>224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75"/>
        <v>224</v>
      </c>
      <c r="EVX39" s="211">
        <f t="shared" si="1476"/>
        <v>37.333333333333336</v>
      </c>
      <c r="EVY39" s="195">
        <v>0</v>
      </c>
      <c r="EVZ39" s="49">
        <v>0</v>
      </c>
      <c r="EWA39" s="49">
        <v>0</v>
      </c>
      <c r="EWB39" s="49">
        <v>550</v>
      </c>
      <c r="EWC39" s="49">
        <v>0</v>
      </c>
      <c r="EWD39" s="49"/>
      <c r="EWE39" s="808">
        <f t="shared" si="1477"/>
        <v>550</v>
      </c>
      <c r="EWF39" s="211">
        <f t="shared" si="1478"/>
        <v>91.666666666666671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79"/>
        <v>0</v>
      </c>
      <c r="EWN39" s="211">
        <f t="shared" si="1480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81"/>
        <v>0</v>
      </c>
      <c r="EWV39" s="211">
        <f t="shared" si="1482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83"/>
        <v>0</v>
      </c>
      <c r="EXD39" s="211">
        <f t="shared" si="1484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85"/>
        <v>0</v>
      </c>
      <c r="EXL39" s="211">
        <f t="shared" si="1486"/>
        <v>0</v>
      </c>
      <c r="EXM39" s="458">
        <v>0</v>
      </c>
      <c r="EXN39" s="83">
        <v>962</v>
      </c>
      <c r="EXO39" s="83">
        <v>0</v>
      </c>
      <c r="EXP39" s="83">
        <v>0</v>
      </c>
      <c r="EXQ39" s="83"/>
      <c r="EXR39" s="83">
        <v>0</v>
      </c>
      <c r="EXS39" s="808">
        <f t="shared" si="1487"/>
        <v>962</v>
      </c>
      <c r="EXT39" s="211">
        <f t="shared" si="1488"/>
        <v>160.33333333333334</v>
      </c>
      <c r="EXU39" s="195">
        <v>0</v>
      </c>
      <c r="EXV39" s="49">
        <v>0</v>
      </c>
      <c r="EXW39" s="49">
        <v>0</v>
      </c>
      <c r="EXX39" s="49">
        <v>0</v>
      </c>
      <c r="EXY39" s="49">
        <v>222</v>
      </c>
      <c r="EXZ39" s="49">
        <v>0</v>
      </c>
      <c r="EYA39" s="808">
        <f t="shared" si="1489"/>
        <v>222</v>
      </c>
      <c r="EYB39" s="211">
        <f t="shared" si="1490"/>
        <v>37</v>
      </c>
      <c r="EYC39" s="195">
        <v>808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491"/>
        <v>808</v>
      </c>
      <c r="EYJ39" s="211">
        <f t="shared" si="1492"/>
        <v>134.66666666666666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493"/>
        <v>0</v>
      </c>
      <c r="EYR39" s="211">
        <f t="shared" si="1494"/>
        <v>0</v>
      </c>
      <c r="EYS39" s="195">
        <v>648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495"/>
        <v>648</v>
      </c>
      <c r="EYZ39" s="873">
        <f t="shared" si="1496"/>
        <v>108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497"/>
        <v>0</v>
      </c>
      <c r="EZH39" s="873">
        <f t="shared" si="1498"/>
        <v>0</v>
      </c>
      <c r="EZI39" s="195">
        <v>0</v>
      </c>
      <c r="EZJ39" s="49">
        <v>0</v>
      </c>
      <c r="EZK39" s="49"/>
      <c r="EZL39" s="49"/>
      <c r="EZM39" s="49"/>
      <c r="EZN39" s="49"/>
      <c r="EZO39" s="872">
        <f t="shared" si="1499"/>
        <v>0</v>
      </c>
      <c r="EZP39" s="873">
        <f t="shared" si="1500"/>
        <v>0</v>
      </c>
    </row>
    <row r="40" spans="1:4072" s="8" customFormat="1" ht="13.5" thickBot="1" x14ac:dyDescent="0.25">
      <c r="A40" s="21">
        <v>11</v>
      </c>
      <c r="B40" s="297" t="s">
        <v>37</v>
      </c>
      <c r="C40" s="725" t="s">
        <v>38</v>
      </c>
      <c r="D40" s="297">
        <v>25</v>
      </c>
      <c r="E40" s="24"/>
      <c r="F40" s="24">
        <v>1212</v>
      </c>
      <c r="G40" s="24"/>
      <c r="H40" s="24"/>
      <c r="I40" s="24"/>
      <c r="J40" s="360">
        <f>SUMIF(SUMPK!$B:$B,$B:$B,SUMPK!$O:$O)</f>
        <v>0</v>
      </c>
      <c r="K40" s="24">
        <f t="shared" si="1220"/>
        <v>0</v>
      </c>
      <c r="L40" s="24">
        <f t="shared" si="1505"/>
        <v>1212</v>
      </c>
      <c r="M40" s="15">
        <f t="shared" si="1627"/>
        <v>1212</v>
      </c>
      <c r="N40" s="15">
        <v>0</v>
      </c>
      <c r="O40" s="276">
        <f t="shared" si="1223"/>
        <v>0</v>
      </c>
      <c r="P40" s="712">
        <v>103.33333333333333</v>
      </c>
      <c r="Q40" s="276"/>
      <c r="R40" s="277">
        <f t="shared" si="1507"/>
        <v>30.76923076923077</v>
      </c>
      <c r="S40" s="222">
        <v>800</v>
      </c>
      <c r="T40" s="276">
        <f t="shared" si="1628"/>
        <v>39.39</v>
      </c>
      <c r="U40" s="278"/>
      <c r="V40" s="276">
        <f t="shared" si="1227"/>
        <v>39.39</v>
      </c>
      <c r="W40" s="279">
        <f t="shared" si="1228"/>
        <v>1</v>
      </c>
      <c r="X40" s="278"/>
      <c r="Y40" s="7"/>
      <c r="Z40" s="7"/>
      <c r="AA40" s="7"/>
      <c r="AB40" s="7"/>
      <c r="AC40" s="662">
        <v>17</v>
      </c>
      <c r="AD40" s="649"/>
      <c r="AE40" s="49"/>
      <c r="AF40" s="49"/>
      <c r="AG40" s="49"/>
      <c r="AH40" s="49"/>
      <c r="AI40" s="49"/>
      <c r="AJ40" s="42"/>
      <c r="AK40" s="43"/>
      <c r="AL40" s="48"/>
      <c r="AM40" s="49"/>
      <c r="AN40" s="49"/>
      <c r="AO40" s="49"/>
      <c r="AP40" s="49"/>
      <c r="AQ40" s="49"/>
      <c r="AR40" s="42"/>
      <c r="AS40" s="43"/>
      <c r="AT40" s="48"/>
      <c r="AU40" s="49"/>
      <c r="AV40" s="49"/>
      <c r="AW40" s="49"/>
      <c r="AX40" s="49"/>
      <c r="AY40" s="49"/>
      <c r="AZ40" s="42"/>
      <c r="BA40" s="43"/>
      <c r="BB40" s="48"/>
      <c r="BC40" s="49"/>
      <c r="BD40" s="49"/>
      <c r="BE40" s="49"/>
      <c r="BF40" s="49"/>
      <c r="BG40" s="49"/>
      <c r="BH40" s="42"/>
      <c r="BI40" s="43"/>
      <c r="BJ40" s="48"/>
      <c r="BK40" s="49"/>
      <c r="BL40" s="49"/>
      <c r="BM40" s="49"/>
      <c r="BN40" s="49"/>
      <c r="BO40" s="49"/>
      <c r="BP40" s="42"/>
      <c r="BQ40" s="43"/>
      <c r="BR40" s="48"/>
      <c r="BS40" s="49"/>
      <c r="BT40" s="49"/>
      <c r="BU40" s="49"/>
      <c r="BV40" s="49"/>
      <c r="BW40" s="49"/>
      <c r="BX40" s="42"/>
      <c r="BY40" s="43"/>
      <c r="BZ40" s="48"/>
      <c r="CA40" s="49"/>
      <c r="CB40" s="49"/>
      <c r="CC40" s="49"/>
      <c r="CD40" s="49"/>
      <c r="CE40" s="49"/>
      <c r="CF40" s="42"/>
      <c r="CG40" s="43"/>
      <c r="CH40" s="48"/>
      <c r="CI40" s="49"/>
      <c r="CJ40" s="49"/>
      <c r="CK40" s="49"/>
      <c r="CL40" s="49"/>
      <c r="CM40" s="49"/>
      <c r="CN40" s="42"/>
      <c r="CO40" s="43"/>
      <c r="CP40" s="48"/>
      <c r="CQ40" s="49"/>
      <c r="CR40" s="49"/>
      <c r="CS40" s="49"/>
      <c r="CT40" s="49"/>
      <c r="CU40" s="49"/>
      <c r="CV40" s="42"/>
      <c r="CW40" s="43"/>
      <c r="CX40" s="48"/>
      <c r="CY40" s="49"/>
      <c r="CZ40" s="49"/>
      <c r="DA40" s="49"/>
      <c r="DB40" s="49"/>
      <c r="DC40" s="49"/>
      <c r="DD40" s="42"/>
      <c r="DE40" s="43"/>
      <c r="DF40" s="48"/>
      <c r="DG40" s="49"/>
      <c r="DH40" s="49"/>
      <c r="DI40" s="49"/>
      <c r="DJ40" s="49"/>
      <c r="DK40" s="49"/>
      <c r="DL40" s="42"/>
      <c r="DM40" s="43"/>
      <c r="DN40" s="48"/>
      <c r="DO40" s="49"/>
      <c r="DP40" s="49"/>
      <c r="DQ40" s="49"/>
      <c r="DR40" s="49"/>
      <c r="DS40" s="49"/>
      <c r="DT40" s="42"/>
      <c r="DU40" s="43"/>
      <c r="DV40" s="48"/>
      <c r="DW40" s="49"/>
      <c r="DX40" s="49"/>
      <c r="DY40" s="49"/>
      <c r="DZ40" s="49"/>
      <c r="EA40" s="49"/>
      <c r="EB40" s="42"/>
      <c r="EC40" s="43"/>
      <c r="ED40" s="48"/>
      <c r="EE40" s="49"/>
      <c r="EF40" s="49"/>
      <c r="EG40" s="49"/>
      <c r="EH40" s="49"/>
      <c r="EI40" s="49"/>
      <c r="EJ40" s="42"/>
      <c r="EK40" s="43"/>
      <c r="EL40" s="48"/>
      <c r="EM40" s="49"/>
      <c r="EN40" s="49"/>
      <c r="EO40" s="49"/>
      <c r="EP40" s="49"/>
      <c r="EQ40" s="49"/>
      <c r="ER40" s="42"/>
      <c r="ES40" s="43"/>
      <c r="ET40" s="48"/>
      <c r="EU40" s="49"/>
      <c r="EV40" s="49"/>
      <c r="EW40" s="49"/>
      <c r="EX40" s="49"/>
      <c r="EY40" s="49"/>
      <c r="EZ40" s="42"/>
      <c r="FA40" s="43"/>
      <c r="FB40" s="48"/>
      <c r="FC40" s="49"/>
      <c r="FD40" s="49"/>
      <c r="FE40" s="49"/>
      <c r="FF40" s="49"/>
      <c r="FG40" s="49"/>
      <c r="FH40" s="42"/>
      <c r="FI40" s="43"/>
      <c r="FJ40" s="48"/>
      <c r="FK40" s="49"/>
      <c r="FL40" s="49"/>
      <c r="FM40" s="49"/>
      <c r="FN40" s="49"/>
      <c r="FO40" s="49"/>
      <c r="FP40" s="42"/>
      <c r="FQ40" s="43"/>
      <c r="FR40" s="48"/>
      <c r="FS40" s="49"/>
      <c r="FT40" s="49"/>
      <c r="FU40" s="49"/>
      <c r="FV40" s="49"/>
      <c r="FW40" s="49"/>
      <c r="FX40" s="42"/>
      <c r="FY40" s="43"/>
      <c r="FZ40" s="48"/>
      <c r="GA40" s="49"/>
      <c r="GB40" s="49"/>
      <c r="GC40" s="49"/>
      <c r="GD40" s="49"/>
      <c r="GE40" s="49"/>
      <c r="GF40" s="42"/>
      <c r="GG40" s="43"/>
      <c r="GH40" s="48"/>
      <c r="GI40" s="49"/>
      <c r="GJ40" s="49"/>
      <c r="GK40" s="49"/>
      <c r="GL40" s="49"/>
      <c r="GM40" s="49"/>
      <c r="GN40" s="42"/>
      <c r="GO40" s="43"/>
      <c r="GP40" s="48"/>
      <c r="GQ40" s="49"/>
      <c r="GR40" s="49"/>
      <c r="GS40" s="49"/>
      <c r="GT40" s="49"/>
      <c r="GU40" s="49"/>
      <c r="GV40" s="42"/>
      <c r="GW40" s="43"/>
      <c r="GX40" s="48"/>
      <c r="GY40" s="49"/>
      <c r="GZ40" s="49"/>
      <c r="HA40" s="49"/>
      <c r="HB40" s="49"/>
      <c r="HC40" s="49"/>
      <c r="HD40" s="42"/>
      <c r="HE40" s="43"/>
      <c r="HF40" s="48"/>
      <c r="HG40" s="49"/>
      <c r="HH40" s="49"/>
      <c r="HI40" s="49"/>
      <c r="HJ40" s="49"/>
      <c r="HK40" s="49"/>
      <c r="HL40" s="42"/>
      <c r="HM40" s="43"/>
      <c r="HN40" s="82"/>
      <c r="HO40" s="83"/>
      <c r="HP40" s="83"/>
      <c r="HQ40" s="83"/>
      <c r="HR40" s="83"/>
      <c r="HS40" s="83"/>
      <c r="HT40" s="42"/>
      <c r="HU40" s="43"/>
      <c r="HV40" s="48"/>
      <c r="HW40" s="49"/>
      <c r="HX40" s="49"/>
      <c r="HY40" s="49"/>
      <c r="HZ40" s="49"/>
      <c r="IA40" s="49"/>
      <c r="IB40" s="42"/>
      <c r="IC40" s="43"/>
      <c r="ID40" s="48"/>
      <c r="IE40" s="49"/>
      <c r="IF40" s="49"/>
      <c r="IG40" s="49"/>
      <c r="IH40" s="49"/>
      <c r="II40" s="49"/>
      <c r="IJ40" s="42"/>
      <c r="IK40" s="43"/>
      <c r="IL40" s="48"/>
      <c r="IM40" s="49"/>
      <c r="IN40" s="49"/>
      <c r="IO40" s="49"/>
      <c r="IP40" s="49"/>
      <c r="IQ40" s="49"/>
      <c r="IR40" s="67"/>
      <c r="IS40" s="68"/>
      <c r="IT40" s="48"/>
      <c r="IU40" s="49"/>
      <c r="IV40" s="49"/>
      <c r="IW40" s="49"/>
      <c r="IX40" s="49"/>
      <c r="IY40" s="49"/>
      <c r="IZ40" s="67"/>
      <c r="JA40" s="68"/>
      <c r="JB40" s="48"/>
      <c r="JC40" s="49"/>
      <c r="JD40" s="49"/>
      <c r="JE40" s="49"/>
      <c r="JF40" s="49"/>
      <c r="JG40" s="49"/>
      <c r="JH40" s="67"/>
      <c r="JI40" s="68"/>
      <c r="JJ40" s="48"/>
      <c r="JK40" s="49"/>
      <c r="JL40" s="49"/>
      <c r="JM40" s="49"/>
      <c r="JN40" s="49"/>
      <c r="JO40" s="49"/>
      <c r="JP40" s="42"/>
      <c r="JQ40" s="43"/>
      <c r="JR40" s="48"/>
      <c r="JS40" s="49"/>
      <c r="JT40" s="49"/>
      <c r="JU40" s="49"/>
      <c r="JV40" s="49"/>
      <c r="JW40" s="49"/>
      <c r="JX40" s="42"/>
      <c r="JY40" s="43"/>
      <c r="JZ40" s="48"/>
      <c r="KA40" s="49"/>
      <c r="KB40" s="49"/>
      <c r="KC40" s="49"/>
      <c r="KD40" s="49"/>
      <c r="KE40" s="49"/>
      <c r="KF40" s="42"/>
      <c r="KG40" s="43"/>
      <c r="KH40" s="48"/>
      <c r="KI40" s="49"/>
      <c r="KJ40" s="49"/>
      <c r="KK40" s="49"/>
      <c r="KL40" s="49"/>
      <c r="KM40" s="49"/>
      <c r="KN40" s="67"/>
      <c r="KO40" s="68"/>
      <c r="KP40" s="48"/>
      <c r="KQ40" s="49"/>
      <c r="KR40" s="49"/>
      <c r="KS40" s="49"/>
      <c r="KT40" s="49"/>
      <c r="KU40" s="49"/>
      <c r="KV40" s="67"/>
      <c r="KW40" s="68"/>
      <c r="KX40" s="48"/>
      <c r="KY40" s="49"/>
      <c r="KZ40" s="49"/>
      <c r="LA40" s="49"/>
      <c r="LB40" s="49"/>
      <c r="LC40" s="49"/>
      <c r="LD40" s="67"/>
      <c r="LE40" s="68"/>
      <c r="LF40" s="48"/>
      <c r="LG40" s="49"/>
      <c r="LH40" s="49"/>
      <c r="LI40" s="49"/>
      <c r="LJ40" s="49"/>
      <c r="LK40" s="49"/>
      <c r="LL40" s="67"/>
      <c r="LM40" s="68"/>
      <c r="LN40" s="48"/>
      <c r="LO40" s="49"/>
      <c r="LP40" s="49"/>
      <c r="LQ40" s="49"/>
      <c r="LR40" s="49"/>
      <c r="LS40" s="49"/>
      <c r="LT40" s="67"/>
      <c r="LU40" s="68"/>
      <c r="LV40" s="48"/>
      <c r="LW40" s="49"/>
      <c r="LX40" s="49"/>
      <c r="LY40" s="49"/>
      <c r="LZ40" s="49"/>
      <c r="MA40" s="49"/>
      <c r="MB40" s="67"/>
      <c r="MC40" s="68"/>
      <c r="MD40" s="48"/>
      <c r="ME40" s="49"/>
      <c r="MF40" s="49"/>
      <c r="MG40" s="49"/>
      <c r="MH40" s="49"/>
      <c r="MI40" s="49"/>
      <c r="MJ40" s="67"/>
      <c r="MK40" s="68"/>
      <c r="ML40" s="48"/>
      <c r="MM40" s="49"/>
      <c r="MN40" s="49"/>
      <c r="MO40" s="49"/>
      <c r="MP40" s="49"/>
      <c r="MQ40" s="49"/>
      <c r="MR40" s="67"/>
      <c r="MS40" s="68"/>
      <c r="MT40" s="48"/>
      <c r="MU40" s="49"/>
      <c r="MV40" s="49"/>
      <c r="MW40" s="49"/>
      <c r="MX40" s="49"/>
      <c r="MY40" s="49"/>
      <c r="MZ40" s="67"/>
      <c r="NA40" s="68"/>
      <c r="NB40" s="48"/>
      <c r="NC40" s="49"/>
      <c r="ND40" s="49"/>
      <c r="NE40" s="49"/>
      <c r="NF40" s="49"/>
      <c r="NG40" s="49"/>
      <c r="NH40" s="67"/>
      <c r="NI40" s="68"/>
      <c r="NJ40" s="48"/>
      <c r="NK40" s="49"/>
      <c r="NL40" s="49"/>
      <c r="NM40" s="49"/>
      <c r="NN40" s="49"/>
      <c r="NO40" s="49"/>
      <c r="NP40" s="67"/>
      <c r="NQ40" s="68"/>
      <c r="NR40" s="48"/>
      <c r="NS40" s="49"/>
      <c r="NT40" s="49"/>
      <c r="NU40" s="49"/>
      <c r="NV40" s="49"/>
      <c r="NW40" s="49"/>
      <c r="NX40" s="67"/>
      <c r="NY40" s="68"/>
      <c r="NZ40" s="48"/>
      <c r="OA40" s="49"/>
      <c r="OB40" s="49"/>
      <c r="OC40" s="49"/>
      <c r="OD40" s="49"/>
      <c r="OE40" s="49"/>
      <c r="OF40" s="67"/>
      <c r="OG40" s="68"/>
      <c r="OH40" s="48"/>
      <c r="OI40" s="49"/>
      <c r="OJ40" s="49"/>
      <c r="OK40" s="49"/>
      <c r="OL40" s="49"/>
      <c r="OM40" s="49"/>
      <c r="ON40" s="67"/>
      <c r="OO40" s="68"/>
      <c r="OP40" s="48"/>
      <c r="OQ40" s="49"/>
      <c r="OR40" s="49"/>
      <c r="OS40" s="49"/>
      <c r="OT40" s="49"/>
      <c r="OU40" s="49"/>
      <c r="OV40" s="67"/>
      <c r="OW40" s="68"/>
      <c r="OX40" s="48"/>
      <c r="OY40" s="49"/>
      <c r="OZ40" s="49"/>
      <c r="PA40" s="49"/>
      <c r="PB40" s="49"/>
      <c r="PC40" s="49"/>
      <c r="PD40" s="67"/>
      <c r="PE40" s="68"/>
      <c r="PF40" s="48"/>
      <c r="PG40" s="49"/>
      <c r="PH40" s="49"/>
      <c r="PI40" s="49"/>
      <c r="PJ40" s="49"/>
      <c r="PK40" s="49"/>
      <c r="PL40" s="67"/>
      <c r="PM40" s="68"/>
      <c r="PN40" s="48"/>
      <c r="PO40" s="49"/>
      <c r="PP40" s="49"/>
      <c r="PQ40" s="49"/>
      <c r="PR40" s="49"/>
      <c r="PS40" s="49"/>
      <c r="PT40" s="67"/>
      <c r="PU40" s="68"/>
      <c r="PV40" s="106"/>
      <c r="PW40" s="107"/>
      <c r="PX40" s="107"/>
      <c r="PY40" s="107"/>
      <c r="PZ40" s="107"/>
      <c r="QA40" s="107"/>
      <c r="QB40" s="104"/>
      <c r="QC40" s="105"/>
      <c r="QD40" s="106"/>
      <c r="QE40" s="107"/>
      <c r="QF40" s="107"/>
      <c r="QG40" s="107"/>
      <c r="QH40" s="107"/>
      <c r="QI40" s="107"/>
      <c r="QJ40" s="104"/>
      <c r="QK40" s="105"/>
      <c r="QL40" s="106"/>
      <c r="QM40" s="107"/>
      <c r="QN40" s="107"/>
      <c r="QO40" s="107"/>
      <c r="QP40" s="107"/>
      <c r="QQ40" s="107"/>
      <c r="QR40" s="104"/>
      <c r="QS40" s="105"/>
      <c r="QT40" s="106"/>
      <c r="QU40" s="107"/>
      <c r="QV40" s="107"/>
      <c r="QW40" s="107"/>
      <c r="QX40" s="107"/>
      <c r="QY40" s="107"/>
      <c r="QZ40" s="104"/>
      <c r="RA40" s="105"/>
      <c r="RB40" s="106"/>
      <c r="RC40" s="107"/>
      <c r="RD40" s="107"/>
      <c r="RE40" s="107"/>
      <c r="RF40" s="107"/>
      <c r="RG40" s="107"/>
      <c r="RH40" s="104"/>
      <c r="RI40" s="105"/>
      <c r="RJ40" s="106"/>
      <c r="RK40" s="107"/>
      <c r="RL40" s="107"/>
      <c r="RM40" s="107"/>
      <c r="RN40" s="107"/>
      <c r="RO40" s="107"/>
      <c r="RP40" s="104"/>
      <c r="RQ40" s="105"/>
      <c r="RR40" s="106"/>
      <c r="RS40" s="107"/>
      <c r="RT40" s="107"/>
      <c r="RU40" s="107"/>
      <c r="RV40" s="107"/>
      <c r="RW40" s="107"/>
      <c r="RX40" s="104"/>
      <c r="RY40" s="105"/>
      <c r="RZ40" s="106"/>
      <c r="SA40" s="107"/>
      <c r="SB40" s="107"/>
      <c r="SC40" s="107"/>
      <c r="SD40" s="107"/>
      <c r="SE40" s="107"/>
      <c r="SF40" s="104"/>
      <c r="SG40" s="105"/>
      <c r="SH40" s="106"/>
      <c r="SI40" s="107"/>
      <c r="SJ40" s="107"/>
      <c r="SK40" s="107"/>
      <c r="SL40" s="107"/>
      <c r="SM40" s="107"/>
      <c r="SN40" s="104"/>
      <c r="SO40" s="105"/>
      <c r="SP40" s="106"/>
      <c r="SQ40" s="107"/>
      <c r="SR40" s="107"/>
      <c r="SS40" s="107"/>
      <c r="ST40" s="107"/>
      <c r="SU40" s="107"/>
      <c r="SV40" s="104"/>
      <c r="SW40" s="105"/>
      <c r="SX40" s="106"/>
      <c r="SY40" s="107"/>
      <c r="SZ40" s="107"/>
      <c r="TA40" s="107"/>
      <c r="TB40" s="107"/>
      <c r="TC40" s="107"/>
      <c r="TD40" s="104"/>
      <c r="TE40" s="105"/>
      <c r="TF40" s="106"/>
      <c r="TG40" s="107"/>
      <c r="TH40" s="107"/>
      <c r="TI40" s="107"/>
      <c r="TJ40" s="107"/>
      <c r="TK40" s="107"/>
      <c r="TL40" s="104"/>
      <c r="TM40" s="105"/>
      <c r="TN40" s="130"/>
      <c r="TO40" s="107"/>
      <c r="TP40" s="107"/>
      <c r="TQ40" s="107"/>
      <c r="TR40" s="107"/>
      <c r="TS40" s="107"/>
      <c r="TT40" s="104"/>
      <c r="TU40" s="105"/>
      <c r="TV40" s="106"/>
      <c r="TW40" s="107"/>
      <c r="TX40" s="107"/>
      <c r="TY40" s="107"/>
      <c r="TZ40" s="107"/>
      <c r="UA40" s="107"/>
      <c r="UB40" s="104"/>
      <c r="UC40" s="105"/>
      <c r="UD40" s="106"/>
      <c r="UE40" s="107"/>
      <c r="UF40" s="107"/>
      <c r="UG40" s="107"/>
      <c r="UH40" s="107"/>
      <c r="UI40" s="107"/>
      <c r="UJ40" s="104"/>
      <c r="UK40" s="105"/>
      <c r="UL40" s="106"/>
      <c r="UM40" s="107"/>
      <c r="UN40" s="107"/>
      <c r="UO40" s="107"/>
      <c r="UP40" s="107"/>
      <c r="UQ40" s="107"/>
      <c r="UR40" s="107"/>
      <c r="US40" s="104"/>
      <c r="UT40" s="105"/>
      <c r="UU40" s="106"/>
      <c r="UV40" s="107"/>
      <c r="UW40" s="107"/>
      <c r="UX40" s="107"/>
      <c r="UY40" s="107"/>
      <c r="UZ40" s="107"/>
      <c r="VA40" s="104"/>
      <c r="VB40" s="105"/>
      <c r="VC40" s="106"/>
      <c r="VD40" s="107"/>
      <c r="VE40" s="107"/>
      <c r="VF40" s="107"/>
      <c r="VG40" s="107"/>
      <c r="VH40" s="107"/>
      <c r="VI40" s="104"/>
      <c r="VJ40" s="105"/>
      <c r="VK40" s="48"/>
      <c r="VL40" s="49"/>
      <c r="VM40" s="49"/>
      <c r="VN40" s="49"/>
      <c r="VO40" s="49"/>
      <c r="VP40" s="49"/>
      <c r="VQ40" s="67"/>
      <c r="VR40" s="68"/>
      <c r="VS40" s="106"/>
      <c r="VT40" s="107"/>
      <c r="VU40" s="107"/>
      <c r="VV40" s="107"/>
      <c r="VW40" s="107"/>
      <c r="VX40" s="107"/>
      <c r="VY40" s="104"/>
      <c r="VZ40" s="105"/>
      <c r="WA40" s="63"/>
      <c r="WB40" s="64"/>
      <c r="WC40" s="64"/>
      <c r="WD40" s="64"/>
      <c r="WE40" s="64"/>
      <c r="WF40" s="64"/>
      <c r="WG40" s="67"/>
      <c r="WH40" s="68"/>
      <c r="WI40" s="106"/>
      <c r="WJ40" s="107"/>
      <c r="WK40" s="107"/>
      <c r="WL40" s="107"/>
      <c r="WM40" s="107"/>
      <c r="WN40" s="107"/>
      <c r="WO40" s="104"/>
      <c r="WP40" s="105"/>
      <c r="WQ40" s="48"/>
      <c r="WR40" s="49"/>
      <c r="WS40" s="49"/>
      <c r="WT40" s="49"/>
      <c r="WU40" s="49"/>
      <c r="WV40" s="49"/>
      <c r="WW40" s="49"/>
      <c r="WX40" s="67"/>
      <c r="WY40" s="68"/>
      <c r="WZ40" s="48"/>
      <c r="XA40" s="49"/>
      <c r="XB40" s="49"/>
      <c r="XC40" s="49"/>
      <c r="XD40" s="49"/>
      <c r="XE40" s="49"/>
      <c r="XF40" s="49"/>
      <c r="XG40" s="67"/>
      <c r="XH40" s="68"/>
      <c r="XI40" s="48"/>
      <c r="XJ40" s="49"/>
      <c r="XK40" s="49"/>
      <c r="XL40" s="49"/>
      <c r="XM40" s="49"/>
      <c r="XN40" s="49"/>
      <c r="XO40" s="49"/>
      <c r="XP40" s="67"/>
      <c r="XQ40" s="68"/>
      <c r="XR40" s="48"/>
      <c r="XS40" s="49"/>
      <c r="XT40" s="49"/>
      <c r="XU40" s="49"/>
      <c r="XV40" s="49"/>
      <c r="XW40" s="49"/>
      <c r="XX40" s="49"/>
      <c r="XY40" s="67"/>
      <c r="XZ40" s="68"/>
      <c r="YA40" s="48"/>
      <c r="YB40" s="49"/>
      <c r="YC40" s="49"/>
      <c r="YD40" s="49"/>
      <c r="YE40" s="49"/>
      <c r="YF40" s="49"/>
      <c r="YG40" s="49"/>
      <c r="YH40" s="67"/>
      <c r="YI40" s="68"/>
      <c r="YJ40" s="48"/>
      <c r="YK40" s="49"/>
      <c r="YL40" s="49"/>
      <c r="YM40" s="49"/>
      <c r="YN40" s="49"/>
      <c r="YO40" s="49"/>
      <c r="YP40" s="49"/>
      <c r="YQ40" s="67"/>
      <c r="YR40" s="68"/>
      <c r="YS40" s="48"/>
      <c r="YT40" s="49"/>
      <c r="YU40" s="49"/>
      <c r="YV40" s="49"/>
      <c r="YW40" s="49"/>
      <c r="YX40" s="49"/>
      <c r="YY40" s="67"/>
      <c r="YZ40" s="68"/>
      <c r="ZA40" s="48"/>
      <c r="ZB40" s="49"/>
      <c r="ZC40" s="49"/>
      <c r="ZD40" s="49"/>
      <c r="ZE40" s="49"/>
      <c r="ZF40" s="49"/>
      <c r="ZG40" s="67"/>
      <c r="ZH40" s="68"/>
      <c r="ZI40" s="48"/>
      <c r="ZJ40" s="49"/>
      <c r="ZK40" s="49"/>
      <c r="ZL40" s="49"/>
      <c r="ZM40" s="49"/>
      <c r="ZN40" s="24"/>
      <c r="ZO40" s="67"/>
      <c r="ZP40" s="68"/>
      <c r="ZQ40" s="48"/>
      <c r="ZR40" s="49"/>
      <c r="ZS40" s="49"/>
      <c r="ZT40" s="49"/>
      <c r="ZU40" s="49"/>
      <c r="ZV40" s="49"/>
      <c r="ZW40" s="49"/>
      <c r="ZX40" s="67"/>
      <c r="ZY40" s="70"/>
      <c r="ZZ40" s="48"/>
      <c r="AAA40" s="49"/>
      <c r="AAB40" s="49"/>
      <c r="AAC40" s="49"/>
      <c r="AAD40" s="49"/>
      <c r="AAE40" s="49"/>
      <c r="AAF40" s="49"/>
      <c r="AAG40" s="67"/>
      <c r="AAH40" s="68"/>
      <c r="AAI40" s="48"/>
      <c r="AAJ40" s="49"/>
      <c r="AAK40" s="49"/>
      <c r="AAL40" s="49"/>
      <c r="AAM40" s="49"/>
      <c r="AAN40" s="49"/>
      <c r="AAO40" s="67"/>
      <c r="AAP40" s="68"/>
      <c r="AAQ40" s="48"/>
      <c r="AAR40" s="49"/>
      <c r="AAS40" s="49"/>
      <c r="AAT40" s="49"/>
      <c r="AAU40" s="49"/>
      <c r="AAV40" s="49"/>
      <c r="AAW40" s="67"/>
      <c r="AAX40" s="68"/>
      <c r="AAY40" s="48"/>
      <c r="AAZ40" s="49"/>
      <c r="ABA40" s="49"/>
      <c r="ABB40" s="49"/>
      <c r="ABC40" s="49"/>
      <c r="ABD40" s="49"/>
      <c r="ABE40" s="67"/>
      <c r="ABF40" s="68"/>
      <c r="ABG40" s="48"/>
      <c r="ABH40" s="49"/>
      <c r="ABI40" s="49"/>
      <c r="ABJ40" s="49"/>
      <c r="ABK40" s="49"/>
      <c r="ABL40" s="49"/>
      <c r="ABM40" s="67"/>
      <c r="ABN40" s="68"/>
      <c r="ABO40" s="48"/>
      <c r="ABP40" s="49"/>
      <c r="ABQ40" s="49"/>
      <c r="ABR40" s="49"/>
      <c r="ABS40" s="49"/>
      <c r="ABT40" s="49"/>
      <c r="ABU40" s="67"/>
      <c r="ABV40" s="68"/>
      <c r="ABW40" s="48"/>
      <c r="ABX40" s="49"/>
      <c r="ABY40" s="49"/>
      <c r="ABZ40" s="49"/>
      <c r="ACA40" s="49"/>
      <c r="ACB40" s="49"/>
      <c r="ACC40" s="67"/>
      <c r="ACD40" s="68"/>
      <c r="ACE40" s="24"/>
      <c r="ACF40" s="49"/>
      <c r="ACG40" s="49"/>
      <c r="ACH40" s="49"/>
      <c r="ACI40" s="49"/>
      <c r="ACJ40" s="49"/>
      <c r="ACK40" s="67"/>
      <c r="ACL40" s="68"/>
      <c r="ACM40" s="48"/>
      <c r="ACN40" s="49"/>
      <c r="ACO40" s="49"/>
      <c r="ACP40" s="49"/>
      <c r="ACQ40" s="49"/>
      <c r="ACR40" s="49"/>
      <c r="ACS40" s="67"/>
      <c r="ACT40" s="68"/>
      <c r="ACU40" s="48"/>
      <c r="ACV40" s="49"/>
      <c r="ACW40" s="49"/>
      <c r="ACX40" s="49"/>
      <c r="ACY40" s="49"/>
      <c r="ACZ40" s="49"/>
      <c r="ADA40" s="67"/>
      <c r="ADB40" s="68"/>
      <c r="ADC40" s="48"/>
      <c r="ADD40" s="49"/>
      <c r="ADE40" s="49"/>
      <c r="ADF40" s="49"/>
      <c r="ADG40" s="49"/>
      <c r="ADH40" s="49"/>
      <c r="ADI40" s="67"/>
      <c r="ADJ40" s="68"/>
      <c r="ADK40" s="48"/>
      <c r="ADL40" s="49"/>
      <c r="ADM40" s="49"/>
      <c r="ADN40" s="49"/>
      <c r="ADO40" s="49"/>
      <c r="ADP40" s="49"/>
      <c r="ADQ40" s="67"/>
      <c r="ADR40" s="68"/>
      <c r="ADS40" s="48"/>
      <c r="ADT40" s="49"/>
      <c r="ADU40" s="49"/>
      <c r="ADV40" s="49"/>
      <c r="ADW40" s="49"/>
      <c r="ADX40" s="49"/>
      <c r="ADY40" s="67"/>
      <c r="ADZ40" s="68"/>
      <c r="AEA40" s="48"/>
      <c r="AEB40" s="49"/>
      <c r="AEC40" s="49"/>
      <c r="AED40" s="49"/>
      <c r="AEE40" s="49"/>
      <c r="AEF40" s="49"/>
      <c r="AEG40" s="67"/>
      <c r="AEH40" s="68"/>
      <c r="AEI40" s="48"/>
      <c r="AEJ40" s="49"/>
      <c r="AEK40" s="49"/>
      <c r="AEL40" s="49"/>
      <c r="AEM40" s="49"/>
      <c r="AEN40" s="49"/>
      <c r="AEO40" s="67"/>
      <c r="AEP40" s="68"/>
      <c r="AEQ40" s="48"/>
      <c r="AER40" s="49"/>
      <c r="AES40" s="49"/>
      <c r="AET40" s="49"/>
      <c r="AEU40" s="49"/>
      <c r="AEV40" s="49"/>
      <c r="AEW40" s="67"/>
      <c r="AEX40" s="68"/>
      <c r="AEY40" s="48"/>
      <c r="AEZ40" s="49"/>
      <c r="AFA40" s="49"/>
      <c r="AFB40" s="49"/>
      <c r="AFC40" s="49"/>
      <c r="AFD40" s="49"/>
      <c r="AFE40" s="67"/>
      <c r="AFF40" s="68"/>
      <c r="AFG40" s="48"/>
      <c r="AFH40" s="49"/>
      <c r="AFI40" s="49"/>
      <c r="AFJ40" s="49"/>
      <c r="AFK40" s="49"/>
      <c r="AFL40" s="49"/>
      <c r="AFM40" s="67"/>
      <c r="AFN40" s="68"/>
      <c r="AFO40" s="48"/>
      <c r="AFP40" s="49"/>
      <c r="AFQ40" s="49"/>
      <c r="AFR40" s="49"/>
      <c r="AFS40" s="49"/>
      <c r="AFT40" s="49"/>
      <c r="AFU40" s="67"/>
      <c r="AFV40" s="68"/>
      <c r="AFW40" s="48"/>
      <c r="AFX40" s="49"/>
      <c r="AFY40" s="49"/>
      <c r="AFZ40" s="49"/>
      <c r="AGA40" s="49"/>
      <c r="AGB40" s="49"/>
      <c r="AGC40" s="67"/>
      <c r="AGD40" s="68"/>
      <c r="AGE40" s="48"/>
      <c r="AGF40" s="49"/>
      <c r="AGG40" s="49"/>
      <c r="AGH40" s="49"/>
      <c r="AGI40" s="49"/>
      <c r="AGJ40" s="49"/>
      <c r="AGK40" s="67"/>
      <c r="AGL40" s="68"/>
      <c r="AGM40" s="48"/>
      <c r="AGN40" s="49"/>
      <c r="AGO40" s="49"/>
      <c r="AGP40" s="49"/>
      <c r="AGQ40" s="49"/>
      <c r="AGR40" s="49"/>
      <c r="AGS40" s="49"/>
      <c r="AGT40" s="67"/>
      <c r="AGU40" s="68"/>
      <c r="AGV40" s="48"/>
      <c r="AGW40" s="49"/>
      <c r="AGX40" s="49"/>
      <c r="AGY40" s="49"/>
      <c r="AGZ40" s="49"/>
      <c r="AHA40" s="49"/>
      <c r="AHB40" s="67"/>
      <c r="AHC40" s="68"/>
      <c r="AHD40" s="48"/>
      <c r="AHE40" s="49"/>
      <c r="AHF40" s="49"/>
      <c r="AHG40" s="49"/>
      <c r="AHH40" s="49"/>
      <c r="AHI40" s="49"/>
      <c r="AHJ40" s="67"/>
      <c r="AHK40" s="68"/>
      <c r="AHL40" s="48"/>
      <c r="AHM40" s="49"/>
      <c r="AHN40" s="49"/>
      <c r="AHO40" s="49"/>
      <c r="AHP40" s="49"/>
      <c r="AHQ40" s="49"/>
      <c r="AHR40" s="67"/>
      <c r="AHS40" s="68"/>
      <c r="AHT40" s="48"/>
      <c r="AHU40" s="49"/>
      <c r="AHV40" s="49"/>
      <c r="AHW40" s="49"/>
      <c r="AHX40" s="49"/>
      <c r="AHY40" s="49"/>
      <c r="AHZ40" s="67"/>
      <c r="AIA40" s="68"/>
      <c r="AIB40" s="48"/>
      <c r="AIC40" s="49"/>
      <c r="AID40" s="49"/>
      <c r="AIE40" s="49"/>
      <c r="AIF40" s="49"/>
      <c r="AIG40" s="49"/>
      <c r="AIH40" s="67"/>
      <c r="AII40" s="68"/>
      <c r="AIJ40" s="48"/>
      <c r="AIK40" s="49"/>
      <c r="AIL40" s="49"/>
      <c r="AIM40" s="49"/>
      <c r="AIN40" s="49"/>
      <c r="AIO40" s="49"/>
      <c r="AIP40" s="67"/>
      <c r="AIQ40" s="68"/>
      <c r="AIR40" s="48"/>
      <c r="AIS40" s="49"/>
      <c r="AIT40" s="49"/>
      <c r="AIU40" s="49"/>
      <c r="AIV40" s="49"/>
      <c r="AIW40" s="49"/>
      <c r="AIX40" s="67"/>
      <c r="AIY40" s="68"/>
      <c r="AIZ40" s="48"/>
      <c r="AJA40" s="49"/>
      <c r="AJB40" s="49"/>
      <c r="AJC40" s="49"/>
      <c r="AJD40" s="49"/>
      <c r="AJE40" s="49"/>
      <c r="AJF40" s="67"/>
      <c r="AJG40" s="68"/>
      <c r="AJH40" s="48"/>
      <c r="AJI40" s="49"/>
      <c r="AJJ40" s="49"/>
      <c r="AJK40" s="49"/>
      <c r="AJL40" s="49"/>
      <c r="AJM40" s="49"/>
      <c r="AJN40" s="42"/>
      <c r="AJO40" s="43"/>
      <c r="AJP40" s="48"/>
      <c r="AJQ40" s="49"/>
      <c r="AJR40" s="49"/>
      <c r="AJS40" s="49"/>
      <c r="AJT40" s="49"/>
      <c r="AJU40" s="49"/>
      <c r="AJV40" s="42"/>
      <c r="AJW40" s="43"/>
      <c r="AJX40" s="48"/>
      <c r="AJY40" s="49"/>
      <c r="AJZ40" s="49"/>
      <c r="AKA40" s="49"/>
      <c r="AKB40" s="49"/>
      <c r="AKC40" s="49"/>
      <c r="AKD40" s="67"/>
      <c r="AKE40" s="68"/>
      <c r="AKF40" s="48"/>
      <c r="AKG40" s="49"/>
      <c r="AKH40" s="49"/>
      <c r="AKI40" s="49"/>
      <c r="AKJ40" s="49"/>
      <c r="AKK40" s="49"/>
      <c r="AKL40" s="67"/>
      <c r="AKM40" s="184"/>
      <c r="AKN40" s="195"/>
      <c r="AKO40" s="49"/>
      <c r="AKP40" s="49"/>
      <c r="AKQ40" s="49"/>
      <c r="AKR40" s="49"/>
      <c r="AKS40" s="49"/>
      <c r="AKT40" s="67"/>
      <c r="AKU40" s="184"/>
      <c r="AKV40" s="48"/>
      <c r="AKW40" s="49"/>
      <c r="AKX40" s="49"/>
      <c r="AKY40" s="49"/>
      <c r="AKZ40" s="49"/>
      <c r="ALA40" s="49"/>
      <c r="ALB40" s="67"/>
      <c r="ALC40" s="68"/>
      <c r="ALD40" s="48"/>
      <c r="ALE40" s="49"/>
      <c r="ALF40" s="49"/>
      <c r="ALG40" s="49"/>
      <c r="ALH40" s="49"/>
      <c r="ALI40" s="49"/>
      <c r="ALJ40" s="67"/>
      <c r="ALK40" s="68"/>
      <c r="ALL40" s="48"/>
      <c r="ALM40" s="49"/>
      <c r="ALN40" s="49"/>
      <c r="ALO40" s="49"/>
      <c r="ALP40" s="49"/>
      <c r="ALQ40" s="49"/>
      <c r="ALR40" s="67"/>
      <c r="ALS40" s="68"/>
      <c r="ALT40" s="48"/>
      <c r="ALU40" s="49"/>
      <c r="ALV40" s="49"/>
      <c r="ALW40" s="49"/>
      <c r="ALX40" s="49"/>
      <c r="ALY40" s="49"/>
      <c r="ALZ40" s="67"/>
      <c r="AMA40" s="68"/>
      <c r="AMB40" s="24"/>
      <c r="AMC40" s="49"/>
      <c r="AMD40" s="49"/>
      <c r="AME40" s="49"/>
      <c r="AMF40" s="49"/>
      <c r="AMG40" s="49"/>
      <c r="AMH40" s="67"/>
      <c r="AMI40" s="68"/>
      <c r="AMJ40" s="48"/>
      <c r="AMK40" s="49"/>
      <c r="AML40" s="49"/>
      <c r="AMM40" s="49"/>
      <c r="AMN40" s="49"/>
      <c r="AMO40" s="49"/>
      <c r="AMP40" s="67"/>
      <c r="AMQ40" s="68"/>
      <c r="AMR40" s="48"/>
      <c r="AMS40" s="49"/>
      <c r="AMT40" s="49"/>
      <c r="AMU40" s="49"/>
      <c r="AMV40" s="49"/>
      <c r="AMW40" s="49"/>
      <c r="AMX40" s="67"/>
      <c r="AMY40" s="68"/>
      <c r="AMZ40" s="48"/>
      <c r="ANA40" s="49"/>
      <c r="ANB40" s="49"/>
      <c r="ANC40" s="49"/>
      <c r="AND40" s="49"/>
      <c r="ANE40" s="49"/>
      <c r="ANF40" s="67"/>
      <c r="ANG40" s="68"/>
      <c r="ANH40" s="48"/>
      <c r="ANI40" s="49"/>
      <c r="ANJ40" s="49"/>
      <c r="ANK40" s="49"/>
      <c r="ANL40" s="49"/>
      <c r="ANM40" s="49"/>
      <c r="ANN40" s="67"/>
      <c r="ANO40" s="68"/>
      <c r="ANP40" s="48"/>
      <c r="ANQ40" s="49"/>
      <c r="ANR40" s="49"/>
      <c r="ANS40" s="49"/>
      <c r="ANT40" s="49"/>
      <c r="ANU40" s="49"/>
      <c r="ANV40" s="67"/>
      <c r="ANW40" s="68"/>
      <c r="ANX40" s="82"/>
      <c r="ANY40" s="83"/>
      <c r="ANZ40" s="83"/>
      <c r="AOA40" s="83"/>
      <c r="AOB40" s="83"/>
      <c r="AOC40" s="83"/>
      <c r="AOD40" s="67"/>
      <c r="AOE40" s="68"/>
      <c r="AOF40" s="48"/>
      <c r="AOG40" s="49"/>
      <c r="AOH40" s="49"/>
      <c r="AOI40" s="49"/>
      <c r="AOJ40" s="49"/>
      <c r="AOK40" s="49"/>
      <c r="AOL40" s="67"/>
      <c r="AOM40" s="68"/>
      <c r="AON40" s="48"/>
      <c r="AOO40" s="49"/>
      <c r="AOP40" s="49"/>
      <c r="AOQ40" s="49"/>
      <c r="AOR40" s="49"/>
      <c r="AOS40" s="49"/>
      <c r="AOT40" s="67"/>
      <c r="AOU40" s="68"/>
      <c r="AOV40" s="48"/>
      <c r="AOW40" s="49"/>
      <c r="AOX40" s="49"/>
      <c r="AOY40" s="49"/>
      <c r="AOZ40" s="49"/>
      <c r="APA40" s="49"/>
      <c r="APB40" s="67"/>
      <c r="APC40" s="68"/>
      <c r="APD40" s="48"/>
      <c r="APE40" s="49"/>
      <c r="APF40" s="49"/>
      <c r="APG40" s="49"/>
      <c r="APH40" s="49"/>
      <c r="API40" s="49"/>
      <c r="APJ40" s="67"/>
      <c r="APK40" s="68"/>
      <c r="APL40" s="48"/>
      <c r="APM40" s="49"/>
      <c r="APN40" s="49"/>
      <c r="APO40" s="49"/>
      <c r="APP40" s="49"/>
      <c r="APQ40" s="49"/>
      <c r="APR40" s="67"/>
      <c r="APS40" s="68"/>
      <c r="APT40" s="48"/>
      <c r="APU40" s="49"/>
      <c r="APV40" s="49"/>
      <c r="APW40" s="49"/>
      <c r="APX40" s="49"/>
      <c r="APY40" s="49"/>
      <c r="APZ40" s="67"/>
      <c r="AQA40" s="68"/>
      <c r="AQB40" s="48"/>
      <c r="AQC40" s="49"/>
      <c r="AQD40" s="49"/>
      <c r="AQE40" s="49"/>
      <c r="AQF40" s="49"/>
      <c r="AQG40" s="49"/>
      <c r="AQH40" s="67"/>
      <c r="AQI40" s="68"/>
      <c r="AQJ40" s="48"/>
      <c r="AQK40" s="49"/>
      <c r="AQL40" s="49"/>
      <c r="AQM40" s="49"/>
      <c r="AQN40" s="49"/>
      <c r="AQO40" s="49"/>
      <c r="AQP40" s="67"/>
      <c r="AQQ40" s="68"/>
      <c r="AQR40" s="48"/>
      <c r="AQS40" s="49"/>
      <c r="AQT40" s="49"/>
      <c r="AQU40" s="49"/>
      <c r="AQV40" s="49"/>
      <c r="AQW40" s="49"/>
      <c r="AQX40" s="67"/>
      <c r="AQY40" s="68"/>
      <c r="AQZ40" s="48"/>
      <c r="ARA40" s="49"/>
      <c r="ARB40" s="49"/>
      <c r="ARC40" s="49"/>
      <c r="ARD40" s="49"/>
      <c r="ARE40" s="49"/>
      <c r="ARF40" s="67"/>
      <c r="ARG40" s="68"/>
      <c r="ARH40" s="48"/>
      <c r="ARI40" s="49"/>
      <c r="ARJ40" s="49"/>
      <c r="ARK40" s="49"/>
      <c r="ARL40" s="49"/>
      <c r="ARM40" s="49"/>
      <c r="ARN40" s="67"/>
      <c r="ARO40" s="68"/>
      <c r="ARP40" s="48"/>
      <c r="ARQ40" s="49"/>
      <c r="ARR40" s="49"/>
      <c r="ARS40" s="49"/>
      <c r="ART40" s="49"/>
      <c r="ARU40" s="49"/>
      <c r="ARV40" s="67"/>
      <c r="ARW40" s="68"/>
      <c r="ARX40" s="48"/>
      <c r="ARY40" s="49"/>
      <c r="ARZ40" s="49"/>
      <c r="ASA40" s="49"/>
      <c r="ASB40" s="49"/>
      <c r="ASC40" s="49"/>
      <c r="ASD40" s="67"/>
      <c r="ASE40" s="68"/>
      <c r="ASF40" s="48"/>
      <c r="ASG40" s="49"/>
      <c r="ASH40" s="49"/>
      <c r="ASI40" s="49"/>
      <c r="ASJ40" s="49"/>
      <c r="ASK40" s="49"/>
      <c r="ASL40" s="67"/>
      <c r="ASM40" s="68"/>
      <c r="ASN40" s="48"/>
      <c r="ASO40" s="49"/>
      <c r="ASP40" s="49"/>
      <c r="ASQ40" s="49"/>
      <c r="ASR40" s="49"/>
      <c r="ASS40" s="49"/>
      <c r="AST40" s="67"/>
      <c r="ASU40" s="68"/>
      <c r="ASV40" s="48"/>
      <c r="ASW40" s="49"/>
      <c r="ASX40" s="49"/>
      <c r="ASY40" s="49"/>
      <c r="ASZ40" s="49"/>
      <c r="ATA40" s="49"/>
      <c r="ATB40" s="67"/>
      <c r="ATC40" s="68"/>
      <c r="ATD40" s="48"/>
      <c r="ATE40" s="49"/>
      <c r="ATF40" s="49"/>
      <c r="ATG40" s="49"/>
      <c r="ATH40" s="49"/>
      <c r="ATI40" s="49"/>
      <c r="ATJ40" s="67"/>
      <c r="ATK40" s="68"/>
      <c r="ATL40" s="48"/>
      <c r="ATM40" s="49"/>
      <c r="ATN40" s="49"/>
      <c r="ATO40" s="49"/>
      <c r="ATP40" s="49"/>
      <c r="ATQ40" s="49"/>
      <c r="ATR40" s="67"/>
      <c r="ATS40" s="68"/>
      <c r="ATT40" s="48"/>
      <c r="ATU40" s="49"/>
      <c r="ATV40" s="49"/>
      <c r="ATW40" s="49"/>
      <c r="ATX40" s="49"/>
      <c r="ATY40" s="49"/>
      <c r="ATZ40" s="67"/>
      <c r="AUA40" s="68"/>
      <c r="AUB40" s="48"/>
      <c r="AUC40" s="49"/>
      <c r="AUD40" s="49"/>
      <c r="AUE40" s="49"/>
      <c r="AUF40" s="49"/>
      <c r="AUG40" s="49"/>
      <c r="AUH40" s="67"/>
      <c r="AUI40" s="68"/>
      <c r="AUJ40" s="48"/>
      <c r="AUK40" s="49"/>
      <c r="AUL40" s="49"/>
      <c r="AUM40" s="49"/>
      <c r="AUN40" s="49"/>
      <c r="AUO40" s="49"/>
      <c r="AUP40" s="67"/>
      <c r="AUQ40" s="68"/>
      <c r="AUR40" s="48"/>
      <c r="AUS40" s="49"/>
      <c r="AUT40" s="49"/>
      <c r="AUU40" s="49"/>
      <c r="AUV40" s="49"/>
      <c r="AUW40" s="49"/>
      <c r="AUX40" s="67"/>
      <c r="AUY40" s="68"/>
      <c r="AUZ40" s="48"/>
      <c r="AVA40" s="49"/>
      <c r="AVB40" s="49"/>
      <c r="AVC40" s="49"/>
      <c r="AVD40" s="49"/>
      <c r="AVE40" s="49"/>
      <c r="AVF40" s="67"/>
      <c r="AVG40" s="68"/>
      <c r="AVH40" s="48"/>
      <c r="AVI40" s="49"/>
      <c r="AVJ40" s="49"/>
      <c r="AVK40" s="49"/>
      <c r="AVL40" s="49"/>
      <c r="AVM40" s="49"/>
      <c r="AVN40" s="67"/>
      <c r="AVO40" s="68"/>
      <c r="AVP40" s="48"/>
      <c r="AVQ40" s="49"/>
      <c r="AVR40" s="49"/>
      <c r="AVS40" s="49"/>
      <c r="AVT40" s="49"/>
      <c r="AVU40" s="49"/>
      <c r="AVV40" s="67"/>
      <c r="AVW40" s="68"/>
      <c r="AVX40" s="48"/>
      <c r="AVY40" s="49"/>
      <c r="AVZ40" s="49"/>
      <c r="AWA40" s="49"/>
      <c r="AWB40" s="49"/>
      <c r="AWC40" s="49"/>
      <c r="AWD40" s="67"/>
      <c r="AWE40" s="68"/>
      <c r="AWF40" s="48"/>
      <c r="AWG40" s="49"/>
      <c r="AWH40" s="49"/>
      <c r="AWI40" s="49"/>
      <c r="AWJ40" s="49"/>
      <c r="AWK40" s="49"/>
      <c r="AWL40" s="67"/>
      <c r="AWM40" s="184"/>
      <c r="AWN40" s="48"/>
      <c r="AWO40" s="49"/>
      <c r="AWP40" s="49"/>
      <c r="AWQ40" s="49"/>
      <c r="AWR40" s="49"/>
      <c r="AWS40" s="49"/>
      <c r="AWT40" s="42"/>
      <c r="AWU40" s="43"/>
      <c r="AWV40" s="48"/>
      <c r="AWW40" s="49"/>
      <c r="AWX40" s="49"/>
      <c r="AWY40" s="49"/>
      <c r="AWZ40" s="49"/>
      <c r="AXA40" s="49"/>
      <c r="AXB40" s="42"/>
      <c r="AXC40" s="43"/>
      <c r="AXD40" s="48"/>
      <c r="AXE40" s="49"/>
      <c r="AXF40" s="49"/>
      <c r="AXG40" s="49"/>
      <c r="AXH40" s="49"/>
      <c r="AXI40" s="49"/>
      <c r="AXJ40" s="42"/>
      <c r="AXK40" s="43"/>
      <c r="AXL40" s="48"/>
      <c r="AXM40" s="49"/>
      <c r="AXN40" s="49"/>
      <c r="AXO40" s="49"/>
      <c r="AXP40" s="49"/>
      <c r="AXQ40" s="49"/>
      <c r="AXR40" s="42"/>
      <c r="AXS40" s="43"/>
      <c r="AXT40" s="48"/>
      <c r="AXU40" s="49"/>
      <c r="AXV40" s="49"/>
      <c r="AXW40" s="49"/>
      <c r="AXX40" s="49"/>
      <c r="AXY40" s="49"/>
      <c r="AXZ40" s="42"/>
      <c r="AYA40" s="43"/>
      <c r="AYB40" s="48"/>
      <c r="AYC40" s="49"/>
      <c r="AYD40" s="49"/>
      <c r="AYE40" s="49"/>
      <c r="AYF40" s="49"/>
      <c r="AYG40" s="49"/>
      <c r="AYH40" s="42"/>
      <c r="AYI40" s="43"/>
      <c r="AYJ40" s="48"/>
      <c r="AYK40" s="49"/>
      <c r="AYL40" s="49"/>
      <c r="AYM40" s="49"/>
      <c r="AYN40" s="49"/>
      <c r="AYO40" s="49"/>
      <c r="AYP40" s="42"/>
      <c r="AYQ40" s="43"/>
      <c r="AYR40" s="48"/>
      <c r="AYS40" s="49"/>
      <c r="AYT40" s="49"/>
      <c r="AYU40" s="49"/>
      <c r="AYV40" s="49"/>
      <c r="AYW40" s="49"/>
      <c r="AYX40" s="42"/>
      <c r="AYY40" s="43"/>
      <c r="AYZ40" s="48"/>
      <c r="AZA40" s="49"/>
      <c r="AZB40" s="49"/>
      <c r="AZC40" s="49"/>
      <c r="AZD40" s="49"/>
      <c r="AZE40" s="49"/>
      <c r="AZF40" s="42"/>
      <c r="AZG40" s="43"/>
      <c r="AZH40" s="48"/>
      <c r="AZI40" s="49"/>
      <c r="AZJ40" s="49"/>
      <c r="AZK40" s="49"/>
      <c r="AZL40" s="49"/>
      <c r="AZM40" s="49"/>
      <c r="AZN40" s="42"/>
      <c r="AZO40" s="43"/>
      <c r="AZP40" s="48"/>
      <c r="AZQ40" s="49"/>
      <c r="AZR40" s="49"/>
      <c r="AZS40" s="49"/>
      <c r="AZT40" s="49"/>
      <c r="AZU40" s="49"/>
      <c r="AZV40" s="42"/>
      <c r="AZW40" s="43"/>
      <c r="AZX40" s="82"/>
      <c r="AZY40" s="83"/>
      <c r="AZZ40" s="83"/>
      <c r="BAA40" s="83"/>
      <c r="BAB40" s="83"/>
      <c r="BAC40" s="83"/>
      <c r="BAD40" s="42"/>
      <c r="BAE40" s="43"/>
      <c r="BAF40" s="48"/>
      <c r="BAG40" s="49"/>
      <c r="BAH40" s="49"/>
      <c r="BAI40" s="49"/>
      <c r="BAJ40" s="49"/>
      <c r="BAK40" s="49"/>
      <c r="BAL40" s="42"/>
      <c r="BAM40" s="43"/>
      <c r="BAN40" s="48"/>
      <c r="BAO40" s="49"/>
      <c r="BAP40" s="49"/>
      <c r="BAQ40" s="49"/>
      <c r="BAR40" s="49"/>
      <c r="BAS40" s="49"/>
      <c r="BAT40" s="42"/>
      <c r="BAU40" s="43"/>
      <c r="BAV40" s="48"/>
      <c r="BAW40" s="49"/>
      <c r="BAX40" s="49"/>
      <c r="BAY40" s="49"/>
      <c r="BAZ40" s="49"/>
      <c r="BBA40" s="49"/>
      <c r="BBB40" s="42"/>
      <c r="BBC40" s="43"/>
      <c r="BBD40" s="48"/>
      <c r="BBE40" s="49"/>
      <c r="BBF40" s="49"/>
      <c r="BBG40" s="49"/>
      <c r="BBH40" s="49"/>
      <c r="BBI40" s="49"/>
      <c r="BBJ40" s="42"/>
      <c r="BBK40" s="43"/>
      <c r="BBL40" s="48"/>
      <c r="BBM40" s="49"/>
      <c r="BBN40" s="49"/>
      <c r="BBO40" s="49"/>
      <c r="BBP40" s="49"/>
      <c r="BBQ40" s="49"/>
      <c r="BBR40" s="42"/>
      <c r="BBS40" s="43"/>
      <c r="BBT40" s="48"/>
      <c r="BBU40" s="49"/>
      <c r="BBV40" s="49"/>
      <c r="BBW40" s="49"/>
      <c r="BBX40" s="49"/>
      <c r="BBY40" s="49"/>
      <c r="BBZ40" s="42"/>
      <c r="BCA40" s="43"/>
      <c r="BCB40" s="48"/>
      <c r="BCC40" s="49"/>
      <c r="BCD40" s="49"/>
      <c r="BCE40" s="49"/>
      <c r="BCF40" s="49"/>
      <c r="BCG40" s="49"/>
      <c r="BCH40" s="42"/>
      <c r="BCI40" s="43"/>
      <c r="BCJ40" s="48"/>
      <c r="BCK40" s="49"/>
      <c r="BCL40" s="49"/>
      <c r="BCM40" s="49"/>
      <c r="BCN40" s="49"/>
      <c r="BCO40" s="49"/>
      <c r="BCP40" s="42"/>
      <c r="BCQ40" s="43"/>
      <c r="BCR40" s="48"/>
      <c r="BCS40" s="49"/>
      <c r="BCT40" s="49"/>
      <c r="BCU40" s="49"/>
      <c r="BCV40" s="49"/>
      <c r="BCW40" s="49"/>
      <c r="BCX40" s="42"/>
      <c r="BCY40" s="43"/>
      <c r="BCZ40" s="48"/>
      <c r="BDA40" s="49"/>
      <c r="BDB40" s="49"/>
      <c r="BDC40" s="49"/>
      <c r="BDD40" s="49"/>
      <c r="BDE40" s="49"/>
      <c r="BDF40" s="42"/>
      <c r="BDG40" s="43"/>
      <c r="BDH40" s="48"/>
      <c r="BDI40" s="49"/>
      <c r="BDJ40" s="49"/>
      <c r="BDK40" s="49"/>
      <c r="BDL40" s="49"/>
      <c r="BDM40" s="49"/>
      <c r="BDN40" s="42"/>
      <c r="BDO40" s="43"/>
      <c r="BDP40" s="48"/>
      <c r="BDQ40" s="49"/>
      <c r="BDR40" s="49"/>
      <c r="BDS40" s="49"/>
      <c r="BDT40" s="49"/>
      <c r="BDU40" s="49"/>
      <c r="BDV40" s="42"/>
      <c r="BDW40" s="43"/>
      <c r="BDX40" s="48"/>
      <c r="BDY40" s="49"/>
      <c r="BDZ40" s="49"/>
      <c r="BEA40" s="49"/>
      <c r="BEB40" s="49"/>
      <c r="BEC40" s="49"/>
      <c r="BED40" s="42"/>
      <c r="BEE40" s="43"/>
      <c r="BEF40" s="48"/>
      <c r="BEG40" s="49"/>
      <c r="BEH40" s="49"/>
      <c r="BEI40" s="49"/>
      <c r="BEJ40" s="49"/>
      <c r="BEK40" s="49"/>
      <c r="BEL40" s="42"/>
      <c r="BEM40" s="43"/>
      <c r="BEN40" s="48"/>
      <c r="BEO40" s="49"/>
      <c r="BEP40" s="49"/>
      <c r="BEQ40" s="49"/>
      <c r="BER40" s="49"/>
      <c r="BES40" s="49"/>
      <c r="BET40" s="42"/>
      <c r="BEU40" s="43"/>
      <c r="BEV40" s="82"/>
      <c r="BEW40" s="83"/>
      <c r="BEX40" s="83"/>
      <c r="BEY40" s="83"/>
      <c r="BEZ40" s="83"/>
      <c r="BFA40" s="83"/>
      <c r="BFB40" s="42"/>
      <c r="BFC40" s="43"/>
      <c r="BFD40" s="48"/>
      <c r="BFE40" s="49"/>
      <c r="BFF40" s="49"/>
      <c r="BFG40" s="49"/>
      <c r="BFH40" s="49"/>
      <c r="BFI40" s="49"/>
      <c r="BFJ40" s="42"/>
      <c r="BFK40" s="43"/>
      <c r="BFL40" s="48"/>
      <c r="BFM40" s="49"/>
      <c r="BFN40" s="49"/>
      <c r="BFO40" s="49"/>
      <c r="BFP40" s="49"/>
      <c r="BFQ40" s="49"/>
      <c r="BFR40" s="42"/>
      <c r="BFS40" s="43"/>
      <c r="BFT40" s="48"/>
      <c r="BFU40" s="49"/>
      <c r="BFV40" s="49"/>
      <c r="BFW40" s="49"/>
      <c r="BFX40" s="49"/>
      <c r="BFY40" s="49"/>
      <c r="BFZ40" s="42"/>
      <c r="BGA40" s="43"/>
      <c r="BGB40" s="48"/>
      <c r="BGC40" s="49"/>
      <c r="BGD40" s="49"/>
      <c r="BGE40" s="49"/>
      <c r="BGF40" s="49"/>
      <c r="BGG40" s="49"/>
      <c r="BGH40" s="42"/>
      <c r="BGI40" s="43"/>
      <c r="BGJ40" s="48"/>
      <c r="BGK40" s="49"/>
      <c r="BGL40" s="49"/>
      <c r="BGM40" s="49"/>
      <c r="BGN40" s="49"/>
      <c r="BGO40" s="49"/>
      <c r="BGP40" s="42"/>
      <c r="BGQ40" s="43"/>
      <c r="BGR40" s="48"/>
      <c r="BGS40" s="49"/>
      <c r="BGT40" s="49"/>
      <c r="BGU40" s="49"/>
      <c r="BGV40" s="49"/>
      <c r="BGW40" s="49"/>
      <c r="BGX40" s="42"/>
      <c r="BGY40" s="43"/>
      <c r="BGZ40" s="239"/>
      <c r="BHA40" s="1"/>
      <c r="BHB40" s="1"/>
      <c r="BHC40" s="1"/>
      <c r="BHD40" s="1"/>
      <c r="BHE40" s="1"/>
      <c r="BHF40" s="42"/>
      <c r="BHG40" s="43"/>
      <c r="BHH40" s="48"/>
      <c r="BHI40" s="49"/>
      <c r="BHJ40" s="49"/>
      <c r="BHK40" s="49"/>
      <c r="BHL40" s="49"/>
      <c r="BHM40" s="49"/>
      <c r="BHN40" s="42"/>
      <c r="BHO40" s="43"/>
      <c r="BHP40" s="48"/>
      <c r="BHQ40" s="49"/>
      <c r="BHR40" s="49"/>
      <c r="BHS40" s="49"/>
      <c r="BHT40" s="49"/>
      <c r="BHU40" s="49"/>
      <c r="BHV40" s="42"/>
      <c r="BHW40" s="43"/>
      <c r="BHX40" s="48"/>
      <c r="BHY40" s="49"/>
      <c r="BHZ40" s="49"/>
      <c r="BIA40" s="49"/>
      <c r="BIB40" s="49"/>
      <c r="BIC40" s="49"/>
      <c r="BID40" s="42"/>
      <c r="BIE40" s="43"/>
      <c r="BIF40" s="48"/>
      <c r="BIG40" s="49"/>
      <c r="BIH40" s="49"/>
      <c r="BII40" s="49"/>
      <c r="BIJ40" s="49"/>
      <c r="BIK40" s="49"/>
      <c r="BIL40" s="42"/>
      <c r="BIM40" s="43"/>
      <c r="BIN40" s="48"/>
      <c r="BIO40" s="49"/>
      <c r="BIP40" s="49"/>
      <c r="BIQ40" s="49"/>
      <c r="BIR40" s="49"/>
      <c r="BIS40" s="49"/>
      <c r="BIT40" s="42"/>
      <c r="BIU40" s="101"/>
      <c r="BIV40" s="195"/>
      <c r="BIW40" s="49"/>
      <c r="BIX40" s="49"/>
      <c r="BIY40" s="49"/>
      <c r="BIZ40" s="49"/>
      <c r="BJA40" s="49"/>
      <c r="BJB40" s="42"/>
      <c r="BJC40" s="101"/>
      <c r="BJD40" s="48"/>
      <c r="BJE40" s="49"/>
      <c r="BJF40" s="49"/>
      <c r="BJG40" s="49"/>
      <c r="BJH40" s="49"/>
      <c r="BJI40" s="49"/>
      <c r="BJJ40" s="42"/>
      <c r="BJK40" s="43"/>
      <c r="BJL40" s="48"/>
      <c r="BJM40" s="49"/>
      <c r="BJN40" s="49"/>
      <c r="BJO40" s="49"/>
      <c r="BJP40" s="49"/>
      <c r="BJQ40" s="49"/>
      <c r="BJR40" s="42"/>
      <c r="BJS40" s="43"/>
      <c r="BJT40" s="48"/>
      <c r="BJU40" s="49"/>
      <c r="BJV40" s="49"/>
      <c r="BJW40" s="49"/>
      <c r="BJX40" s="49"/>
      <c r="BJY40" s="49"/>
      <c r="BJZ40" s="42"/>
      <c r="BKA40" s="43"/>
      <c r="BKB40" s="48"/>
      <c r="BKC40" s="49"/>
      <c r="BKD40" s="49"/>
      <c r="BKE40" s="49"/>
      <c r="BKF40" s="49"/>
      <c r="BKG40" s="49"/>
      <c r="BKH40" s="67"/>
      <c r="BKI40" s="68"/>
      <c r="BKJ40" s="48"/>
      <c r="BKK40" s="49"/>
      <c r="BKL40" s="49"/>
      <c r="BKM40" s="49"/>
      <c r="BKN40" s="49"/>
      <c r="BKO40" s="49"/>
      <c r="BKP40" s="42"/>
      <c r="BKQ40" s="43"/>
      <c r="BKR40" s="48"/>
      <c r="BKS40" s="49"/>
      <c r="BKT40" s="49"/>
      <c r="BKU40" s="49"/>
      <c r="BKV40" s="49"/>
      <c r="BKW40" s="49"/>
      <c r="BKX40" s="42"/>
      <c r="BKY40" s="43"/>
      <c r="BKZ40" s="48"/>
      <c r="BLA40" s="49"/>
      <c r="BLB40" s="49"/>
      <c r="BLC40" s="49"/>
      <c r="BLD40" s="49"/>
      <c r="BLE40" s="49"/>
      <c r="BLF40" s="42"/>
      <c r="BLG40" s="43"/>
      <c r="BLH40" s="48"/>
      <c r="BLI40" s="49"/>
      <c r="BLJ40" s="49"/>
      <c r="BLK40" s="49"/>
      <c r="BLL40" s="49"/>
      <c r="BLM40" s="49"/>
      <c r="BLN40" s="42"/>
      <c r="BLO40" s="43"/>
      <c r="BLP40" s="48"/>
      <c r="BLQ40" s="49"/>
      <c r="BLR40" s="49"/>
      <c r="BLS40" s="49"/>
      <c r="BLT40" s="49"/>
      <c r="BLU40" s="49"/>
      <c r="BLV40" s="42"/>
      <c r="BLW40" s="43"/>
      <c r="BLX40" s="48"/>
      <c r="BLY40" s="49"/>
      <c r="BLZ40" s="49"/>
      <c r="BMA40" s="49"/>
      <c r="BMB40" s="49"/>
      <c r="BMC40" s="49"/>
      <c r="BMD40" s="42"/>
      <c r="BME40" s="43"/>
      <c r="BMF40" s="48"/>
      <c r="BMG40" s="49"/>
      <c r="BMH40" s="49"/>
      <c r="BMI40" s="49"/>
      <c r="BMJ40" s="49"/>
      <c r="BMK40" s="49"/>
      <c r="BML40" s="42"/>
      <c r="BMM40" s="43"/>
      <c r="BMN40" s="48"/>
      <c r="BMO40" s="49"/>
      <c r="BMP40" s="49"/>
      <c r="BMQ40" s="49"/>
      <c r="BMR40" s="49"/>
      <c r="BMS40" s="49"/>
      <c r="BMT40" s="42"/>
      <c r="BMU40" s="43"/>
      <c r="BMV40" s="48"/>
      <c r="BMW40" s="49"/>
      <c r="BMX40" s="49"/>
      <c r="BMY40" s="49"/>
      <c r="BMZ40" s="49"/>
      <c r="BNA40" s="49"/>
      <c r="BNB40" s="42"/>
      <c r="BNC40" s="43"/>
      <c r="BND40" s="48"/>
      <c r="BNE40" s="49"/>
      <c r="BNF40" s="49"/>
      <c r="BNG40" s="49"/>
      <c r="BNH40" s="49"/>
      <c r="BNI40" s="49"/>
      <c r="BNJ40" s="42"/>
      <c r="BNK40" s="43"/>
      <c r="BNL40" s="48"/>
      <c r="BNM40" s="49"/>
      <c r="BNN40" s="49"/>
      <c r="BNO40" s="49"/>
      <c r="BNP40" s="49"/>
      <c r="BNQ40" s="49"/>
      <c r="BNR40" s="42"/>
      <c r="BNS40" s="43"/>
      <c r="BNT40" s="48"/>
      <c r="BNU40" s="49"/>
      <c r="BNV40" s="49"/>
      <c r="BNW40" s="49"/>
      <c r="BNX40" s="49"/>
      <c r="BNY40" s="49"/>
      <c r="BNZ40" s="42"/>
      <c r="BOA40" s="43"/>
      <c r="BOB40" s="48"/>
      <c r="BOC40" s="49"/>
      <c r="BOD40" s="49"/>
      <c r="BOE40" s="49"/>
      <c r="BOF40" s="49"/>
      <c r="BOG40" s="49"/>
      <c r="BOH40" s="42"/>
      <c r="BOI40" s="43"/>
      <c r="BOJ40" s="48"/>
      <c r="BOK40" s="49"/>
      <c r="BOL40" s="49"/>
      <c r="BOM40" s="49"/>
      <c r="BON40" s="49"/>
      <c r="BOO40" s="49"/>
      <c r="BOP40" s="42"/>
      <c r="BOQ40" s="43"/>
      <c r="BOR40" s="48"/>
      <c r="BOS40" s="49"/>
      <c r="BOT40" s="49"/>
      <c r="BOU40" s="49"/>
      <c r="BOV40" s="49"/>
      <c r="BOW40" s="49"/>
      <c r="BOX40" s="42"/>
      <c r="BOY40" s="43"/>
      <c r="BOZ40" s="48"/>
      <c r="BPA40" s="49"/>
      <c r="BPB40" s="49"/>
      <c r="BPC40" s="49"/>
      <c r="BPD40" s="49"/>
      <c r="BPE40" s="49"/>
      <c r="BPF40" s="42"/>
      <c r="BPG40" s="43"/>
      <c r="BPH40" s="48"/>
      <c r="BPI40" s="49"/>
      <c r="BPJ40" s="49"/>
      <c r="BPK40" s="49"/>
      <c r="BPL40" s="49"/>
      <c r="BPM40" s="49"/>
      <c r="BPN40" s="42"/>
      <c r="BPO40" s="43"/>
      <c r="BPP40" s="48"/>
      <c r="BPQ40" s="49"/>
      <c r="BPR40" s="49"/>
      <c r="BPS40" s="49"/>
      <c r="BPT40" s="49"/>
      <c r="BPU40" s="49"/>
      <c r="BPV40" s="42"/>
      <c r="BPW40" s="43"/>
      <c r="BPX40" s="48"/>
      <c r="BPY40" s="49"/>
      <c r="BPZ40" s="49"/>
      <c r="BQA40" s="49"/>
      <c r="BQB40" s="49"/>
      <c r="BQC40" s="49"/>
      <c r="BQD40" s="67"/>
      <c r="BQE40" s="43"/>
      <c r="BQF40" s="48"/>
      <c r="BQG40" s="49"/>
      <c r="BQH40" s="49"/>
      <c r="BQI40" s="49"/>
      <c r="BQJ40" s="49"/>
      <c r="BQK40" s="49"/>
      <c r="BQL40" s="67"/>
      <c r="BQM40" s="43"/>
      <c r="BQN40" s="48"/>
      <c r="BQO40" s="49"/>
      <c r="BQP40" s="49"/>
      <c r="BQQ40" s="49"/>
      <c r="BQR40" s="49"/>
      <c r="BQS40" s="49"/>
      <c r="BQT40" s="67"/>
      <c r="BQU40" s="43"/>
      <c r="BQV40" s="48"/>
      <c r="BQW40" s="49"/>
      <c r="BQX40" s="49"/>
      <c r="BQY40" s="49"/>
      <c r="BQZ40" s="49"/>
      <c r="BRA40" s="49"/>
      <c r="BRB40" s="67"/>
      <c r="BRC40" s="43"/>
      <c r="BRD40" s="48"/>
      <c r="BRE40" s="49"/>
      <c r="BRF40" s="49"/>
      <c r="BRG40" s="49"/>
      <c r="BRH40" s="49"/>
      <c r="BRI40" s="49"/>
      <c r="BRJ40" s="67"/>
      <c r="BRK40" s="43"/>
      <c r="BRL40" s="48"/>
      <c r="BRM40" s="49"/>
      <c r="BRN40" s="49"/>
      <c r="BRO40" s="49"/>
      <c r="BRP40" s="49"/>
      <c r="BRQ40" s="49"/>
      <c r="BRR40" s="67"/>
      <c r="BRS40" s="68"/>
      <c r="BRT40" s="63"/>
      <c r="BRU40" s="64"/>
      <c r="BRV40" s="64"/>
      <c r="BRW40" s="64"/>
      <c r="BRX40" s="64"/>
      <c r="BRY40" s="64"/>
      <c r="BRZ40" s="67"/>
      <c r="BSA40" s="43"/>
      <c r="BSB40" s="48"/>
      <c r="BSC40" s="49"/>
      <c r="BSD40" s="49"/>
      <c r="BSE40" s="49"/>
      <c r="BSF40" s="49"/>
      <c r="BSG40" s="49"/>
      <c r="BSH40" s="67"/>
      <c r="BSI40" s="43"/>
      <c r="BSJ40" s="48"/>
      <c r="BSK40" s="49"/>
      <c r="BSL40" s="49"/>
      <c r="BSM40" s="49"/>
      <c r="BSN40" s="49"/>
      <c r="BSO40" s="49"/>
      <c r="BSP40" s="67"/>
      <c r="BSQ40" s="43"/>
      <c r="BSR40" s="48"/>
      <c r="BSS40" s="49"/>
      <c r="BST40" s="49"/>
      <c r="BSU40" s="49"/>
      <c r="BSV40" s="49"/>
      <c r="BSW40" s="49"/>
      <c r="BSX40" s="67"/>
      <c r="BSY40" s="43"/>
      <c r="BSZ40" s="48"/>
      <c r="BTA40" s="49"/>
      <c r="BTB40" s="49"/>
      <c r="BTC40" s="49"/>
      <c r="BTD40" s="49"/>
      <c r="BTE40" s="49"/>
      <c r="BTF40" s="67"/>
      <c r="BTG40" s="43"/>
      <c r="BTH40" s="48"/>
      <c r="BTI40" s="49"/>
      <c r="BTJ40" s="49"/>
      <c r="BTK40" s="49"/>
      <c r="BTL40" s="49"/>
      <c r="BTM40" s="49"/>
      <c r="BTN40" s="67"/>
      <c r="BTO40" s="68"/>
      <c r="BTP40" s="48"/>
      <c r="BTQ40" s="49"/>
      <c r="BTR40" s="49"/>
      <c r="BTS40" s="49"/>
      <c r="BTT40" s="49"/>
      <c r="BTU40" s="49"/>
      <c r="BTV40" s="67"/>
      <c r="BTW40" s="43"/>
      <c r="BTX40" s="48"/>
      <c r="BTY40" s="49"/>
      <c r="BTZ40" s="49"/>
      <c r="BUA40" s="49"/>
      <c r="BUB40" s="49"/>
      <c r="BUC40" s="49"/>
      <c r="BUD40" s="67"/>
      <c r="BUE40" s="68"/>
      <c r="BUF40" s="48"/>
      <c r="BUG40" s="49"/>
      <c r="BUH40" s="49"/>
      <c r="BUI40" s="49"/>
      <c r="BUJ40" s="49"/>
      <c r="BUK40" s="49"/>
      <c r="BUL40" s="67"/>
      <c r="BUM40" s="68"/>
      <c r="BUN40" s="48"/>
      <c r="BUO40" s="49"/>
      <c r="BUP40" s="49"/>
      <c r="BUQ40" s="49"/>
      <c r="BUR40" s="49"/>
      <c r="BUS40" s="49"/>
      <c r="BUT40" s="67"/>
      <c r="BUU40" s="68"/>
      <c r="BUV40" s="48"/>
      <c r="BUW40" s="49"/>
      <c r="BUX40" s="49"/>
      <c r="BUY40" s="49"/>
      <c r="BUZ40" s="49"/>
      <c r="BVA40" s="49"/>
      <c r="BVB40" s="67"/>
      <c r="BVC40" s="68"/>
      <c r="BVD40" s="48"/>
      <c r="BVE40" s="49"/>
      <c r="BVF40" s="49"/>
      <c r="BVG40" s="49"/>
      <c r="BVH40" s="49"/>
      <c r="BVI40" s="49"/>
      <c r="BVJ40" s="67"/>
      <c r="BVK40" s="68"/>
      <c r="BVL40" s="48"/>
      <c r="BVM40" s="49"/>
      <c r="BVN40" s="49"/>
      <c r="BVO40" s="49"/>
      <c r="BVP40" s="49"/>
      <c r="BVQ40" s="49"/>
      <c r="BVR40" s="67"/>
      <c r="BVS40" s="68"/>
      <c r="BVT40" s="48"/>
      <c r="BVU40" s="49"/>
      <c r="BVV40" s="49"/>
      <c r="BVW40" s="49"/>
      <c r="BVX40" s="49"/>
      <c r="BVY40" s="49"/>
      <c r="BVZ40" s="67"/>
      <c r="BWA40" s="68"/>
      <c r="BWB40" s="48"/>
      <c r="BWC40" s="49"/>
      <c r="BWD40" s="49"/>
      <c r="BWE40" s="49"/>
      <c r="BWF40" s="49"/>
      <c r="BWG40" s="49"/>
      <c r="BWH40" s="67"/>
      <c r="BWI40" s="68"/>
      <c r="BWJ40" s="48"/>
      <c r="BWK40" s="49"/>
      <c r="BWL40" s="49"/>
      <c r="BWM40" s="49"/>
      <c r="BWN40" s="49"/>
      <c r="BWO40" s="49"/>
      <c r="BWP40" s="67"/>
      <c r="BWQ40" s="68"/>
      <c r="BWR40" s="48"/>
      <c r="BWS40" s="49"/>
      <c r="BWT40" s="49"/>
      <c r="BWU40" s="49"/>
      <c r="BWV40" s="49"/>
      <c r="BWW40" s="49"/>
      <c r="BWX40" s="67"/>
      <c r="BWY40" s="68"/>
      <c r="BWZ40" s="48"/>
      <c r="BXA40" s="49"/>
      <c r="BXB40" s="49"/>
      <c r="BXC40" s="49"/>
      <c r="BXD40" s="49"/>
      <c r="BXE40" s="49"/>
      <c r="BXF40" s="67"/>
      <c r="BXG40" s="68"/>
      <c r="BXH40" s="48"/>
      <c r="BXI40" s="49"/>
      <c r="BXJ40" s="49"/>
      <c r="BXK40" s="49"/>
      <c r="BXL40" s="49"/>
      <c r="BXM40" s="49"/>
      <c r="BXN40" s="67"/>
      <c r="BXO40" s="68"/>
      <c r="BXP40" s="48"/>
      <c r="BXQ40" s="49"/>
      <c r="BXR40" s="49"/>
      <c r="BXS40" s="49"/>
      <c r="BXT40" s="49"/>
      <c r="BXU40" s="49"/>
      <c r="BXV40" s="67"/>
      <c r="BXW40" s="68"/>
      <c r="BXX40" s="48"/>
      <c r="BXY40" s="49"/>
      <c r="BXZ40" s="49"/>
      <c r="BYA40" s="49"/>
      <c r="BYB40" s="49"/>
      <c r="BYC40" s="49"/>
      <c r="BYD40" s="67"/>
      <c r="BYE40" s="68"/>
      <c r="BYF40" s="48"/>
      <c r="BYG40" s="49"/>
      <c r="BYH40" s="49"/>
      <c r="BYI40" s="49"/>
      <c r="BYJ40" s="49"/>
      <c r="BYK40" s="49"/>
      <c r="BYL40" s="67"/>
      <c r="BYM40" s="68"/>
      <c r="BYN40" s="48"/>
      <c r="BYO40" s="49"/>
      <c r="BYP40" s="49"/>
      <c r="BYQ40" s="49"/>
      <c r="BYR40" s="49"/>
      <c r="BYS40" s="49"/>
      <c r="BYT40" s="67"/>
      <c r="BYU40" s="68"/>
      <c r="BYV40" s="48"/>
      <c r="BYW40" s="49"/>
      <c r="BYX40" s="49"/>
      <c r="BYY40" s="49"/>
      <c r="BYZ40" s="49"/>
      <c r="BZA40" s="49"/>
      <c r="BZB40" s="67"/>
      <c r="BZC40" s="68"/>
      <c r="BZD40" s="48"/>
      <c r="BZE40" s="49"/>
      <c r="BZF40" s="49"/>
      <c r="BZG40" s="49"/>
      <c r="BZH40" s="49"/>
      <c r="BZI40" s="49"/>
      <c r="BZJ40" s="67"/>
      <c r="BZK40" s="68"/>
      <c r="BZL40" s="48"/>
      <c r="BZM40" s="49"/>
      <c r="BZN40" s="49"/>
      <c r="BZO40" s="49"/>
      <c r="BZP40" s="49"/>
      <c r="BZQ40" s="49"/>
      <c r="BZR40" s="67"/>
      <c r="BZS40" s="68"/>
      <c r="BZT40" s="48"/>
      <c r="BZU40" s="49"/>
      <c r="BZV40" s="49"/>
      <c r="BZW40" s="49"/>
      <c r="BZX40" s="49"/>
      <c r="BZY40" s="49"/>
      <c r="BZZ40" s="67"/>
      <c r="CAA40" s="68"/>
      <c r="CAB40" s="48"/>
      <c r="CAC40" s="49"/>
      <c r="CAD40" s="49"/>
      <c r="CAE40" s="49"/>
      <c r="CAF40" s="49"/>
      <c r="CAG40" s="49"/>
      <c r="CAH40" s="67"/>
      <c r="CAI40" s="68"/>
      <c r="CAJ40" s="48"/>
      <c r="CAK40" s="49"/>
      <c r="CAL40" s="49"/>
      <c r="CAM40" s="49"/>
      <c r="CAN40" s="49"/>
      <c r="CAO40" s="49"/>
      <c r="CAP40" s="67"/>
      <c r="CAQ40" s="68"/>
      <c r="CAR40" s="48"/>
      <c r="CAS40" s="49"/>
      <c r="CAT40" s="49"/>
      <c r="CAU40" s="49"/>
      <c r="CAV40" s="49"/>
      <c r="CAW40" s="49"/>
      <c r="CAX40" s="67"/>
      <c r="CAY40" s="68"/>
      <c r="CAZ40" s="48"/>
      <c r="CBA40" s="49"/>
      <c r="CBB40" s="49"/>
      <c r="CBC40" s="49"/>
      <c r="CBD40" s="49"/>
      <c r="CBE40" s="49"/>
      <c r="CBF40" s="67"/>
      <c r="CBG40" s="68"/>
      <c r="CBH40" s="48"/>
      <c r="CBI40" s="49"/>
      <c r="CBJ40" s="49"/>
      <c r="CBK40" s="49"/>
      <c r="CBL40" s="49"/>
      <c r="CBM40" s="49"/>
      <c r="CBN40" s="67"/>
      <c r="CBO40" s="68"/>
      <c r="CBP40" s="48"/>
      <c r="CBQ40" s="49"/>
      <c r="CBR40" s="49"/>
      <c r="CBS40" s="49"/>
      <c r="CBT40" s="49"/>
      <c r="CBU40" s="49"/>
      <c r="CBV40" s="67"/>
      <c r="CBW40" s="68"/>
      <c r="CBX40" s="48"/>
      <c r="CBY40" s="49"/>
      <c r="CBZ40" s="49"/>
      <c r="CCA40" s="49"/>
      <c r="CCB40" s="49"/>
      <c r="CCC40" s="49"/>
      <c r="CCD40" s="67"/>
      <c r="CCE40" s="68"/>
      <c r="CCF40" s="48"/>
      <c r="CCG40" s="49"/>
      <c r="CCH40" s="49"/>
      <c r="CCI40" s="49"/>
      <c r="CCJ40" s="49"/>
      <c r="CCK40" s="49"/>
      <c r="CCL40" s="67"/>
      <c r="CCM40" s="68"/>
      <c r="CCN40" s="48"/>
      <c r="CCO40" s="49"/>
      <c r="CCP40" s="49"/>
      <c r="CCQ40" s="49"/>
      <c r="CCR40" s="49"/>
      <c r="CCS40" s="49"/>
      <c r="CCT40" s="67"/>
      <c r="CCU40" s="68"/>
      <c r="CCV40" s="48"/>
      <c r="CCW40" s="49"/>
      <c r="CCX40" s="49"/>
      <c r="CCY40" s="49"/>
      <c r="CCZ40" s="49"/>
      <c r="CDA40" s="49"/>
      <c r="CDB40" s="67"/>
      <c r="CDC40" s="68"/>
      <c r="CDD40" s="48"/>
      <c r="CDE40" s="49"/>
      <c r="CDF40" s="49"/>
      <c r="CDG40" s="49"/>
      <c r="CDH40" s="49"/>
      <c r="CDI40" s="49"/>
      <c r="CDJ40" s="67"/>
      <c r="CDK40" s="68"/>
      <c r="CDL40" s="48"/>
      <c r="CDM40" s="49"/>
      <c r="CDN40" s="49"/>
      <c r="CDO40" s="49"/>
      <c r="CDP40" s="49"/>
      <c r="CDQ40" s="49"/>
      <c r="CDR40" s="67"/>
      <c r="CDS40" s="68"/>
      <c r="CDT40" s="48"/>
      <c r="CDU40" s="49"/>
      <c r="CDV40" s="49"/>
      <c r="CDW40" s="49"/>
      <c r="CDX40" s="49"/>
      <c r="CDY40" s="49"/>
      <c r="CDZ40" s="67"/>
      <c r="CEA40" s="68"/>
      <c r="CEB40" s="48"/>
      <c r="CEC40" s="49"/>
      <c r="CED40" s="49"/>
      <c r="CEE40" s="49"/>
      <c r="CEF40" s="49"/>
      <c r="CEG40" s="49"/>
      <c r="CEH40" s="67"/>
      <c r="CEI40" s="68"/>
      <c r="CEJ40" s="48"/>
      <c r="CEK40" s="49"/>
      <c r="CEL40" s="49"/>
      <c r="CEM40" s="49"/>
      <c r="CEN40" s="49"/>
      <c r="CEO40" s="49"/>
      <c r="CEP40" s="67"/>
      <c r="CEQ40" s="68"/>
      <c r="CER40" s="48"/>
      <c r="CES40" s="49"/>
      <c r="CET40" s="49"/>
      <c r="CEU40" s="49"/>
      <c r="CEV40" s="49"/>
      <c r="CEW40" s="49"/>
      <c r="CEX40" s="67"/>
      <c r="CEY40" s="68"/>
      <c r="CEZ40" s="48"/>
      <c r="CFA40" s="49"/>
      <c r="CFB40" s="49"/>
      <c r="CFC40" s="49"/>
      <c r="CFD40" s="49"/>
      <c r="CFE40" s="49"/>
      <c r="CFF40" s="67"/>
      <c r="CFG40" s="68"/>
      <c r="CFH40" s="48"/>
      <c r="CFI40" s="49"/>
      <c r="CFJ40" s="49"/>
      <c r="CFK40" s="49"/>
      <c r="CFL40" s="49"/>
      <c r="CFM40" s="49"/>
      <c r="CFN40" s="67"/>
      <c r="CFO40" s="68"/>
      <c r="CFP40" s="48"/>
      <c r="CFQ40" s="49"/>
      <c r="CFR40" s="49"/>
      <c r="CFS40" s="49"/>
      <c r="CFT40" s="49"/>
      <c r="CFU40" s="49"/>
      <c r="CFV40" s="67"/>
      <c r="CFW40" s="68"/>
      <c r="CFX40" s="48"/>
      <c r="CFY40" s="49"/>
      <c r="CFZ40" s="49"/>
      <c r="CGA40" s="49"/>
      <c r="CGB40" s="49"/>
      <c r="CGC40" s="49"/>
      <c r="CGD40" s="67"/>
      <c r="CGE40" s="68"/>
      <c r="CGF40" s="48"/>
      <c r="CGG40" s="49"/>
      <c r="CGH40" s="49"/>
      <c r="CGI40" s="49"/>
      <c r="CGJ40" s="49"/>
      <c r="CGK40" s="49"/>
      <c r="CGL40" s="67"/>
      <c r="CGM40" s="68"/>
      <c r="CGN40" s="48"/>
      <c r="CGO40" s="49"/>
      <c r="CGP40" s="49"/>
      <c r="CGQ40" s="49"/>
      <c r="CGR40" s="49"/>
      <c r="CGS40" s="49"/>
      <c r="CGT40" s="67"/>
      <c r="CGU40" s="68"/>
      <c r="CGV40" s="48"/>
      <c r="CGW40" s="49"/>
      <c r="CGX40" s="49"/>
      <c r="CGY40" s="49"/>
      <c r="CGZ40" s="49"/>
      <c r="CHA40" s="49"/>
      <c r="CHB40" s="67"/>
      <c r="CHC40" s="68"/>
      <c r="CHD40" s="48"/>
      <c r="CHE40" s="49"/>
      <c r="CHF40" s="49"/>
      <c r="CHG40" s="49"/>
      <c r="CHH40" s="49"/>
      <c r="CHI40" s="49"/>
      <c r="CHJ40" s="67"/>
      <c r="CHK40" s="68"/>
      <c r="CHL40" s="48"/>
      <c r="CHM40" s="49"/>
      <c r="CHN40" s="49"/>
      <c r="CHO40" s="49"/>
      <c r="CHP40" s="49"/>
      <c r="CHQ40" s="49"/>
      <c r="CHR40" s="67"/>
      <c r="CHS40" s="68"/>
      <c r="CHT40" s="48"/>
      <c r="CHU40" s="49"/>
      <c r="CHV40" s="49"/>
      <c r="CHW40" s="49"/>
      <c r="CHX40" s="49"/>
      <c r="CHY40" s="49"/>
      <c r="CHZ40" s="67"/>
      <c r="CIA40" s="68"/>
      <c r="CIB40" s="48"/>
      <c r="CIC40" s="49"/>
      <c r="CID40" s="49"/>
      <c r="CIE40" s="49"/>
      <c r="CIF40" s="49"/>
      <c r="CIG40" s="49"/>
      <c r="CIH40" s="67"/>
      <c r="CII40" s="68"/>
      <c r="CIJ40" s="48"/>
      <c r="CIK40" s="49"/>
      <c r="CIL40" s="49"/>
      <c r="CIM40" s="49"/>
      <c r="CIN40" s="49"/>
      <c r="CIO40" s="49"/>
      <c r="CIP40" s="67"/>
      <c r="CIQ40" s="68"/>
      <c r="CIR40" s="48"/>
      <c r="CIS40" s="49"/>
      <c r="CIT40" s="49"/>
      <c r="CIU40" s="49"/>
      <c r="CIV40" s="49"/>
      <c r="CIW40" s="49"/>
      <c r="CIX40" s="67"/>
      <c r="CIY40" s="68"/>
      <c r="CIZ40" s="63"/>
      <c r="CJA40" s="64"/>
      <c r="CJB40" s="64"/>
      <c r="CJC40" s="64"/>
      <c r="CJD40" s="64"/>
      <c r="CJE40" s="64"/>
      <c r="CJF40" s="67"/>
      <c r="CJG40" s="68"/>
      <c r="CJH40" s="48"/>
      <c r="CJI40" s="49"/>
      <c r="CJJ40" s="49"/>
      <c r="CJK40" s="49"/>
      <c r="CJL40" s="49"/>
      <c r="CJM40" s="49"/>
      <c r="CJN40" s="67"/>
      <c r="CJO40" s="184"/>
      <c r="CJP40" s="48"/>
      <c r="CJQ40" s="49"/>
      <c r="CJR40" s="49"/>
      <c r="CJS40" s="49"/>
      <c r="CJT40" s="49"/>
      <c r="CJU40" s="49"/>
      <c r="CJV40" s="67"/>
      <c r="CJW40" s="68"/>
      <c r="CJX40" s="48"/>
      <c r="CJY40" s="49"/>
      <c r="CJZ40" s="49"/>
      <c r="CKA40" s="49"/>
      <c r="CKB40" s="49"/>
      <c r="CKC40" s="49"/>
      <c r="CKD40" s="67"/>
      <c r="CKE40" s="68"/>
      <c r="CKF40" s="48"/>
      <c r="CKG40" s="49"/>
      <c r="CKH40" s="49"/>
      <c r="CKI40" s="49"/>
      <c r="CKJ40" s="49"/>
      <c r="CKK40" s="49"/>
      <c r="CKL40" s="67"/>
      <c r="CKM40" s="68"/>
      <c r="CKN40" s="48"/>
      <c r="CKO40" s="49"/>
      <c r="CKP40" s="49"/>
      <c r="CKQ40" s="49"/>
      <c r="CKR40" s="49"/>
      <c r="CKS40" s="47"/>
      <c r="CKT40" s="67"/>
      <c r="CKU40" s="68"/>
      <c r="CKV40" s="48"/>
      <c r="CKW40" s="49"/>
      <c r="CKX40" s="49"/>
      <c r="CKY40" s="49"/>
      <c r="CKZ40" s="49"/>
      <c r="CLA40" s="49"/>
      <c r="CLB40" s="67"/>
      <c r="CLC40" s="68"/>
      <c r="CLD40" s="48"/>
      <c r="CLE40" s="49"/>
      <c r="CLF40" s="49"/>
      <c r="CLG40" s="49"/>
      <c r="CLH40" s="49"/>
      <c r="CLI40" s="49"/>
      <c r="CLJ40" s="67"/>
      <c r="CLK40" s="68"/>
      <c r="CLL40" s="48"/>
      <c r="CLM40" s="49"/>
      <c r="CLN40" s="49"/>
      <c r="CLO40" s="49"/>
      <c r="CLP40" s="49"/>
      <c r="CLQ40" s="49"/>
      <c r="CLR40" s="67"/>
      <c r="CLS40" s="68"/>
      <c r="CLT40" s="48"/>
      <c r="CLU40" s="49"/>
      <c r="CLV40" s="49"/>
      <c r="CLW40" s="49"/>
      <c r="CLX40" s="49"/>
      <c r="CLY40" s="49"/>
      <c r="CLZ40" s="67"/>
      <c r="CMA40" s="68"/>
      <c r="CMB40" s="48"/>
      <c r="CMC40" s="49"/>
      <c r="CMD40" s="49"/>
      <c r="CME40" s="49"/>
      <c r="CMF40" s="49"/>
      <c r="CMG40" s="49"/>
      <c r="CMH40" s="67"/>
      <c r="CMI40" s="68"/>
      <c r="CMJ40" s="48"/>
      <c r="CMK40" s="49"/>
      <c r="CML40" s="49"/>
      <c r="CMM40" s="49"/>
      <c r="CMN40" s="49"/>
      <c r="CMO40" s="49"/>
      <c r="CMP40" s="67"/>
      <c r="CMQ40" s="68"/>
      <c r="CMR40" s="48"/>
      <c r="CMS40" s="49"/>
      <c r="CMT40" s="49"/>
      <c r="CMU40" s="49"/>
      <c r="CMV40" s="49"/>
      <c r="CMW40" s="49"/>
      <c r="CMX40" s="67"/>
      <c r="CMY40" s="68"/>
      <c r="CMZ40" s="48"/>
      <c r="CNA40" s="49"/>
      <c r="CNB40" s="49"/>
      <c r="CNC40" s="49"/>
      <c r="CND40" s="49"/>
      <c r="CNE40" s="49"/>
      <c r="CNF40" s="67"/>
      <c r="CNG40" s="68"/>
      <c r="CNH40" s="48"/>
      <c r="CNI40" s="49"/>
      <c r="CNJ40" s="49"/>
      <c r="CNK40" s="49"/>
      <c r="CNL40" s="49"/>
      <c r="CNM40" s="49"/>
      <c r="CNN40" s="67"/>
      <c r="CNO40" s="68"/>
      <c r="CNP40" s="48"/>
      <c r="CNQ40" s="49"/>
      <c r="CNR40" s="49"/>
      <c r="CNS40" s="49"/>
      <c r="CNT40" s="49"/>
      <c r="CNU40" s="49"/>
      <c r="CNV40" s="67"/>
      <c r="CNW40" s="68"/>
      <c r="CNX40" s="48"/>
      <c r="CNY40" s="49"/>
      <c r="CNZ40" s="49"/>
      <c r="COA40" s="49"/>
      <c r="COB40" s="49"/>
      <c r="COC40" s="49"/>
      <c r="COD40" s="67"/>
      <c r="COE40" s="68"/>
      <c r="COF40" s="48"/>
      <c r="COG40" s="49"/>
      <c r="COH40" s="49"/>
      <c r="COI40" s="49"/>
      <c r="COJ40" s="49"/>
      <c r="COK40" s="49"/>
      <c r="COL40" s="67"/>
      <c r="COM40" s="68"/>
      <c r="CON40" s="48"/>
      <c r="COO40" s="49"/>
      <c r="COP40" s="49"/>
      <c r="COQ40" s="49"/>
      <c r="COR40" s="49"/>
      <c r="COS40" s="49"/>
      <c r="COT40" s="67"/>
      <c r="COU40" s="68"/>
      <c r="COV40" s="48"/>
      <c r="COW40" s="49"/>
      <c r="COX40" s="49"/>
      <c r="COY40" s="49"/>
      <c r="COZ40" s="49"/>
      <c r="CPA40" s="49"/>
      <c r="CPB40" s="67"/>
      <c r="CPC40" s="68"/>
      <c r="CPD40" s="48"/>
      <c r="CPE40" s="49"/>
      <c r="CPF40" s="49"/>
      <c r="CPG40" s="49"/>
      <c r="CPH40" s="49"/>
      <c r="CPI40" s="49"/>
      <c r="CPJ40" s="67"/>
      <c r="CPK40" s="68"/>
      <c r="CPL40" s="48"/>
      <c r="CPM40" s="49"/>
      <c r="CPN40" s="49"/>
      <c r="CPO40" s="49"/>
      <c r="CPP40" s="49"/>
      <c r="CPQ40" s="49"/>
      <c r="CPR40" s="67"/>
      <c r="CPS40" s="68"/>
      <c r="CPT40" s="48"/>
      <c r="CPU40" s="49"/>
      <c r="CPV40" s="49"/>
      <c r="CPW40" s="49"/>
      <c r="CPX40" s="49"/>
      <c r="CPY40" s="49"/>
      <c r="CPZ40" s="67"/>
      <c r="CQA40" s="68"/>
      <c r="CQB40" s="48"/>
      <c r="CQC40" s="49"/>
      <c r="CQD40" s="49"/>
      <c r="CQE40" s="49"/>
      <c r="CQF40" s="49"/>
      <c r="CQG40" s="49"/>
      <c r="CQH40" s="67"/>
      <c r="CQI40" s="68"/>
      <c r="CQJ40" s="82"/>
      <c r="CQK40" s="83"/>
      <c r="CQL40" s="83"/>
      <c r="CQM40" s="83"/>
      <c r="CQN40" s="83"/>
      <c r="CQO40" s="83"/>
      <c r="CQP40" s="67"/>
      <c r="CQQ40" s="68"/>
      <c r="CQR40" s="239"/>
      <c r="CQS40" s="1"/>
      <c r="CQT40" s="1"/>
      <c r="CQU40" s="1"/>
      <c r="CQV40" s="1"/>
      <c r="CQW40" s="1"/>
      <c r="CQX40" s="67"/>
      <c r="CQY40" s="68"/>
      <c r="CQZ40" s="48"/>
      <c r="CRA40" s="49"/>
      <c r="CRB40" s="49"/>
      <c r="CRC40" s="49"/>
      <c r="CRD40" s="49"/>
      <c r="CRE40" s="49"/>
      <c r="CRF40" s="67"/>
      <c r="CRG40" s="68"/>
      <c r="CRH40" s="48"/>
      <c r="CRI40" s="49"/>
      <c r="CRJ40" s="49"/>
      <c r="CRK40" s="49"/>
      <c r="CRL40" s="49"/>
      <c r="CRM40" s="49"/>
      <c r="CRN40" s="67"/>
      <c r="CRO40" s="68"/>
      <c r="CRP40" s="48"/>
      <c r="CRQ40" s="49"/>
      <c r="CRR40" s="49"/>
      <c r="CRS40" s="49"/>
      <c r="CRT40" s="49"/>
      <c r="CRU40" s="49"/>
      <c r="CRV40" s="47"/>
      <c r="CRW40" s="68"/>
      <c r="CRX40" s="48"/>
      <c r="CRY40" s="49"/>
      <c r="CRZ40" s="49"/>
      <c r="CSA40" s="49"/>
      <c r="CSB40" s="49"/>
      <c r="CSC40" s="49"/>
      <c r="CSD40" s="67"/>
      <c r="CSE40" s="68"/>
      <c r="CSF40" s="48"/>
      <c r="CSG40" s="49"/>
      <c r="CSH40" s="49"/>
      <c r="CSI40" s="49"/>
      <c r="CSJ40" s="49"/>
      <c r="CSK40" s="360"/>
      <c r="CSL40" s="64"/>
      <c r="CSM40" s="68"/>
      <c r="CSN40" s="48"/>
      <c r="CSO40" s="49"/>
      <c r="CSP40" s="49"/>
      <c r="CSQ40" s="49"/>
      <c r="CSR40" s="49"/>
      <c r="CSS40" s="49"/>
      <c r="CST40" s="64"/>
      <c r="CSU40" s="68"/>
      <c r="CSV40" s="48"/>
      <c r="CSW40" s="49"/>
      <c r="CSX40" s="49"/>
      <c r="CSY40" s="49"/>
      <c r="CSZ40" s="49"/>
      <c r="CTA40" s="49"/>
      <c r="CTB40" s="64"/>
      <c r="CTC40" s="68"/>
      <c r="CTD40" s="48"/>
      <c r="CTE40" s="49"/>
      <c r="CTF40" s="49"/>
      <c r="CTG40" s="49"/>
      <c r="CTH40" s="49"/>
      <c r="CTI40" s="49"/>
      <c r="CTJ40" s="64"/>
      <c r="CTK40" s="68"/>
      <c r="CTL40" s="48"/>
      <c r="CTM40" s="49"/>
      <c r="CTN40" s="49"/>
      <c r="CTO40" s="49"/>
      <c r="CTP40" s="49"/>
      <c r="CTQ40" s="49"/>
      <c r="CTR40" s="64"/>
      <c r="CTS40" s="68"/>
      <c r="CTT40" s="48"/>
      <c r="CTU40" s="49"/>
      <c r="CTV40" s="49"/>
      <c r="CTW40" s="49"/>
      <c r="CTX40" s="49"/>
      <c r="CTY40" s="49"/>
      <c r="CTZ40" s="64"/>
      <c r="CUA40" s="68"/>
      <c r="CUB40" s="48"/>
      <c r="CUC40" s="49"/>
      <c r="CUD40" s="49"/>
      <c r="CUE40" s="49"/>
      <c r="CUF40" s="49"/>
      <c r="CUG40" s="49"/>
      <c r="CUH40" s="64"/>
      <c r="CUI40" s="68"/>
      <c r="CUJ40" s="48"/>
      <c r="CUK40" s="49"/>
      <c r="CUL40" s="49"/>
      <c r="CUM40" s="49"/>
      <c r="CUN40" s="49"/>
      <c r="CUO40" s="49"/>
      <c r="CUP40" s="64"/>
      <c r="CUQ40" s="68"/>
      <c r="CUR40" s="48"/>
      <c r="CUS40" s="49"/>
      <c r="CUT40" s="49"/>
      <c r="CUU40" s="49"/>
      <c r="CUV40" s="49"/>
      <c r="CUW40" s="49"/>
      <c r="CUX40" s="64"/>
      <c r="CUY40" s="68"/>
      <c r="CUZ40" s="48"/>
      <c r="CVA40" s="49"/>
      <c r="CVB40" s="49"/>
      <c r="CVC40" s="49"/>
      <c r="CVD40" s="49"/>
      <c r="CVE40" s="49"/>
      <c r="CVF40" s="64"/>
      <c r="CVG40" s="68"/>
      <c r="CVH40" s="48"/>
      <c r="CVI40" s="49"/>
      <c r="CVJ40" s="49"/>
      <c r="CVK40" s="49"/>
      <c r="CVL40" s="49"/>
      <c r="CVM40" s="49"/>
      <c r="CVN40" s="64"/>
      <c r="CVO40" s="68"/>
      <c r="CVP40" s="48"/>
      <c r="CVQ40" s="49"/>
      <c r="CVR40" s="49"/>
      <c r="CVS40" s="49"/>
      <c r="CVT40" s="49"/>
      <c r="CVU40" s="49"/>
      <c r="CVV40" s="64"/>
      <c r="CVW40" s="68"/>
      <c r="CVX40" s="48"/>
      <c r="CVY40" s="49"/>
      <c r="CVZ40" s="49"/>
      <c r="CWA40" s="49"/>
      <c r="CWB40" s="49"/>
      <c r="CWC40" s="49"/>
      <c r="CWD40" s="64"/>
      <c r="CWE40" s="68"/>
      <c r="CWF40" s="48"/>
      <c r="CWG40" s="49"/>
      <c r="CWH40" s="49"/>
      <c r="CWI40" s="49"/>
      <c r="CWJ40" s="49"/>
      <c r="CWK40" s="49"/>
      <c r="CWL40" s="64"/>
      <c r="CWM40" s="68"/>
      <c r="CWN40" s="48"/>
      <c r="CWO40" s="49"/>
      <c r="CWP40" s="49"/>
      <c r="CWQ40" s="49"/>
      <c r="CWR40" s="49"/>
      <c r="CWS40" s="49"/>
      <c r="CWT40" s="64"/>
      <c r="CWU40" s="68"/>
      <c r="CWV40" s="48"/>
      <c r="CWW40" s="49"/>
      <c r="CWX40" s="49"/>
      <c r="CWY40" s="49"/>
      <c r="CWZ40" s="49"/>
      <c r="CXA40" s="49"/>
      <c r="CXB40" s="127"/>
      <c r="CXC40" s="43"/>
      <c r="CXD40" s="48"/>
      <c r="CXE40" s="49"/>
      <c r="CXF40" s="49"/>
      <c r="CXG40" s="49"/>
      <c r="CXH40" s="49"/>
      <c r="CXI40" s="49"/>
      <c r="CXJ40" s="127"/>
      <c r="CXK40" s="43"/>
      <c r="CXL40" s="48"/>
      <c r="CXM40" s="49"/>
      <c r="CXN40" s="49"/>
      <c r="CXO40" s="49"/>
      <c r="CXP40" s="49"/>
      <c r="CXQ40" s="49"/>
      <c r="CXR40" s="127"/>
      <c r="CXS40" s="43"/>
      <c r="CXT40" s="48"/>
      <c r="CXU40" s="49"/>
      <c r="CXV40" s="49"/>
      <c r="CXW40" s="49"/>
      <c r="CXX40" s="49"/>
      <c r="CXY40" s="49"/>
      <c r="CXZ40" s="127"/>
      <c r="CYA40" s="43"/>
      <c r="CYB40" s="48"/>
      <c r="CYC40" s="49"/>
      <c r="CYD40" s="49"/>
      <c r="CYE40" s="49"/>
      <c r="CYF40" s="49"/>
      <c r="CYG40" s="49"/>
      <c r="CYH40" s="127"/>
      <c r="CYI40" s="43"/>
      <c r="CYJ40" s="48"/>
      <c r="CYK40" s="49"/>
      <c r="CYL40" s="49"/>
      <c r="CYM40" s="49"/>
      <c r="CYN40" s="49"/>
      <c r="CYO40" s="49"/>
      <c r="CYP40" s="127"/>
      <c r="CYQ40" s="43"/>
      <c r="CYR40" s="48"/>
      <c r="CYS40" s="49"/>
      <c r="CYT40" s="49"/>
      <c r="CYU40" s="49"/>
      <c r="CYV40" s="49"/>
      <c r="CYW40" s="49"/>
      <c r="CYX40" s="127"/>
      <c r="CYY40" s="43"/>
      <c r="CYZ40" s="48"/>
      <c r="CZA40" s="49"/>
      <c r="CZB40" s="49"/>
      <c r="CZC40" s="49"/>
      <c r="CZD40" s="49"/>
      <c r="CZE40" s="49"/>
      <c r="CZF40" s="127"/>
      <c r="CZG40" s="43"/>
      <c r="CZH40" s="48"/>
      <c r="CZI40" s="49"/>
      <c r="CZJ40" s="49"/>
      <c r="CZK40" s="49"/>
      <c r="CZL40" s="49"/>
      <c r="CZM40" s="49"/>
      <c r="CZN40" s="127"/>
      <c r="CZO40" s="43"/>
      <c r="CZP40" s="48"/>
      <c r="CZQ40" s="49"/>
      <c r="CZR40" s="49"/>
      <c r="CZS40" s="49"/>
      <c r="CZT40" s="49"/>
      <c r="CZU40" s="49"/>
      <c r="CZV40" s="127"/>
      <c r="CZW40" s="43"/>
      <c r="CZX40" s="48"/>
      <c r="CZY40" s="49"/>
      <c r="CZZ40" s="49"/>
      <c r="DAA40" s="49"/>
      <c r="DAB40" s="49"/>
      <c r="DAC40" s="49"/>
      <c r="DAD40" s="64"/>
      <c r="DAE40" s="68"/>
      <c r="DAF40" s="48"/>
      <c r="DAG40" s="49"/>
      <c r="DAH40" s="49"/>
      <c r="DAI40" s="49"/>
      <c r="DAJ40" s="49"/>
      <c r="DAK40" s="49"/>
      <c r="DAL40" s="64"/>
      <c r="DAM40" s="68"/>
      <c r="DAN40" s="48"/>
      <c r="DAO40" s="49"/>
      <c r="DAP40" s="49"/>
      <c r="DAQ40" s="49"/>
      <c r="DAR40" s="49"/>
      <c r="DAS40" s="49"/>
      <c r="DAT40" s="64"/>
      <c r="DAU40" s="68"/>
      <c r="DAV40" s="48"/>
      <c r="DAW40" s="49"/>
      <c r="DAX40" s="49"/>
      <c r="DAY40" s="49"/>
      <c r="DAZ40" s="49"/>
      <c r="DBA40" s="49"/>
      <c r="DBB40" s="64"/>
      <c r="DBC40" s="68"/>
      <c r="DBD40" s="48"/>
      <c r="DBE40" s="49"/>
      <c r="DBF40" s="49"/>
      <c r="DBG40" s="49"/>
      <c r="DBH40" s="49"/>
      <c r="DBI40" s="49"/>
      <c r="DBJ40" s="64"/>
      <c r="DBK40" s="68"/>
      <c r="DBL40" s="48"/>
      <c r="DBM40" s="49"/>
      <c r="DBN40" s="49"/>
      <c r="DBO40" s="49"/>
      <c r="DBP40" s="49"/>
      <c r="DBQ40" s="49"/>
      <c r="DBR40" s="64"/>
      <c r="DBS40" s="68"/>
      <c r="DBT40" s="48"/>
      <c r="DBU40" s="49"/>
      <c r="DBV40" s="49"/>
      <c r="DBW40" s="49"/>
      <c r="DBX40" s="49"/>
      <c r="DBY40" s="49"/>
      <c r="DBZ40" s="64"/>
      <c r="DCA40" s="68"/>
      <c r="DCB40" s="48"/>
      <c r="DCC40" s="49"/>
      <c r="DCD40" s="49"/>
      <c r="DCE40" s="49"/>
      <c r="DCF40" s="49"/>
      <c r="DCG40" s="49"/>
      <c r="DCH40" s="64"/>
      <c r="DCI40" s="68"/>
      <c r="DCJ40" s="48"/>
      <c r="DCK40" s="49"/>
      <c r="DCL40" s="49"/>
      <c r="DCM40" s="49"/>
      <c r="DCN40" s="49"/>
      <c r="DCO40" s="49"/>
      <c r="DCP40" s="64"/>
      <c r="DCQ40" s="68"/>
      <c r="DCR40" s="48"/>
      <c r="DCS40" s="49"/>
      <c r="DCT40" s="49"/>
      <c r="DCU40" s="49"/>
      <c r="DCV40" s="49"/>
      <c r="DCW40" s="49"/>
      <c r="DCX40" s="64"/>
      <c r="DCY40" s="68"/>
      <c r="DCZ40" s="48"/>
      <c r="DDA40" s="49"/>
      <c r="DDB40" s="49"/>
      <c r="DDC40" s="49"/>
      <c r="DDD40" s="49"/>
      <c r="DDE40" s="49"/>
      <c r="DDF40" s="64"/>
      <c r="DDG40" s="68"/>
      <c r="DDH40" s="48"/>
      <c r="DDI40" s="49"/>
      <c r="DDJ40" s="49"/>
      <c r="DDK40" s="49"/>
      <c r="DDL40" s="49"/>
      <c r="DDM40" s="49"/>
      <c r="DDN40" s="127"/>
      <c r="DDO40" s="43"/>
      <c r="DDP40" s="48"/>
      <c r="DDQ40" s="49"/>
      <c r="DDR40" s="49"/>
      <c r="DDS40" s="49"/>
      <c r="DDT40" s="49"/>
      <c r="DDU40" s="49"/>
      <c r="DDV40" s="127"/>
      <c r="DDW40" s="43"/>
      <c r="DDX40" s="48"/>
      <c r="DDY40" s="49"/>
      <c r="DDZ40" s="49"/>
      <c r="DEA40" s="49"/>
      <c r="DEB40" s="49"/>
      <c r="DEC40" s="49"/>
      <c r="DED40" s="127"/>
      <c r="DEE40" s="43"/>
      <c r="DEF40" s="48"/>
      <c r="DEG40" s="49"/>
      <c r="DEH40" s="49"/>
      <c r="DEI40" s="49"/>
      <c r="DEJ40" s="49">
        <v>0</v>
      </c>
      <c r="DEK40" s="49"/>
      <c r="DEL40" s="127"/>
      <c r="DEM40" s="43"/>
      <c r="DEN40" s="48">
        <v>0</v>
      </c>
      <c r="DEO40" s="49">
        <v>0</v>
      </c>
      <c r="DEP40" s="49">
        <v>0</v>
      </c>
      <c r="DEQ40" s="49">
        <v>0</v>
      </c>
      <c r="DER40" s="49"/>
      <c r="DES40" s="49"/>
      <c r="DET40" s="127">
        <f t="shared" si="1808"/>
        <v>0</v>
      </c>
      <c r="DEU40" s="43">
        <f t="shared" si="1809"/>
        <v>0</v>
      </c>
      <c r="DEV40" s="48">
        <v>0</v>
      </c>
      <c r="DEW40" s="49">
        <v>0</v>
      </c>
      <c r="DEX40" s="49">
        <v>0</v>
      </c>
      <c r="DEY40" s="49">
        <v>0</v>
      </c>
      <c r="DEZ40" s="49">
        <v>0</v>
      </c>
      <c r="DFA40" s="49">
        <v>0</v>
      </c>
      <c r="DFB40" s="127">
        <f t="shared" si="1810"/>
        <v>0</v>
      </c>
      <c r="DFC40" s="43">
        <f t="shared" si="1811"/>
        <v>0</v>
      </c>
      <c r="DFD40" s="48"/>
      <c r="DFE40" s="49">
        <v>0</v>
      </c>
      <c r="DFF40" s="49">
        <v>0</v>
      </c>
      <c r="DFG40" s="49">
        <v>1105</v>
      </c>
      <c r="DFH40" s="49">
        <v>0</v>
      </c>
      <c r="DFI40" s="49">
        <v>0</v>
      </c>
      <c r="DFJ40" s="127">
        <f t="shared" si="1812"/>
        <v>1105</v>
      </c>
      <c r="DFK40" s="43">
        <f t="shared" si="1813"/>
        <v>184.16666666666666</v>
      </c>
      <c r="DFL40" s="63">
        <v>0</v>
      </c>
      <c r="DFM40" s="64">
        <v>0</v>
      </c>
      <c r="DFN40" s="64">
        <v>0</v>
      </c>
      <c r="DFO40" s="64">
        <v>0</v>
      </c>
      <c r="DFP40" s="64">
        <v>0</v>
      </c>
      <c r="DFQ40" s="64">
        <v>0</v>
      </c>
      <c r="DFR40" s="64">
        <f t="shared" si="1814"/>
        <v>0</v>
      </c>
      <c r="DFS40" s="68">
        <f t="shared" si="1815"/>
        <v>0</v>
      </c>
      <c r="DFT40" s="48">
        <v>0</v>
      </c>
      <c r="DFU40" s="49">
        <v>0</v>
      </c>
      <c r="DFV40" s="49">
        <v>0</v>
      </c>
      <c r="DFW40" s="49">
        <v>0</v>
      </c>
      <c r="DFX40" s="49"/>
      <c r="DFY40" s="49">
        <v>0</v>
      </c>
      <c r="DFZ40" s="127">
        <f t="shared" si="1816"/>
        <v>0</v>
      </c>
      <c r="DGA40" s="43">
        <f t="shared" si="1817"/>
        <v>0</v>
      </c>
      <c r="DGB40" s="48">
        <v>0</v>
      </c>
      <c r="DGC40" s="49">
        <v>0</v>
      </c>
      <c r="DGD40" s="49">
        <v>0</v>
      </c>
      <c r="DGE40" s="49">
        <v>844</v>
      </c>
      <c r="DGF40" s="49">
        <v>0</v>
      </c>
      <c r="DGG40" s="49">
        <v>0</v>
      </c>
      <c r="DGH40" s="127">
        <f t="shared" si="1818"/>
        <v>844</v>
      </c>
      <c r="DGI40" s="43">
        <f t="shared" si="1819"/>
        <v>140.66666666666666</v>
      </c>
      <c r="DGJ40" s="48">
        <v>0</v>
      </c>
      <c r="DGK40" s="49">
        <v>0</v>
      </c>
      <c r="DGL40" s="49">
        <v>324</v>
      </c>
      <c r="DGM40" s="49">
        <v>0</v>
      </c>
      <c r="DGN40" s="49">
        <v>0</v>
      </c>
      <c r="DGO40" s="49">
        <v>0</v>
      </c>
      <c r="DGP40" s="64">
        <f t="shared" si="1820"/>
        <v>324</v>
      </c>
      <c r="DGQ40" s="68">
        <f t="shared" si="1821"/>
        <v>54</v>
      </c>
      <c r="DGR40" s="48">
        <v>0</v>
      </c>
      <c r="DGS40" s="49">
        <v>0</v>
      </c>
      <c r="DGT40" s="49">
        <v>0</v>
      </c>
      <c r="DGU40" s="49">
        <v>0</v>
      </c>
      <c r="DGV40" s="49">
        <v>0</v>
      </c>
      <c r="DGW40" s="49">
        <v>0</v>
      </c>
      <c r="DGX40" s="64">
        <f t="shared" si="1822"/>
        <v>0</v>
      </c>
      <c r="DGY40" s="68">
        <f t="shared" si="1823"/>
        <v>0</v>
      </c>
      <c r="DGZ40" s="48">
        <v>0</v>
      </c>
      <c r="DHA40" s="49">
        <v>0</v>
      </c>
      <c r="DHB40" s="49">
        <v>0</v>
      </c>
      <c r="DHC40" s="49"/>
      <c r="DHD40" s="49">
        <v>0</v>
      </c>
      <c r="DHE40" s="49">
        <v>0</v>
      </c>
      <c r="DHF40" s="64">
        <f t="shared" si="1824"/>
        <v>0</v>
      </c>
      <c r="DHG40" s="68">
        <f t="shared" si="1825"/>
        <v>0</v>
      </c>
      <c r="DHH40" s="63">
        <v>0</v>
      </c>
      <c r="DHI40" s="64">
        <v>0</v>
      </c>
      <c r="DHJ40" s="64">
        <v>0</v>
      </c>
      <c r="DHK40" s="64">
        <v>0</v>
      </c>
      <c r="DHL40" s="64">
        <v>0</v>
      </c>
      <c r="DHM40" s="64">
        <v>0</v>
      </c>
      <c r="DHN40" s="64">
        <f t="shared" si="1826"/>
        <v>0</v>
      </c>
      <c r="DHO40" s="68">
        <f t="shared" si="1827"/>
        <v>0</v>
      </c>
      <c r="DHP40" s="48">
        <v>0</v>
      </c>
      <c r="DHQ40" s="49">
        <v>0</v>
      </c>
      <c r="DHR40" s="49"/>
      <c r="DHS40" s="49">
        <v>176</v>
      </c>
      <c r="DHT40" s="49">
        <v>24</v>
      </c>
      <c r="DHU40" s="49">
        <v>0</v>
      </c>
      <c r="DHV40" s="64">
        <f t="shared" si="1828"/>
        <v>200</v>
      </c>
      <c r="DHW40" s="68">
        <f t="shared" si="1829"/>
        <v>33.333333333333336</v>
      </c>
      <c r="DHX40" s="48">
        <v>0</v>
      </c>
      <c r="DHY40" s="49"/>
      <c r="DHZ40" s="49"/>
      <c r="DIA40" s="49">
        <v>0</v>
      </c>
      <c r="DIB40" s="49">
        <v>474</v>
      </c>
      <c r="DIC40" s="49">
        <v>0</v>
      </c>
      <c r="DID40" s="64">
        <f t="shared" si="1830"/>
        <v>474</v>
      </c>
      <c r="DIE40" s="68">
        <f t="shared" si="1831"/>
        <v>79</v>
      </c>
      <c r="DIF40" s="48">
        <v>405</v>
      </c>
      <c r="DIG40" s="49">
        <v>0</v>
      </c>
      <c r="DIH40" s="49"/>
      <c r="DII40" s="49">
        <v>0</v>
      </c>
      <c r="DIJ40" s="49">
        <v>0</v>
      </c>
      <c r="DIK40" s="49"/>
      <c r="DIL40" s="64">
        <f t="shared" si="1832"/>
        <v>405</v>
      </c>
      <c r="DIM40" s="68">
        <f t="shared" si="1833"/>
        <v>67.5</v>
      </c>
      <c r="DIN40" s="48">
        <v>0</v>
      </c>
      <c r="DIO40" s="49"/>
      <c r="DIP40" s="49">
        <v>0</v>
      </c>
      <c r="DIQ40" s="49">
        <v>618</v>
      </c>
      <c r="DIR40" s="49">
        <v>0</v>
      </c>
      <c r="DIS40" s="49">
        <v>0</v>
      </c>
      <c r="DIT40" s="64">
        <f t="shared" si="1834"/>
        <v>618</v>
      </c>
      <c r="DIU40" s="68">
        <f t="shared" si="1835"/>
        <v>103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365</v>
      </c>
      <c r="DJB40" s="64">
        <f t="shared" si="1836"/>
        <v>365</v>
      </c>
      <c r="DJC40" s="68">
        <f t="shared" si="1837"/>
        <v>60.833333333333336</v>
      </c>
      <c r="DJD40" s="48">
        <v>0</v>
      </c>
      <c r="DJE40" s="49">
        <v>404</v>
      </c>
      <c r="DJF40" s="49">
        <v>0</v>
      </c>
      <c r="DJG40" s="49">
        <v>0</v>
      </c>
      <c r="DJH40" s="49">
        <v>0</v>
      </c>
      <c r="DJI40" s="49"/>
      <c r="DJJ40" s="64">
        <f t="shared" si="1838"/>
        <v>404</v>
      </c>
      <c r="DJK40" s="68">
        <f t="shared" si="1839"/>
        <v>67.333333333333329</v>
      </c>
      <c r="DJL40" s="48">
        <v>0</v>
      </c>
      <c r="DJM40" s="49">
        <v>0</v>
      </c>
      <c r="DJN40" s="49">
        <v>215</v>
      </c>
      <c r="DJO40" s="49">
        <v>0</v>
      </c>
      <c r="DJP40" s="49">
        <v>0</v>
      </c>
      <c r="DJQ40" s="49">
        <v>0</v>
      </c>
      <c r="DJR40" s="64">
        <f t="shared" si="1840"/>
        <v>215</v>
      </c>
      <c r="DJS40" s="68">
        <f t="shared" si="1841"/>
        <v>35.833333333333336</v>
      </c>
      <c r="DJT40" s="48"/>
      <c r="DJU40" s="49">
        <v>0</v>
      </c>
      <c r="DJV40" s="49">
        <v>0</v>
      </c>
      <c r="DJW40" s="49">
        <v>0</v>
      </c>
      <c r="DJX40" s="49">
        <v>161</v>
      </c>
      <c r="DJY40" s="49">
        <v>0</v>
      </c>
      <c r="DJZ40" s="64">
        <f t="shared" si="1842"/>
        <v>161</v>
      </c>
      <c r="DKA40" s="68">
        <f t="shared" si="1843"/>
        <v>26.833333333333332</v>
      </c>
      <c r="DKB40" s="48">
        <v>0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44"/>
        <v>0</v>
      </c>
      <c r="DKI40" s="68">
        <f t="shared" si="1845"/>
        <v>0</v>
      </c>
      <c r="DKJ40" s="48">
        <v>0</v>
      </c>
      <c r="DKK40" s="49">
        <v>0</v>
      </c>
      <c r="DKL40" s="49">
        <v>0</v>
      </c>
      <c r="DKM40" s="49"/>
      <c r="DKN40" s="49">
        <v>0</v>
      </c>
      <c r="DKO40" s="49"/>
      <c r="DKP40" s="64">
        <f t="shared" si="1846"/>
        <v>0</v>
      </c>
      <c r="DKQ40" s="68">
        <f t="shared" si="1847"/>
        <v>0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48"/>
        <v>0</v>
      </c>
      <c r="DKY40" s="68">
        <f t="shared" si="1849"/>
        <v>0</v>
      </c>
      <c r="DKZ40" s="48"/>
      <c r="DLA40" s="49">
        <v>0</v>
      </c>
      <c r="DLB40" s="49">
        <v>0</v>
      </c>
      <c r="DLC40" s="49">
        <v>0</v>
      </c>
      <c r="DLD40" s="49"/>
      <c r="DLE40" s="49">
        <v>0</v>
      </c>
      <c r="DLF40" s="64">
        <f t="shared" si="1850"/>
        <v>0</v>
      </c>
      <c r="DLG40" s="68">
        <f t="shared" si="1851"/>
        <v>0</v>
      </c>
      <c r="DLH40" s="48"/>
      <c r="DLI40" s="49">
        <v>0</v>
      </c>
      <c r="DLJ40" s="49">
        <v>1028</v>
      </c>
      <c r="DLK40" s="49">
        <v>0</v>
      </c>
      <c r="DLL40" s="49"/>
      <c r="DLM40" s="49">
        <v>0</v>
      </c>
      <c r="DLN40" s="64">
        <f t="shared" si="1852"/>
        <v>1028</v>
      </c>
      <c r="DLO40" s="68">
        <f t="shared" si="1853"/>
        <v>171.33333333333334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54"/>
        <v>0</v>
      </c>
      <c r="DLW40" s="68">
        <f t="shared" si="1855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56"/>
        <v>0</v>
      </c>
      <c r="DME40" s="68">
        <f t="shared" si="1857"/>
        <v>0</v>
      </c>
      <c r="DMF40" s="48"/>
      <c r="DMG40" s="49">
        <v>687</v>
      </c>
      <c r="DMH40" s="49"/>
      <c r="DMI40" s="49">
        <v>0</v>
      </c>
      <c r="DMJ40" s="49">
        <v>0</v>
      </c>
      <c r="DMK40" s="49">
        <v>364</v>
      </c>
      <c r="DML40" s="64">
        <f t="shared" si="1858"/>
        <v>1051</v>
      </c>
      <c r="DMM40" s="68">
        <f t="shared" si="1859"/>
        <v>175.16666666666666</v>
      </c>
      <c r="DMN40" s="48">
        <v>0</v>
      </c>
      <c r="DMO40" s="49"/>
      <c r="DMP40" s="49">
        <v>0</v>
      </c>
      <c r="DMQ40" s="49">
        <v>0</v>
      </c>
      <c r="DMR40" s="49">
        <v>0</v>
      </c>
      <c r="DMS40" s="49">
        <v>0</v>
      </c>
      <c r="DMT40" s="64">
        <f t="shared" si="1860"/>
        <v>0</v>
      </c>
      <c r="DMU40" s="68">
        <f t="shared" si="1861"/>
        <v>0</v>
      </c>
      <c r="DMV40" s="48">
        <v>0</v>
      </c>
      <c r="DMW40" s="49">
        <v>0</v>
      </c>
      <c r="DMX40" s="49">
        <v>0</v>
      </c>
      <c r="DMY40" s="49">
        <v>0</v>
      </c>
      <c r="DMZ40" s="49">
        <v>10</v>
      </c>
      <c r="DNA40" s="49">
        <v>0</v>
      </c>
      <c r="DNB40" s="64">
        <f t="shared" si="1862"/>
        <v>10</v>
      </c>
      <c r="DNC40" s="68">
        <f t="shared" si="1863"/>
        <v>1.6666666666666667</v>
      </c>
      <c r="DND40" s="48"/>
      <c r="DNE40" s="49">
        <v>0</v>
      </c>
      <c r="DNF40" s="49">
        <v>0</v>
      </c>
      <c r="DNG40" s="49">
        <v>245</v>
      </c>
      <c r="DNH40" s="49">
        <v>0</v>
      </c>
      <c r="DNI40" s="49">
        <v>0</v>
      </c>
      <c r="DNJ40" s="64">
        <f t="shared" si="1864"/>
        <v>245</v>
      </c>
      <c r="DNK40" s="68">
        <f t="shared" si="1865"/>
        <v>40.833333333333336</v>
      </c>
      <c r="DNL40" s="48"/>
      <c r="DNM40" s="49"/>
      <c r="DNN40" s="49">
        <v>0</v>
      </c>
      <c r="DNO40" s="49">
        <v>0</v>
      </c>
      <c r="DNP40" s="49">
        <v>328</v>
      </c>
      <c r="DNQ40" s="49">
        <v>0</v>
      </c>
      <c r="DNR40" s="64">
        <f t="shared" si="1866"/>
        <v>328</v>
      </c>
      <c r="DNS40" s="68">
        <f t="shared" si="1867"/>
        <v>54.666666666666664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0</v>
      </c>
      <c r="DNZ40" s="64">
        <f t="shared" si="1868"/>
        <v>0</v>
      </c>
      <c r="DOA40" s="68">
        <f t="shared" si="1869"/>
        <v>0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0</v>
      </c>
      <c r="DOH40" s="64">
        <f t="shared" si="1870"/>
        <v>0</v>
      </c>
      <c r="DOI40" s="68">
        <f t="shared" si="1871"/>
        <v>0</v>
      </c>
      <c r="DOJ40" s="48">
        <v>0</v>
      </c>
      <c r="DOK40" s="49">
        <v>218</v>
      </c>
      <c r="DOL40" s="49">
        <v>0</v>
      </c>
      <c r="DOM40" s="49"/>
      <c r="DON40" s="49">
        <v>0</v>
      </c>
      <c r="DOO40" s="49">
        <v>0</v>
      </c>
      <c r="DOP40" s="64">
        <f t="shared" si="1872"/>
        <v>218</v>
      </c>
      <c r="DOQ40" s="68">
        <f t="shared" si="1873"/>
        <v>36.333333333333336</v>
      </c>
      <c r="DOR40" s="48">
        <v>0</v>
      </c>
      <c r="DOS40" s="49">
        <v>0</v>
      </c>
      <c r="DOT40" s="49">
        <v>0</v>
      </c>
      <c r="DOU40" s="49">
        <v>900</v>
      </c>
      <c r="DOV40" s="49"/>
      <c r="DOW40" s="49">
        <v>0</v>
      </c>
      <c r="DOX40" s="64">
        <f t="shared" si="1874"/>
        <v>900</v>
      </c>
      <c r="DOY40" s="68">
        <f t="shared" si="1875"/>
        <v>150</v>
      </c>
      <c r="DOZ40" s="48"/>
      <c r="DPA40" s="49">
        <v>0</v>
      </c>
      <c r="DPB40" s="49"/>
      <c r="DPC40" s="49">
        <v>0</v>
      </c>
      <c r="DPD40" s="49"/>
      <c r="DPE40" s="49">
        <v>0</v>
      </c>
      <c r="DPF40" s="64">
        <f t="shared" si="1876"/>
        <v>0</v>
      </c>
      <c r="DPG40" s="68">
        <f t="shared" si="1877"/>
        <v>0</v>
      </c>
      <c r="DPH40" s="48">
        <v>0</v>
      </c>
      <c r="DPI40" s="49">
        <v>0</v>
      </c>
      <c r="DPJ40" s="49">
        <v>0</v>
      </c>
      <c r="DPK40" s="49">
        <v>0</v>
      </c>
      <c r="DPL40" s="49"/>
      <c r="DPM40" s="49"/>
      <c r="DPN40" s="64">
        <f t="shared" si="1878"/>
        <v>0</v>
      </c>
      <c r="DPO40" s="68">
        <f t="shared" si="1879"/>
        <v>0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80"/>
        <v>0</v>
      </c>
      <c r="DPW40" s="492">
        <f t="shared" si="1881"/>
        <v>0</v>
      </c>
      <c r="DPX40" s="48">
        <v>0</v>
      </c>
      <c r="DPY40" s="49">
        <v>0</v>
      </c>
      <c r="DPZ40" s="49">
        <v>0</v>
      </c>
      <c r="DQA40" s="49">
        <v>0</v>
      </c>
      <c r="DQB40" s="49">
        <v>0</v>
      </c>
      <c r="DQC40" s="49">
        <v>0</v>
      </c>
      <c r="DQD40" s="491">
        <f t="shared" si="1882"/>
        <v>0</v>
      </c>
      <c r="DQE40" s="492">
        <f t="shared" si="1883"/>
        <v>0</v>
      </c>
      <c r="DQF40" s="48">
        <v>0</v>
      </c>
      <c r="DQG40" s="49">
        <v>0</v>
      </c>
      <c r="DQH40" s="49">
        <v>0</v>
      </c>
      <c r="DQI40" s="49"/>
      <c r="DQJ40" s="49">
        <v>0</v>
      </c>
      <c r="DQK40" s="49">
        <v>0</v>
      </c>
      <c r="DQL40" s="489">
        <f t="shared" si="1884"/>
        <v>0</v>
      </c>
      <c r="DQM40" s="492">
        <f t="shared" si="1885"/>
        <v>0</v>
      </c>
      <c r="DQN40" s="48">
        <v>0</v>
      </c>
      <c r="DQO40" s="49">
        <v>0</v>
      </c>
      <c r="DQP40" s="49">
        <v>0</v>
      </c>
      <c r="DQQ40" s="49">
        <v>0</v>
      </c>
      <c r="DQR40" s="49">
        <v>0</v>
      </c>
      <c r="DQS40" s="49">
        <v>0</v>
      </c>
      <c r="DQT40" s="64">
        <f t="shared" si="1886"/>
        <v>0</v>
      </c>
      <c r="DQU40" s="68">
        <f t="shared" si="1887"/>
        <v>0</v>
      </c>
      <c r="DQV40" s="48">
        <v>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888"/>
        <v>0</v>
      </c>
      <c r="DRC40" s="492">
        <f t="shared" si="1889"/>
        <v>0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890"/>
        <v>0</v>
      </c>
      <c r="DRK40" s="492">
        <f t="shared" si="1891"/>
        <v>0</v>
      </c>
      <c r="DRL40" s="48">
        <v>0</v>
      </c>
      <c r="DRM40" s="49">
        <v>0</v>
      </c>
      <c r="DRN40" s="49">
        <v>0</v>
      </c>
      <c r="DRO40" s="49">
        <v>0</v>
      </c>
      <c r="DRP40" s="49">
        <v>0</v>
      </c>
      <c r="DRQ40" s="49"/>
      <c r="DRR40" s="64">
        <f t="shared" si="1587"/>
        <v>0</v>
      </c>
      <c r="DRS40" s="68">
        <f t="shared" si="1588"/>
        <v>0</v>
      </c>
      <c r="DRT40" s="48">
        <v>0</v>
      </c>
      <c r="DRU40" s="49">
        <v>0</v>
      </c>
      <c r="DRV40" s="49">
        <v>0</v>
      </c>
      <c r="DRW40" s="49">
        <v>0</v>
      </c>
      <c r="DRX40" s="49">
        <v>0</v>
      </c>
      <c r="DRY40" s="49"/>
      <c r="DRZ40" s="491">
        <f t="shared" si="1589"/>
        <v>0</v>
      </c>
      <c r="DSA40" s="68">
        <f t="shared" si="1590"/>
        <v>0</v>
      </c>
      <c r="DSB40" s="82"/>
      <c r="DSC40" s="83">
        <v>25</v>
      </c>
      <c r="DSD40" s="83">
        <v>0</v>
      </c>
      <c r="DSE40" s="83"/>
      <c r="DSF40" s="83">
        <v>0</v>
      </c>
      <c r="DSG40" s="83">
        <v>0</v>
      </c>
      <c r="DSH40" s="64">
        <f t="shared" si="1591"/>
        <v>25</v>
      </c>
      <c r="DSI40" s="68">
        <f t="shared" si="1592"/>
        <v>4.166666666666667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0</v>
      </c>
      <c r="DSP40" s="64">
        <f t="shared" si="1593"/>
        <v>0</v>
      </c>
      <c r="DSQ40" s="68">
        <f t="shared" si="1594"/>
        <v>0</v>
      </c>
      <c r="DSR40" s="48"/>
      <c r="DSS40" s="49">
        <v>0</v>
      </c>
      <c r="DST40" s="49">
        <v>0</v>
      </c>
      <c r="DSU40" s="49">
        <v>0</v>
      </c>
      <c r="DSV40" s="49">
        <v>0</v>
      </c>
      <c r="DSW40" s="49">
        <v>0</v>
      </c>
      <c r="DSX40" s="64">
        <f t="shared" si="1595"/>
        <v>0</v>
      </c>
      <c r="DSY40" s="68">
        <f t="shared" si="1596"/>
        <v>0</v>
      </c>
      <c r="DSZ40" s="48">
        <v>0</v>
      </c>
      <c r="DTA40" s="49">
        <v>0</v>
      </c>
      <c r="DTB40" s="49">
        <v>0</v>
      </c>
      <c r="DTC40" s="49">
        <v>0</v>
      </c>
      <c r="DTD40" s="49"/>
      <c r="DTE40" s="49">
        <v>0</v>
      </c>
      <c r="DTF40" s="64">
        <f t="shared" si="1597"/>
        <v>0</v>
      </c>
      <c r="DTG40" s="68">
        <f t="shared" si="1598"/>
        <v>0</v>
      </c>
      <c r="DTH40" s="48">
        <v>0</v>
      </c>
      <c r="DTI40" s="49">
        <v>0</v>
      </c>
      <c r="DTJ40" s="49">
        <v>0</v>
      </c>
      <c r="DTK40" s="49">
        <v>0</v>
      </c>
      <c r="DTL40" s="49">
        <v>0</v>
      </c>
      <c r="DTM40" s="49">
        <v>0</v>
      </c>
      <c r="DTN40" s="64">
        <f t="shared" si="1599"/>
        <v>0</v>
      </c>
      <c r="DTO40" s="68">
        <f t="shared" si="1600"/>
        <v>0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01"/>
        <v>0</v>
      </c>
      <c r="DTW40" s="68">
        <f t="shared" si="1602"/>
        <v>0</v>
      </c>
      <c r="DTX40" s="48">
        <v>0</v>
      </c>
      <c r="DTY40" s="49">
        <v>0</v>
      </c>
      <c r="DTZ40" s="49">
        <v>0</v>
      </c>
      <c r="DUA40" s="49">
        <v>0</v>
      </c>
      <c r="DUB40" s="49">
        <v>0</v>
      </c>
      <c r="DUC40" s="49">
        <v>0</v>
      </c>
      <c r="DUD40" s="64">
        <f t="shared" si="1603"/>
        <v>0</v>
      </c>
      <c r="DUE40" s="68">
        <f t="shared" si="1604"/>
        <v>0</v>
      </c>
      <c r="DUF40" s="48">
        <v>0</v>
      </c>
      <c r="DUG40" s="49">
        <v>0</v>
      </c>
      <c r="DUH40" s="49"/>
      <c r="DUI40" s="49">
        <v>0</v>
      </c>
      <c r="DUJ40" s="49">
        <v>0</v>
      </c>
      <c r="DUK40" s="49">
        <v>0</v>
      </c>
      <c r="DUL40" s="64">
        <f t="shared" si="1605"/>
        <v>0</v>
      </c>
      <c r="DUM40" s="68">
        <f t="shared" si="1606"/>
        <v>0</v>
      </c>
      <c r="DUN40" s="48"/>
      <c r="DUO40" s="49">
        <v>0</v>
      </c>
      <c r="DUP40" s="49">
        <v>0</v>
      </c>
      <c r="DUQ40" s="49">
        <v>0</v>
      </c>
      <c r="DUR40" s="49"/>
      <c r="DUS40" s="49">
        <v>0</v>
      </c>
      <c r="DUT40" s="64">
        <f t="shared" si="1607"/>
        <v>0</v>
      </c>
      <c r="DUU40" s="68">
        <f t="shared" si="1608"/>
        <v>0</v>
      </c>
      <c r="DUV40" s="48"/>
      <c r="DUW40" s="49">
        <v>0</v>
      </c>
      <c r="DUX40" s="49">
        <v>0</v>
      </c>
      <c r="DUY40" s="49">
        <v>0</v>
      </c>
      <c r="DUZ40" s="49">
        <v>0</v>
      </c>
      <c r="DVA40" s="49">
        <v>0</v>
      </c>
      <c r="DVB40" s="64">
        <f t="shared" si="1609"/>
        <v>0</v>
      </c>
      <c r="DVC40" s="68">
        <f t="shared" si="1610"/>
        <v>0</v>
      </c>
      <c r="DVD40" s="48"/>
      <c r="DVE40" s="49">
        <v>0</v>
      </c>
      <c r="DVF40" s="49">
        <v>0</v>
      </c>
      <c r="DVG40" s="49">
        <v>0</v>
      </c>
      <c r="DVH40" s="49">
        <v>0</v>
      </c>
      <c r="DVI40" s="49">
        <v>0</v>
      </c>
      <c r="DVJ40" s="64">
        <f t="shared" si="1611"/>
        <v>0</v>
      </c>
      <c r="DVK40" s="68">
        <f t="shared" si="1612"/>
        <v>0</v>
      </c>
      <c r="DVL40" s="48">
        <v>0</v>
      </c>
      <c r="DVM40" s="49">
        <v>0</v>
      </c>
      <c r="DVN40" s="49">
        <v>0</v>
      </c>
      <c r="DVO40" s="49">
        <v>0</v>
      </c>
      <c r="DVP40" s="49">
        <v>0</v>
      </c>
      <c r="DVQ40" s="49">
        <v>0</v>
      </c>
      <c r="DVR40" s="64">
        <f t="shared" si="1613"/>
        <v>0</v>
      </c>
      <c r="DVS40" s="68">
        <f t="shared" si="1614"/>
        <v>0</v>
      </c>
      <c r="DVT40" s="48"/>
      <c r="DVU40" s="49">
        <v>289</v>
      </c>
      <c r="DVV40" s="49">
        <v>634</v>
      </c>
      <c r="DVW40" s="49">
        <v>405</v>
      </c>
      <c r="DVX40" s="49">
        <v>0</v>
      </c>
      <c r="DVY40" s="49">
        <v>0</v>
      </c>
      <c r="DVZ40" s="64">
        <f t="shared" si="1615"/>
        <v>1328</v>
      </c>
      <c r="DWA40" s="68">
        <f t="shared" si="1616"/>
        <v>221.33333333333334</v>
      </c>
      <c r="DWB40" s="48">
        <v>0</v>
      </c>
      <c r="DWC40" s="49">
        <v>0</v>
      </c>
      <c r="DWD40" s="49">
        <v>0</v>
      </c>
      <c r="DWE40" s="49">
        <v>0</v>
      </c>
      <c r="DWF40" s="49">
        <v>0</v>
      </c>
      <c r="DWG40" s="49"/>
      <c r="DWH40" s="64">
        <f t="shared" si="1617"/>
        <v>0</v>
      </c>
      <c r="DWI40" s="68">
        <f t="shared" si="1618"/>
        <v>0</v>
      </c>
      <c r="DWJ40" s="48">
        <v>0</v>
      </c>
      <c r="DWK40" s="49">
        <v>0</v>
      </c>
      <c r="DWL40" s="49">
        <v>0</v>
      </c>
      <c r="DWM40" s="49">
        <v>0</v>
      </c>
      <c r="DWN40" s="49">
        <v>1000</v>
      </c>
      <c r="DWO40" s="49">
        <v>0</v>
      </c>
      <c r="DWP40" s="64">
        <f t="shared" si="1619"/>
        <v>1000</v>
      </c>
      <c r="DWQ40" s="68">
        <f t="shared" si="1620"/>
        <v>166.66666666666666</v>
      </c>
      <c r="DWR40" s="48">
        <v>220</v>
      </c>
      <c r="DWS40" s="49"/>
      <c r="DWT40" s="49">
        <v>0</v>
      </c>
      <c r="DWU40" s="49">
        <v>0</v>
      </c>
      <c r="DWV40" s="49">
        <v>400</v>
      </c>
      <c r="DWW40" s="49">
        <v>0</v>
      </c>
      <c r="DWX40" s="64">
        <f t="shared" si="1621"/>
        <v>620</v>
      </c>
      <c r="DWY40" s="68">
        <f t="shared" si="1622"/>
        <v>103.33333333333333</v>
      </c>
      <c r="DWZ40" s="48">
        <v>0</v>
      </c>
      <c r="DXA40" s="49">
        <v>0</v>
      </c>
      <c r="DXB40" s="49">
        <v>0</v>
      </c>
      <c r="DXC40" s="49">
        <v>0</v>
      </c>
      <c r="DXD40" s="49"/>
      <c r="DXE40" s="49"/>
      <c r="DXF40" s="64">
        <f t="shared" si="1623"/>
        <v>0</v>
      </c>
      <c r="DXG40" s="68">
        <f t="shared" si="1624"/>
        <v>0</v>
      </c>
      <c r="DXH40" s="48">
        <v>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25"/>
        <v>0</v>
      </c>
      <c r="DXO40" s="68">
        <f t="shared" si="1626"/>
        <v>0</v>
      </c>
      <c r="DXP40" s="48">
        <v>0</v>
      </c>
      <c r="DXQ40" s="49">
        <v>0</v>
      </c>
      <c r="DXR40" s="49">
        <v>439</v>
      </c>
      <c r="DXS40" s="49">
        <v>0</v>
      </c>
      <c r="DXT40" s="49">
        <v>0</v>
      </c>
      <c r="DXU40" s="49">
        <v>0</v>
      </c>
      <c r="DXV40" s="64">
        <f t="shared" si="1320"/>
        <v>439</v>
      </c>
      <c r="DXW40" s="68">
        <f t="shared" si="1321"/>
        <v>73.166666666666671</v>
      </c>
      <c r="DXX40" s="48">
        <v>0</v>
      </c>
      <c r="DXY40" s="49">
        <v>0</v>
      </c>
      <c r="DXZ40" s="49">
        <v>0</v>
      </c>
      <c r="DYA40" s="49">
        <v>0</v>
      </c>
      <c r="DYB40" s="49">
        <v>0</v>
      </c>
      <c r="DYC40" s="49">
        <v>0</v>
      </c>
      <c r="DYD40" s="64">
        <f t="shared" si="1322"/>
        <v>0</v>
      </c>
      <c r="DYE40" s="68">
        <f t="shared" si="1323"/>
        <v>0</v>
      </c>
      <c r="DYF40" s="48">
        <v>0</v>
      </c>
      <c r="DYG40" s="49">
        <v>0</v>
      </c>
      <c r="DYH40" s="49">
        <v>0</v>
      </c>
      <c r="DYI40" s="49">
        <v>0</v>
      </c>
      <c r="DYJ40" s="49">
        <v>0</v>
      </c>
      <c r="DYK40" s="49"/>
      <c r="DYL40" s="64">
        <f t="shared" si="1324"/>
        <v>0</v>
      </c>
      <c r="DYM40" s="68">
        <f t="shared" si="1325"/>
        <v>0</v>
      </c>
      <c r="DYN40" s="48">
        <v>0</v>
      </c>
      <c r="DYO40" s="49">
        <v>0</v>
      </c>
      <c r="DYP40" s="49">
        <v>0</v>
      </c>
      <c r="DYQ40" s="49">
        <v>0</v>
      </c>
      <c r="DYR40" s="49"/>
      <c r="DYS40" s="49"/>
      <c r="DYT40" s="64">
        <f t="shared" si="1326"/>
        <v>0</v>
      </c>
      <c r="DYU40" s="68">
        <f t="shared" si="1327"/>
        <v>0</v>
      </c>
      <c r="DYV40" s="48">
        <v>0</v>
      </c>
      <c r="DYW40" s="49">
        <v>0</v>
      </c>
      <c r="DYX40" s="49">
        <v>0</v>
      </c>
      <c r="DYY40" s="49">
        <v>0</v>
      </c>
      <c r="DYZ40" s="49">
        <v>0</v>
      </c>
      <c r="DZA40" s="49">
        <v>0</v>
      </c>
      <c r="DZB40" s="64">
        <f t="shared" si="1328"/>
        <v>0</v>
      </c>
      <c r="DZC40" s="68">
        <f t="shared" si="1329"/>
        <v>0</v>
      </c>
      <c r="DZD40" s="48">
        <v>0</v>
      </c>
      <c r="DZE40" s="49">
        <v>0</v>
      </c>
      <c r="DZF40" s="49">
        <v>0</v>
      </c>
      <c r="DZG40" s="49">
        <v>0</v>
      </c>
      <c r="DZH40" s="49">
        <v>0</v>
      </c>
      <c r="DZI40" s="49">
        <v>0</v>
      </c>
      <c r="DZJ40" s="64">
        <f t="shared" si="1330"/>
        <v>0</v>
      </c>
      <c r="DZK40" s="68">
        <f t="shared" si="1331"/>
        <v>0</v>
      </c>
      <c r="DZL40" s="48">
        <v>0</v>
      </c>
      <c r="DZM40" s="49">
        <v>0</v>
      </c>
      <c r="DZN40" s="49"/>
      <c r="DZO40" s="49">
        <v>0</v>
      </c>
      <c r="DZP40" s="49">
        <v>0</v>
      </c>
      <c r="DZQ40" s="49">
        <v>0</v>
      </c>
      <c r="DZR40" s="64">
        <f t="shared" si="1332"/>
        <v>0</v>
      </c>
      <c r="DZS40" s="68">
        <f t="shared" si="1333"/>
        <v>0</v>
      </c>
      <c r="DZT40" s="48">
        <v>0</v>
      </c>
      <c r="DZU40" s="49">
        <v>444</v>
      </c>
      <c r="DZV40" s="49"/>
      <c r="DZW40" s="49">
        <v>0</v>
      </c>
      <c r="DZX40" s="49">
        <v>0</v>
      </c>
      <c r="DZY40" s="49">
        <v>100</v>
      </c>
      <c r="DZZ40" s="64">
        <f t="shared" si="1334"/>
        <v>544</v>
      </c>
      <c r="EAA40" s="68">
        <f t="shared" si="1335"/>
        <v>90.666666666666671</v>
      </c>
      <c r="EAB40" s="48"/>
      <c r="EAC40" s="49">
        <v>0</v>
      </c>
      <c r="EAD40" s="49">
        <v>0</v>
      </c>
      <c r="EAE40" s="49"/>
      <c r="EAF40" s="49">
        <v>0</v>
      </c>
      <c r="EAG40" s="49">
        <v>0</v>
      </c>
      <c r="EAH40" s="64">
        <f t="shared" si="1336"/>
        <v>0</v>
      </c>
      <c r="EAI40" s="68">
        <f t="shared" si="1337"/>
        <v>0</v>
      </c>
      <c r="EAJ40" s="48">
        <v>0</v>
      </c>
      <c r="EAK40" s="49">
        <v>0</v>
      </c>
      <c r="EAL40" s="49">
        <v>3</v>
      </c>
      <c r="EAM40" s="49">
        <v>221</v>
      </c>
      <c r="EAN40" s="49">
        <v>0</v>
      </c>
      <c r="EAO40" s="49">
        <v>0</v>
      </c>
      <c r="EAP40" s="64">
        <f t="shared" si="1338"/>
        <v>224</v>
      </c>
      <c r="EAQ40" s="68">
        <f t="shared" si="1339"/>
        <v>37.333333333333336</v>
      </c>
      <c r="EAR40" s="48">
        <v>0</v>
      </c>
      <c r="EAS40" s="49">
        <v>0</v>
      </c>
      <c r="EAT40" s="49">
        <v>0</v>
      </c>
      <c r="EAU40" s="49">
        <v>404</v>
      </c>
      <c r="EAV40" s="49">
        <v>0</v>
      </c>
      <c r="EAW40" s="49">
        <v>0</v>
      </c>
      <c r="EAX40" s="64">
        <f t="shared" si="1340"/>
        <v>404</v>
      </c>
      <c r="EAY40" s="68">
        <f t="shared" si="1341"/>
        <v>67.333333333333329</v>
      </c>
      <c r="EAZ40" s="48">
        <v>0</v>
      </c>
      <c r="EBA40" s="49"/>
      <c r="EBB40" s="49">
        <v>218</v>
      </c>
      <c r="EBC40" s="49">
        <v>0</v>
      </c>
      <c r="EBD40" s="49">
        <v>0</v>
      </c>
      <c r="EBE40" s="49">
        <v>0</v>
      </c>
      <c r="EBF40" s="64">
        <f t="shared" si="1342"/>
        <v>218</v>
      </c>
      <c r="EBG40" s="68">
        <f t="shared" si="1343"/>
        <v>36.333333333333336</v>
      </c>
      <c r="EBH40" s="48">
        <v>260</v>
      </c>
      <c r="EBI40" s="49">
        <v>220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44"/>
        <v>480</v>
      </c>
      <c r="EBO40" s="68">
        <f t="shared" si="1345"/>
        <v>80</v>
      </c>
      <c r="EBP40" s="48">
        <v>0</v>
      </c>
      <c r="EBQ40" s="49">
        <v>433</v>
      </c>
      <c r="EBR40" s="49"/>
      <c r="EBS40" s="49">
        <v>0</v>
      </c>
      <c r="EBT40" s="49"/>
      <c r="EBU40" s="49"/>
      <c r="EBV40" s="64">
        <f t="shared" si="1346"/>
        <v>433</v>
      </c>
      <c r="EBW40" s="68">
        <f t="shared" si="1347"/>
        <v>72.166666666666671</v>
      </c>
      <c r="EBX40" s="48">
        <v>0</v>
      </c>
      <c r="EBY40" s="49">
        <v>0</v>
      </c>
      <c r="EBZ40" s="49">
        <v>0</v>
      </c>
      <c r="ECA40" s="49"/>
      <c r="ECB40" s="49">
        <v>0</v>
      </c>
      <c r="ECC40" s="49">
        <v>0</v>
      </c>
      <c r="ECD40" s="64">
        <f t="shared" si="1348"/>
        <v>0</v>
      </c>
      <c r="ECE40" s="68">
        <f t="shared" si="1349"/>
        <v>0</v>
      </c>
      <c r="ECF40" s="48">
        <v>221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50"/>
        <v>221</v>
      </c>
      <c r="ECM40" s="68">
        <f t="shared" si="1351"/>
        <v>36.833333333333336</v>
      </c>
      <c r="ECN40" s="48">
        <v>0</v>
      </c>
      <c r="ECO40" s="49">
        <v>0</v>
      </c>
      <c r="ECP40" s="49">
        <v>0</v>
      </c>
      <c r="ECQ40" s="49">
        <v>225</v>
      </c>
      <c r="ECR40" s="49">
        <v>0</v>
      </c>
      <c r="ECS40" s="49">
        <v>0</v>
      </c>
      <c r="ECT40" s="64">
        <f t="shared" si="1352"/>
        <v>225</v>
      </c>
      <c r="ECU40" s="68">
        <f t="shared" si="1353"/>
        <v>37.5</v>
      </c>
      <c r="ECV40" s="48">
        <v>224</v>
      </c>
      <c r="ECW40" s="49">
        <v>0</v>
      </c>
      <c r="ECX40" s="49">
        <v>0</v>
      </c>
      <c r="ECY40" s="49">
        <v>0</v>
      </c>
      <c r="ECZ40" s="49"/>
      <c r="EDA40" s="49"/>
      <c r="EDB40" s="64">
        <f t="shared" si="1354"/>
        <v>224</v>
      </c>
      <c r="EDC40" s="68">
        <f t="shared" si="1355"/>
        <v>37.333333333333336</v>
      </c>
      <c r="EDD40" s="48"/>
      <c r="EDE40" s="49">
        <v>0</v>
      </c>
      <c r="EDF40" s="49">
        <v>0</v>
      </c>
      <c r="EDG40" s="49">
        <v>0</v>
      </c>
      <c r="EDH40" s="49"/>
      <c r="EDI40" s="49"/>
      <c r="EDJ40" s="64">
        <f t="shared" si="1356"/>
        <v>0</v>
      </c>
      <c r="EDK40" s="68">
        <f t="shared" si="1357"/>
        <v>0</v>
      </c>
      <c r="EDL40" s="48">
        <v>0</v>
      </c>
      <c r="EDM40" s="49">
        <v>0</v>
      </c>
      <c r="EDN40" s="49"/>
      <c r="EDO40" s="49">
        <v>0</v>
      </c>
      <c r="EDP40" s="49">
        <v>0</v>
      </c>
      <c r="EDQ40" s="49">
        <v>0</v>
      </c>
      <c r="EDR40" s="64">
        <f t="shared" si="1358"/>
        <v>0</v>
      </c>
      <c r="EDS40" s="68">
        <f t="shared" si="1359"/>
        <v>0</v>
      </c>
      <c r="EDT40" s="48">
        <v>110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60"/>
        <v>110</v>
      </c>
      <c r="EEA40" s="68">
        <f t="shared" si="1361"/>
        <v>18.333333333333332</v>
      </c>
      <c r="EEB40" s="48">
        <v>332</v>
      </c>
      <c r="EEC40" s="49">
        <v>0</v>
      </c>
      <c r="EED40" s="49">
        <v>0</v>
      </c>
      <c r="EEE40" s="49">
        <v>0</v>
      </c>
      <c r="EEF40" s="49">
        <v>0</v>
      </c>
      <c r="EEG40" s="49"/>
      <c r="EEH40" s="64">
        <f t="shared" si="1362"/>
        <v>332</v>
      </c>
      <c r="EEI40" s="68">
        <f t="shared" si="1363"/>
        <v>55.333333333333336</v>
      </c>
      <c r="EEJ40" s="48">
        <v>0</v>
      </c>
      <c r="EEK40" s="49">
        <v>0</v>
      </c>
      <c r="EEL40" s="49">
        <v>0</v>
      </c>
      <c r="EEM40" s="49">
        <v>0</v>
      </c>
      <c r="EEN40" s="49">
        <v>0</v>
      </c>
      <c r="EEO40" s="49">
        <v>0</v>
      </c>
      <c r="EEP40" s="64">
        <f t="shared" si="1364"/>
        <v>0</v>
      </c>
      <c r="EEQ40" s="68">
        <f t="shared" si="1365"/>
        <v>0</v>
      </c>
      <c r="EER40" s="48">
        <v>222</v>
      </c>
      <c r="EES40" s="49">
        <v>0</v>
      </c>
      <c r="EET40" s="49">
        <v>0</v>
      </c>
      <c r="EEU40" s="49">
        <v>0</v>
      </c>
      <c r="EEV40" s="49">
        <v>0</v>
      </c>
      <c r="EEW40" s="49"/>
      <c r="EEX40" s="64">
        <f t="shared" si="1366"/>
        <v>222</v>
      </c>
      <c r="EEY40" s="68">
        <f t="shared" si="1367"/>
        <v>37</v>
      </c>
      <c r="EEZ40" s="48">
        <v>224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68"/>
        <v>224</v>
      </c>
      <c r="EFG40" s="68">
        <f t="shared" si="1369"/>
        <v>37.333333333333336</v>
      </c>
      <c r="EFH40" s="48">
        <v>0</v>
      </c>
      <c r="EFI40" s="49">
        <v>0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70"/>
        <v>0</v>
      </c>
      <c r="EFO40" s="68">
        <f t="shared" si="1371"/>
        <v>0</v>
      </c>
      <c r="EFP40" s="48">
        <v>0</v>
      </c>
      <c r="EFQ40" s="49"/>
      <c r="EFR40" s="49">
        <v>246</v>
      </c>
      <c r="EFS40" s="49">
        <v>0</v>
      </c>
      <c r="EFT40" s="49">
        <v>0</v>
      </c>
      <c r="EFU40" s="49">
        <v>0</v>
      </c>
      <c r="EFV40" s="64">
        <f t="shared" si="1372"/>
        <v>246</v>
      </c>
      <c r="EFW40" s="68">
        <f t="shared" si="1373"/>
        <v>41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0</v>
      </c>
      <c r="EGD40" s="64">
        <f t="shared" si="1374"/>
        <v>0</v>
      </c>
      <c r="EGE40" s="68">
        <f t="shared" si="1375"/>
        <v>0</v>
      </c>
      <c r="EGF40" s="48">
        <v>0</v>
      </c>
      <c r="EGG40" s="49">
        <v>0</v>
      </c>
      <c r="EGH40" s="49"/>
      <c r="EGI40" s="49">
        <v>0</v>
      </c>
      <c r="EGJ40" s="49">
        <v>0</v>
      </c>
      <c r="EGK40" s="49">
        <v>0</v>
      </c>
      <c r="EGL40" s="64">
        <f t="shared" si="1376"/>
        <v>0</v>
      </c>
      <c r="EGM40" s="68">
        <f t="shared" si="1377"/>
        <v>0</v>
      </c>
      <c r="EGN40" s="48">
        <v>0</v>
      </c>
      <c r="EGO40" s="49">
        <v>323</v>
      </c>
      <c r="EGP40" s="49"/>
      <c r="EGQ40" s="49">
        <v>0</v>
      </c>
      <c r="EGR40" s="49">
        <v>0</v>
      </c>
      <c r="EGS40" s="49">
        <v>0</v>
      </c>
      <c r="EGT40" s="64">
        <f t="shared" si="1378"/>
        <v>323</v>
      </c>
      <c r="EGU40" s="68">
        <f t="shared" si="1379"/>
        <v>53.833333333333336</v>
      </c>
      <c r="EGV40" s="48">
        <v>0</v>
      </c>
      <c r="EGW40" s="49">
        <v>0</v>
      </c>
      <c r="EGX40" s="49">
        <v>0</v>
      </c>
      <c r="EGY40" s="49">
        <v>0</v>
      </c>
      <c r="EGZ40" s="49">
        <v>0</v>
      </c>
      <c r="EHA40" s="49">
        <v>0</v>
      </c>
      <c r="EHB40" s="64">
        <f t="shared" si="1380"/>
        <v>0</v>
      </c>
      <c r="EHC40" s="68">
        <f t="shared" si="1381"/>
        <v>0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82"/>
        <v>0</v>
      </c>
      <c r="EHK40" s="68">
        <f t="shared" si="1383"/>
        <v>0</v>
      </c>
      <c r="EHL40" s="48">
        <v>0</v>
      </c>
      <c r="EHM40" s="49">
        <v>0</v>
      </c>
      <c r="EHN40" s="49"/>
      <c r="EHO40" s="49">
        <v>0</v>
      </c>
      <c r="EHP40" s="49"/>
      <c r="EHQ40" s="49">
        <v>0</v>
      </c>
      <c r="EHR40" s="64">
        <f t="shared" si="1384"/>
        <v>0</v>
      </c>
      <c r="EHS40" s="68">
        <f t="shared" si="1385"/>
        <v>0</v>
      </c>
      <c r="EHT40" s="48">
        <v>0</v>
      </c>
      <c r="EHU40" s="49">
        <v>0</v>
      </c>
      <c r="EHV40" s="49"/>
      <c r="EHW40" s="49">
        <v>440</v>
      </c>
      <c r="EHX40" s="49">
        <v>286</v>
      </c>
      <c r="EHY40" s="49">
        <v>0</v>
      </c>
      <c r="EHZ40" s="64">
        <f t="shared" si="1386"/>
        <v>726</v>
      </c>
      <c r="EIA40" s="68">
        <f t="shared" si="1387"/>
        <v>121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88"/>
        <v>0</v>
      </c>
      <c r="EII40" s="68">
        <f t="shared" si="1389"/>
        <v>0</v>
      </c>
      <c r="EIJ40" s="48">
        <v>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390"/>
        <v>0</v>
      </c>
      <c r="EIQ40" s="68">
        <f t="shared" si="1391"/>
        <v>0</v>
      </c>
      <c r="EIR40" s="48">
        <v>0</v>
      </c>
      <c r="EIS40" s="49">
        <v>0</v>
      </c>
      <c r="EIT40" s="49">
        <v>0</v>
      </c>
      <c r="EIU40" s="49">
        <v>0</v>
      </c>
      <c r="EIV40" s="49">
        <v>0</v>
      </c>
      <c r="EIW40" s="49">
        <v>0</v>
      </c>
      <c r="EIX40" s="64">
        <f t="shared" si="1392"/>
        <v>0</v>
      </c>
      <c r="EIY40" s="68">
        <f t="shared" si="1393"/>
        <v>0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0</v>
      </c>
      <c r="EJF40" s="64">
        <f t="shared" si="1394"/>
        <v>0</v>
      </c>
      <c r="EJG40" s="68">
        <f t="shared" si="1395"/>
        <v>0</v>
      </c>
      <c r="EJH40" s="48">
        <v>0</v>
      </c>
      <c r="EJI40" s="49">
        <v>0</v>
      </c>
      <c r="EJJ40" s="49"/>
      <c r="EJK40" s="49">
        <v>0</v>
      </c>
      <c r="EJL40" s="49"/>
      <c r="EJM40" s="49"/>
      <c r="EJN40" s="64">
        <f t="shared" si="1396"/>
        <v>0</v>
      </c>
      <c r="EJO40" s="68">
        <f t="shared" si="1397"/>
        <v>0</v>
      </c>
      <c r="EJP40" s="48">
        <v>0</v>
      </c>
      <c r="EJQ40" s="49">
        <v>0</v>
      </c>
      <c r="EJR40" s="49">
        <v>0</v>
      </c>
      <c r="EJS40" s="49">
        <v>0</v>
      </c>
      <c r="EJT40" s="49">
        <v>0</v>
      </c>
      <c r="EJU40" s="49">
        <v>0</v>
      </c>
      <c r="EJV40" s="64">
        <f t="shared" si="1398"/>
        <v>0</v>
      </c>
      <c r="EJW40" s="68">
        <f t="shared" si="1399"/>
        <v>0</v>
      </c>
      <c r="EJX40" s="48">
        <v>0</v>
      </c>
      <c r="EJY40" s="49">
        <v>0</v>
      </c>
      <c r="EJZ40" s="49">
        <v>62</v>
      </c>
      <c r="EKA40" s="49"/>
      <c r="EKB40" s="49">
        <v>0</v>
      </c>
      <c r="EKC40" s="49"/>
      <c r="EKD40" s="64">
        <f t="shared" si="1400"/>
        <v>62</v>
      </c>
      <c r="EKE40" s="68">
        <f t="shared" si="1401"/>
        <v>10.333333333333334</v>
      </c>
      <c r="EKF40" s="48">
        <v>0</v>
      </c>
      <c r="EKG40" s="49">
        <v>0</v>
      </c>
      <c r="EKH40" s="49">
        <v>219</v>
      </c>
      <c r="EKI40" s="49"/>
      <c r="EKJ40" s="49">
        <v>0</v>
      </c>
      <c r="EKK40" s="49">
        <v>0</v>
      </c>
      <c r="EKL40" s="64">
        <f t="shared" si="1402"/>
        <v>219</v>
      </c>
      <c r="EKM40" s="68">
        <f t="shared" si="1403"/>
        <v>36.5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0</v>
      </c>
      <c r="EKT40" s="64">
        <f t="shared" si="1404"/>
        <v>0</v>
      </c>
      <c r="EKU40" s="184">
        <f t="shared" si="1405"/>
        <v>0</v>
      </c>
      <c r="EKV40" s="665"/>
      <c r="EKW40" s="195">
        <v>0</v>
      </c>
      <c r="EKX40" s="49">
        <v>0</v>
      </c>
      <c r="EKY40" s="49">
        <v>0</v>
      </c>
      <c r="EKZ40" s="49">
        <v>0</v>
      </c>
      <c r="ELA40" s="49">
        <v>0</v>
      </c>
      <c r="ELB40" s="49">
        <v>0</v>
      </c>
      <c r="ELC40" s="64">
        <f t="shared" si="1406"/>
        <v>0</v>
      </c>
      <c r="ELD40" s="211">
        <f t="shared" si="1407"/>
        <v>0</v>
      </c>
      <c r="ELE40" s="195">
        <v>0</v>
      </c>
      <c r="ELF40" s="49">
        <v>0</v>
      </c>
      <c r="ELG40" s="49">
        <v>0</v>
      </c>
      <c r="ELH40" s="49">
        <v>0</v>
      </c>
      <c r="ELI40" s="49">
        <v>0</v>
      </c>
      <c r="ELJ40" s="49">
        <v>0</v>
      </c>
      <c r="ELK40" s="64">
        <f t="shared" si="1408"/>
        <v>0</v>
      </c>
      <c r="ELL40" s="211">
        <f t="shared" si="1409"/>
        <v>0</v>
      </c>
      <c r="ELM40" s="195">
        <v>0</v>
      </c>
      <c r="ELN40" s="49">
        <v>0</v>
      </c>
      <c r="ELO40" s="49">
        <v>0</v>
      </c>
      <c r="ELP40" s="49">
        <v>0</v>
      </c>
      <c r="ELQ40" s="49">
        <v>0</v>
      </c>
      <c r="ELR40" s="49">
        <v>0</v>
      </c>
      <c r="ELS40" s="64">
        <f t="shared" si="1410"/>
        <v>0</v>
      </c>
      <c r="ELT40" s="211">
        <f t="shared" si="1411"/>
        <v>0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12"/>
        <v>0</v>
      </c>
      <c r="EMB40" s="211">
        <f t="shared" si="1413"/>
        <v>0</v>
      </c>
      <c r="EMC40" s="195">
        <v>0</v>
      </c>
      <c r="EMD40" s="49">
        <v>0</v>
      </c>
      <c r="EME40" s="49">
        <v>0</v>
      </c>
      <c r="EMF40" s="49">
        <v>0</v>
      </c>
      <c r="EMG40" s="49"/>
      <c r="EMH40" s="49">
        <v>0</v>
      </c>
      <c r="EMI40" s="64">
        <f t="shared" si="1414"/>
        <v>0</v>
      </c>
      <c r="EMJ40" s="211">
        <f t="shared" si="1415"/>
        <v>0</v>
      </c>
      <c r="EMK40" s="195">
        <v>0</v>
      </c>
      <c r="EML40" s="49">
        <v>0</v>
      </c>
      <c r="EMM40" s="49">
        <v>0</v>
      </c>
      <c r="EMN40" s="49">
        <v>0</v>
      </c>
      <c r="EMO40" s="49">
        <v>0</v>
      </c>
      <c r="EMP40" s="49">
        <v>0</v>
      </c>
      <c r="EMQ40" s="64">
        <f t="shared" si="1416"/>
        <v>0</v>
      </c>
      <c r="EMR40" s="211">
        <f t="shared" si="1417"/>
        <v>0</v>
      </c>
      <c r="EMS40" s="195">
        <v>0</v>
      </c>
      <c r="EMT40" s="49">
        <v>0</v>
      </c>
      <c r="EMU40" s="49">
        <v>0</v>
      </c>
      <c r="EMV40" s="49">
        <v>0</v>
      </c>
      <c r="EMW40" s="49">
        <v>0</v>
      </c>
      <c r="EMX40" s="49">
        <v>0</v>
      </c>
      <c r="EMY40" s="64">
        <f t="shared" si="1418"/>
        <v>0</v>
      </c>
      <c r="EMZ40" s="211">
        <f t="shared" si="1419"/>
        <v>0</v>
      </c>
      <c r="ENA40" s="195">
        <v>0</v>
      </c>
      <c r="ENB40" s="49">
        <v>220</v>
      </c>
      <c r="ENC40" s="49">
        <v>0</v>
      </c>
      <c r="END40" s="49">
        <v>0</v>
      </c>
      <c r="ENE40" s="49">
        <v>0</v>
      </c>
      <c r="ENF40" s="49">
        <v>0</v>
      </c>
      <c r="ENG40" s="64">
        <f t="shared" si="1420"/>
        <v>220</v>
      </c>
      <c r="ENH40" s="211">
        <f t="shared" si="1421"/>
        <v>36.666666666666664</v>
      </c>
      <c r="ENI40" s="195">
        <v>0</v>
      </c>
      <c r="ENJ40" s="49"/>
      <c r="ENK40" s="49">
        <v>0</v>
      </c>
      <c r="ENL40" s="49">
        <v>0</v>
      </c>
      <c r="ENM40" s="49">
        <v>0</v>
      </c>
      <c r="ENN40" s="49">
        <v>0</v>
      </c>
      <c r="ENO40" s="64">
        <f t="shared" si="1422"/>
        <v>0</v>
      </c>
      <c r="ENP40" s="211">
        <f t="shared" si="1423"/>
        <v>0</v>
      </c>
      <c r="ENQ40" s="195">
        <v>0</v>
      </c>
      <c r="ENR40" s="49"/>
      <c r="ENS40" s="49">
        <v>0</v>
      </c>
      <c r="ENT40" s="49">
        <v>0</v>
      </c>
      <c r="ENU40" s="49">
        <v>0</v>
      </c>
      <c r="ENV40" s="49">
        <v>0</v>
      </c>
      <c r="ENW40" s="64">
        <f t="shared" si="1424"/>
        <v>0</v>
      </c>
      <c r="ENX40" s="211">
        <f t="shared" si="1425"/>
        <v>0</v>
      </c>
      <c r="ENY40" s="195">
        <v>0</v>
      </c>
      <c r="ENZ40" s="49"/>
      <c r="EOA40" s="49">
        <v>0</v>
      </c>
      <c r="EOB40" s="49">
        <v>0</v>
      </c>
      <c r="EOC40" s="49">
        <v>0</v>
      </c>
      <c r="EOD40" s="49">
        <v>0</v>
      </c>
      <c r="EOE40" s="64">
        <f t="shared" si="1426"/>
        <v>0</v>
      </c>
      <c r="EOF40" s="211">
        <f t="shared" si="1427"/>
        <v>0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0</v>
      </c>
      <c r="EON40" s="184">
        <f t="shared" si="1428"/>
        <v>0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29"/>
        <v>0</v>
      </c>
      <c r="EOV40" s="211">
        <f t="shared" si="1430"/>
        <v>0</v>
      </c>
      <c r="EOW40" s="195">
        <v>0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31"/>
        <v>0</v>
      </c>
      <c r="EPD40" s="211">
        <f t="shared" si="1432"/>
        <v>0</v>
      </c>
      <c r="EPE40" s="195">
        <v>0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33"/>
        <v>0</v>
      </c>
      <c r="EPL40" s="211">
        <f t="shared" si="1434"/>
        <v>0</v>
      </c>
      <c r="EPM40" s="195">
        <v>0</v>
      </c>
      <c r="EPN40" s="49">
        <v>0</v>
      </c>
      <c r="EPO40" s="49">
        <v>0</v>
      </c>
      <c r="EPP40" s="49">
        <v>0</v>
      </c>
      <c r="EPQ40" s="49">
        <v>0</v>
      </c>
      <c r="EPR40" s="49">
        <v>0</v>
      </c>
      <c r="EPS40" s="64">
        <f t="shared" si="1435"/>
        <v>0</v>
      </c>
      <c r="EPT40" s="211">
        <f t="shared" si="1436"/>
        <v>0</v>
      </c>
      <c r="EPU40" s="195">
        <v>0</v>
      </c>
      <c r="EPV40" s="49">
        <v>0</v>
      </c>
      <c r="EPW40" s="49">
        <v>0</v>
      </c>
      <c r="EPX40" s="49">
        <v>0</v>
      </c>
      <c r="EPY40" s="49">
        <f>SUMIF(SUMPK!$B:$B,$B:$B,SUMPK!$O:$O)</f>
        <v>0</v>
      </c>
      <c r="EPZ40" s="49">
        <v>225</v>
      </c>
      <c r="EQA40" s="64">
        <f t="shared" si="1437"/>
        <v>225</v>
      </c>
      <c r="EQB40" s="211">
        <f t="shared" si="1438"/>
        <v>37.5</v>
      </c>
      <c r="EQC40" s="195">
        <v>0</v>
      </c>
      <c r="EQD40" s="49">
        <v>0</v>
      </c>
      <c r="EQE40" s="49">
        <v>0</v>
      </c>
      <c r="EQF40" s="49">
        <v>0</v>
      </c>
      <c r="EQG40" s="49">
        <v>0</v>
      </c>
      <c r="EQH40" s="49"/>
      <c r="EQI40" s="64">
        <f t="shared" si="1439"/>
        <v>0</v>
      </c>
      <c r="EQJ40" s="211">
        <f t="shared" si="1440"/>
        <v>0</v>
      </c>
      <c r="EQK40" s="195">
        <v>0</v>
      </c>
      <c r="EQL40" s="49">
        <v>0</v>
      </c>
      <c r="EQM40" s="49">
        <v>0</v>
      </c>
      <c r="EQN40" s="49"/>
      <c r="EQO40" s="49">
        <v>0</v>
      </c>
      <c r="EQP40" s="49">
        <v>0</v>
      </c>
      <c r="EQQ40" s="64">
        <f t="shared" si="1441"/>
        <v>0</v>
      </c>
      <c r="EQR40" s="211">
        <f t="shared" si="1442"/>
        <v>0</v>
      </c>
      <c r="EQS40" s="195">
        <v>0</v>
      </c>
      <c r="EQT40" s="49">
        <v>0</v>
      </c>
      <c r="EQU40" s="49">
        <v>0</v>
      </c>
      <c r="EQV40" s="49">
        <v>0</v>
      </c>
      <c r="EQW40" s="49"/>
      <c r="EQX40" s="49">
        <v>0</v>
      </c>
      <c r="EQY40" s="64">
        <f t="shared" si="1443"/>
        <v>0</v>
      </c>
      <c r="EQZ40" s="211">
        <f t="shared" si="1444"/>
        <v>0</v>
      </c>
      <c r="ERA40" s="195">
        <v>0</v>
      </c>
      <c r="ERB40" s="49">
        <v>0</v>
      </c>
      <c r="ERC40" s="49">
        <v>0</v>
      </c>
      <c r="ERD40" s="49">
        <v>0</v>
      </c>
      <c r="ERE40" s="49">
        <v>0</v>
      </c>
      <c r="ERF40" s="49"/>
      <c r="ERG40" s="64">
        <f t="shared" si="1445"/>
        <v>0</v>
      </c>
      <c r="ERH40" s="211">
        <f t="shared" si="1446"/>
        <v>0</v>
      </c>
      <c r="ERI40" s="195"/>
      <c r="ERJ40" s="49">
        <v>0</v>
      </c>
      <c r="ERK40" s="49">
        <v>0</v>
      </c>
      <c r="ERL40" s="49">
        <v>0</v>
      </c>
      <c r="ERM40" s="49">
        <v>0</v>
      </c>
      <c r="ERN40" s="49">
        <v>0</v>
      </c>
      <c r="ERO40" s="64">
        <f t="shared" si="1447"/>
        <v>0</v>
      </c>
      <c r="ERP40" s="211">
        <f t="shared" si="1448"/>
        <v>0</v>
      </c>
      <c r="ERQ40" s="195"/>
      <c r="ERR40" s="49">
        <v>0</v>
      </c>
      <c r="ERS40" s="49"/>
      <c r="ERT40" s="49">
        <v>0</v>
      </c>
      <c r="ERU40" s="49">
        <v>0</v>
      </c>
      <c r="ERV40" s="49">
        <v>0</v>
      </c>
      <c r="ERW40" s="64">
        <f t="shared" si="1449"/>
        <v>0</v>
      </c>
      <c r="ERX40" s="211">
        <f t="shared" si="1450"/>
        <v>0</v>
      </c>
      <c r="ERY40" s="195">
        <v>0</v>
      </c>
      <c r="ERZ40" s="49">
        <v>0</v>
      </c>
      <c r="ESA40" s="49">
        <v>0</v>
      </c>
      <c r="ESB40" s="49">
        <v>0</v>
      </c>
      <c r="ESC40" s="49">
        <v>0</v>
      </c>
      <c r="ESD40" s="49">
        <v>0</v>
      </c>
      <c r="ESE40" s="64">
        <f t="shared" si="1451"/>
        <v>0</v>
      </c>
      <c r="ESF40" s="211">
        <f t="shared" si="1452"/>
        <v>0</v>
      </c>
      <c r="ESG40" s="195">
        <v>0</v>
      </c>
      <c r="ESH40" s="49">
        <v>0</v>
      </c>
      <c r="ESI40" s="49">
        <v>0</v>
      </c>
      <c r="ESJ40" s="49">
        <v>0</v>
      </c>
      <c r="ESK40" s="49"/>
      <c r="ESL40" s="49">
        <v>0</v>
      </c>
      <c r="ESM40" s="64">
        <f t="shared" si="1453"/>
        <v>0</v>
      </c>
      <c r="ESN40" s="211">
        <f t="shared" si="1454"/>
        <v>0</v>
      </c>
      <c r="ESO40" s="458">
        <v>20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55"/>
        <v>20</v>
      </c>
      <c r="ESV40" s="211">
        <f t="shared" si="1456"/>
        <v>3.3333333333333335</v>
      </c>
      <c r="ESW40" s="195"/>
      <c r="ESX40" s="49">
        <v>0</v>
      </c>
      <c r="ESY40" s="49">
        <v>20</v>
      </c>
      <c r="ESZ40" s="49">
        <v>0</v>
      </c>
      <c r="ETA40" s="49">
        <v>0</v>
      </c>
      <c r="ETB40" s="49">
        <v>0</v>
      </c>
      <c r="ETC40" s="808">
        <f t="shared" si="1457"/>
        <v>20</v>
      </c>
      <c r="ETD40" s="211">
        <f t="shared" si="1458"/>
        <v>3.3333333333333335</v>
      </c>
      <c r="ETE40" s="195">
        <v>0</v>
      </c>
      <c r="ETF40" s="49">
        <v>0</v>
      </c>
      <c r="ETG40" s="49">
        <v>0</v>
      </c>
      <c r="ETH40" s="49">
        <v>0</v>
      </c>
      <c r="ETI40" s="49">
        <v>0</v>
      </c>
      <c r="ETJ40" s="49">
        <v>0</v>
      </c>
      <c r="ETK40" s="808">
        <f t="shared" si="1459"/>
        <v>0</v>
      </c>
      <c r="ETL40" s="211">
        <f t="shared" si="1460"/>
        <v>0</v>
      </c>
      <c r="ETM40" s="814">
        <v>0</v>
      </c>
      <c r="ETN40" s="815">
        <v>0</v>
      </c>
      <c r="ETO40" s="815">
        <v>0</v>
      </c>
      <c r="ETP40" s="815">
        <v>0</v>
      </c>
      <c r="ETQ40" s="815">
        <v>0</v>
      </c>
      <c r="ETR40" s="815">
        <v>0</v>
      </c>
      <c r="ETS40" s="808">
        <f t="shared" si="1461"/>
        <v>0</v>
      </c>
      <c r="ETT40" s="211">
        <f t="shared" si="1462"/>
        <v>0</v>
      </c>
      <c r="ETU40" s="458">
        <v>0</v>
      </c>
      <c r="ETV40" s="83">
        <v>0</v>
      </c>
      <c r="ETW40" s="83">
        <v>0</v>
      </c>
      <c r="ETX40" s="83">
        <v>0</v>
      </c>
      <c r="ETY40" s="83">
        <v>0</v>
      </c>
      <c r="ETZ40" s="83">
        <v>0</v>
      </c>
      <c r="EUA40" s="808">
        <f t="shared" si="1463"/>
        <v>0</v>
      </c>
      <c r="EUB40" s="211">
        <f t="shared" si="1464"/>
        <v>0</v>
      </c>
      <c r="EUC40" s="458"/>
      <c r="EUD40" s="83">
        <v>0</v>
      </c>
      <c r="EUE40" s="83"/>
      <c r="EUF40" s="83">
        <v>0</v>
      </c>
      <c r="EUG40" s="83">
        <v>0</v>
      </c>
      <c r="EUH40" s="83">
        <v>0</v>
      </c>
      <c r="EUI40" s="808">
        <f t="shared" si="1465"/>
        <v>0</v>
      </c>
      <c r="EUJ40" s="211">
        <f t="shared" si="1466"/>
        <v>0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67"/>
        <v>0</v>
      </c>
      <c r="EUR40" s="211">
        <f t="shared" si="1468"/>
        <v>0</v>
      </c>
      <c r="EUS40" s="195">
        <v>0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69"/>
        <v>0</v>
      </c>
      <c r="EUZ40" s="211">
        <f t="shared" si="1470"/>
        <v>0</v>
      </c>
      <c r="EVA40" s="195">
        <v>0</v>
      </c>
      <c r="EVB40" s="49">
        <v>0</v>
      </c>
      <c r="EVC40" s="49">
        <v>0</v>
      </c>
      <c r="EVD40" s="49"/>
      <c r="EVE40" s="49">
        <v>0</v>
      </c>
      <c r="EVF40" s="49"/>
      <c r="EVG40" s="808">
        <f t="shared" si="1471"/>
        <v>0</v>
      </c>
      <c r="EVH40" s="211">
        <f t="shared" si="1472"/>
        <v>0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73"/>
        <v>0</v>
      </c>
      <c r="EVP40" s="211">
        <f t="shared" si="1474"/>
        <v>0</v>
      </c>
      <c r="EVQ40" s="195">
        <v>0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75"/>
        <v>0</v>
      </c>
      <c r="EVX40" s="211">
        <f t="shared" si="1476"/>
        <v>0</v>
      </c>
      <c r="EVY40" s="195">
        <v>0</v>
      </c>
      <c r="EVZ40" s="49">
        <v>0</v>
      </c>
      <c r="EWA40" s="49">
        <v>0</v>
      </c>
      <c r="EWB40" s="49">
        <v>300</v>
      </c>
      <c r="EWC40" s="49">
        <v>0</v>
      </c>
      <c r="EWD40" s="49"/>
      <c r="EWE40" s="808">
        <f t="shared" si="1477"/>
        <v>300</v>
      </c>
      <c r="EWF40" s="211">
        <f t="shared" si="1478"/>
        <v>50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79"/>
        <v>0</v>
      </c>
      <c r="EWN40" s="211">
        <f t="shared" si="1480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81"/>
        <v>0</v>
      </c>
      <c r="EWV40" s="211">
        <f t="shared" si="1482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83"/>
        <v>0</v>
      </c>
      <c r="EXD40" s="211">
        <f t="shared" si="1484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85"/>
        <v>0</v>
      </c>
      <c r="EXL40" s="211">
        <f t="shared" si="1486"/>
        <v>0</v>
      </c>
      <c r="EXM40" s="458">
        <v>0</v>
      </c>
      <c r="EXN40" s="83">
        <v>0</v>
      </c>
      <c r="EXO40" s="83">
        <v>0</v>
      </c>
      <c r="EXP40" s="83">
        <v>0</v>
      </c>
      <c r="EXQ40" s="83"/>
      <c r="EXR40" s="83">
        <v>0</v>
      </c>
      <c r="EXS40" s="808">
        <f t="shared" si="1487"/>
        <v>0</v>
      </c>
      <c r="EXT40" s="211">
        <f t="shared" si="1488"/>
        <v>0</v>
      </c>
      <c r="EXU40" s="195">
        <v>0</v>
      </c>
      <c r="EXV40" s="49">
        <v>0</v>
      </c>
      <c r="EXW40" s="49">
        <v>0</v>
      </c>
      <c r="EXX40" s="49">
        <v>0</v>
      </c>
      <c r="EXY40" s="49">
        <v>0</v>
      </c>
      <c r="EXZ40" s="49">
        <v>230</v>
      </c>
      <c r="EYA40" s="808">
        <f t="shared" si="1489"/>
        <v>230</v>
      </c>
      <c r="EYB40" s="211">
        <f t="shared" si="1490"/>
        <v>38.333333333333336</v>
      </c>
      <c r="EYC40" s="195">
        <v>0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491"/>
        <v>0</v>
      </c>
      <c r="EYJ40" s="211">
        <f t="shared" si="1492"/>
        <v>0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493"/>
        <v>0</v>
      </c>
      <c r="EYR40" s="211">
        <f t="shared" si="1494"/>
        <v>0</v>
      </c>
      <c r="EYS40" s="195">
        <v>0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495"/>
        <v>0</v>
      </c>
      <c r="EYZ40" s="873">
        <f t="shared" si="1496"/>
        <v>0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497"/>
        <v>0</v>
      </c>
      <c r="EZH40" s="873">
        <f t="shared" si="1498"/>
        <v>0</v>
      </c>
      <c r="EZI40" s="195">
        <v>0</v>
      </c>
      <c r="EZJ40" s="49">
        <v>0</v>
      </c>
      <c r="EZK40" s="49"/>
      <c r="EZL40" s="49"/>
      <c r="EZM40" s="49"/>
      <c r="EZN40" s="49"/>
      <c r="EZO40" s="872">
        <f t="shared" si="1499"/>
        <v>0</v>
      </c>
      <c r="EZP40" s="873">
        <f t="shared" si="1500"/>
        <v>0</v>
      </c>
    </row>
    <row r="41" spans="1:4072" s="8" customFormat="1" ht="13.5" thickBot="1" x14ac:dyDescent="0.25">
      <c r="A41" s="21">
        <v>12</v>
      </c>
      <c r="B41" s="297" t="s">
        <v>39</v>
      </c>
      <c r="C41" s="725" t="s">
        <v>40</v>
      </c>
      <c r="D41" s="297">
        <v>25</v>
      </c>
      <c r="E41" s="24"/>
      <c r="F41" s="24">
        <v>1450</v>
      </c>
      <c r="G41" s="24"/>
      <c r="H41" s="24"/>
      <c r="I41" s="24"/>
      <c r="J41" s="360">
        <f>SUMIF(SUMPK!$B:$B,$B:$B,SUMPK!$O:$O)</f>
        <v>0</v>
      </c>
      <c r="K41" s="24">
        <f t="shared" si="1220"/>
        <v>0</v>
      </c>
      <c r="L41" s="24">
        <f t="shared" si="1505"/>
        <v>1450</v>
      </c>
      <c r="M41" s="15">
        <f t="shared" si="1627"/>
        <v>1450</v>
      </c>
      <c r="N41" s="15">
        <v>250.66666666666666</v>
      </c>
      <c r="O41" s="276">
        <f t="shared" si="1223"/>
        <v>5.7845744680851068</v>
      </c>
      <c r="P41" s="712">
        <v>0</v>
      </c>
      <c r="Q41" s="276">
        <f t="shared" si="1506"/>
        <v>0</v>
      </c>
      <c r="R41" s="277">
        <f t="shared" si="1507"/>
        <v>184.61538461538461</v>
      </c>
      <c r="S41" s="222">
        <v>4800</v>
      </c>
      <c r="T41" s="276">
        <f t="shared" si="1628"/>
        <v>7.854166666666667</v>
      </c>
      <c r="U41" s="278"/>
      <c r="V41" s="276">
        <f t="shared" si="1227"/>
        <v>7.854166666666667</v>
      </c>
      <c r="W41" s="279">
        <f t="shared" si="1228"/>
        <v>1</v>
      </c>
      <c r="X41" s="278"/>
      <c r="Y41" s="7"/>
      <c r="Z41" s="7"/>
      <c r="AA41" s="7"/>
      <c r="AB41" s="7"/>
      <c r="AC41" s="662">
        <v>13</v>
      </c>
      <c r="AD41" s="649">
        <v>196</v>
      </c>
      <c r="AE41" s="49"/>
      <c r="AF41" s="49">
        <v>600</v>
      </c>
      <c r="AG41" s="49"/>
      <c r="AH41" s="49"/>
      <c r="AI41" s="49">
        <v>295</v>
      </c>
      <c r="AJ41" s="42">
        <f t="shared" si="1892"/>
        <v>1091</v>
      </c>
      <c r="AK41" s="43">
        <f t="shared" si="1893"/>
        <v>181.83333333333334</v>
      </c>
      <c r="AL41" s="48"/>
      <c r="AM41" s="49"/>
      <c r="AN41" s="49"/>
      <c r="AO41" s="49">
        <v>387</v>
      </c>
      <c r="AP41" s="49"/>
      <c r="AQ41" s="49"/>
      <c r="AR41" s="42">
        <f t="shared" si="1894"/>
        <v>387</v>
      </c>
      <c r="AS41" s="43">
        <f t="shared" si="1895"/>
        <v>64.5</v>
      </c>
      <c r="AT41" s="48"/>
      <c r="AU41" s="49">
        <v>793</v>
      </c>
      <c r="AV41" s="49"/>
      <c r="AW41" s="49"/>
      <c r="AX41" s="49"/>
      <c r="AY41" s="49"/>
      <c r="AZ41" s="42">
        <f t="shared" si="1896"/>
        <v>793</v>
      </c>
      <c r="BA41" s="43">
        <f t="shared" si="1897"/>
        <v>132.16666666666666</v>
      </c>
      <c r="BB41" s="48"/>
      <c r="BC41" s="49"/>
      <c r="BD41" s="49"/>
      <c r="BE41" s="49">
        <v>597</v>
      </c>
      <c r="BF41" s="49"/>
      <c r="BG41" s="49"/>
      <c r="BH41" s="42">
        <f t="shared" si="1898"/>
        <v>597</v>
      </c>
      <c r="BI41" s="43">
        <f t="shared" si="1899"/>
        <v>99.5</v>
      </c>
      <c r="BJ41" s="48">
        <v>797</v>
      </c>
      <c r="BK41" s="49"/>
      <c r="BL41" s="49"/>
      <c r="BM41" s="49"/>
      <c r="BN41" s="49">
        <v>593</v>
      </c>
      <c r="BO41" s="49"/>
      <c r="BP41" s="42">
        <f t="shared" si="1900"/>
        <v>1390</v>
      </c>
      <c r="BQ41" s="43">
        <f t="shared" si="1901"/>
        <v>231.66666666666666</v>
      </c>
      <c r="BR41" s="48"/>
      <c r="BS41" s="49"/>
      <c r="BT41" s="49"/>
      <c r="BU41" s="49">
        <v>600</v>
      </c>
      <c r="BV41" s="49"/>
      <c r="BW41" s="49"/>
      <c r="BX41" s="42">
        <f t="shared" si="1902"/>
        <v>600</v>
      </c>
      <c r="BY41" s="43">
        <f t="shared" si="1903"/>
        <v>100</v>
      </c>
      <c r="BZ41" s="48">
        <v>504</v>
      </c>
      <c r="CA41" s="49"/>
      <c r="CB41" s="49"/>
      <c r="CC41" s="49"/>
      <c r="CD41" s="49">
        <v>600</v>
      </c>
      <c r="CE41" s="49"/>
      <c r="CF41" s="42">
        <f t="shared" si="1904"/>
        <v>1104</v>
      </c>
      <c r="CG41" s="43">
        <f t="shared" si="1905"/>
        <v>184</v>
      </c>
      <c r="CH41" s="48"/>
      <c r="CI41" s="49"/>
      <c r="CJ41" s="49"/>
      <c r="CK41" s="49">
        <v>383</v>
      </c>
      <c r="CL41" s="49"/>
      <c r="CM41" s="49"/>
      <c r="CN41" s="42">
        <f t="shared" si="1906"/>
        <v>383</v>
      </c>
      <c r="CO41" s="43">
        <f t="shared" si="1907"/>
        <v>63.833333333333336</v>
      </c>
      <c r="CP41" s="48">
        <v>600</v>
      </c>
      <c r="CQ41" s="49"/>
      <c r="CR41" s="49">
        <v>183</v>
      </c>
      <c r="CS41" s="49"/>
      <c r="CT41" s="49"/>
      <c r="CU41" s="49"/>
      <c r="CV41" s="42">
        <f t="shared" si="1908"/>
        <v>783</v>
      </c>
      <c r="CW41" s="43">
        <f t="shared" si="1909"/>
        <v>130.5</v>
      </c>
      <c r="CX41" s="48">
        <v>568</v>
      </c>
      <c r="CY41" s="49"/>
      <c r="CZ41" s="49"/>
      <c r="DA41" s="49"/>
      <c r="DB41" s="49"/>
      <c r="DC41" s="49"/>
      <c r="DD41" s="42">
        <f t="shared" si="1910"/>
        <v>568</v>
      </c>
      <c r="DE41" s="43">
        <f t="shared" si="1911"/>
        <v>94.666666666666671</v>
      </c>
      <c r="DF41" s="48">
        <v>400</v>
      </c>
      <c r="DG41" s="49"/>
      <c r="DH41" s="49"/>
      <c r="DI41" s="49">
        <v>600</v>
      </c>
      <c r="DJ41" s="49"/>
      <c r="DK41" s="49"/>
      <c r="DL41" s="42">
        <f t="shared" si="1912"/>
        <v>1000</v>
      </c>
      <c r="DM41" s="43">
        <f t="shared" si="1913"/>
        <v>166.66666666666666</v>
      </c>
      <c r="DN41" s="48"/>
      <c r="DO41" s="49">
        <v>400</v>
      </c>
      <c r="DP41" s="49"/>
      <c r="DQ41" s="49"/>
      <c r="DR41" s="49">
        <v>384</v>
      </c>
      <c r="DS41" s="49"/>
      <c r="DT41" s="42">
        <f t="shared" si="1914"/>
        <v>784</v>
      </c>
      <c r="DU41" s="43">
        <f t="shared" si="1915"/>
        <v>130.66666666666666</v>
      </c>
      <c r="DV41" s="48"/>
      <c r="DW41" s="49">
        <v>401</v>
      </c>
      <c r="DX41" s="49"/>
      <c r="DY41" s="49"/>
      <c r="DZ41" s="49">
        <v>538</v>
      </c>
      <c r="EA41" s="49"/>
      <c r="EB41" s="42">
        <f t="shared" si="1916"/>
        <v>939</v>
      </c>
      <c r="EC41" s="43">
        <f t="shared" si="1917"/>
        <v>156.5</v>
      </c>
      <c r="ED41" s="48">
        <v>400</v>
      </c>
      <c r="EE41" s="49"/>
      <c r="EF41" s="49">
        <v>801</v>
      </c>
      <c r="EG41" s="49"/>
      <c r="EH41" s="49"/>
      <c r="EI41" s="49"/>
      <c r="EJ41" s="42">
        <f t="shared" si="1918"/>
        <v>1201</v>
      </c>
      <c r="EK41" s="43">
        <f t="shared" si="1919"/>
        <v>200.16666666666666</v>
      </c>
      <c r="EL41" s="48">
        <v>591</v>
      </c>
      <c r="EM41" s="49"/>
      <c r="EN41" s="49"/>
      <c r="EO41" s="49"/>
      <c r="EP41" s="49"/>
      <c r="EQ41" s="49">
        <v>206</v>
      </c>
      <c r="ER41" s="42">
        <f t="shared" si="1920"/>
        <v>797</v>
      </c>
      <c r="ES41" s="43">
        <f t="shared" si="1921"/>
        <v>132.83333333333334</v>
      </c>
      <c r="ET41" s="48"/>
      <c r="EU41" s="49">
        <v>209</v>
      </c>
      <c r="EV41" s="49"/>
      <c r="EW41" s="49">
        <v>612</v>
      </c>
      <c r="EX41" s="49">
        <v>204</v>
      </c>
      <c r="EY41" s="49"/>
      <c r="EZ41" s="42">
        <f t="shared" si="1922"/>
        <v>1025</v>
      </c>
      <c r="FA41" s="43">
        <f t="shared" si="1923"/>
        <v>170.83333333333334</v>
      </c>
      <c r="FB41" s="48"/>
      <c r="FC41" s="49"/>
      <c r="FD41" s="49">
        <v>797</v>
      </c>
      <c r="FE41" s="49"/>
      <c r="FF41" s="49">
        <v>199</v>
      </c>
      <c r="FG41" s="49"/>
      <c r="FH41" s="42">
        <f t="shared" si="1924"/>
        <v>996</v>
      </c>
      <c r="FI41" s="43">
        <f t="shared" si="1925"/>
        <v>166</v>
      </c>
      <c r="FJ41" s="48">
        <v>101</v>
      </c>
      <c r="FK41" s="49"/>
      <c r="FL41" s="49"/>
      <c r="FM41" s="49"/>
      <c r="FN41" s="49"/>
      <c r="FO41" s="49">
        <v>197</v>
      </c>
      <c r="FP41" s="42">
        <f t="shared" si="1926"/>
        <v>298</v>
      </c>
      <c r="FQ41" s="43">
        <f t="shared" si="1927"/>
        <v>49.666666666666664</v>
      </c>
      <c r="FR41" s="48"/>
      <c r="FS41" s="49"/>
      <c r="FT41" s="49"/>
      <c r="FU41" s="49">
        <v>392</v>
      </c>
      <c r="FV41" s="49"/>
      <c r="FW41" s="49"/>
      <c r="FX41" s="42">
        <f t="shared" si="1928"/>
        <v>392</v>
      </c>
      <c r="FY41" s="43">
        <f t="shared" si="1929"/>
        <v>65.333333333333329</v>
      </c>
      <c r="FZ41" s="48"/>
      <c r="GA41" s="49">
        <v>397</v>
      </c>
      <c r="GB41" s="49">
        <v>399</v>
      </c>
      <c r="GC41" s="49"/>
      <c r="GD41" s="49"/>
      <c r="GE41" s="49"/>
      <c r="GF41" s="42">
        <f t="shared" si="1930"/>
        <v>796</v>
      </c>
      <c r="GG41" s="43">
        <f t="shared" si="1931"/>
        <v>132.66666666666666</v>
      </c>
      <c r="GH41" s="48"/>
      <c r="GI41" s="49">
        <v>799</v>
      </c>
      <c r="GJ41" s="49"/>
      <c r="GK41" s="49"/>
      <c r="GL41" s="49"/>
      <c r="GM41" s="49">
        <v>314</v>
      </c>
      <c r="GN41" s="42">
        <f t="shared" si="1932"/>
        <v>1113</v>
      </c>
      <c r="GO41" s="43">
        <f t="shared" si="1933"/>
        <v>185.5</v>
      </c>
      <c r="GP41" s="48"/>
      <c r="GQ41" s="49"/>
      <c r="GR41" s="49"/>
      <c r="GS41" s="49"/>
      <c r="GT41" s="49"/>
      <c r="GU41" s="49">
        <v>398</v>
      </c>
      <c r="GV41" s="42">
        <f t="shared" si="1934"/>
        <v>398</v>
      </c>
      <c r="GW41" s="43">
        <f t="shared" si="1935"/>
        <v>66.333333333333329</v>
      </c>
      <c r="GX41" s="48"/>
      <c r="GY41" s="49"/>
      <c r="GZ41" s="49"/>
      <c r="HA41" s="49">
        <v>998</v>
      </c>
      <c r="HB41" s="49"/>
      <c r="HC41" s="49">
        <v>299</v>
      </c>
      <c r="HD41" s="42">
        <f t="shared" si="1936"/>
        <v>1297</v>
      </c>
      <c r="HE41" s="43">
        <f t="shared" si="1937"/>
        <v>216.16666666666666</v>
      </c>
      <c r="HF41" s="48"/>
      <c r="HG41" s="49"/>
      <c r="HH41" s="49"/>
      <c r="HI41" s="49"/>
      <c r="HJ41" s="49"/>
      <c r="HK41" s="49">
        <v>399</v>
      </c>
      <c r="HL41" s="42">
        <f t="shared" si="1938"/>
        <v>399</v>
      </c>
      <c r="HM41" s="43">
        <f t="shared" si="1939"/>
        <v>66.5</v>
      </c>
      <c r="HN41" s="82">
        <v>200</v>
      </c>
      <c r="HO41" s="83">
        <v>101</v>
      </c>
      <c r="HP41" s="83"/>
      <c r="HQ41" s="83">
        <v>400</v>
      </c>
      <c r="HR41" s="83"/>
      <c r="HS41" s="83"/>
      <c r="HT41" s="42">
        <f t="shared" si="1940"/>
        <v>701</v>
      </c>
      <c r="HU41" s="43">
        <f t="shared" si="1941"/>
        <v>116.83333333333333</v>
      </c>
      <c r="HV41" s="48"/>
      <c r="HW41" s="49">
        <v>593</v>
      </c>
      <c r="HX41" s="49"/>
      <c r="HY41" s="49"/>
      <c r="HZ41" s="49"/>
      <c r="IA41" s="49"/>
      <c r="IB41" s="42">
        <f t="shared" si="1942"/>
        <v>593</v>
      </c>
      <c r="IC41" s="43">
        <f t="shared" si="1943"/>
        <v>98.833333333333329</v>
      </c>
      <c r="ID41" s="48">
        <v>587</v>
      </c>
      <c r="IE41" s="49"/>
      <c r="IF41" s="49"/>
      <c r="IG41" s="49"/>
      <c r="IH41" s="49">
        <v>100</v>
      </c>
      <c r="II41" s="49">
        <v>420</v>
      </c>
      <c r="IJ41" s="42">
        <f t="shared" si="1944"/>
        <v>1107</v>
      </c>
      <c r="IK41" s="43">
        <f t="shared" si="1945"/>
        <v>184.5</v>
      </c>
      <c r="IL41" s="48"/>
      <c r="IM41" s="49"/>
      <c r="IN41" s="49"/>
      <c r="IO41" s="49"/>
      <c r="IP41" s="49"/>
      <c r="IQ41" s="49"/>
      <c r="IR41" s="67">
        <f t="shared" si="1946"/>
        <v>0</v>
      </c>
      <c r="IS41" s="68">
        <f t="shared" si="1947"/>
        <v>0</v>
      </c>
      <c r="IT41" s="48"/>
      <c r="IU41" s="49"/>
      <c r="IV41" s="49">
        <v>382</v>
      </c>
      <c r="IW41" s="49"/>
      <c r="IX41" s="49"/>
      <c r="IY41" s="49"/>
      <c r="IZ41" s="67">
        <f t="shared" si="1948"/>
        <v>382</v>
      </c>
      <c r="JA41" s="68">
        <f t="shared" si="1949"/>
        <v>63.666666666666664</v>
      </c>
      <c r="JB41" s="48"/>
      <c r="JC41" s="49"/>
      <c r="JD41" s="49">
        <v>197</v>
      </c>
      <c r="JE41" s="49"/>
      <c r="JF41" s="49"/>
      <c r="JG41" s="49"/>
      <c r="JH41" s="67">
        <f t="shared" si="1950"/>
        <v>197</v>
      </c>
      <c r="JI41" s="68">
        <f t="shared" si="1951"/>
        <v>32.833333333333336</v>
      </c>
      <c r="JJ41" s="48">
        <v>101</v>
      </c>
      <c r="JK41" s="49">
        <v>573</v>
      </c>
      <c r="JL41" s="49"/>
      <c r="JM41" s="49"/>
      <c r="JN41" s="49"/>
      <c r="JO41" s="49"/>
      <c r="JP41" s="42">
        <f t="shared" si="1952"/>
        <v>674</v>
      </c>
      <c r="JQ41" s="43">
        <f t="shared" si="1953"/>
        <v>112.33333333333333</v>
      </c>
      <c r="JR41" s="48"/>
      <c r="JS41" s="49"/>
      <c r="JT41" s="49"/>
      <c r="JU41" s="49"/>
      <c r="JV41" s="49">
        <v>517</v>
      </c>
      <c r="JW41" s="49"/>
      <c r="JX41" s="42">
        <f t="shared" si="1954"/>
        <v>517</v>
      </c>
      <c r="JY41" s="43">
        <f t="shared" si="1955"/>
        <v>86.166666666666671</v>
      </c>
      <c r="JZ41" s="48"/>
      <c r="KA41" s="49">
        <v>198</v>
      </c>
      <c r="KB41" s="49"/>
      <c r="KC41" s="49">
        <v>193</v>
      </c>
      <c r="KD41" s="49"/>
      <c r="KE41" s="49"/>
      <c r="KF41" s="42">
        <f t="shared" si="1956"/>
        <v>391</v>
      </c>
      <c r="KG41" s="43">
        <f t="shared" si="1957"/>
        <v>65.166666666666671</v>
      </c>
      <c r="KH41" s="48">
        <v>303</v>
      </c>
      <c r="KI41" s="49"/>
      <c r="KJ41" s="49"/>
      <c r="KK41" s="49"/>
      <c r="KL41" s="49"/>
      <c r="KM41" s="49"/>
      <c r="KN41" s="67">
        <f t="shared" si="1958"/>
        <v>303</v>
      </c>
      <c r="KO41" s="68">
        <f t="shared" si="1959"/>
        <v>50.5</v>
      </c>
      <c r="KP41" s="48">
        <v>298</v>
      </c>
      <c r="KQ41" s="49"/>
      <c r="KR41" s="49"/>
      <c r="KS41" s="49"/>
      <c r="KT41" s="49">
        <v>396</v>
      </c>
      <c r="KU41" s="49"/>
      <c r="KV41" s="67">
        <f t="shared" si="1960"/>
        <v>694</v>
      </c>
      <c r="KW41" s="68">
        <f t="shared" si="1961"/>
        <v>115.66666666666667</v>
      </c>
      <c r="KX41" s="48"/>
      <c r="KY41" s="49"/>
      <c r="KZ41" s="49"/>
      <c r="LA41" s="49"/>
      <c r="LB41" s="49"/>
      <c r="LC41" s="49"/>
      <c r="LD41" s="67">
        <f t="shared" si="1962"/>
        <v>0</v>
      </c>
      <c r="LE41" s="68">
        <f t="shared" si="1963"/>
        <v>0</v>
      </c>
      <c r="LF41" s="48"/>
      <c r="LG41" s="49"/>
      <c r="LH41" s="49"/>
      <c r="LI41" s="49"/>
      <c r="LJ41" s="49"/>
      <c r="LK41" s="49"/>
      <c r="LL41" s="67">
        <f t="shared" si="1964"/>
        <v>0</v>
      </c>
      <c r="LM41" s="68">
        <f t="shared" si="1965"/>
        <v>0</v>
      </c>
      <c r="LN41" s="48">
        <v>300</v>
      </c>
      <c r="LO41" s="49"/>
      <c r="LP41" s="49"/>
      <c r="LQ41" s="49">
        <v>276</v>
      </c>
      <c r="LR41" s="49"/>
      <c r="LS41" s="49">
        <v>604</v>
      </c>
      <c r="LT41" s="67">
        <f t="shared" si="1966"/>
        <v>1180</v>
      </c>
      <c r="LU41" s="68">
        <f t="shared" si="1967"/>
        <v>196.66666666666666</v>
      </c>
      <c r="LV41" s="48"/>
      <c r="LW41" s="49"/>
      <c r="LX41" s="49"/>
      <c r="LY41" s="49"/>
      <c r="LZ41" s="49"/>
      <c r="MA41" s="49"/>
      <c r="MB41" s="67">
        <f t="shared" si="1968"/>
        <v>0</v>
      </c>
      <c r="MC41" s="68">
        <f t="shared" si="1969"/>
        <v>0</v>
      </c>
      <c r="MD41" s="48">
        <v>91</v>
      </c>
      <c r="ME41" s="49"/>
      <c r="MF41" s="49"/>
      <c r="MG41" s="49"/>
      <c r="MH41" s="49"/>
      <c r="MI41" s="49">
        <v>209</v>
      </c>
      <c r="MJ41" s="67">
        <f t="shared" si="1970"/>
        <v>300</v>
      </c>
      <c r="MK41" s="68">
        <f t="shared" si="1971"/>
        <v>50</v>
      </c>
      <c r="ML41" s="48"/>
      <c r="MM41" s="49"/>
      <c r="MN41" s="49"/>
      <c r="MO41" s="49">
        <v>399</v>
      </c>
      <c r="MP41" s="49"/>
      <c r="MQ41" s="49">
        <v>402</v>
      </c>
      <c r="MR41" s="67">
        <f t="shared" si="1972"/>
        <v>801</v>
      </c>
      <c r="MS41" s="68">
        <f t="shared" si="1973"/>
        <v>133.5</v>
      </c>
      <c r="MT41" s="48"/>
      <c r="MU41" s="49"/>
      <c r="MV41" s="49"/>
      <c r="MW41" s="49">
        <v>208</v>
      </c>
      <c r="MX41" s="49"/>
      <c r="MY41" s="49"/>
      <c r="MZ41" s="67">
        <f t="shared" si="1974"/>
        <v>208</v>
      </c>
      <c r="NA41" s="68">
        <f t="shared" si="1975"/>
        <v>34.666666666666664</v>
      </c>
      <c r="NB41" s="48"/>
      <c r="NC41" s="49">
        <v>313</v>
      </c>
      <c r="ND41" s="49"/>
      <c r="NE41" s="49"/>
      <c r="NF41" s="49"/>
      <c r="NG41" s="49"/>
      <c r="NH41" s="67">
        <f t="shared" si="1976"/>
        <v>313</v>
      </c>
      <c r="NI41" s="68">
        <f t="shared" si="1977"/>
        <v>52.166666666666664</v>
      </c>
      <c r="NJ41" s="48"/>
      <c r="NK41" s="49"/>
      <c r="NL41" s="49"/>
      <c r="NM41" s="49"/>
      <c r="NN41" s="49"/>
      <c r="NO41" s="49"/>
      <c r="NP41" s="67">
        <f t="shared" si="1978"/>
        <v>0</v>
      </c>
      <c r="NQ41" s="68">
        <f t="shared" si="1979"/>
        <v>0</v>
      </c>
      <c r="NR41" s="48">
        <v>608</v>
      </c>
      <c r="NS41" s="49"/>
      <c r="NT41" s="49"/>
      <c r="NU41" s="49"/>
      <c r="NV41" s="49"/>
      <c r="NW41" s="49"/>
      <c r="NX41" s="67">
        <f t="shared" si="1980"/>
        <v>608</v>
      </c>
      <c r="NY41" s="68">
        <f t="shared" si="1981"/>
        <v>101.33333333333333</v>
      </c>
      <c r="NZ41" s="48"/>
      <c r="OA41" s="49">
        <v>792</v>
      </c>
      <c r="OB41" s="49">
        <v>792</v>
      </c>
      <c r="OC41" s="49"/>
      <c r="OD41" s="49"/>
      <c r="OE41" s="49"/>
      <c r="OF41" s="67">
        <f t="shared" si="1982"/>
        <v>1584</v>
      </c>
      <c r="OG41" s="68">
        <f t="shared" si="1983"/>
        <v>264</v>
      </c>
      <c r="OH41" s="48">
        <v>100</v>
      </c>
      <c r="OI41" s="49"/>
      <c r="OJ41" s="49"/>
      <c r="OK41" s="49"/>
      <c r="OL41" s="49">
        <v>200</v>
      </c>
      <c r="OM41" s="49"/>
      <c r="ON41" s="67">
        <f t="shared" si="1984"/>
        <v>300</v>
      </c>
      <c r="OO41" s="68">
        <f t="shared" si="1985"/>
        <v>50</v>
      </c>
      <c r="OP41" s="48"/>
      <c r="OQ41" s="49"/>
      <c r="OR41" s="49">
        <v>589</v>
      </c>
      <c r="OS41" s="49"/>
      <c r="OT41" s="49"/>
      <c r="OU41" s="49"/>
      <c r="OV41" s="67">
        <f t="shared" si="1986"/>
        <v>589</v>
      </c>
      <c r="OW41" s="68">
        <f t="shared" si="1987"/>
        <v>98.166666666666671</v>
      </c>
      <c r="OX41" s="48"/>
      <c r="OY41" s="49"/>
      <c r="OZ41" s="49"/>
      <c r="PA41" s="49"/>
      <c r="PB41" s="49"/>
      <c r="PC41" s="49">
        <v>177</v>
      </c>
      <c r="PD41" s="67">
        <f t="shared" si="1988"/>
        <v>177</v>
      </c>
      <c r="PE41" s="68">
        <f t="shared" si="1989"/>
        <v>29.5</v>
      </c>
      <c r="PF41" s="48">
        <v>246</v>
      </c>
      <c r="PG41" s="49"/>
      <c r="PH41" s="49"/>
      <c r="PI41" s="49"/>
      <c r="PJ41" s="49"/>
      <c r="PK41" s="49">
        <v>650</v>
      </c>
      <c r="PL41" s="67">
        <f t="shared" si="1990"/>
        <v>896</v>
      </c>
      <c r="PM41" s="68">
        <f t="shared" si="1991"/>
        <v>149.33333333333334</v>
      </c>
      <c r="PN41" s="48"/>
      <c r="PO41" s="49"/>
      <c r="PP41" s="49"/>
      <c r="PQ41" s="49"/>
      <c r="PR41" s="49">
        <v>1225</v>
      </c>
      <c r="PS41" s="49"/>
      <c r="PT41" s="67">
        <f t="shared" si="1992"/>
        <v>1225</v>
      </c>
      <c r="PU41" s="68">
        <f t="shared" si="1993"/>
        <v>204.16666666666666</v>
      </c>
      <c r="PV41" s="106"/>
      <c r="PW41" s="107"/>
      <c r="PX41" s="107"/>
      <c r="PY41" s="107"/>
      <c r="PZ41" s="107"/>
      <c r="QA41" s="107"/>
      <c r="QB41" s="104">
        <f t="shared" si="1994"/>
        <v>0</v>
      </c>
      <c r="QC41" s="105">
        <f t="shared" si="1995"/>
        <v>0</v>
      </c>
      <c r="QD41" s="106"/>
      <c r="QE41" s="107"/>
      <c r="QF41" s="107"/>
      <c r="QG41" s="107"/>
      <c r="QH41" s="107"/>
      <c r="QI41" s="107"/>
      <c r="QJ41" s="104">
        <f t="shared" si="1996"/>
        <v>0</v>
      </c>
      <c r="QK41" s="105">
        <f t="shared" si="1997"/>
        <v>0</v>
      </c>
      <c r="QL41" s="106"/>
      <c r="QM41" s="107"/>
      <c r="QN41" s="107"/>
      <c r="QO41" s="107">
        <v>199</v>
      </c>
      <c r="QP41" s="107"/>
      <c r="QQ41" s="107"/>
      <c r="QR41" s="104">
        <f t="shared" si="1998"/>
        <v>199</v>
      </c>
      <c r="QS41" s="105">
        <f t="shared" si="1999"/>
        <v>33.166666666666664</v>
      </c>
      <c r="QT41" s="106"/>
      <c r="QU41" s="107">
        <v>606</v>
      </c>
      <c r="QV41" s="107"/>
      <c r="QW41" s="107"/>
      <c r="QX41" s="107"/>
      <c r="QY41" s="107"/>
      <c r="QZ41" s="104">
        <f t="shared" si="2000"/>
        <v>606</v>
      </c>
      <c r="RA41" s="105">
        <f t="shared" si="2001"/>
        <v>101</v>
      </c>
      <c r="RB41" s="106"/>
      <c r="RC41" s="107"/>
      <c r="RD41" s="107">
        <v>593</v>
      </c>
      <c r="RE41" s="107"/>
      <c r="RF41" s="107"/>
      <c r="RG41" s="107"/>
      <c r="RH41" s="104">
        <f t="shared" si="2002"/>
        <v>593</v>
      </c>
      <c r="RI41" s="105">
        <f t="shared" si="2003"/>
        <v>98.833333333333329</v>
      </c>
      <c r="RJ41" s="106"/>
      <c r="RK41" s="107"/>
      <c r="RL41" s="107"/>
      <c r="RM41" s="107"/>
      <c r="RN41" s="107"/>
      <c r="RO41" s="107"/>
      <c r="RP41" s="104">
        <f t="shared" si="2004"/>
        <v>0</v>
      </c>
      <c r="RQ41" s="105">
        <f t="shared" si="2005"/>
        <v>0</v>
      </c>
      <c r="RR41" s="106"/>
      <c r="RS41" s="107"/>
      <c r="RT41" s="107"/>
      <c r="RU41" s="107"/>
      <c r="RV41" s="107"/>
      <c r="RW41" s="107"/>
      <c r="RX41" s="104">
        <f t="shared" si="2006"/>
        <v>0</v>
      </c>
      <c r="RY41" s="105">
        <f t="shared" si="2007"/>
        <v>0</v>
      </c>
      <c r="RZ41" s="106">
        <v>315</v>
      </c>
      <c r="SA41" s="107"/>
      <c r="SB41" s="107"/>
      <c r="SC41" s="107"/>
      <c r="SD41" s="107"/>
      <c r="SE41" s="107"/>
      <c r="SF41" s="104">
        <f t="shared" si="2008"/>
        <v>315</v>
      </c>
      <c r="SG41" s="105">
        <f t="shared" si="2009"/>
        <v>52.5</v>
      </c>
      <c r="SH41" s="106">
        <v>643</v>
      </c>
      <c r="SI41" s="107"/>
      <c r="SJ41" s="107"/>
      <c r="SK41" s="107"/>
      <c r="SL41" s="107"/>
      <c r="SM41" s="107"/>
      <c r="SN41" s="104">
        <f t="shared" si="2010"/>
        <v>643</v>
      </c>
      <c r="SO41" s="105">
        <f t="shared" si="2011"/>
        <v>107.16666666666667</v>
      </c>
      <c r="SP41" s="106"/>
      <c r="SQ41" s="107">
        <v>332</v>
      </c>
      <c r="SR41" s="107"/>
      <c r="SS41" s="107"/>
      <c r="ST41" s="107"/>
      <c r="SU41" s="107"/>
      <c r="SV41" s="104">
        <f t="shared" si="2012"/>
        <v>332</v>
      </c>
      <c r="SW41" s="105">
        <f t="shared" si="2013"/>
        <v>55.333333333333336</v>
      </c>
      <c r="SX41" s="106">
        <v>400</v>
      </c>
      <c r="SY41" s="107"/>
      <c r="SZ41" s="107"/>
      <c r="TA41" s="107"/>
      <c r="TB41" s="107"/>
      <c r="TC41" s="107"/>
      <c r="TD41" s="104">
        <f t="shared" si="2014"/>
        <v>400</v>
      </c>
      <c r="TE41" s="105">
        <f t="shared" si="2015"/>
        <v>66.666666666666671</v>
      </c>
      <c r="TF41" s="106"/>
      <c r="TG41" s="107"/>
      <c r="TH41" s="107"/>
      <c r="TI41" s="107"/>
      <c r="TJ41" s="107"/>
      <c r="TK41" s="107"/>
      <c r="TL41" s="104">
        <f t="shared" si="2016"/>
        <v>0</v>
      </c>
      <c r="TM41" s="105">
        <f t="shared" si="2017"/>
        <v>0</v>
      </c>
      <c r="TN41" s="130"/>
      <c r="TO41" s="107"/>
      <c r="TP41" s="107"/>
      <c r="TQ41" s="107">
        <v>269</v>
      </c>
      <c r="TR41" s="107"/>
      <c r="TS41" s="107"/>
      <c r="TT41" s="104">
        <f t="shared" si="2018"/>
        <v>269</v>
      </c>
      <c r="TU41" s="105">
        <f t="shared" si="2019"/>
        <v>44.833333333333336</v>
      </c>
      <c r="TV41" s="106"/>
      <c r="TW41" s="107">
        <v>399</v>
      </c>
      <c r="TX41" s="107"/>
      <c r="TY41" s="107"/>
      <c r="TZ41" s="107">
        <v>412</v>
      </c>
      <c r="UA41" s="107"/>
      <c r="UB41" s="104">
        <f t="shared" si="2020"/>
        <v>811</v>
      </c>
      <c r="UC41" s="105">
        <f t="shared" si="2021"/>
        <v>135.16666666666666</v>
      </c>
      <c r="UD41" s="106"/>
      <c r="UE41" s="107"/>
      <c r="UF41" s="107"/>
      <c r="UG41" s="107"/>
      <c r="UH41" s="107"/>
      <c r="UI41" s="107"/>
      <c r="UJ41" s="104">
        <f t="shared" si="2022"/>
        <v>0</v>
      </c>
      <c r="UK41" s="105">
        <f t="shared" si="2023"/>
        <v>0</v>
      </c>
      <c r="UL41" s="106"/>
      <c r="UM41" s="107"/>
      <c r="UN41" s="107">
        <v>489</v>
      </c>
      <c r="UO41" s="107"/>
      <c r="UP41" s="107"/>
      <c r="UQ41" s="107"/>
      <c r="UR41" s="107"/>
      <c r="US41" s="104">
        <f t="shared" si="1579"/>
        <v>489</v>
      </c>
      <c r="UT41" s="105">
        <f t="shared" si="2024"/>
        <v>81.5</v>
      </c>
      <c r="UU41" s="106"/>
      <c r="UV41" s="107">
        <v>403</v>
      </c>
      <c r="UW41" s="107"/>
      <c r="UX41" s="107"/>
      <c r="UY41" s="107"/>
      <c r="UZ41" s="107"/>
      <c r="VA41" s="104">
        <f t="shared" si="2025"/>
        <v>403</v>
      </c>
      <c r="VB41" s="105">
        <f t="shared" si="2026"/>
        <v>67.166666666666671</v>
      </c>
      <c r="VC41" s="106"/>
      <c r="VD41" s="107"/>
      <c r="VE41" s="107"/>
      <c r="VF41" s="107"/>
      <c r="VG41" s="107">
        <v>210</v>
      </c>
      <c r="VH41" s="107"/>
      <c r="VI41" s="104">
        <f t="shared" si="2027"/>
        <v>210</v>
      </c>
      <c r="VJ41" s="105">
        <f t="shared" si="2028"/>
        <v>35</v>
      </c>
      <c r="VK41" s="48"/>
      <c r="VL41" s="49"/>
      <c r="VM41" s="49"/>
      <c r="VN41" s="49">
        <v>198</v>
      </c>
      <c r="VO41" s="49">
        <v>198</v>
      </c>
      <c r="VP41" s="49"/>
      <c r="VQ41" s="67">
        <f t="shared" si="2029"/>
        <v>396</v>
      </c>
      <c r="VR41" s="68">
        <f t="shared" si="2030"/>
        <v>66</v>
      </c>
      <c r="VS41" s="106"/>
      <c r="VT41" s="107"/>
      <c r="VU41" s="107"/>
      <c r="VV41" s="107"/>
      <c r="VW41" s="107"/>
      <c r="VX41" s="107"/>
      <c r="VY41" s="104">
        <f t="shared" si="2031"/>
        <v>0</v>
      </c>
      <c r="VZ41" s="105">
        <f t="shared" si="2032"/>
        <v>0</v>
      </c>
      <c r="WA41" s="63"/>
      <c r="WB41" s="64"/>
      <c r="WC41" s="64"/>
      <c r="WD41" s="64"/>
      <c r="WE41" s="64"/>
      <c r="WF41" s="64"/>
      <c r="WG41" s="67">
        <f t="shared" si="2033"/>
        <v>0</v>
      </c>
      <c r="WH41" s="68">
        <f t="shared" si="2034"/>
        <v>0</v>
      </c>
      <c r="WI41" s="106">
        <v>402</v>
      </c>
      <c r="WJ41" s="107"/>
      <c r="WK41" s="107"/>
      <c r="WL41" s="107"/>
      <c r="WM41" s="107">
        <v>199</v>
      </c>
      <c r="WN41" s="107"/>
      <c r="WO41" s="104">
        <f t="shared" si="2035"/>
        <v>601</v>
      </c>
      <c r="WP41" s="105">
        <f t="shared" si="2036"/>
        <v>100.16666666666667</v>
      </c>
      <c r="WQ41" s="48"/>
      <c r="WR41" s="49"/>
      <c r="WS41" s="49"/>
      <c r="WT41" s="49"/>
      <c r="WU41" s="49">
        <v>57</v>
      </c>
      <c r="WV41" s="49"/>
      <c r="WW41" s="49"/>
      <c r="WX41" s="67">
        <f t="shared" si="2037"/>
        <v>57</v>
      </c>
      <c r="WY41" s="68">
        <f t="shared" si="2038"/>
        <v>9.5</v>
      </c>
      <c r="WZ41" s="48"/>
      <c r="XA41" s="49">
        <v>143</v>
      </c>
      <c r="XB41" s="49"/>
      <c r="XC41" s="49">
        <v>200</v>
      </c>
      <c r="XD41" s="49">
        <v>101</v>
      </c>
      <c r="XE41" s="49"/>
      <c r="XF41" s="49"/>
      <c r="XG41" s="67">
        <f t="shared" si="2039"/>
        <v>444</v>
      </c>
      <c r="XH41" s="68">
        <f t="shared" si="2040"/>
        <v>74</v>
      </c>
      <c r="XI41" s="48"/>
      <c r="XJ41" s="49"/>
      <c r="XK41" s="49">
        <v>417</v>
      </c>
      <c r="XL41" s="49"/>
      <c r="XM41" s="49"/>
      <c r="XN41" s="49"/>
      <c r="XO41" s="49">
        <v>196</v>
      </c>
      <c r="XP41" s="67">
        <f t="shared" si="2041"/>
        <v>613</v>
      </c>
      <c r="XQ41" s="68">
        <f t="shared" si="2042"/>
        <v>102.16666666666667</v>
      </c>
      <c r="XR41" s="48"/>
      <c r="XS41" s="49">
        <v>619</v>
      </c>
      <c r="XT41" s="49"/>
      <c r="XU41" s="49"/>
      <c r="XV41" s="49"/>
      <c r="XW41" s="49"/>
      <c r="XX41" s="49">
        <v>3</v>
      </c>
      <c r="XY41" s="67">
        <f t="shared" si="2043"/>
        <v>622</v>
      </c>
      <c r="XZ41" s="68">
        <f t="shared" si="2044"/>
        <v>103.66666666666667</v>
      </c>
      <c r="YA41" s="48"/>
      <c r="YB41" s="49"/>
      <c r="YC41" s="49">
        <v>191</v>
      </c>
      <c r="YD41" s="49"/>
      <c r="YE41" s="49">
        <v>246</v>
      </c>
      <c r="YF41" s="49"/>
      <c r="YG41" s="49"/>
      <c r="YH41" s="67">
        <f t="shared" si="2045"/>
        <v>437</v>
      </c>
      <c r="YI41" s="68">
        <f t="shared" si="2046"/>
        <v>72.833333333333329</v>
      </c>
      <c r="YJ41" s="48"/>
      <c r="YK41" s="49"/>
      <c r="YL41" s="49"/>
      <c r="YM41" s="49">
        <v>298</v>
      </c>
      <c r="YN41" s="49">
        <v>398</v>
      </c>
      <c r="YO41" s="49"/>
      <c r="YP41" s="49"/>
      <c r="YQ41" s="67">
        <f t="shared" si="2047"/>
        <v>696</v>
      </c>
      <c r="YR41" s="68">
        <f t="shared" si="2048"/>
        <v>116</v>
      </c>
      <c r="YS41" s="48"/>
      <c r="YT41" s="49"/>
      <c r="YU41" s="49"/>
      <c r="YV41" s="49"/>
      <c r="YW41" s="49"/>
      <c r="YX41" s="49">
        <v>398</v>
      </c>
      <c r="YY41" s="67">
        <f t="shared" si="2049"/>
        <v>398</v>
      </c>
      <c r="YZ41" s="68">
        <f t="shared" si="2050"/>
        <v>66.333333333333329</v>
      </c>
      <c r="ZA41" s="48"/>
      <c r="ZB41" s="49"/>
      <c r="ZC41" s="49"/>
      <c r="ZD41" s="49">
        <v>200</v>
      </c>
      <c r="ZE41" s="49"/>
      <c r="ZF41" s="49"/>
      <c r="ZG41" s="67">
        <f t="shared" si="2051"/>
        <v>200</v>
      </c>
      <c r="ZH41" s="68">
        <f t="shared" si="2052"/>
        <v>33.333333333333336</v>
      </c>
      <c r="ZI41" s="48"/>
      <c r="ZJ41" s="49"/>
      <c r="ZK41" s="49">
        <v>213</v>
      </c>
      <c r="ZL41" s="49"/>
      <c r="ZM41" s="49"/>
      <c r="ZN41" s="24"/>
      <c r="ZO41" s="67">
        <f t="shared" si="2053"/>
        <v>213</v>
      </c>
      <c r="ZP41" s="68">
        <f t="shared" si="2054"/>
        <v>35.5</v>
      </c>
      <c r="ZQ41" s="48"/>
      <c r="ZR41" s="49"/>
      <c r="ZS41" s="49"/>
      <c r="ZT41" s="49">
        <v>355</v>
      </c>
      <c r="ZU41" s="49">
        <v>598</v>
      </c>
      <c r="ZV41" s="49"/>
      <c r="ZW41" s="49"/>
      <c r="ZX41" s="67">
        <f t="shared" si="2055"/>
        <v>953</v>
      </c>
      <c r="ZY41" s="70">
        <f t="shared" si="2056"/>
        <v>158.83333333333334</v>
      </c>
      <c r="ZZ41" s="48"/>
      <c r="AAA41" s="49"/>
      <c r="AAB41" s="49"/>
      <c r="AAC41" s="49"/>
      <c r="AAD41" s="49"/>
      <c r="AAE41" s="49"/>
      <c r="AAF41" s="49"/>
      <c r="AAG41" s="67">
        <f t="shared" si="2057"/>
        <v>0</v>
      </c>
      <c r="AAH41" s="68">
        <f t="shared" si="2058"/>
        <v>0</v>
      </c>
      <c r="AAI41" s="48"/>
      <c r="AAJ41" s="49"/>
      <c r="AAK41" s="49"/>
      <c r="AAL41" s="49"/>
      <c r="AAM41" s="49"/>
      <c r="AAN41" s="49"/>
      <c r="AAO41" s="67">
        <f t="shared" si="2059"/>
        <v>0</v>
      </c>
      <c r="AAP41" s="68">
        <f t="shared" si="2060"/>
        <v>0</v>
      </c>
      <c r="AAQ41" s="48">
        <v>198</v>
      </c>
      <c r="AAR41" s="49"/>
      <c r="AAS41" s="49"/>
      <c r="AAT41" s="49"/>
      <c r="AAU41" s="49">
        <v>307</v>
      </c>
      <c r="AAV41" s="49"/>
      <c r="AAW41" s="67">
        <f t="shared" si="2061"/>
        <v>505</v>
      </c>
      <c r="AAX41" s="68">
        <f t="shared" si="2062"/>
        <v>84.166666666666671</v>
      </c>
      <c r="AAY41" s="48"/>
      <c r="AAZ41" s="49"/>
      <c r="ABA41" s="49">
        <v>399</v>
      </c>
      <c r="ABB41" s="49"/>
      <c r="ABC41" s="49">
        <v>762</v>
      </c>
      <c r="ABD41" s="49"/>
      <c r="ABE41" s="67">
        <f t="shared" si="2063"/>
        <v>1161</v>
      </c>
      <c r="ABF41" s="68">
        <f t="shared" si="2064"/>
        <v>193.5</v>
      </c>
      <c r="ABG41" s="48"/>
      <c r="ABH41" s="49"/>
      <c r="ABI41" s="49"/>
      <c r="ABJ41" s="49"/>
      <c r="ABK41" s="49"/>
      <c r="ABL41" s="49"/>
      <c r="ABM41" s="67">
        <f t="shared" si="2065"/>
        <v>0</v>
      </c>
      <c r="ABN41" s="68">
        <f t="shared" si="2066"/>
        <v>0</v>
      </c>
      <c r="ABO41" s="48"/>
      <c r="ABP41" s="49"/>
      <c r="ABQ41" s="49"/>
      <c r="ABR41" s="49"/>
      <c r="ABS41" s="49">
        <v>100</v>
      </c>
      <c r="ABT41" s="49"/>
      <c r="ABU41" s="67">
        <f t="shared" si="2067"/>
        <v>100</v>
      </c>
      <c r="ABV41" s="68">
        <f t="shared" si="2068"/>
        <v>16.666666666666668</v>
      </c>
      <c r="ABW41" s="48"/>
      <c r="ABX41" s="49">
        <v>402</v>
      </c>
      <c r="ABY41" s="49"/>
      <c r="ABZ41" s="49"/>
      <c r="ACA41" s="49"/>
      <c r="ACB41" s="49"/>
      <c r="ACC41" s="67">
        <f t="shared" si="2069"/>
        <v>402</v>
      </c>
      <c r="ACD41" s="68">
        <f t="shared" si="2070"/>
        <v>67</v>
      </c>
      <c r="ACE41" s="24">
        <v>399</v>
      </c>
      <c r="ACF41" s="49"/>
      <c r="ACG41" s="49"/>
      <c r="ACH41" s="49">
        <v>421</v>
      </c>
      <c r="ACI41" s="49"/>
      <c r="ACJ41" s="49"/>
      <c r="ACK41" s="67">
        <f t="shared" si="2071"/>
        <v>820</v>
      </c>
      <c r="ACL41" s="68">
        <f t="shared" si="2072"/>
        <v>136.66666666666666</v>
      </c>
      <c r="ACM41" s="48"/>
      <c r="ACN41" s="49"/>
      <c r="ACO41" s="49"/>
      <c r="ACP41" s="49">
        <v>121</v>
      </c>
      <c r="ACQ41" s="49"/>
      <c r="ACR41" s="49"/>
      <c r="ACS41" s="67">
        <f t="shared" si="2073"/>
        <v>121</v>
      </c>
      <c r="ACT41" s="68">
        <f t="shared" si="2074"/>
        <v>20.166666666666668</v>
      </c>
      <c r="ACU41" s="48"/>
      <c r="ACV41" s="49">
        <v>350</v>
      </c>
      <c r="ACW41" s="49">
        <v>220</v>
      </c>
      <c r="ACX41" s="49"/>
      <c r="ACY41" s="49"/>
      <c r="ACZ41" s="49">
        <v>220</v>
      </c>
      <c r="ADA41" s="67">
        <f t="shared" si="2075"/>
        <v>790</v>
      </c>
      <c r="ADB41" s="68">
        <f t="shared" si="2076"/>
        <v>131.66666666666666</v>
      </c>
      <c r="ADC41" s="48"/>
      <c r="ADD41" s="49">
        <v>420</v>
      </c>
      <c r="ADE41" s="49"/>
      <c r="ADF41" s="49"/>
      <c r="ADG41" s="49"/>
      <c r="ADH41" s="49"/>
      <c r="ADI41" s="67">
        <f t="shared" si="2077"/>
        <v>420</v>
      </c>
      <c r="ADJ41" s="68">
        <f t="shared" si="2078"/>
        <v>70</v>
      </c>
      <c r="ADK41" s="48">
        <v>296</v>
      </c>
      <c r="ADL41" s="49"/>
      <c r="ADM41" s="49"/>
      <c r="ADN41" s="49">
        <v>319</v>
      </c>
      <c r="ADO41" s="49"/>
      <c r="ADP41" s="49"/>
      <c r="ADQ41" s="67">
        <f t="shared" si="2079"/>
        <v>615</v>
      </c>
      <c r="ADR41" s="68">
        <f t="shared" si="2080"/>
        <v>102.5</v>
      </c>
      <c r="ADS41" s="48"/>
      <c r="ADT41" s="49">
        <v>316</v>
      </c>
      <c r="ADU41" s="49"/>
      <c r="ADV41" s="49"/>
      <c r="ADW41" s="49"/>
      <c r="ADX41" s="49"/>
      <c r="ADY41" s="67">
        <f t="shared" si="2081"/>
        <v>316</v>
      </c>
      <c r="ADZ41" s="68">
        <f t="shared" si="2082"/>
        <v>52.666666666666664</v>
      </c>
      <c r="AEA41" s="48"/>
      <c r="AEB41" s="49">
        <v>90</v>
      </c>
      <c r="AEC41" s="49"/>
      <c r="AED41" s="49"/>
      <c r="AEE41" s="49">
        <v>99</v>
      </c>
      <c r="AEF41" s="49"/>
      <c r="AEG41" s="67">
        <f t="shared" si="2083"/>
        <v>189</v>
      </c>
      <c r="AEH41" s="68">
        <f t="shared" si="2084"/>
        <v>31.5</v>
      </c>
      <c r="AEI41" s="48"/>
      <c r="AEJ41" s="49">
        <v>199</v>
      </c>
      <c r="AEK41" s="49"/>
      <c r="AEL41" s="49"/>
      <c r="AEM41" s="49"/>
      <c r="AEN41" s="49"/>
      <c r="AEO41" s="67">
        <f t="shared" si="2085"/>
        <v>199</v>
      </c>
      <c r="AEP41" s="68">
        <f t="shared" si="2086"/>
        <v>33.166666666666664</v>
      </c>
      <c r="AEQ41" s="48"/>
      <c r="AER41" s="49">
        <v>331</v>
      </c>
      <c r="AES41" s="49"/>
      <c r="AET41" s="49">
        <v>106</v>
      </c>
      <c r="AEU41" s="49"/>
      <c r="AEV41" s="49">
        <v>112</v>
      </c>
      <c r="AEW41" s="67">
        <f t="shared" si="2087"/>
        <v>549</v>
      </c>
      <c r="AEX41" s="68">
        <f t="shared" si="2088"/>
        <v>91.5</v>
      </c>
      <c r="AEY41" s="48"/>
      <c r="AEZ41" s="49"/>
      <c r="AFA41" s="49"/>
      <c r="AFB41" s="49">
        <v>218</v>
      </c>
      <c r="AFC41" s="49"/>
      <c r="AFD41" s="49">
        <v>109</v>
      </c>
      <c r="AFE41" s="67">
        <f t="shared" si="2089"/>
        <v>327</v>
      </c>
      <c r="AFF41" s="68">
        <f t="shared" si="2090"/>
        <v>54.5</v>
      </c>
      <c r="AFG41" s="48"/>
      <c r="AFH41" s="49"/>
      <c r="AFI41" s="49">
        <v>99</v>
      </c>
      <c r="AFJ41" s="49"/>
      <c r="AFK41" s="49"/>
      <c r="AFL41" s="49">
        <v>317</v>
      </c>
      <c r="AFM41" s="67">
        <f t="shared" si="2091"/>
        <v>416</v>
      </c>
      <c r="AFN41" s="68">
        <f t="shared" si="2092"/>
        <v>69.333333333333329</v>
      </c>
      <c r="AFO41" s="48"/>
      <c r="AFP41" s="49">
        <v>283</v>
      </c>
      <c r="AFQ41" s="49"/>
      <c r="AFR41" s="49"/>
      <c r="AFS41" s="49"/>
      <c r="AFT41" s="49"/>
      <c r="AFU41" s="67">
        <f t="shared" si="2093"/>
        <v>283</v>
      </c>
      <c r="AFV41" s="68">
        <f t="shared" si="2094"/>
        <v>47.166666666666664</v>
      </c>
      <c r="AFW41" s="48"/>
      <c r="AFX41" s="49">
        <v>399</v>
      </c>
      <c r="AFY41" s="49"/>
      <c r="AFZ41" s="49"/>
      <c r="AGA41" s="49"/>
      <c r="AGB41" s="49">
        <v>321</v>
      </c>
      <c r="AGC41" s="67">
        <f t="shared" si="2095"/>
        <v>720</v>
      </c>
      <c r="AGD41" s="68">
        <f t="shared" si="2096"/>
        <v>120</v>
      </c>
      <c r="AGE41" s="48">
        <v>112</v>
      </c>
      <c r="AGF41" s="49"/>
      <c r="AGG41" s="49"/>
      <c r="AGH41" s="49">
        <v>235</v>
      </c>
      <c r="AGI41" s="49"/>
      <c r="AGJ41" s="49"/>
      <c r="AGK41" s="67">
        <f t="shared" si="2097"/>
        <v>347</v>
      </c>
      <c r="AGL41" s="68">
        <f t="shared" si="2098"/>
        <v>57.833333333333336</v>
      </c>
      <c r="AGM41" s="48"/>
      <c r="AGN41" s="49"/>
      <c r="AGO41" s="49"/>
      <c r="AGP41" s="49"/>
      <c r="AGQ41" s="49"/>
      <c r="AGR41" s="49"/>
      <c r="AGS41" s="49"/>
      <c r="AGT41" s="67">
        <f t="shared" si="2099"/>
        <v>0</v>
      </c>
      <c r="AGU41" s="68">
        <f t="shared" si="2100"/>
        <v>0</v>
      </c>
      <c r="AGV41" s="48"/>
      <c r="AGW41" s="49">
        <v>199</v>
      </c>
      <c r="AGX41" s="49">
        <v>109</v>
      </c>
      <c r="AGY41" s="49"/>
      <c r="AGZ41" s="49"/>
      <c r="AHA41" s="49"/>
      <c r="AHB41" s="67">
        <f t="shared" si="2101"/>
        <v>308</v>
      </c>
      <c r="AHC41" s="68">
        <f t="shared" si="2102"/>
        <v>10.620689655172415</v>
      </c>
      <c r="AHD41" s="48">
        <v>329</v>
      </c>
      <c r="AHE41" s="49"/>
      <c r="AHF41" s="49"/>
      <c r="AHG41" s="49"/>
      <c r="AHH41" s="49"/>
      <c r="AHI41" s="49"/>
      <c r="AHJ41" s="67">
        <f t="shared" si="2103"/>
        <v>329</v>
      </c>
      <c r="AHK41" s="68">
        <f t="shared" si="2104"/>
        <v>11.344827586206897</v>
      </c>
      <c r="AHL41" s="48"/>
      <c r="AHM41" s="49"/>
      <c r="AHN41" s="49">
        <v>206</v>
      </c>
      <c r="AHO41" s="49"/>
      <c r="AHP41" s="49"/>
      <c r="AHQ41" s="49"/>
      <c r="AHR41" s="67">
        <f t="shared" si="2105"/>
        <v>206</v>
      </c>
      <c r="AHS41" s="68">
        <f t="shared" si="2106"/>
        <v>7.1034482758620694</v>
      </c>
      <c r="AHT41" s="48">
        <v>323</v>
      </c>
      <c r="AHU41" s="49"/>
      <c r="AHV41" s="49">
        <v>197</v>
      </c>
      <c r="AHW41" s="49"/>
      <c r="AHX41" s="49"/>
      <c r="AHY41" s="49"/>
      <c r="AHZ41" s="67">
        <f t="shared" si="2107"/>
        <v>520</v>
      </c>
      <c r="AIA41" s="68">
        <f t="shared" si="2108"/>
        <v>17.931034482758619</v>
      </c>
      <c r="AIB41" s="48"/>
      <c r="AIC41" s="49"/>
      <c r="AID41" s="49"/>
      <c r="AIE41" s="49"/>
      <c r="AIF41" s="49"/>
      <c r="AIG41" s="49"/>
      <c r="AIH41" s="67">
        <f t="shared" si="2109"/>
        <v>0</v>
      </c>
      <c r="AII41" s="68">
        <f t="shared" si="2110"/>
        <v>0</v>
      </c>
      <c r="AIJ41" s="48"/>
      <c r="AIK41" s="49"/>
      <c r="AIL41" s="49">
        <v>195</v>
      </c>
      <c r="AIM41" s="49"/>
      <c r="AIN41" s="49">
        <v>221</v>
      </c>
      <c r="AIO41" s="49"/>
      <c r="AIP41" s="67">
        <f t="shared" si="2111"/>
        <v>416</v>
      </c>
      <c r="AIQ41" s="68">
        <f t="shared" si="2112"/>
        <v>14.344827586206897</v>
      </c>
      <c r="AIR41" s="48"/>
      <c r="AIS41" s="49"/>
      <c r="AIT41" s="49">
        <v>438</v>
      </c>
      <c r="AIU41" s="49"/>
      <c r="AIV41" s="49"/>
      <c r="AIW41" s="49"/>
      <c r="AIX41" s="67">
        <f t="shared" si="2113"/>
        <v>438</v>
      </c>
      <c r="AIY41" s="68">
        <f t="shared" si="2114"/>
        <v>15.103448275862069</v>
      </c>
      <c r="AIZ41" s="48"/>
      <c r="AJA41" s="49">
        <v>328</v>
      </c>
      <c r="AJB41" s="49"/>
      <c r="AJC41" s="49"/>
      <c r="AJD41" s="49"/>
      <c r="AJE41" s="49"/>
      <c r="AJF41" s="67">
        <f t="shared" si="2115"/>
        <v>328</v>
      </c>
      <c r="AJG41" s="68">
        <f t="shared" si="2116"/>
        <v>11.310344827586206</v>
      </c>
      <c r="AJH41" s="48"/>
      <c r="AJI41" s="49"/>
      <c r="AJJ41" s="49"/>
      <c r="AJK41" s="49"/>
      <c r="AJL41" s="49"/>
      <c r="AJM41" s="49"/>
      <c r="AJN41" s="42">
        <f t="shared" si="2117"/>
        <v>0</v>
      </c>
      <c r="AJO41" s="43">
        <f t="shared" si="2118"/>
        <v>0</v>
      </c>
      <c r="AJP41" s="48"/>
      <c r="AJQ41" s="49">
        <v>330</v>
      </c>
      <c r="AJR41" s="49"/>
      <c r="AJS41" s="49"/>
      <c r="AJT41" s="49"/>
      <c r="AJU41" s="49"/>
      <c r="AJV41" s="42">
        <f t="shared" si="2119"/>
        <v>330</v>
      </c>
      <c r="AJW41" s="43">
        <f t="shared" si="2120"/>
        <v>11.379310344827585</v>
      </c>
      <c r="AJX41" s="48"/>
      <c r="AJY41" s="49"/>
      <c r="AJZ41" s="49">
        <v>335</v>
      </c>
      <c r="AKA41" s="49"/>
      <c r="AKB41" s="49"/>
      <c r="AKC41" s="49"/>
      <c r="AKD41" s="67">
        <f t="shared" si="2121"/>
        <v>335</v>
      </c>
      <c r="AKE41" s="68">
        <f t="shared" si="2122"/>
        <v>11.551724137931034</v>
      </c>
      <c r="AKF41" s="48">
        <v>438</v>
      </c>
      <c r="AKG41" s="49"/>
      <c r="AKH41" s="49"/>
      <c r="AKI41" s="49"/>
      <c r="AKJ41" s="49"/>
      <c r="AKK41" s="49"/>
      <c r="AKL41" s="67">
        <f t="shared" si="2123"/>
        <v>438</v>
      </c>
      <c r="AKM41" s="184">
        <f t="shared" si="2124"/>
        <v>73</v>
      </c>
      <c r="AKN41" s="195"/>
      <c r="AKO41" s="49"/>
      <c r="AKP41" s="49"/>
      <c r="AKQ41" s="49">
        <v>200</v>
      </c>
      <c r="AKR41" s="49"/>
      <c r="AKS41" s="49"/>
      <c r="AKT41" s="67">
        <f t="shared" si="2125"/>
        <v>200</v>
      </c>
      <c r="AKU41" s="184">
        <f t="shared" si="2126"/>
        <v>33.333333333333336</v>
      </c>
      <c r="AKV41" s="48"/>
      <c r="AKW41" s="49">
        <v>219</v>
      </c>
      <c r="AKX41" s="49"/>
      <c r="AKY41" s="49"/>
      <c r="AKZ41" s="49"/>
      <c r="ALA41" s="49"/>
      <c r="ALB41" s="67">
        <f t="shared" si="2127"/>
        <v>219</v>
      </c>
      <c r="ALC41" s="68">
        <f t="shared" si="2128"/>
        <v>36.5</v>
      </c>
      <c r="ALD41" s="48"/>
      <c r="ALE41" s="49">
        <v>219</v>
      </c>
      <c r="ALF41" s="49"/>
      <c r="ALG41" s="49">
        <v>38</v>
      </c>
      <c r="ALH41" s="49">
        <v>223</v>
      </c>
      <c r="ALI41" s="49"/>
      <c r="ALJ41" s="67">
        <f t="shared" si="2129"/>
        <v>480</v>
      </c>
      <c r="ALK41" s="68">
        <f t="shared" si="2130"/>
        <v>80</v>
      </c>
      <c r="ALL41" s="48"/>
      <c r="ALM41" s="49"/>
      <c r="ALN41" s="49"/>
      <c r="ALO41" s="49"/>
      <c r="ALP41" s="49"/>
      <c r="ALQ41" s="49">
        <v>319</v>
      </c>
      <c r="ALR41" s="67">
        <f t="shared" si="2131"/>
        <v>319</v>
      </c>
      <c r="ALS41" s="68">
        <f t="shared" si="2132"/>
        <v>53.166666666666664</v>
      </c>
      <c r="ALT41" s="48"/>
      <c r="ALU41" s="49"/>
      <c r="ALV41" s="49"/>
      <c r="ALW41" s="49"/>
      <c r="ALX41" s="49"/>
      <c r="ALY41" s="49"/>
      <c r="ALZ41" s="67">
        <f t="shared" si="2133"/>
        <v>0</v>
      </c>
      <c r="AMA41" s="68">
        <f t="shared" si="2134"/>
        <v>0</v>
      </c>
      <c r="AMB41" s="24">
        <v>298</v>
      </c>
      <c r="AMC41" s="49">
        <v>247</v>
      </c>
      <c r="AMD41" s="49"/>
      <c r="AME41" s="49"/>
      <c r="AMF41" s="49"/>
      <c r="AMG41" s="49"/>
      <c r="AMH41" s="67">
        <f t="shared" si="2135"/>
        <v>545</v>
      </c>
      <c r="AMI41" s="68">
        <f t="shared" si="2136"/>
        <v>90.833333333333329</v>
      </c>
      <c r="AMJ41" s="48"/>
      <c r="AMK41" s="49">
        <v>333</v>
      </c>
      <c r="AML41" s="49"/>
      <c r="AMM41" s="49"/>
      <c r="AMN41" s="49"/>
      <c r="AMO41" s="49"/>
      <c r="AMP41" s="67">
        <f t="shared" si="2137"/>
        <v>333</v>
      </c>
      <c r="AMQ41" s="68">
        <f t="shared" si="2138"/>
        <v>55.5</v>
      </c>
      <c r="AMR41" s="48"/>
      <c r="AMS41" s="49"/>
      <c r="AMT41" s="49">
        <v>214</v>
      </c>
      <c r="AMU41" s="49"/>
      <c r="AMV41" s="49"/>
      <c r="AMW41" s="49"/>
      <c r="AMX41" s="67">
        <f t="shared" si="2139"/>
        <v>214</v>
      </c>
      <c r="AMY41" s="68">
        <f t="shared" si="2140"/>
        <v>35.666666666666664</v>
      </c>
      <c r="AMZ41" s="48">
        <v>391</v>
      </c>
      <c r="ANA41" s="49"/>
      <c r="ANB41" s="49"/>
      <c r="ANC41" s="49"/>
      <c r="AND41" s="49"/>
      <c r="ANE41" s="49"/>
      <c r="ANF41" s="67">
        <f t="shared" si="2141"/>
        <v>391</v>
      </c>
      <c r="ANG41" s="68">
        <f t="shared" si="2142"/>
        <v>65.166666666666671</v>
      </c>
      <c r="ANH41" s="48"/>
      <c r="ANI41" s="49"/>
      <c r="ANJ41" s="49"/>
      <c r="ANK41" s="49"/>
      <c r="ANL41" s="49">
        <v>239</v>
      </c>
      <c r="ANM41" s="49"/>
      <c r="ANN41" s="67">
        <f t="shared" si="2143"/>
        <v>239</v>
      </c>
      <c r="ANO41" s="68">
        <f t="shared" si="2144"/>
        <v>39.833333333333336</v>
      </c>
      <c r="ANP41" s="48"/>
      <c r="ANQ41" s="49"/>
      <c r="ANR41" s="49"/>
      <c r="ANS41" s="49"/>
      <c r="ANT41" s="49"/>
      <c r="ANU41" s="49"/>
      <c r="ANV41" s="67">
        <f t="shared" si="2145"/>
        <v>0</v>
      </c>
      <c r="ANW41" s="68">
        <f t="shared" si="2146"/>
        <v>0</v>
      </c>
      <c r="ANX41" s="82"/>
      <c r="ANY41" s="83"/>
      <c r="ANZ41" s="83"/>
      <c r="AOA41" s="83">
        <v>195</v>
      </c>
      <c r="AOB41" s="83"/>
      <c r="AOC41" s="83"/>
      <c r="AOD41" s="67">
        <f t="shared" si="2147"/>
        <v>195</v>
      </c>
      <c r="AOE41" s="68">
        <f t="shared" si="2148"/>
        <v>32.5</v>
      </c>
      <c r="AOF41" s="48"/>
      <c r="AOG41" s="49">
        <v>106</v>
      </c>
      <c r="AOH41" s="49"/>
      <c r="AOI41" s="49"/>
      <c r="AOJ41" s="49"/>
      <c r="AOK41" s="49"/>
      <c r="AOL41" s="67">
        <f t="shared" si="2149"/>
        <v>106</v>
      </c>
      <c r="AOM41" s="68">
        <f t="shared" si="2150"/>
        <v>17.666666666666668</v>
      </c>
      <c r="AON41" s="48"/>
      <c r="AOO41" s="49">
        <v>445</v>
      </c>
      <c r="AOP41" s="49"/>
      <c r="AOQ41" s="49"/>
      <c r="AOR41" s="49"/>
      <c r="AOS41" s="49"/>
      <c r="AOT41" s="67">
        <f t="shared" si="2151"/>
        <v>445</v>
      </c>
      <c r="AOU41" s="68">
        <f t="shared" si="2152"/>
        <v>74.166666666666671</v>
      </c>
      <c r="AOV41" s="48"/>
      <c r="AOW41" s="49"/>
      <c r="AOX41" s="49"/>
      <c r="AOY41" s="49">
        <v>428</v>
      </c>
      <c r="AOZ41" s="49"/>
      <c r="APA41" s="49"/>
      <c r="APB41" s="67">
        <f t="shared" si="2153"/>
        <v>428</v>
      </c>
      <c r="APC41" s="68">
        <f t="shared" si="2154"/>
        <v>71.333333333333329</v>
      </c>
      <c r="APD41" s="48"/>
      <c r="APE41" s="49"/>
      <c r="APF41" s="49"/>
      <c r="APG41" s="49"/>
      <c r="APH41" s="49"/>
      <c r="API41" s="49"/>
      <c r="APJ41" s="67">
        <f t="shared" si="2155"/>
        <v>0</v>
      </c>
      <c r="APK41" s="68">
        <f t="shared" si="2156"/>
        <v>0</v>
      </c>
      <c r="APL41" s="48"/>
      <c r="APM41" s="49"/>
      <c r="APN41" s="49"/>
      <c r="APO41" s="49"/>
      <c r="APP41" s="49"/>
      <c r="APQ41" s="49">
        <v>200</v>
      </c>
      <c r="APR41" s="67">
        <f t="shared" si="2157"/>
        <v>200</v>
      </c>
      <c r="APS41" s="68">
        <f t="shared" si="2158"/>
        <v>33.333333333333336</v>
      </c>
      <c r="APT41" s="48"/>
      <c r="APU41" s="49"/>
      <c r="APV41" s="49">
        <v>445</v>
      </c>
      <c r="APW41" s="49"/>
      <c r="APX41" s="49"/>
      <c r="APY41" s="49"/>
      <c r="APZ41" s="67">
        <f t="shared" si="2159"/>
        <v>445</v>
      </c>
      <c r="AQA41" s="68">
        <f t="shared" si="2160"/>
        <v>74.166666666666671</v>
      </c>
      <c r="AQB41" s="48"/>
      <c r="AQC41" s="49">
        <v>232</v>
      </c>
      <c r="AQD41" s="49"/>
      <c r="AQE41" s="49"/>
      <c r="AQF41" s="49"/>
      <c r="AQG41" s="49"/>
      <c r="AQH41" s="67">
        <f t="shared" si="2161"/>
        <v>232</v>
      </c>
      <c r="AQI41" s="68">
        <f t="shared" si="2162"/>
        <v>38.666666666666664</v>
      </c>
      <c r="AQJ41" s="48"/>
      <c r="AQK41" s="49"/>
      <c r="AQL41" s="49"/>
      <c r="AQM41" s="49">
        <v>305</v>
      </c>
      <c r="AQN41" s="49"/>
      <c r="AQO41" s="49"/>
      <c r="AQP41" s="67">
        <f t="shared" si="2163"/>
        <v>305</v>
      </c>
      <c r="AQQ41" s="68">
        <f t="shared" si="2164"/>
        <v>50.833333333333336</v>
      </c>
      <c r="AQR41" s="48"/>
      <c r="AQS41" s="49"/>
      <c r="AQT41" s="49"/>
      <c r="AQU41" s="49"/>
      <c r="AQV41" s="49"/>
      <c r="AQW41" s="49"/>
      <c r="AQX41" s="67">
        <f t="shared" si="2165"/>
        <v>0</v>
      </c>
      <c r="AQY41" s="68">
        <f t="shared" si="2166"/>
        <v>0</v>
      </c>
      <c r="AQZ41" s="48"/>
      <c r="ARA41" s="49"/>
      <c r="ARB41" s="49"/>
      <c r="ARC41" s="49"/>
      <c r="ARD41" s="49">
        <v>330</v>
      </c>
      <c r="ARE41" s="49"/>
      <c r="ARF41" s="67">
        <f t="shared" si="2167"/>
        <v>330</v>
      </c>
      <c r="ARG41" s="68">
        <f t="shared" si="2168"/>
        <v>55</v>
      </c>
      <c r="ARH41" s="48"/>
      <c r="ARI41" s="49">
        <v>218</v>
      </c>
      <c r="ARJ41" s="49"/>
      <c r="ARK41" s="49"/>
      <c r="ARL41" s="49"/>
      <c r="ARM41" s="49"/>
      <c r="ARN41" s="67">
        <f t="shared" si="2169"/>
        <v>218</v>
      </c>
      <c r="ARO41" s="68">
        <f t="shared" si="2170"/>
        <v>36.333333333333336</v>
      </c>
      <c r="ARP41" s="48"/>
      <c r="ARQ41" s="49"/>
      <c r="ARR41" s="49">
        <v>329</v>
      </c>
      <c r="ARS41" s="49"/>
      <c r="ART41" s="49"/>
      <c r="ARU41" s="49"/>
      <c r="ARV41" s="67">
        <f t="shared" si="2171"/>
        <v>329</v>
      </c>
      <c r="ARW41" s="68">
        <f t="shared" si="2172"/>
        <v>54.833333333333336</v>
      </c>
      <c r="ARX41" s="48"/>
      <c r="ARY41" s="49"/>
      <c r="ARZ41" s="49"/>
      <c r="ASA41" s="49">
        <v>225</v>
      </c>
      <c r="ASB41" s="49"/>
      <c r="ASC41" s="49"/>
      <c r="ASD41" s="67">
        <f t="shared" si="2173"/>
        <v>225</v>
      </c>
      <c r="ASE41" s="68">
        <f t="shared" si="2174"/>
        <v>37.5</v>
      </c>
      <c r="ASF41" s="48">
        <v>221</v>
      </c>
      <c r="ASG41" s="49"/>
      <c r="ASH41" s="49"/>
      <c r="ASI41" s="49"/>
      <c r="ASJ41" s="49"/>
      <c r="ASK41" s="49"/>
      <c r="ASL41" s="67">
        <f t="shared" si="2175"/>
        <v>221</v>
      </c>
      <c r="ASM41" s="68">
        <f t="shared" si="2176"/>
        <v>36.833333333333336</v>
      </c>
      <c r="ASN41" s="48"/>
      <c r="ASO41" s="49"/>
      <c r="ASP41" s="49">
        <v>221</v>
      </c>
      <c r="ASQ41" s="49"/>
      <c r="ASR41" s="49"/>
      <c r="ASS41" s="49"/>
      <c r="AST41" s="67">
        <f t="shared" si="2177"/>
        <v>221</v>
      </c>
      <c r="ASU41" s="68">
        <f t="shared" si="2178"/>
        <v>36.833333333333336</v>
      </c>
      <c r="ASV41" s="48"/>
      <c r="ASW41" s="49"/>
      <c r="ASX41" s="49"/>
      <c r="ASY41" s="49"/>
      <c r="ASZ41" s="49"/>
      <c r="ATA41" s="49">
        <v>221</v>
      </c>
      <c r="ATB41" s="67">
        <f t="shared" si="2179"/>
        <v>221</v>
      </c>
      <c r="ATC41" s="68">
        <f t="shared" si="2180"/>
        <v>36.833333333333336</v>
      </c>
      <c r="ATD41" s="48"/>
      <c r="ATE41" s="49"/>
      <c r="ATF41" s="49"/>
      <c r="ATG41" s="49"/>
      <c r="ATH41" s="49">
        <v>219</v>
      </c>
      <c r="ATI41" s="49"/>
      <c r="ATJ41" s="67">
        <f t="shared" si="2181"/>
        <v>219</v>
      </c>
      <c r="ATK41" s="68">
        <f t="shared" si="2182"/>
        <v>36.5</v>
      </c>
      <c r="ATL41" s="48"/>
      <c r="ATM41" s="49"/>
      <c r="ATN41" s="49"/>
      <c r="ATO41" s="49"/>
      <c r="ATP41" s="49"/>
      <c r="ATQ41" s="49"/>
      <c r="ATR41" s="67">
        <f t="shared" si="2183"/>
        <v>0</v>
      </c>
      <c r="ATS41" s="68">
        <f t="shared" si="2184"/>
        <v>0</v>
      </c>
      <c r="ATT41" s="48"/>
      <c r="ATU41" s="49"/>
      <c r="ATV41" s="49"/>
      <c r="ATW41" s="49"/>
      <c r="ATX41" s="49"/>
      <c r="ATY41" s="49">
        <v>302</v>
      </c>
      <c r="ATZ41" s="67">
        <f t="shared" si="2185"/>
        <v>302</v>
      </c>
      <c r="AUA41" s="68">
        <f t="shared" si="2186"/>
        <v>50.333333333333336</v>
      </c>
      <c r="AUB41" s="48"/>
      <c r="AUC41" s="49"/>
      <c r="AUD41" s="49"/>
      <c r="AUE41" s="49"/>
      <c r="AUF41" s="49"/>
      <c r="AUG41" s="49"/>
      <c r="AUH41" s="67">
        <f t="shared" si="2187"/>
        <v>0</v>
      </c>
      <c r="AUI41" s="68">
        <f t="shared" si="2188"/>
        <v>0</v>
      </c>
      <c r="AUJ41" s="48"/>
      <c r="AUK41" s="49"/>
      <c r="AUL41" s="49"/>
      <c r="AUM41" s="49">
        <v>220</v>
      </c>
      <c r="AUN41" s="49"/>
      <c r="AUO41" s="49"/>
      <c r="AUP41" s="67">
        <f t="shared" si="2189"/>
        <v>220</v>
      </c>
      <c r="AUQ41" s="68">
        <f t="shared" si="2190"/>
        <v>36.666666666666664</v>
      </c>
      <c r="AUR41" s="48"/>
      <c r="AUS41" s="49"/>
      <c r="AUT41" s="49"/>
      <c r="AUU41" s="49"/>
      <c r="AUV41" s="49"/>
      <c r="AUW41" s="49"/>
      <c r="AUX41" s="67">
        <f t="shared" si="2191"/>
        <v>0</v>
      </c>
      <c r="AUY41" s="68">
        <f t="shared" si="2192"/>
        <v>0</v>
      </c>
      <c r="AUZ41" s="48"/>
      <c r="AVA41" s="49"/>
      <c r="AVB41" s="49"/>
      <c r="AVC41" s="49">
        <v>93</v>
      </c>
      <c r="AVD41" s="49"/>
      <c r="AVE41" s="49"/>
      <c r="AVF41" s="67">
        <f t="shared" si="2193"/>
        <v>93</v>
      </c>
      <c r="AVG41" s="68">
        <f t="shared" si="2194"/>
        <v>15.5</v>
      </c>
      <c r="AVH41" s="48"/>
      <c r="AVI41" s="49"/>
      <c r="AVJ41" s="49"/>
      <c r="AVK41" s="49"/>
      <c r="AVL41" s="49"/>
      <c r="AVM41" s="49"/>
      <c r="AVN41" s="67">
        <f t="shared" si="2195"/>
        <v>0</v>
      </c>
      <c r="AVO41" s="68">
        <f t="shared" si="2196"/>
        <v>0</v>
      </c>
      <c r="AVP41" s="48">
        <v>110</v>
      </c>
      <c r="AVQ41" s="49"/>
      <c r="AVR41" s="49"/>
      <c r="AVS41" s="49"/>
      <c r="AVT41" s="49"/>
      <c r="AVU41" s="49"/>
      <c r="AVV41" s="67">
        <f t="shared" si="2197"/>
        <v>110</v>
      </c>
      <c r="AVW41" s="68">
        <f t="shared" si="2198"/>
        <v>18.333333333333332</v>
      </c>
      <c r="AVX41" s="48"/>
      <c r="AVY41" s="49">
        <v>232</v>
      </c>
      <c r="AVZ41" s="49"/>
      <c r="AWA41" s="49"/>
      <c r="AWB41" s="49"/>
      <c r="AWC41" s="49"/>
      <c r="AWD41" s="67">
        <f t="shared" si="2199"/>
        <v>232</v>
      </c>
      <c r="AWE41" s="68">
        <f t="shared" si="2200"/>
        <v>38.666666666666664</v>
      </c>
      <c r="AWF41" s="48"/>
      <c r="AWG41" s="49"/>
      <c r="AWH41" s="49"/>
      <c r="AWI41" s="49">
        <v>218</v>
      </c>
      <c r="AWJ41" s="49"/>
      <c r="AWK41" s="49"/>
      <c r="AWL41" s="67">
        <f t="shared" si="2201"/>
        <v>218</v>
      </c>
      <c r="AWM41" s="184">
        <f t="shared" si="2202"/>
        <v>36.333333333333336</v>
      </c>
      <c r="AWN41" s="48"/>
      <c r="AWO41" s="49"/>
      <c r="AWP41" s="49">
        <v>199</v>
      </c>
      <c r="AWQ41" s="49">
        <v>110</v>
      </c>
      <c r="AWR41" s="49"/>
      <c r="AWS41" s="49"/>
      <c r="AWT41" s="42">
        <f t="shared" si="2203"/>
        <v>309</v>
      </c>
      <c r="AWU41" s="43">
        <f t="shared" si="2204"/>
        <v>51.5</v>
      </c>
      <c r="AWV41" s="48"/>
      <c r="AWW41" s="49"/>
      <c r="AWX41" s="49"/>
      <c r="AWY41" s="49"/>
      <c r="AWZ41" s="49"/>
      <c r="AXA41" s="49"/>
      <c r="AXB41" s="42">
        <f t="shared" si="2205"/>
        <v>0</v>
      </c>
      <c r="AXC41" s="43">
        <f t="shared" si="2206"/>
        <v>0</v>
      </c>
      <c r="AXD41" s="48"/>
      <c r="AXE41" s="49">
        <v>110</v>
      </c>
      <c r="AXF41" s="49"/>
      <c r="AXG41" s="49"/>
      <c r="AXH41" s="49"/>
      <c r="AXI41" s="49">
        <v>110</v>
      </c>
      <c r="AXJ41" s="42">
        <f t="shared" si="2207"/>
        <v>220</v>
      </c>
      <c r="AXK41" s="43">
        <f t="shared" si="2208"/>
        <v>36.666666666666664</v>
      </c>
      <c r="AXL41" s="48"/>
      <c r="AXM41" s="49">
        <v>111</v>
      </c>
      <c r="AXN41" s="49"/>
      <c r="AXO41" s="49"/>
      <c r="AXP41" s="49"/>
      <c r="AXQ41" s="49"/>
      <c r="AXR41" s="42">
        <f t="shared" si="2209"/>
        <v>111</v>
      </c>
      <c r="AXS41" s="43">
        <f t="shared" si="2210"/>
        <v>18.5</v>
      </c>
      <c r="AXT41" s="48"/>
      <c r="AXU41" s="49"/>
      <c r="AXV41" s="49"/>
      <c r="AXW41" s="49"/>
      <c r="AXX41" s="49"/>
      <c r="AXY41" s="49"/>
      <c r="AXZ41" s="42">
        <f t="shared" si="2211"/>
        <v>0</v>
      </c>
      <c r="AYA41" s="43">
        <f t="shared" si="2212"/>
        <v>0</v>
      </c>
      <c r="AYB41" s="48"/>
      <c r="AYC41" s="49">
        <v>110</v>
      </c>
      <c r="AYD41" s="49"/>
      <c r="AYE41" s="49">
        <v>110</v>
      </c>
      <c r="AYF41" s="49"/>
      <c r="AYG41" s="49"/>
      <c r="AYH41" s="42">
        <f t="shared" si="2213"/>
        <v>220</v>
      </c>
      <c r="AYI41" s="43">
        <f t="shared" si="2214"/>
        <v>36.666666666666664</v>
      </c>
      <c r="AYJ41" s="48"/>
      <c r="AYK41" s="49"/>
      <c r="AYL41" s="49"/>
      <c r="AYM41" s="49">
        <v>215</v>
      </c>
      <c r="AYN41" s="49"/>
      <c r="AYO41" s="49"/>
      <c r="AYP41" s="42">
        <f t="shared" si="2215"/>
        <v>215</v>
      </c>
      <c r="AYQ41" s="43">
        <f t="shared" si="2216"/>
        <v>35.833333333333336</v>
      </c>
      <c r="AYR41" s="48"/>
      <c r="AYS41" s="49"/>
      <c r="AYT41" s="49"/>
      <c r="AYU41" s="49"/>
      <c r="AYV41" s="49"/>
      <c r="AYW41" s="49"/>
      <c r="AYX41" s="42">
        <f t="shared" si="2217"/>
        <v>0</v>
      </c>
      <c r="AYY41" s="43">
        <f t="shared" si="2218"/>
        <v>0</v>
      </c>
      <c r="AYZ41" s="48">
        <v>219</v>
      </c>
      <c r="AZA41" s="49"/>
      <c r="AZB41" s="49"/>
      <c r="AZC41" s="49"/>
      <c r="AZD41" s="49"/>
      <c r="AZE41" s="49"/>
      <c r="AZF41" s="42">
        <f t="shared" si="2219"/>
        <v>219</v>
      </c>
      <c r="AZG41" s="43">
        <f t="shared" si="2220"/>
        <v>36.5</v>
      </c>
      <c r="AZH41" s="48"/>
      <c r="AZI41" s="49"/>
      <c r="AZJ41" s="49"/>
      <c r="AZK41" s="49"/>
      <c r="AZL41" s="49"/>
      <c r="AZM41" s="49"/>
      <c r="AZN41" s="42">
        <f t="shared" si="2221"/>
        <v>0</v>
      </c>
      <c r="AZO41" s="43">
        <f t="shared" si="2222"/>
        <v>0</v>
      </c>
      <c r="AZP41" s="48"/>
      <c r="AZQ41" s="49"/>
      <c r="AZR41" s="49"/>
      <c r="AZS41" s="49"/>
      <c r="AZT41" s="49">
        <v>220</v>
      </c>
      <c r="AZU41" s="49"/>
      <c r="AZV41" s="42">
        <f t="shared" si="2223"/>
        <v>220</v>
      </c>
      <c r="AZW41" s="43">
        <f t="shared" si="2224"/>
        <v>36.666666666666664</v>
      </c>
      <c r="AZX41" s="82"/>
      <c r="AZY41" s="83"/>
      <c r="AZZ41" s="83"/>
      <c r="BAA41" s="83"/>
      <c r="BAB41" s="83"/>
      <c r="BAC41" s="83"/>
      <c r="BAD41" s="42">
        <f t="shared" si="2225"/>
        <v>0</v>
      </c>
      <c r="BAE41" s="43">
        <f t="shared" si="2226"/>
        <v>0</v>
      </c>
      <c r="BAF41" s="48"/>
      <c r="BAG41" s="49"/>
      <c r="BAH41" s="49"/>
      <c r="BAI41" s="49"/>
      <c r="BAJ41" s="49"/>
      <c r="BAK41" s="49"/>
      <c r="BAL41" s="42">
        <f t="shared" si="2227"/>
        <v>0</v>
      </c>
      <c r="BAM41" s="43">
        <f t="shared" si="2228"/>
        <v>0</v>
      </c>
      <c r="BAN41" s="48"/>
      <c r="BAO41" s="49"/>
      <c r="BAP41" s="49">
        <v>220</v>
      </c>
      <c r="BAQ41" s="49"/>
      <c r="BAR41" s="49"/>
      <c r="BAS41" s="49"/>
      <c r="BAT41" s="42">
        <f t="shared" si="2229"/>
        <v>220</v>
      </c>
      <c r="BAU41" s="43">
        <f t="shared" si="2230"/>
        <v>36.666666666666664</v>
      </c>
      <c r="BAV41" s="48"/>
      <c r="BAW41" s="49"/>
      <c r="BAX41" s="49">
        <v>122</v>
      </c>
      <c r="BAY41" s="49"/>
      <c r="BAZ41" s="49"/>
      <c r="BBA41" s="49"/>
      <c r="BBB41" s="42">
        <f t="shared" si="2231"/>
        <v>122</v>
      </c>
      <c r="BBC41" s="43">
        <f t="shared" si="2232"/>
        <v>20.333333333333332</v>
      </c>
      <c r="BBD41" s="48"/>
      <c r="BBE41" s="49"/>
      <c r="BBF41" s="49"/>
      <c r="BBG41" s="49"/>
      <c r="BBH41" s="49"/>
      <c r="BBI41" s="49">
        <v>110</v>
      </c>
      <c r="BBJ41" s="42">
        <f t="shared" si="2233"/>
        <v>110</v>
      </c>
      <c r="BBK41" s="43">
        <f t="shared" si="2234"/>
        <v>18.333333333333332</v>
      </c>
      <c r="BBL41" s="48"/>
      <c r="BBM41" s="49">
        <v>104</v>
      </c>
      <c r="BBN41" s="49"/>
      <c r="BBO41" s="49"/>
      <c r="BBP41" s="49"/>
      <c r="BBQ41" s="49">
        <v>110</v>
      </c>
      <c r="BBR41" s="42">
        <f t="shared" si="2235"/>
        <v>214</v>
      </c>
      <c r="BBS41" s="43">
        <f t="shared" si="2236"/>
        <v>35.666666666666664</v>
      </c>
      <c r="BBT41" s="48"/>
      <c r="BBU41" s="49"/>
      <c r="BBV41" s="49"/>
      <c r="BBW41" s="49">
        <v>91</v>
      </c>
      <c r="BBX41" s="49">
        <v>109</v>
      </c>
      <c r="BBY41" s="49"/>
      <c r="BBZ41" s="42">
        <f t="shared" si="2237"/>
        <v>200</v>
      </c>
      <c r="BCA41" s="43">
        <f t="shared" si="2238"/>
        <v>33.333333333333336</v>
      </c>
      <c r="BCB41" s="48"/>
      <c r="BCC41" s="49">
        <v>110</v>
      </c>
      <c r="BCD41" s="49"/>
      <c r="BCE41" s="49"/>
      <c r="BCF41" s="49"/>
      <c r="BCG41" s="49">
        <v>110</v>
      </c>
      <c r="BCH41" s="42">
        <f t="shared" si="2239"/>
        <v>220</v>
      </c>
      <c r="BCI41" s="43">
        <f t="shared" si="2240"/>
        <v>36.666666666666664</v>
      </c>
      <c r="BCJ41" s="48"/>
      <c r="BCK41" s="49">
        <v>220</v>
      </c>
      <c r="BCL41" s="49"/>
      <c r="BCM41" s="49"/>
      <c r="BCN41" s="49"/>
      <c r="BCO41" s="49"/>
      <c r="BCP41" s="42">
        <f t="shared" si="2241"/>
        <v>220</v>
      </c>
      <c r="BCQ41" s="43">
        <f t="shared" si="2242"/>
        <v>36.666666666666664</v>
      </c>
      <c r="BCR41" s="48"/>
      <c r="BCS41" s="49"/>
      <c r="BCT41" s="49"/>
      <c r="BCU41" s="49"/>
      <c r="BCV41" s="49"/>
      <c r="BCW41" s="49">
        <v>220</v>
      </c>
      <c r="BCX41" s="42">
        <f t="shared" si="2243"/>
        <v>220</v>
      </c>
      <c r="BCY41" s="43">
        <f t="shared" si="2244"/>
        <v>36.666666666666664</v>
      </c>
      <c r="BCZ41" s="48"/>
      <c r="BDA41" s="49"/>
      <c r="BDB41" s="49"/>
      <c r="BDC41" s="49"/>
      <c r="BDD41" s="49"/>
      <c r="BDE41" s="49">
        <v>110</v>
      </c>
      <c r="BDF41" s="42">
        <f t="shared" si="2245"/>
        <v>110</v>
      </c>
      <c r="BDG41" s="43">
        <f t="shared" si="2246"/>
        <v>18.333333333333332</v>
      </c>
      <c r="BDH41" s="48"/>
      <c r="BDI41" s="49"/>
      <c r="BDJ41" s="49"/>
      <c r="BDK41" s="49"/>
      <c r="BDL41" s="49"/>
      <c r="BDM41" s="49"/>
      <c r="BDN41" s="42">
        <f t="shared" si="2247"/>
        <v>0</v>
      </c>
      <c r="BDO41" s="43">
        <f t="shared" si="2248"/>
        <v>0</v>
      </c>
      <c r="BDP41" s="48"/>
      <c r="BDQ41" s="49">
        <v>106</v>
      </c>
      <c r="BDR41" s="49"/>
      <c r="BDS41" s="49">
        <v>119</v>
      </c>
      <c r="BDT41" s="49"/>
      <c r="BDU41" s="49"/>
      <c r="BDV41" s="42">
        <f t="shared" si="2249"/>
        <v>225</v>
      </c>
      <c r="BDW41" s="43">
        <f t="shared" si="2250"/>
        <v>37.5</v>
      </c>
      <c r="BDX41" s="48">
        <v>110</v>
      </c>
      <c r="BDY41" s="49"/>
      <c r="BDZ41" s="49"/>
      <c r="BEA41" s="49"/>
      <c r="BEB41" s="49"/>
      <c r="BEC41" s="49"/>
      <c r="BED41" s="42">
        <f t="shared" si="2251"/>
        <v>110</v>
      </c>
      <c r="BEE41" s="43">
        <f t="shared" si="2252"/>
        <v>18.333333333333332</v>
      </c>
      <c r="BEF41" s="48"/>
      <c r="BEG41" s="49">
        <v>100</v>
      </c>
      <c r="BEH41" s="49"/>
      <c r="BEI41" s="49"/>
      <c r="BEJ41" s="49"/>
      <c r="BEK41" s="49">
        <v>119</v>
      </c>
      <c r="BEL41" s="42">
        <f t="shared" si="2253"/>
        <v>219</v>
      </c>
      <c r="BEM41" s="43">
        <f t="shared" si="2254"/>
        <v>36.5</v>
      </c>
      <c r="BEN41" s="48"/>
      <c r="BEO41" s="49"/>
      <c r="BEP41" s="49">
        <v>120</v>
      </c>
      <c r="BEQ41" s="49"/>
      <c r="BER41" s="49"/>
      <c r="BES41" s="49"/>
      <c r="BET41" s="42">
        <f t="shared" si="2255"/>
        <v>120</v>
      </c>
      <c r="BEU41" s="43">
        <f t="shared" si="2256"/>
        <v>20</v>
      </c>
      <c r="BEV41" s="82"/>
      <c r="BEW41" s="83">
        <v>118</v>
      </c>
      <c r="BEX41" s="83"/>
      <c r="BEY41" s="83"/>
      <c r="BEZ41" s="83">
        <v>101</v>
      </c>
      <c r="BFA41" s="83"/>
      <c r="BFB41" s="42">
        <f t="shared" si="2257"/>
        <v>219</v>
      </c>
      <c r="BFC41" s="43">
        <f t="shared" si="2258"/>
        <v>36.5</v>
      </c>
      <c r="BFD41" s="48">
        <v>204</v>
      </c>
      <c r="BFE41" s="49"/>
      <c r="BFF41" s="49"/>
      <c r="BFG41" s="49"/>
      <c r="BFH41" s="49"/>
      <c r="BFI41" s="49"/>
      <c r="BFJ41" s="42">
        <f t="shared" si="2259"/>
        <v>204</v>
      </c>
      <c r="BFK41" s="43">
        <f t="shared" si="2260"/>
        <v>34</v>
      </c>
      <c r="BFL41" s="48">
        <v>110</v>
      </c>
      <c r="BFM41" s="49"/>
      <c r="BFN41" s="49"/>
      <c r="BFO41" s="49">
        <v>110</v>
      </c>
      <c r="BFP41" s="49"/>
      <c r="BFQ41" s="49">
        <v>104</v>
      </c>
      <c r="BFR41" s="42">
        <f t="shared" si="2261"/>
        <v>324</v>
      </c>
      <c r="BFS41" s="43">
        <f t="shared" si="2262"/>
        <v>54</v>
      </c>
      <c r="BFT41" s="48"/>
      <c r="BFU41" s="49"/>
      <c r="BFV41" s="49"/>
      <c r="BFW41" s="49">
        <v>110</v>
      </c>
      <c r="BFX41" s="49"/>
      <c r="BFY41" s="49"/>
      <c r="BFZ41" s="42">
        <f t="shared" si="2263"/>
        <v>110</v>
      </c>
      <c r="BGA41" s="43">
        <f t="shared" si="2264"/>
        <v>18.333333333333332</v>
      </c>
      <c r="BGB41" s="48"/>
      <c r="BGC41" s="49"/>
      <c r="BGD41" s="49"/>
      <c r="BGE41" s="49"/>
      <c r="BGF41" s="49">
        <v>111</v>
      </c>
      <c r="BGG41" s="49"/>
      <c r="BGH41" s="42">
        <f t="shared" si="2265"/>
        <v>111</v>
      </c>
      <c r="BGI41" s="43">
        <f t="shared" si="2266"/>
        <v>18.5</v>
      </c>
      <c r="BGJ41" s="48">
        <v>103</v>
      </c>
      <c r="BGK41" s="49"/>
      <c r="BGL41" s="49">
        <v>110</v>
      </c>
      <c r="BGM41" s="49"/>
      <c r="BGN41" s="49"/>
      <c r="BGO41" s="49"/>
      <c r="BGP41" s="42">
        <f t="shared" si="2267"/>
        <v>213</v>
      </c>
      <c r="BGQ41" s="43">
        <f t="shared" si="2268"/>
        <v>35.5</v>
      </c>
      <c r="BGR41" s="48"/>
      <c r="BGS41" s="49"/>
      <c r="BGT41" s="49">
        <v>220</v>
      </c>
      <c r="BGU41" s="49"/>
      <c r="BGV41" s="49"/>
      <c r="BGW41" s="49"/>
      <c r="BGX41" s="42">
        <f t="shared" si="2269"/>
        <v>220</v>
      </c>
      <c r="BGY41" s="43">
        <f t="shared" si="2270"/>
        <v>36.666666666666664</v>
      </c>
      <c r="BGZ41" s="239"/>
      <c r="BHA41" s="1"/>
      <c r="BHB41" s="1">
        <v>244</v>
      </c>
      <c r="BHC41" s="1"/>
      <c r="BHD41" s="1"/>
      <c r="BHE41" s="1"/>
      <c r="BHF41" s="42">
        <f t="shared" si="2271"/>
        <v>244</v>
      </c>
      <c r="BHG41" s="43">
        <f t="shared" si="2272"/>
        <v>40.666666666666664</v>
      </c>
      <c r="BHH41" s="48"/>
      <c r="BHI41" s="49"/>
      <c r="BHJ41" s="49"/>
      <c r="BHK41" s="49">
        <v>109</v>
      </c>
      <c r="BHL41" s="49"/>
      <c r="BHM41" s="49"/>
      <c r="BHN41" s="42">
        <f t="shared" si="2273"/>
        <v>109</v>
      </c>
      <c r="BHO41" s="43">
        <f t="shared" si="2274"/>
        <v>18.166666666666668</v>
      </c>
      <c r="BHP41" s="48"/>
      <c r="BHQ41" s="49"/>
      <c r="BHR41" s="49"/>
      <c r="BHS41" s="49">
        <v>235</v>
      </c>
      <c r="BHT41" s="49"/>
      <c r="BHU41" s="49"/>
      <c r="BHV41" s="42">
        <f t="shared" si="2275"/>
        <v>235</v>
      </c>
      <c r="BHW41" s="43">
        <f t="shared" si="2276"/>
        <v>39.166666666666664</v>
      </c>
      <c r="BHX41" s="48"/>
      <c r="BHY41" s="49"/>
      <c r="BHZ41" s="49"/>
      <c r="BIA41" s="49">
        <v>201</v>
      </c>
      <c r="BIB41" s="49"/>
      <c r="BIC41" s="49">
        <v>220</v>
      </c>
      <c r="BID41" s="42">
        <f t="shared" si="2277"/>
        <v>421</v>
      </c>
      <c r="BIE41" s="43">
        <f t="shared" si="2278"/>
        <v>70.166666666666671</v>
      </c>
      <c r="BIF41" s="48"/>
      <c r="BIG41" s="49"/>
      <c r="BIH41" s="49"/>
      <c r="BII41" s="49"/>
      <c r="BIJ41" s="49"/>
      <c r="BIK41" s="49"/>
      <c r="BIL41" s="42">
        <f t="shared" si="2279"/>
        <v>0</v>
      </c>
      <c r="BIM41" s="43">
        <f t="shared" si="2280"/>
        <v>0</v>
      </c>
      <c r="BIN41" s="48"/>
      <c r="BIO41" s="49"/>
      <c r="BIP41" s="49"/>
      <c r="BIQ41" s="49">
        <v>219</v>
      </c>
      <c r="BIR41" s="49"/>
      <c r="BIS41" s="49"/>
      <c r="BIT41" s="42">
        <f t="shared" si="2281"/>
        <v>219</v>
      </c>
      <c r="BIU41" s="101">
        <f t="shared" si="2282"/>
        <v>36.5</v>
      </c>
      <c r="BIV41" s="195"/>
      <c r="BIW41" s="49"/>
      <c r="BIX41" s="49"/>
      <c r="BIY41" s="49"/>
      <c r="BIZ41" s="49"/>
      <c r="BJA41" s="49"/>
      <c r="BJB41" s="42">
        <f t="shared" si="2283"/>
        <v>0</v>
      </c>
      <c r="BJC41" s="101">
        <f t="shared" si="2284"/>
        <v>0</v>
      </c>
      <c r="BJD41" s="48"/>
      <c r="BJE41" s="49">
        <v>330</v>
      </c>
      <c r="BJF41" s="49"/>
      <c r="BJG41" s="49"/>
      <c r="BJH41" s="49"/>
      <c r="BJI41" s="49"/>
      <c r="BJJ41" s="42">
        <f t="shared" si="2285"/>
        <v>330</v>
      </c>
      <c r="BJK41" s="43">
        <f t="shared" si="2286"/>
        <v>55</v>
      </c>
      <c r="BJL41" s="48"/>
      <c r="BJM41" s="49">
        <v>200</v>
      </c>
      <c r="BJN41" s="49"/>
      <c r="BJO41" s="49"/>
      <c r="BJP41" s="49"/>
      <c r="BJQ41" s="49"/>
      <c r="BJR41" s="42">
        <f t="shared" si="2287"/>
        <v>200</v>
      </c>
      <c r="BJS41" s="43">
        <f t="shared" si="2288"/>
        <v>33.333333333333336</v>
      </c>
      <c r="BJT41" s="48"/>
      <c r="BJU41" s="49"/>
      <c r="BJV41" s="49"/>
      <c r="BJW41" s="49">
        <v>220</v>
      </c>
      <c r="BJX41" s="49"/>
      <c r="BJY41" s="49"/>
      <c r="BJZ41" s="42">
        <f t="shared" si="2289"/>
        <v>220</v>
      </c>
      <c r="BKA41" s="43">
        <f t="shared" si="2290"/>
        <v>44</v>
      </c>
      <c r="BKB41" s="48"/>
      <c r="BKC41" s="49"/>
      <c r="BKD41" s="49"/>
      <c r="BKE41" s="49">
        <v>98</v>
      </c>
      <c r="BKF41" s="49"/>
      <c r="BKG41" s="49"/>
      <c r="BKH41" s="67">
        <f t="shared" si="2291"/>
        <v>98</v>
      </c>
      <c r="BKI41" s="68">
        <f t="shared" si="2292"/>
        <v>16.333333333333332</v>
      </c>
      <c r="BKJ41" s="48">
        <v>110</v>
      </c>
      <c r="BKK41" s="49"/>
      <c r="BKL41" s="49"/>
      <c r="BKM41" s="49"/>
      <c r="BKN41" s="49"/>
      <c r="BKO41" s="49">
        <v>218</v>
      </c>
      <c r="BKP41" s="42">
        <f t="shared" si="2293"/>
        <v>328</v>
      </c>
      <c r="BKQ41" s="43">
        <f t="shared" si="2294"/>
        <v>54.666666666666664</v>
      </c>
      <c r="BKR41" s="48"/>
      <c r="BKS41" s="49"/>
      <c r="BKT41" s="49"/>
      <c r="BKU41" s="49">
        <v>221</v>
      </c>
      <c r="BKV41" s="49"/>
      <c r="BKW41" s="49"/>
      <c r="BKX41" s="42">
        <f t="shared" si="2295"/>
        <v>221</v>
      </c>
      <c r="BKY41" s="43">
        <f t="shared" si="2296"/>
        <v>36.833333333333336</v>
      </c>
      <c r="BKZ41" s="48"/>
      <c r="BLA41" s="49"/>
      <c r="BLB41" s="49">
        <v>220</v>
      </c>
      <c r="BLC41" s="49"/>
      <c r="BLD41" s="49"/>
      <c r="BLE41" s="49"/>
      <c r="BLF41" s="42">
        <f t="shared" si="2297"/>
        <v>220</v>
      </c>
      <c r="BLG41" s="43">
        <f t="shared" si="2298"/>
        <v>36.666666666666664</v>
      </c>
      <c r="BLH41" s="48"/>
      <c r="BLI41" s="49"/>
      <c r="BLJ41" s="49">
        <v>215</v>
      </c>
      <c r="BLK41" s="49"/>
      <c r="BLL41" s="49"/>
      <c r="BLM41" s="49"/>
      <c r="BLN41" s="42">
        <f t="shared" si="2299"/>
        <v>215</v>
      </c>
      <c r="BLO41" s="43">
        <f t="shared" si="2300"/>
        <v>35.833333333333336</v>
      </c>
      <c r="BLP41" s="48"/>
      <c r="BLQ41" s="49"/>
      <c r="BLR41" s="49"/>
      <c r="BLS41" s="49"/>
      <c r="BLT41" s="49"/>
      <c r="BLU41" s="49">
        <v>330</v>
      </c>
      <c r="BLV41" s="42">
        <f t="shared" si="2301"/>
        <v>330</v>
      </c>
      <c r="BLW41" s="43">
        <f t="shared" si="2302"/>
        <v>55</v>
      </c>
      <c r="BLX41" s="48"/>
      <c r="BLY41" s="49"/>
      <c r="BLZ41" s="49"/>
      <c r="BMA41" s="49"/>
      <c r="BMB41" s="49"/>
      <c r="BMC41" s="49">
        <v>331</v>
      </c>
      <c r="BMD41" s="42">
        <f t="shared" si="2303"/>
        <v>331</v>
      </c>
      <c r="BME41" s="43">
        <f t="shared" si="2304"/>
        <v>55.166666666666664</v>
      </c>
      <c r="BMF41" s="48"/>
      <c r="BMG41" s="49"/>
      <c r="BMH41" s="49"/>
      <c r="BMI41" s="49">
        <v>218</v>
      </c>
      <c r="BMJ41" s="49"/>
      <c r="BMK41" s="49"/>
      <c r="BML41" s="42">
        <f t="shared" si="2305"/>
        <v>218</v>
      </c>
      <c r="BMM41" s="43">
        <f t="shared" si="2306"/>
        <v>36.333333333333336</v>
      </c>
      <c r="BMN41" s="48"/>
      <c r="BMO41" s="49"/>
      <c r="BMP41" s="49">
        <v>220</v>
      </c>
      <c r="BMQ41" s="49"/>
      <c r="BMR41" s="49"/>
      <c r="BMS41" s="49"/>
      <c r="BMT41" s="42">
        <f t="shared" si="2307"/>
        <v>220</v>
      </c>
      <c r="BMU41" s="43">
        <f t="shared" si="2308"/>
        <v>36.666666666666664</v>
      </c>
      <c r="BMV41" s="48"/>
      <c r="BMW41" s="49">
        <v>220</v>
      </c>
      <c r="BMX41" s="49"/>
      <c r="BMY41" s="49"/>
      <c r="BMZ41" s="49"/>
      <c r="BNA41" s="49"/>
      <c r="BNB41" s="42">
        <f t="shared" si="2309"/>
        <v>220</v>
      </c>
      <c r="BNC41" s="43">
        <f t="shared" si="2310"/>
        <v>36.666666666666664</v>
      </c>
      <c r="BND41" s="48">
        <v>220</v>
      </c>
      <c r="BNE41" s="49"/>
      <c r="BNF41" s="49"/>
      <c r="BNG41" s="49"/>
      <c r="BNH41" s="49"/>
      <c r="BNI41" s="49">
        <v>219</v>
      </c>
      <c r="BNJ41" s="42">
        <f t="shared" si="2311"/>
        <v>439</v>
      </c>
      <c r="BNK41" s="43">
        <f t="shared" si="2312"/>
        <v>73.166666666666671</v>
      </c>
      <c r="BNL41" s="48"/>
      <c r="BNM41" s="49"/>
      <c r="BNN41" s="49"/>
      <c r="BNO41" s="49"/>
      <c r="BNP41" s="49">
        <v>108</v>
      </c>
      <c r="BNQ41" s="49"/>
      <c r="BNR41" s="42">
        <f t="shared" si="2313"/>
        <v>108</v>
      </c>
      <c r="BNS41" s="43">
        <f t="shared" si="2314"/>
        <v>18</v>
      </c>
      <c r="BNT41" s="48"/>
      <c r="BNU41" s="49"/>
      <c r="BNV41" s="49"/>
      <c r="BNW41" s="49"/>
      <c r="BNX41" s="49"/>
      <c r="BNY41" s="49"/>
      <c r="BNZ41" s="42">
        <f t="shared" si="2315"/>
        <v>0</v>
      </c>
      <c r="BOA41" s="43">
        <f t="shared" si="2316"/>
        <v>0</v>
      </c>
      <c r="BOB41" s="48">
        <v>312</v>
      </c>
      <c r="BOC41" s="49"/>
      <c r="BOD41" s="49">
        <v>101</v>
      </c>
      <c r="BOE41" s="49"/>
      <c r="BOF41" s="49"/>
      <c r="BOG41" s="49"/>
      <c r="BOH41" s="42">
        <f t="shared" si="2317"/>
        <v>413</v>
      </c>
      <c r="BOI41" s="43">
        <f t="shared" si="2318"/>
        <v>68.833333333333329</v>
      </c>
      <c r="BOJ41" s="48"/>
      <c r="BOK41" s="49"/>
      <c r="BOL41" s="49"/>
      <c r="BOM41" s="49">
        <v>210</v>
      </c>
      <c r="BON41" s="49"/>
      <c r="BOO41" s="49"/>
      <c r="BOP41" s="42">
        <f t="shared" si="2319"/>
        <v>210</v>
      </c>
      <c r="BOQ41" s="43">
        <f t="shared" si="2320"/>
        <v>35</v>
      </c>
      <c r="BOR41" s="48">
        <v>220</v>
      </c>
      <c r="BOS41" s="49"/>
      <c r="BOT41" s="49"/>
      <c r="BOU41" s="49"/>
      <c r="BOV41" s="49"/>
      <c r="BOW41" s="49">
        <v>220</v>
      </c>
      <c r="BOX41" s="42">
        <f t="shared" si="2321"/>
        <v>440</v>
      </c>
      <c r="BOY41" s="43">
        <f t="shared" si="2322"/>
        <v>73.333333333333329</v>
      </c>
      <c r="BOZ41" s="48"/>
      <c r="BPA41" s="49">
        <v>110</v>
      </c>
      <c r="BPB41" s="49"/>
      <c r="BPC41" s="49"/>
      <c r="BPD41" s="49"/>
      <c r="BPE41" s="49"/>
      <c r="BPF41" s="42">
        <f t="shared" si="2323"/>
        <v>110</v>
      </c>
      <c r="BPG41" s="43">
        <f t="shared" si="2324"/>
        <v>18.333333333333332</v>
      </c>
      <c r="BPH41" s="48"/>
      <c r="BPI41" s="49"/>
      <c r="BPJ41" s="49">
        <v>108</v>
      </c>
      <c r="BPK41" s="49"/>
      <c r="BPL41" s="49"/>
      <c r="BPM41" s="49">
        <v>220</v>
      </c>
      <c r="BPN41" s="42">
        <f t="shared" si="2325"/>
        <v>328</v>
      </c>
      <c r="BPO41" s="43">
        <f t="shared" si="2326"/>
        <v>54.666666666666664</v>
      </c>
      <c r="BPP41" s="48"/>
      <c r="BPQ41" s="49"/>
      <c r="BPR41" s="49"/>
      <c r="BPS41" s="49"/>
      <c r="BPT41" s="49">
        <v>200</v>
      </c>
      <c r="BPU41" s="49"/>
      <c r="BPV41" s="42">
        <f t="shared" si="2327"/>
        <v>200</v>
      </c>
      <c r="BPW41" s="43">
        <f t="shared" si="2328"/>
        <v>33.333333333333336</v>
      </c>
      <c r="BPX41" s="48"/>
      <c r="BPY41" s="49"/>
      <c r="BPZ41" s="49">
        <v>219</v>
      </c>
      <c r="BQA41" s="49"/>
      <c r="BQB41" s="49"/>
      <c r="BQC41" s="49">
        <v>347</v>
      </c>
      <c r="BQD41" s="67">
        <f t="shared" si="2329"/>
        <v>566</v>
      </c>
      <c r="BQE41" s="43">
        <f t="shared" si="2330"/>
        <v>94.333333333333329</v>
      </c>
      <c r="BQF41" s="48"/>
      <c r="BQG41" s="49">
        <v>199</v>
      </c>
      <c r="BQH41" s="49"/>
      <c r="BQI41" s="49"/>
      <c r="BQJ41" s="49"/>
      <c r="BQK41" s="49">
        <v>111</v>
      </c>
      <c r="BQL41" s="67">
        <f t="shared" si="2331"/>
        <v>310</v>
      </c>
      <c r="BQM41" s="43">
        <f t="shared" si="2332"/>
        <v>51.666666666666664</v>
      </c>
      <c r="BQN41" s="48"/>
      <c r="BQO41" s="49"/>
      <c r="BQP41" s="49">
        <v>220</v>
      </c>
      <c r="BQQ41" s="49"/>
      <c r="BQR41" s="49"/>
      <c r="BQS41" s="49"/>
      <c r="BQT41" s="67">
        <f t="shared" si="2333"/>
        <v>220</v>
      </c>
      <c r="BQU41" s="43">
        <f t="shared" si="2334"/>
        <v>36.666666666666664</v>
      </c>
      <c r="BQV41" s="48"/>
      <c r="BQW41" s="49"/>
      <c r="BQX41" s="49">
        <v>220</v>
      </c>
      <c r="BQY41" s="49"/>
      <c r="BQZ41" s="49"/>
      <c r="BRA41" s="49"/>
      <c r="BRB41" s="67">
        <f t="shared" si="2335"/>
        <v>220</v>
      </c>
      <c r="BRC41" s="43">
        <f t="shared" si="2336"/>
        <v>36.666666666666664</v>
      </c>
      <c r="BRD41" s="48">
        <v>105</v>
      </c>
      <c r="BRE41" s="49"/>
      <c r="BRF41" s="49">
        <v>334</v>
      </c>
      <c r="BRG41" s="49"/>
      <c r="BRH41" s="49"/>
      <c r="BRI41" s="49"/>
      <c r="BRJ41" s="67">
        <f t="shared" si="2337"/>
        <v>439</v>
      </c>
      <c r="BRK41" s="43">
        <f t="shared" si="2338"/>
        <v>73.166666666666671</v>
      </c>
      <c r="BRL41" s="48"/>
      <c r="BRM41" s="49">
        <v>249</v>
      </c>
      <c r="BRN41" s="49"/>
      <c r="BRO41" s="49">
        <v>227</v>
      </c>
      <c r="BRP41" s="49"/>
      <c r="BRQ41" s="49">
        <v>71</v>
      </c>
      <c r="BRR41" s="67">
        <f t="shared" si="2339"/>
        <v>547</v>
      </c>
      <c r="BRS41" s="68">
        <f t="shared" si="2340"/>
        <v>91.166666666666671</v>
      </c>
      <c r="BRT41" s="63"/>
      <c r="BRU41" s="64">
        <v>122</v>
      </c>
      <c r="BRV41" s="64"/>
      <c r="BRW41" s="64">
        <v>100</v>
      </c>
      <c r="BRX41" s="64"/>
      <c r="BRY41" s="64"/>
      <c r="BRZ41" s="67">
        <f t="shared" si="2341"/>
        <v>222</v>
      </c>
      <c r="BSA41" s="43">
        <f t="shared" si="2342"/>
        <v>37</v>
      </c>
      <c r="BSB41" s="48"/>
      <c r="BSC41" s="49"/>
      <c r="BSD41" s="49"/>
      <c r="BSE41" s="49">
        <v>99</v>
      </c>
      <c r="BSF41" s="49"/>
      <c r="BSG41" s="49"/>
      <c r="BSH41" s="67">
        <f t="shared" si="2343"/>
        <v>99</v>
      </c>
      <c r="BSI41" s="43">
        <f t="shared" si="2344"/>
        <v>16.5</v>
      </c>
      <c r="BSJ41" s="48">
        <v>110</v>
      </c>
      <c r="BSK41" s="49"/>
      <c r="BSL41" s="49"/>
      <c r="BSM41" s="49"/>
      <c r="BSN41" s="49"/>
      <c r="BSO41" s="49"/>
      <c r="BSP41" s="67">
        <f t="shared" si="2345"/>
        <v>110</v>
      </c>
      <c r="BSQ41" s="43">
        <f t="shared" si="2346"/>
        <v>18.333333333333332</v>
      </c>
      <c r="BSR41" s="48">
        <v>271</v>
      </c>
      <c r="BSS41" s="49"/>
      <c r="BST41" s="49"/>
      <c r="BSU41" s="49">
        <v>112</v>
      </c>
      <c r="BSV41" s="49"/>
      <c r="BSW41" s="49"/>
      <c r="BSX41" s="67">
        <f t="shared" si="2347"/>
        <v>383</v>
      </c>
      <c r="BSY41" s="43">
        <f t="shared" si="2348"/>
        <v>63.833333333333336</v>
      </c>
      <c r="BSZ41" s="48"/>
      <c r="BTA41" s="49">
        <v>220</v>
      </c>
      <c r="BTB41" s="49"/>
      <c r="BTC41" s="49"/>
      <c r="BTD41" s="49">
        <v>110</v>
      </c>
      <c r="BTE41" s="49"/>
      <c r="BTF41" s="67">
        <f t="shared" si="2349"/>
        <v>330</v>
      </c>
      <c r="BTG41" s="43">
        <f t="shared" si="2350"/>
        <v>55</v>
      </c>
      <c r="BTH41" s="48"/>
      <c r="BTI41" s="49"/>
      <c r="BTJ41" s="49"/>
      <c r="BTK41" s="49"/>
      <c r="BTL41" s="49"/>
      <c r="BTM41" s="49"/>
      <c r="BTN41" s="67">
        <f t="shared" si="2351"/>
        <v>0</v>
      </c>
      <c r="BTO41" s="68">
        <f t="shared" si="2352"/>
        <v>0</v>
      </c>
      <c r="BTP41" s="48"/>
      <c r="BTQ41" s="49"/>
      <c r="BTR41" s="49"/>
      <c r="BTS41" s="49"/>
      <c r="BTT41" s="49"/>
      <c r="BTU41" s="49"/>
      <c r="BTV41" s="67">
        <f t="shared" si="2353"/>
        <v>0</v>
      </c>
      <c r="BTW41" s="43">
        <f t="shared" si="2354"/>
        <v>0</v>
      </c>
      <c r="BTX41" s="48"/>
      <c r="BTY41" s="49"/>
      <c r="BTZ41" s="49">
        <v>110</v>
      </c>
      <c r="BUA41" s="49"/>
      <c r="BUB41" s="49"/>
      <c r="BUC41" s="49"/>
      <c r="BUD41" s="67">
        <f t="shared" si="2355"/>
        <v>110</v>
      </c>
      <c r="BUE41" s="68">
        <f t="shared" si="2356"/>
        <v>18.333333333333332</v>
      </c>
      <c r="BUF41" s="48">
        <v>330</v>
      </c>
      <c r="BUG41" s="49"/>
      <c r="BUH41" s="49"/>
      <c r="BUI41" s="49"/>
      <c r="BUJ41" s="49"/>
      <c r="BUK41" s="49">
        <v>330</v>
      </c>
      <c r="BUL41" s="67">
        <f t="shared" si="2357"/>
        <v>660</v>
      </c>
      <c r="BUM41" s="68">
        <f t="shared" si="2358"/>
        <v>110</v>
      </c>
      <c r="BUN41" s="48"/>
      <c r="BUO41" s="49"/>
      <c r="BUP41" s="49"/>
      <c r="BUQ41" s="49">
        <v>332</v>
      </c>
      <c r="BUR41" s="49"/>
      <c r="BUS41" s="49"/>
      <c r="BUT41" s="67">
        <f t="shared" si="2359"/>
        <v>332</v>
      </c>
      <c r="BUU41" s="68">
        <f t="shared" si="2360"/>
        <v>55.333333333333336</v>
      </c>
      <c r="BUV41" s="48"/>
      <c r="BUW41" s="49"/>
      <c r="BUX41" s="49"/>
      <c r="BUY41" s="49">
        <v>110</v>
      </c>
      <c r="BUZ41" s="49"/>
      <c r="BVA41" s="49"/>
      <c r="BVB41" s="67">
        <f t="shared" si="2361"/>
        <v>110</v>
      </c>
      <c r="BVC41" s="68">
        <f t="shared" si="2362"/>
        <v>18.333333333333332</v>
      </c>
      <c r="BVD41" s="48"/>
      <c r="BVE41" s="49">
        <v>219</v>
      </c>
      <c r="BVF41" s="49"/>
      <c r="BVG41" s="49"/>
      <c r="BVH41" s="49"/>
      <c r="BVI41" s="49">
        <v>207</v>
      </c>
      <c r="BVJ41" s="67">
        <f t="shared" si="2363"/>
        <v>426</v>
      </c>
      <c r="BVK41" s="68">
        <f t="shared" si="2364"/>
        <v>71</v>
      </c>
      <c r="BVL41" s="48"/>
      <c r="BVM41" s="49">
        <v>214</v>
      </c>
      <c r="BVN41" s="49"/>
      <c r="BVO41" s="49"/>
      <c r="BVP41" s="49"/>
      <c r="BVQ41" s="49"/>
      <c r="BVR41" s="67">
        <f t="shared" si="2365"/>
        <v>214</v>
      </c>
      <c r="BVS41" s="68">
        <f t="shared" si="2366"/>
        <v>35.666666666666664</v>
      </c>
      <c r="BVT41" s="48"/>
      <c r="BVU41" s="49">
        <v>220</v>
      </c>
      <c r="BVV41" s="49"/>
      <c r="BVW41" s="49">
        <v>220</v>
      </c>
      <c r="BVX41" s="49"/>
      <c r="BVY41" s="49"/>
      <c r="BVZ41" s="67">
        <f t="shared" si="2367"/>
        <v>440</v>
      </c>
      <c r="BWA41" s="68">
        <f t="shared" si="2368"/>
        <v>73.333333333333329</v>
      </c>
      <c r="BWB41" s="48">
        <v>246</v>
      </c>
      <c r="BWC41" s="49"/>
      <c r="BWD41" s="49"/>
      <c r="BWE41" s="49"/>
      <c r="BWF41" s="49">
        <v>220</v>
      </c>
      <c r="BWG41" s="49"/>
      <c r="BWH41" s="67">
        <f t="shared" si="2369"/>
        <v>466</v>
      </c>
      <c r="BWI41" s="68">
        <f t="shared" si="2370"/>
        <v>77.666666666666671</v>
      </c>
      <c r="BWJ41" s="48"/>
      <c r="BWK41" s="49"/>
      <c r="BWL41" s="49"/>
      <c r="BWM41" s="49"/>
      <c r="BWN41" s="49">
        <v>218</v>
      </c>
      <c r="BWO41" s="49">
        <v>220</v>
      </c>
      <c r="BWP41" s="67">
        <f t="shared" si="2371"/>
        <v>438</v>
      </c>
      <c r="BWQ41" s="68">
        <f t="shared" si="2372"/>
        <v>73</v>
      </c>
      <c r="BWR41" s="48"/>
      <c r="BWS41" s="49"/>
      <c r="BWT41" s="49"/>
      <c r="BWU41" s="49">
        <v>220</v>
      </c>
      <c r="BWV41" s="49"/>
      <c r="BWW41" s="49"/>
      <c r="BWX41" s="67">
        <f t="shared" si="2373"/>
        <v>220</v>
      </c>
      <c r="BWY41" s="68">
        <f t="shared" si="2374"/>
        <v>36.666666666666664</v>
      </c>
      <c r="BWZ41" s="48"/>
      <c r="BXA41" s="49"/>
      <c r="BXB41" s="49">
        <v>334</v>
      </c>
      <c r="BXC41" s="49"/>
      <c r="BXD41" s="49"/>
      <c r="BXE41" s="49"/>
      <c r="BXF41" s="67">
        <f t="shared" si="2375"/>
        <v>334</v>
      </c>
      <c r="BXG41" s="68">
        <f t="shared" si="2376"/>
        <v>55.666666666666664</v>
      </c>
      <c r="BXH41" s="48">
        <v>328</v>
      </c>
      <c r="BXI41" s="49"/>
      <c r="BXJ41" s="49"/>
      <c r="BXK41" s="49">
        <v>334</v>
      </c>
      <c r="BXL41" s="49"/>
      <c r="BXM41" s="49"/>
      <c r="BXN41" s="67">
        <f t="shared" si="2377"/>
        <v>662</v>
      </c>
      <c r="BXO41" s="68">
        <f t="shared" si="2378"/>
        <v>110.33333333333333</v>
      </c>
      <c r="BXP41" s="48">
        <v>522</v>
      </c>
      <c r="BXQ41" s="49"/>
      <c r="BXR41" s="49"/>
      <c r="BXS41" s="49"/>
      <c r="BXT41" s="49"/>
      <c r="BXU41" s="49"/>
      <c r="BXV41" s="67">
        <f t="shared" si="2379"/>
        <v>522</v>
      </c>
      <c r="BXW41" s="68">
        <f t="shared" si="1584"/>
        <v>87</v>
      </c>
      <c r="BXX41" s="48"/>
      <c r="BXY41" s="49">
        <v>332</v>
      </c>
      <c r="BXZ41" s="49"/>
      <c r="BYA41" s="49"/>
      <c r="BYB41" s="49"/>
      <c r="BYC41" s="49"/>
      <c r="BYD41" s="67">
        <f t="shared" si="2380"/>
        <v>332</v>
      </c>
      <c r="BYE41" s="68">
        <f t="shared" si="2381"/>
        <v>55.333333333333336</v>
      </c>
      <c r="BYF41" s="48"/>
      <c r="BYG41" s="49">
        <v>110</v>
      </c>
      <c r="BYH41" s="49">
        <v>111</v>
      </c>
      <c r="BYI41" s="49"/>
      <c r="BYJ41" s="49"/>
      <c r="BYK41" s="49">
        <v>300</v>
      </c>
      <c r="BYL41" s="67">
        <f t="shared" si="2382"/>
        <v>521</v>
      </c>
      <c r="BYM41" s="68">
        <f t="shared" si="2383"/>
        <v>86.833333333333329</v>
      </c>
      <c r="BYN41" s="48"/>
      <c r="BYO41" s="49"/>
      <c r="BYP41" s="49"/>
      <c r="BYQ41" s="49"/>
      <c r="BYR41" s="49">
        <v>401</v>
      </c>
      <c r="BYS41" s="49"/>
      <c r="BYT41" s="67">
        <f t="shared" si="2384"/>
        <v>401</v>
      </c>
      <c r="BYU41" s="68">
        <f t="shared" si="2385"/>
        <v>66.833333333333329</v>
      </c>
      <c r="BYV41" s="48"/>
      <c r="BYW41" s="49">
        <v>404</v>
      </c>
      <c r="BYX41" s="49"/>
      <c r="BYY41" s="49"/>
      <c r="BYZ41" s="49"/>
      <c r="BZA41" s="49"/>
      <c r="BZB41" s="67">
        <f t="shared" si="2386"/>
        <v>404</v>
      </c>
      <c r="BZC41" s="68">
        <f t="shared" si="2387"/>
        <v>67.333333333333329</v>
      </c>
      <c r="BZD41" s="48"/>
      <c r="BZE41" s="49">
        <v>334</v>
      </c>
      <c r="BZF41" s="49"/>
      <c r="BZG41" s="49">
        <v>444</v>
      </c>
      <c r="BZH41" s="49"/>
      <c r="BZI41" s="49"/>
      <c r="BZJ41" s="67">
        <f t="shared" si="2388"/>
        <v>778</v>
      </c>
      <c r="BZK41" s="68">
        <f t="shared" si="2389"/>
        <v>129.66666666666666</v>
      </c>
      <c r="BZL41" s="48"/>
      <c r="BZM41" s="49"/>
      <c r="BZN41" s="49">
        <v>333</v>
      </c>
      <c r="BZO41" s="49"/>
      <c r="BZP41" s="49"/>
      <c r="BZQ41" s="49"/>
      <c r="BZR41" s="67">
        <f t="shared" si="2390"/>
        <v>333</v>
      </c>
      <c r="BZS41" s="68">
        <f t="shared" si="2391"/>
        <v>55.5</v>
      </c>
      <c r="BZT41" s="48"/>
      <c r="BZU41" s="49"/>
      <c r="BZV41" s="49"/>
      <c r="BZW41" s="49">
        <v>306</v>
      </c>
      <c r="BZX41" s="49"/>
      <c r="BZY41" s="49"/>
      <c r="BZZ41" s="67">
        <f t="shared" si="2392"/>
        <v>306</v>
      </c>
      <c r="CAA41" s="68">
        <f t="shared" si="2393"/>
        <v>51</v>
      </c>
      <c r="CAB41" s="48">
        <v>330</v>
      </c>
      <c r="CAC41" s="49"/>
      <c r="CAD41" s="49"/>
      <c r="CAE41" s="49"/>
      <c r="CAF41" s="49">
        <v>110</v>
      </c>
      <c r="CAG41" s="49"/>
      <c r="CAH41" s="67">
        <f t="shared" si="2394"/>
        <v>440</v>
      </c>
      <c r="CAI41" s="68">
        <f t="shared" si="2395"/>
        <v>73.333333333333329</v>
      </c>
      <c r="CAJ41" s="48">
        <v>110</v>
      </c>
      <c r="CAK41" s="49"/>
      <c r="CAL41" s="49"/>
      <c r="CAM41" s="49">
        <v>215</v>
      </c>
      <c r="CAN41" s="49"/>
      <c r="CAO41" s="49"/>
      <c r="CAP41" s="67">
        <f t="shared" si="2396"/>
        <v>325</v>
      </c>
      <c r="CAQ41" s="68">
        <f t="shared" si="2397"/>
        <v>54.166666666666664</v>
      </c>
      <c r="CAR41" s="48">
        <v>180</v>
      </c>
      <c r="CAS41" s="49"/>
      <c r="CAT41" s="49"/>
      <c r="CAU41" s="49">
        <v>110</v>
      </c>
      <c r="CAV41" s="49"/>
      <c r="CAW41" s="49"/>
      <c r="CAX41" s="67">
        <f t="shared" si="2398"/>
        <v>290</v>
      </c>
      <c r="CAY41" s="68">
        <f t="shared" si="2399"/>
        <v>48.333333333333336</v>
      </c>
      <c r="CAZ41" s="48">
        <v>322</v>
      </c>
      <c r="CBA41" s="49"/>
      <c r="CBB41" s="49"/>
      <c r="CBC41" s="49"/>
      <c r="CBD41" s="49"/>
      <c r="CBE41" s="49">
        <v>110</v>
      </c>
      <c r="CBF41" s="67">
        <f t="shared" si="2400"/>
        <v>432</v>
      </c>
      <c r="CBG41" s="68">
        <f t="shared" si="2401"/>
        <v>72</v>
      </c>
      <c r="CBH41" s="48"/>
      <c r="CBI41" s="49"/>
      <c r="CBJ41" s="49"/>
      <c r="CBK41" s="49">
        <v>328</v>
      </c>
      <c r="CBL41" s="49"/>
      <c r="CBM41" s="49"/>
      <c r="CBN41" s="67">
        <f t="shared" si="2402"/>
        <v>328</v>
      </c>
      <c r="CBO41" s="68">
        <f t="shared" si="2403"/>
        <v>54.666666666666664</v>
      </c>
      <c r="CBP41" s="48"/>
      <c r="CBQ41" s="49"/>
      <c r="CBR41" s="49">
        <v>244</v>
      </c>
      <c r="CBS41" s="49"/>
      <c r="CBT41" s="49"/>
      <c r="CBU41" s="49"/>
      <c r="CBV41" s="67">
        <f t="shared" si="2404"/>
        <v>244</v>
      </c>
      <c r="CBW41" s="68">
        <f t="shared" si="2405"/>
        <v>40.666666666666664</v>
      </c>
      <c r="CBX41" s="48">
        <v>110</v>
      </c>
      <c r="CBY41" s="49">
        <v>223</v>
      </c>
      <c r="CBZ41" s="49"/>
      <c r="CCA41" s="49"/>
      <c r="CCB41" s="49"/>
      <c r="CCC41" s="49"/>
      <c r="CCD41" s="67">
        <f t="shared" si="2406"/>
        <v>333</v>
      </c>
      <c r="CCE41" s="68">
        <f t="shared" si="2407"/>
        <v>55.5</v>
      </c>
      <c r="CCF41" s="48"/>
      <c r="CCG41" s="49"/>
      <c r="CCH41" s="49">
        <v>111</v>
      </c>
      <c r="CCI41" s="49"/>
      <c r="CCJ41" s="49"/>
      <c r="CCK41" s="49"/>
      <c r="CCL41" s="67">
        <f t="shared" si="2408"/>
        <v>111</v>
      </c>
      <c r="CCM41" s="68">
        <f t="shared" si="2409"/>
        <v>18.5</v>
      </c>
      <c r="CCN41" s="48"/>
      <c r="CCO41" s="49">
        <v>219</v>
      </c>
      <c r="CCP41" s="49"/>
      <c r="CCQ41" s="49"/>
      <c r="CCR41" s="49"/>
      <c r="CCS41" s="49"/>
      <c r="CCT41" s="67">
        <f t="shared" si="2410"/>
        <v>219</v>
      </c>
      <c r="CCU41" s="68">
        <f t="shared" si="2411"/>
        <v>36.5</v>
      </c>
      <c r="CCV41" s="48"/>
      <c r="CCW41" s="49">
        <v>589</v>
      </c>
      <c r="CCX41" s="49"/>
      <c r="CCY41" s="49"/>
      <c r="CCZ41" s="49"/>
      <c r="CDA41" s="49"/>
      <c r="CDB41" s="67">
        <f t="shared" si="1629"/>
        <v>589</v>
      </c>
      <c r="CDC41" s="68">
        <f t="shared" si="1630"/>
        <v>98.166666666666671</v>
      </c>
      <c r="CDD41" s="48"/>
      <c r="CDE41" s="49"/>
      <c r="CDF41" s="49">
        <v>300</v>
      </c>
      <c r="CDG41" s="49"/>
      <c r="CDH41" s="49"/>
      <c r="CDI41" s="49">
        <v>400</v>
      </c>
      <c r="CDJ41" s="67">
        <f t="shared" si="1631"/>
        <v>700</v>
      </c>
      <c r="CDK41" s="68">
        <f t="shared" si="1632"/>
        <v>116.66666666666667</v>
      </c>
      <c r="CDL41" s="48"/>
      <c r="CDM41" s="49">
        <v>600</v>
      </c>
      <c r="CDN41" s="49"/>
      <c r="CDO41" s="49"/>
      <c r="CDP41" s="49"/>
      <c r="CDQ41" s="49"/>
      <c r="CDR41" s="67">
        <f t="shared" si="1633"/>
        <v>600</v>
      </c>
      <c r="CDS41" s="68">
        <f t="shared" si="1634"/>
        <v>100</v>
      </c>
      <c r="CDT41" s="48"/>
      <c r="CDU41" s="49"/>
      <c r="CDV41" s="49">
        <v>477</v>
      </c>
      <c r="CDW41" s="49"/>
      <c r="CDX41" s="49"/>
      <c r="CDY41" s="49">
        <v>444</v>
      </c>
      <c r="CDZ41" s="67">
        <f t="shared" si="1635"/>
        <v>921</v>
      </c>
      <c r="CEA41" s="68">
        <f t="shared" si="1636"/>
        <v>153.5</v>
      </c>
      <c r="CEB41" s="48">
        <v>252</v>
      </c>
      <c r="CEC41" s="49"/>
      <c r="CED41" s="49">
        <v>439</v>
      </c>
      <c r="CEE41" s="49"/>
      <c r="CEF41" s="49"/>
      <c r="CEG41" s="49">
        <v>196</v>
      </c>
      <c r="CEH41" s="67">
        <f t="shared" si="1637"/>
        <v>887</v>
      </c>
      <c r="CEI41" s="68">
        <f t="shared" si="1638"/>
        <v>147.83333333333334</v>
      </c>
      <c r="CEJ41" s="48">
        <v>574</v>
      </c>
      <c r="CEK41" s="49"/>
      <c r="CEL41" s="49"/>
      <c r="CEM41" s="49">
        <v>440</v>
      </c>
      <c r="CEN41" s="49"/>
      <c r="CEO41" s="49"/>
      <c r="CEP41" s="67">
        <f t="shared" si="1639"/>
        <v>1014</v>
      </c>
      <c r="CEQ41" s="68">
        <f t="shared" si="1640"/>
        <v>169</v>
      </c>
      <c r="CER41" s="48">
        <v>398</v>
      </c>
      <c r="CES41" s="49"/>
      <c r="CET41" s="49"/>
      <c r="CEU41" s="49">
        <v>962</v>
      </c>
      <c r="CEV41" s="49"/>
      <c r="CEW41" s="49"/>
      <c r="CEX41" s="67">
        <f t="shared" si="1641"/>
        <v>1360</v>
      </c>
      <c r="CEY41" s="68">
        <f t="shared" si="1642"/>
        <v>226.66666666666666</v>
      </c>
      <c r="CEZ41" s="48"/>
      <c r="CFA41" s="49"/>
      <c r="CFB41" s="49"/>
      <c r="CFC41" s="49">
        <v>220</v>
      </c>
      <c r="CFD41" s="49">
        <v>219</v>
      </c>
      <c r="CFE41" s="49">
        <v>773</v>
      </c>
      <c r="CFF41" s="67">
        <f t="shared" si="1643"/>
        <v>1212</v>
      </c>
      <c r="CFG41" s="68">
        <f t="shared" si="1644"/>
        <v>202</v>
      </c>
      <c r="CFH41" s="48"/>
      <c r="CFI41" s="49"/>
      <c r="CFJ41" s="49"/>
      <c r="CFK41" s="49"/>
      <c r="CFL41" s="49">
        <v>442</v>
      </c>
      <c r="CFM41" s="49"/>
      <c r="CFN41" s="67">
        <f t="shared" si="1645"/>
        <v>442</v>
      </c>
      <c r="CFO41" s="68">
        <f t="shared" si="1646"/>
        <v>73.666666666666671</v>
      </c>
      <c r="CFP41" s="48"/>
      <c r="CFQ41" s="49">
        <v>555</v>
      </c>
      <c r="CFR41" s="49">
        <v>788</v>
      </c>
      <c r="CFS41" s="49"/>
      <c r="CFT41" s="49"/>
      <c r="CFU41" s="49"/>
      <c r="CFV41" s="67">
        <f t="shared" si="1647"/>
        <v>1343</v>
      </c>
      <c r="CFW41" s="68">
        <f t="shared" si="1648"/>
        <v>223.83333333333334</v>
      </c>
      <c r="CFX41" s="48"/>
      <c r="CFY41" s="49">
        <v>433</v>
      </c>
      <c r="CFZ41" s="49"/>
      <c r="CGA41" s="49"/>
      <c r="CGB41" s="49"/>
      <c r="CGC41" s="49"/>
      <c r="CGD41" s="67">
        <f t="shared" si="1649"/>
        <v>433</v>
      </c>
      <c r="CGE41" s="68">
        <f t="shared" si="1650"/>
        <v>72.166666666666671</v>
      </c>
      <c r="CGF41" s="48"/>
      <c r="CGG41" s="49">
        <v>425</v>
      </c>
      <c r="CGH41" s="49"/>
      <c r="CGI41" s="49">
        <v>873</v>
      </c>
      <c r="CGJ41" s="49"/>
      <c r="CGK41" s="49"/>
      <c r="CGL41" s="67">
        <f t="shared" si="1651"/>
        <v>1298</v>
      </c>
      <c r="CGM41" s="68">
        <f t="shared" si="1652"/>
        <v>216.33333333333334</v>
      </c>
      <c r="CGN41" s="48">
        <v>226</v>
      </c>
      <c r="CGO41" s="49"/>
      <c r="CGP41" s="49"/>
      <c r="CGQ41" s="49"/>
      <c r="CGR41" s="49"/>
      <c r="CGS41" s="49"/>
      <c r="CGT41" s="67">
        <f t="shared" si="1653"/>
        <v>226</v>
      </c>
      <c r="CGU41" s="68">
        <f t="shared" si="1654"/>
        <v>37.666666666666664</v>
      </c>
      <c r="CGV41" s="48"/>
      <c r="CGW41" s="49">
        <v>476</v>
      </c>
      <c r="CGX41" s="49"/>
      <c r="CGY41" s="49"/>
      <c r="CGZ41" s="49"/>
      <c r="CHA41" s="49">
        <v>299</v>
      </c>
      <c r="CHB41" s="67">
        <f t="shared" si="1655"/>
        <v>775</v>
      </c>
      <c r="CHC41" s="68">
        <f t="shared" si="1656"/>
        <v>129.16666666666666</v>
      </c>
      <c r="CHD41" s="48">
        <v>355</v>
      </c>
      <c r="CHE41" s="49"/>
      <c r="CHF41" s="49">
        <v>220</v>
      </c>
      <c r="CHG41" s="49"/>
      <c r="CHH41" s="49"/>
      <c r="CHI41" s="49">
        <v>880</v>
      </c>
      <c r="CHJ41" s="67">
        <f t="shared" si="1657"/>
        <v>1455</v>
      </c>
      <c r="CHK41" s="68">
        <f t="shared" si="1658"/>
        <v>242.5</v>
      </c>
      <c r="CHL41" s="48"/>
      <c r="CHM41" s="49"/>
      <c r="CHN41" s="49"/>
      <c r="CHO41" s="49"/>
      <c r="CHP41" s="49"/>
      <c r="CHQ41" s="49"/>
      <c r="CHR41" s="67">
        <f t="shared" si="1659"/>
        <v>0</v>
      </c>
      <c r="CHS41" s="68">
        <f t="shared" si="1660"/>
        <v>0</v>
      </c>
      <c r="CHT41" s="48"/>
      <c r="CHU41" s="49"/>
      <c r="CHV41" s="49">
        <v>922</v>
      </c>
      <c r="CHW41" s="49"/>
      <c r="CHX41" s="49"/>
      <c r="CHY41" s="49">
        <v>600</v>
      </c>
      <c r="CHZ41" s="67">
        <f t="shared" si="1661"/>
        <v>1522</v>
      </c>
      <c r="CIA41" s="68">
        <f t="shared" si="1662"/>
        <v>253.66666666666666</v>
      </c>
      <c r="CIB41" s="48"/>
      <c r="CIC41" s="49"/>
      <c r="CID41" s="49"/>
      <c r="CIE41" s="49"/>
      <c r="CIF41" s="49">
        <v>1398</v>
      </c>
      <c r="CIG41" s="49"/>
      <c r="CIH41" s="67">
        <f t="shared" si="1663"/>
        <v>1398</v>
      </c>
      <c r="CII41" s="68">
        <f t="shared" si="1664"/>
        <v>233</v>
      </c>
      <c r="CIJ41" s="48"/>
      <c r="CIK41" s="49"/>
      <c r="CIL41" s="49"/>
      <c r="CIM41" s="49"/>
      <c r="CIN41" s="49"/>
      <c r="CIO41" s="49">
        <v>444</v>
      </c>
      <c r="CIP41" s="67">
        <f t="shared" si="1665"/>
        <v>444</v>
      </c>
      <c r="CIQ41" s="68">
        <f t="shared" si="1666"/>
        <v>74</v>
      </c>
      <c r="CIR41" s="48"/>
      <c r="CIS41" s="49"/>
      <c r="CIT41" s="49"/>
      <c r="CIU41" s="49"/>
      <c r="CIV41" s="49">
        <v>440</v>
      </c>
      <c r="CIW41" s="49"/>
      <c r="CIX41" s="67">
        <f t="shared" si="1667"/>
        <v>440</v>
      </c>
      <c r="CIY41" s="68">
        <f t="shared" si="1668"/>
        <v>73.333333333333329</v>
      </c>
      <c r="CIZ41" s="63"/>
      <c r="CJA41" s="64">
        <v>223</v>
      </c>
      <c r="CJB41" s="64"/>
      <c r="CJC41" s="64"/>
      <c r="CJD41" s="64">
        <v>640</v>
      </c>
      <c r="CJE41" s="64"/>
      <c r="CJF41" s="67">
        <f t="shared" si="1669"/>
        <v>863</v>
      </c>
      <c r="CJG41" s="68">
        <f t="shared" si="1670"/>
        <v>143.83333333333334</v>
      </c>
      <c r="CJH41" s="48"/>
      <c r="CJI41" s="49">
        <v>325</v>
      </c>
      <c r="CJJ41" s="49"/>
      <c r="CJK41" s="49">
        <v>432</v>
      </c>
      <c r="CJL41" s="49"/>
      <c r="CJM41" s="49"/>
      <c r="CJN41" s="67">
        <f t="shared" si="1671"/>
        <v>757</v>
      </c>
      <c r="CJO41" s="184">
        <f t="shared" si="1672"/>
        <v>126.16666666666667</v>
      </c>
      <c r="CJP41" s="48"/>
      <c r="CJQ41" s="49"/>
      <c r="CJR41" s="49">
        <v>442</v>
      </c>
      <c r="CJS41" s="49"/>
      <c r="CJT41" s="49"/>
      <c r="CJU41" s="49">
        <v>431</v>
      </c>
      <c r="CJV41" s="67">
        <f t="shared" si="1673"/>
        <v>873</v>
      </c>
      <c r="CJW41" s="68">
        <f t="shared" si="1674"/>
        <v>145.5</v>
      </c>
      <c r="CJX41" s="48"/>
      <c r="CJY41" s="49"/>
      <c r="CJZ41" s="49">
        <v>607</v>
      </c>
      <c r="CKA41" s="49"/>
      <c r="CKB41" s="49">
        <v>436</v>
      </c>
      <c r="CKC41" s="49"/>
      <c r="CKD41" s="67">
        <f t="shared" si="2412"/>
        <v>1043</v>
      </c>
      <c r="CKE41" s="68">
        <f t="shared" si="1675"/>
        <v>173.83333333333334</v>
      </c>
      <c r="CKF41" s="48"/>
      <c r="CKG41" s="49">
        <v>439</v>
      </c>
      <c r="CKH41" s="49"/>
      <c r="CKI41" s="49">
        <v>490</v>
      </c>
      <c r="CKJ41" s="49">
        <v>408</v>
      </c>
      <c r="CKK41" s="49"/>
      <c r="CKL41" s="67">
        <f t="shared" si="1676"/>
        <v>1337</v>
      </c>
      <c r="CKM41" s="68">
        <f t="shared" si="1677"/>
        <v>222.83333333333334</v>
      </c>
      <c r="CKN41" s="48"/>
      <c r="CKO41" s="49"/>
      <c r="CKP41" s="49">
        <v>640</v>
      </c>
      <c r="CKQ41" s="49"/>
      <c r="CKR41" s="49"/>
      <c r="CKS41" s="47"/>
      <c r="CKT41" s="67">
        <f t="shared" si="1678"/>
        <v>640</v>
      </c>
      <c r="CKU41" s="68">
        <f t="shared" si="1679"/>
        <v>106.66666666666667</v>
      </c>
      <c r="CKV41" s="48">
        <v>1</v>
      </c>
      <c r="CKW41" s="49"/>
      <c r="CKX41" s="49">
        <v>881</v>
      </c>
      <c r="CKY41" s="49"/>
      <c r="CKZ41" s="49">
        <v>887</v>
      </c>
      <c r="CLA41" s="49"/>
      <c r="CLB41" s="67">
        <f t="shared" si="1680"/>
        <v>1769</v>
      </c>
      <c r="CLC41" s="68">
        <f t="shared" si="1681"/>
        <v>294.83333333333331</v>
      </c>
      <c r="CLD41" s="48"/>
      <c r="CLE41" s="49"/>
      <c r="CLF41" s="49"/>
      <c r="CLG41" s="49"/>
      <c r="CLH41" s="49"/>
      <c r="CLI41" s="49"/>
      <c r="CLJ41" s="67">
        <f t="shared" si="1682"/>
        <v>0</v>
      </c>
      <c r="CLK41" s="68">
        <f t="shared" si="1683"/>
        <v>0</v>
      </c>
      <c r="CLL41" s="48">
        <v>637</v>
      </c>
      <c r="CLM41" s="49"/>
      <c r="CLN41" s="49"/>
      <c r="CLO41" s="49">
        <v>219</v>
      </c>
      <c r="CLP41" s="49"/>
      <c r="CLQ41" s="49">
        <v>639</v>
      </c>
      <c r="CLR41" s="67">
        <f t="shared" si="1684"/>
        <v>1495</v>
      </c>
      <c r="CLS41" s="68">
        <f t="shared" si="1685"/>
        <v>249.16666666666666</v>
      </c>
      <c r="CLT41" s="48"/>
      <c r="CLU41" s="49"/>
      <c r="CLV41" s="49"/>
      <c r="CLW41" s="49">
        <v>1276</v>
      </c>
      <c r="CLX41" s="49"/>
      <c r="CLY41" s="49"/>
      <c r="CLZ41" s="67">
        <f t="shared" si="1686"/>
        <v>1276</v>
      </c>
      <c r="CMA41" s="68">
        <f t="shared" si="1687"/>
        <v>212.66666666666666</v>
      </c>
      <c r="CMB41" s="48"/>
      <c r="CMC41" s="49"/>
      <c r="CMD41" s="49">
        <v>800</v>
      </c>
      <c r="CME41" s="49"/>
      <c r="CMF41" s="49"/>
      <c r="CMG41" s="49"/>
      <c r="CMH41" s="67">
        <f t="shared" si="1688"/>
        <v>800</v>
      </c>
      <c r="CMI41" s="68">
        <f t="shared" si="1689"/>
        <v>133.33333333333334</v>
      </c>
      <c r="CMJ41" s="48"/>
      <c r="CMK41" s="49"/>
      <c r="CML41" s="49">
        <v>459</v>
      </c>
      <c r="CMM41" s="49"/>
      <c r="CMN41" s="49"/>
      <c r="CMO41" s="49"/>
      <c r="CMP41" s="67">
        <f t="shared" si="1690"/>
        <v>459</v>
      </c>
      <c r="CMQ41" s="68">
        <f t="shared" si="1691"/>
        <v>76.5</v>
      </c>
      <c r="CMR41" s="48"/>
      <c r="CMS41" s="49">
        <v>400</v>
      </c>
      <c r="CMT41" s="49"/>
      <c r="CMU41" s="49">
        <v>432</v>
      </c>
      <c r="CMV41" s="49"/>
      <c r="CMW41" s="49"/>
      <c r="CMX41" s="67">
        <f t="shared" si="1692"/>
        <v>832</v>
      </c>
      <c r="CMY41" s="68">
        <f t="shared" si="1693"/>
        <v>138.66666666666666</v>
      </c>
      <c r="CMZ41" s="48">
        <v>328</v>
      </c>
      <c r="CNA41" s="49"/>
      <c r="CNB41" s="49"/>
      <c r="CNC41" s="49">
        <v>769</v>
      </c>
      <c r="CND41" s="49"/>
      <c r="CNE41" s="49"/>
      <c r="CNF41" s="67">
        <f t="shared" si="1694"/>
        <v>1097</v>
      </c>
      <c r="CNG41" s="68">
        <f t="shared" si="1695"/>
        <v>182.83333333333334</v>
      </c>
      <c r="CNH41" s="48">
        <v>330</v>
      </c>
      <c r="CNI41" s="49"/>
      <c r="CNJ41" s="49"/>
      <c r="CNK41" s="49">
        <v>220</v>
      </c>
      <c r="CNL41" s="49">
        <v>662</v>
      </c>
      <c r="CNM41" s="49"/>
      <c r="CNN41" s="67">
        <f t="shared" si="1696"/>
        <v>1212</v>
      </c>
      <c r="CNO41" s="68">
        <f t="shared" si="1697"/>
        <v>202</v>
      </c>
      <c r="CNP41" s="48">
        <v>209</v>
      </c>
      <c r="CNQ41" s="49"/>
      <c r="CNR41" s="49"/>
      <c r="CNS41" s="49"/>
      <c r="CNT41" s="49"/>
      <c r="CNU41" s="49">
        <v>881</v>
      </c>
      <c r="CNV41" s="67">
        <f t="shared" si="1698"/>
        <v>1090</v>
      </c>
      <c r="CNW41" s="68">
        <f t="shared" si="1699"/>
        <v>181.66666666666666</v>
      </c>
      <c r="CNX41" s="48"/>
      <c r="CNY41" s="49"/>
      <c r="CNZ41" s="49"/>
      <c r="COA41" s="49"/>
      <c r="COB41" s="49">
        <v>770</v>
      </c>
      <c r="COC41" s="49">
        <v>26</v>
      </c>
      <c r="COD41" s="67">
        <f t="shared" si="1700"/>
        <v>796</v>
      </c>
      <c r="COE41" s="68">
        <f t="shared" si="1701"/>
        <v>132.66666666666666</v>
      </c>
      <c r="COF41" s="48"/>
      <c r="COG41" s="49"/>
      <c r="COH41" s="49"/>
      <c r="COI41" s="49">
        <v>624</v>
      </c>
      <c r="COJ41" s="49"/>
      <c r="COK41" s="49">
        <v>336</v>
      </c>
      <c r="COL41" s="67">
        <f t="shared" si="1702"/>
        <v>960</v>
      </c>
      <c r="COM41" s="68">
        <f t="shared" si="1703"/>
        <v>160</v>
      </c>
      <c r="CON41" s="48">
        <v>706</v>
      </c>
      <c r="COO41" s="49"/>
      <c r="COP41" s="49">
        <v>442</v>
      </c>
      <c r="COQ41" s="49"/>
      <c r="COR41" s="49"/>
      <c r="COS41" s="49"/>
      <c r="COT41" s="67">
        <f t="shared" si="1704"/>
        <v>1148</v>
      </c>
      <c r="COU41" s="68">
        <f t="shared" si="1705"/>
        <v>191.33333333333334</v>
      </c>
      <c r="COV41" s="48"/>
      <c r="COW41" s="49">
        <v>184</v>
      </c>
      <c r="COX41" s="49"/>
      <c r="COY41" s="49">
        <v>212</v>
      </c>
      <c r="COZ41" s="49"/>
      <c r="CPA41" s="49">
        <v>0</v>
      </c>
      <c r="CPB41" s="67">
        <f t="shared" si="1706"/>
        <v>396</v>
      </c>
      <c r="CPC41" s="68">
        <f t="shared" si="1707"/>
        <v>66</v>
      </c>
      <c r="CPD41" s="48"/>
      <c r="CPE41" s="49">
        <v>0</v>
      </c>
      <c r="CPF41" s="49">
        <v>0</v>
      </c>
      <c r="CPG41" s="49">
        <v>0</v>
      </c>
      <c r="CPH41" s="49">
        <v>880</v>
      </c>
      <c r="CPI41" s="49">
        <v>0</v>
      </c>
      <c r="CPJ41" s="67">
        <f t="shared" si="1708"/>
        <v>880</v>
      </c>
      <c r="CPK41" s="68">
        <f t="shared" si="1709"/>
        <v>146.66666666666666</v>
      </c>
      <c r="CPL41" s="48"/>
      <c r="CPM41" s="49">
        <v>0</v>
      </c>
      <c r="CPN41" s="49">
        <v>442</v>
      </c>
      <c r="CPO41" s="49"/>
      <c r="CPP41" s="49">
        <v>0</v>
      </c>
      <c r="CPQ41" s="49"/>
      <c r="CPR41" s="67">
        <f t="shared" si="1710"/>
        <v>442</v>
      </c>
      <c r="CPS41" s="68">
        <f t="shared" si="1711"/>
        <v>73.666666666666671</v>
      </c>
      <c r="CPT41" s="48">
        <v>0</v>
      </c>
      <c r="CPU41" s="49">
        <v>252</v>
      </c>
      <c r="CPV41" s="49">
        <v>0</v>
      </c>
      <c r="CPW41" s="49"/>
      <c r="CPX41" s="49">
        <v>391</v>
      </c>
      <c r="CPY41" s="49">
        <v>0</v>
      </c>
      <c r="CPZ41" s="67">
        <f t="shared" si="1712"/>
        <v>643</v>
      </c>
      <c r="CQA41" s="68">
        <f t="shared" si="1713"/>
        <v>107.16666666666667</v>
      </c>
      <c r="CQB41" s="48">
        <v>0</v>
      </c>
      <c r="CQC41" s="49">
        <v>0</v>
      </c>
      <c r="CQD41" s="49">
        <v>775</v>
      </c>
      <c r="CQE41" s="49">
        <v>0</v>
      </c>
      <c r="CQF41" s="49">
        <v>726</v>
      </c>
      <c r="CQG41" s="49">
        <v>0</v>
      </c>
      <c r="CQH41" s="67">
        <f t="shared" si="1714"/>
        <v>1501</v>
      </c>
      <c r="CQI41" s="68">
        <f t="shared" si="1715"/>
        <v>250.16666666666666</v>
      </c>
      <c r="CQJ41" s="82">
        <v>0</v>
      </c>
      <c r="CQK41" s="83">
        <v>699</v>
      </c>
      <c r="CQL41" s="83">
        <v>0</v>
      </c>
      <c r="CQM41" s="83">
        <v>0</v>
      </c>
      <c r="CQN41" s="83"/>
      <c r="CQO41" s="83"/>
      <c r="CQP41" s="67">
        <f t="shared" si="1716"/>
        <v>699</v>
      </c>
      <c r="CQQ41" s="68">
        <f t="shared" si="1717"/>
        <v>116.5</v>
      </c>
      <c r="CQR41" s="239"/>
      <c r="CQS41" s="1">
        <v>0</v>
      </c>
      <c r="CQT41" s="1">
        <v>700</v>
      </c>
      <c r="CQU41" s="1">
        <v>0</v>
      </c>
      <c r="CQV41" s="1">
        <v>0</v>
      </c>
      <c r="CQW41" s="1"/>
      <c r="CQX41" s="67">
        <f t="shared" si="1718"/>
        <v>700</v>
      </c>
      <c r="CQY41" s="68">
        <f t="shared" si="1719"/>
        <v>116.66666666666667</v>
      </c>
      <c r="CQZ41" s="48">
        <v>0</v>
      </c>
      <c r="CRA41" s="49"/>
      <c r="CRB41" s="49">
        <v>0</v>
      </c>
      <c r="CRC41" s="49">
        <v>400</v>
      </c>
      <c r="CRD41" s="49">
        <v>0</v>
      </c>
      <c r="CRE41" s="49">
        <v>220</v>
      </c>
      <c r="CRF41" s="67">
        <f t="shared" si="1720"/>
        <v>620</v>
      </c>
      <c r="CRG41" s="68">
        <f t="shared" si="1721"/>
        <v>103.33333333333333</v>
      </c>
      <c r="CRH41" s="48">
        <v>0</v>
      </c>
      <c r="CRI41" s="49">
        <v>366</v>
      </c>
      <c r="CRJ41" s="49">
        <v>0</v>
      </c>
      <c r="CRK41" s="49">
        <v>0</v>
      </c>
      <c r="CRL41" s="49">
        <v>1420</v>
      </c>
      <c r="CRM41" s="49">
        <v>0</v>
      </c>
      <c r="CRN41" s="67">
        <f t="shared" si="1722"/>
        <v>1786</v>
      </c>
      <c r="CRO41" s="68">
        <f t="shared" si="1723"/>
        <v>297.66666666666669</v>
      </c>
      <c r="CRP41" s="48"/>
      <c r="CRQ41" s="49">
        <v>0</v>
      </c>
      <c r="CRR41" s="49">
        <v>0</v>
      </c>
      <c r="CRS41" s="49">
        <v>0</v>
      </c>
      <c r="CRT41" s="49">
        <v>0</v>
      </c>
      <c r="CRU41" s="49">
        <v>0</v>
      </c>
      <c r="CRV41" s="47">
        <f t="shared" si="1724"/>
        <v>0</v>
      </c>
      <c r="CRW41" s="68">
        <f t="shared" si="1725"/>
        <v>0</v>
      </c>
      <c r="CRX41" s="48">
        <v>421</v>
      </c>
      <c r="CRY41" s="49">
        <v>0</v>
      </c>
      <c r="CRZ41" s="49">
        <v>0</v>
      </c>
      <c r="CSA41" s="49">
        <v>550</v>
      </c>
      <c r="CSB41" s="49">
        <v>514</v>
      </c>
      <c r="CSC41" s="49">
        <v>0</v>
      </c>
      <c r="CSD41" s="67">
        <f t="shared" si="1726"/>
        <v>1485</v>
      </c>
      <c r="CSE41" s="68">
        <f t="shared" si="1727"/>
        <v>247.5</v>
      </c>
      <c r="CSF41" s="48">
        <v>0</v>
      </c>
      <c r="CSG41" s="49">
        <v>0</v>
      </c>
      <c r="CSH41" s="49">
        <v>0</v>
      </c>
      <c r="CSI41" s="49">
        <v>0</v>
      </c>
      <c r="CSJ41" s="49">
        <v>0</v>
      </c>
      <c r="CSK41" s="360">
        <f>SUMIF(SUMPK!$B:$B,$B:$B,SUMPK!$O:$O)</f>
        <v>0</v>
      </c>
      <c r="CSL41" s="64">
        <f t="shared" si="1728"/>
        <v>0</v>
      </c>
      <c r="CSM41" s="68">
        <f t="shared" si="1729"/>
        <v>0</v>
      </c>
      <c r="CSN41" s="48">
        <v>0</v>
      </c>
      <c r="CSO41" s="49">
        <v>0</v>
      </c>
      <c r="CSP41" s="49">
        <v>657</v>
      </c>
      <c r="CSQ41" s="49"/>
      <c r="CSR41" s="49">
        <v>0</v>
      </c>
      <c r="CSS41" s="49">
        <v>0</v>
      </c>
      <c r="CST41" s="64">
        <f t="shared" si="1730"/>
        <v>657</v>
      </c>
      <c r="CSU41" s="68">
        <f t="shared" si="1731"/>
        <v>109.5</v>
      </c>
      <c r="CSV41" s="48">
        <v>0</v>
      </c>
      <c r="CSW41" s="49">
        <v>0</v>
      </c>
      <c r="CSX41" s="49">
        <v>0</v>
      </c>
      <c r="CSY41" s="49">
        <v>0</v>
      </c>
      <c r="CSZ41" s="49">
        <v>0</v>
      </c>
      <c r="CTA41" s="49">
        <v>671</v>
      </c>
      <c r="CTB41" s="64">
        <f t="shared" si="1732"/>
        <v>671</v>
      </c>
      <c r="CTC41" s="68">
        <f t="shared" si="1733"/>
        <v>111.83333333333333</v>
      </c>
      <c r="CTD41" s="48">
        <v>0</v>
      </c>
      <c r="CTE41" s="49">
        <v>423</v>
      </c>
      <c r="CTF41" s="49">
        <v>0</v>
      </c>
      <c r="CTG41" s="49">
        <v>0</v>
      </c>
      <c r="CTH41" s="49"/>
      <c r="CTI41" s="49"/>
      <c r="CTJ41" s="64">
        <f t="shared" si="1734"/>
        <v>423</v>
      </c>
      <c r="CTK41" s="68">
        <f t="shared" si="1735"/>
        <v>70.5</v>
      </c>
      <c r="CTL41" s="48">
        <v>0</v>
      </c>
      <c r="CTM41" s="49">
        <v>0</v>
      </c>
      <c r="CTN41" s="49">
        <v>0</v>
      </c>
      <c r="CTO41" s="49">
        <v>800</v>
      </c>
      <c r="CTP41" s="49">
        <v>0</v>
      </c>
      <c r="CTQ41" s="49">
        <v>0</v>
      </c>
      <c r="CTR41" s="64">
        <f t="shared" si="1736"/>
        <v>800</v>
      </c>
      <c r="CTS41" s="68">
        <f t="shared" si="1737"/>
        <v>133.33333333333334</v>
      </c>
      <c r="CTT41" s="48">
        <v>1002</v>
      </c>
      <c r="CTU41" s="49"/>
      <c r="CTV41" s="49">
        <v>0</v>
      </c>
      <c r="CTW41" s="49"/>
      <c r="CTX41" s="49">
        <v>440</v>
      </c>
      <c r="CTY41" s="49"/>
      <c r="CTZ41" s="64">
        <f t="shared" si="1738"/>
        <v>1442</v>
      </c>
      <c r="CUA41" s="68">
        <f t="shared" si="1739"/>
        <v>240.33333333333334</v>
      </c>
      <c r="CUB41" s="48">
        <v>0</v>
      </c>
      <c r="CUC41" s="49">
        <v>0</v>
      </c>
      <c r="CUD41" s="49">
        <v>142</v>
      </c>
      <c r="CUE41" s="49"/>
      <c r="CUF41" s="49">
        <v>1159</v>
      </c>
      <c r="CUG41" s="49">
        <v>0</v>
      </c>
      <c r="CUH41" s="64">
        <f t="shared" si="1740"/>
        <v>1301</v>
      </c>
      <c r="CUI41" s="68">
        <f t="shared" si="1741"/>
        <v>216.83333333333334</v>
      </c>
      <c r="CUJ41" s="48">
        <v>0</v>
      </c>
      <c r="CUK41" s="49">
        <v>0</v>
      </c>
      <c r="CUL41" s="49">
        <v>220</v>
      </c>
      <c r="CUM41" s="49">
        <v>0</v>
      </c>
      <c r="CUN41" s="49">
        <v>218</v>
      </c>
      <c r="CUO41" s="49">
        <v>0</v>
      </c>
      <c r="CUP41" s="64">
        <f t="shared" si="1742"/>
        <v>438</v>
      </c>
      <c r="CUQ41" s="68">
        <f t="shared" si="1743"/>
        <v>73</v>
      </c>
      <c r="CUR41" s="48">
        <v>665</v>
      </c>
      <c r="CUS41" s="49"/>
      <c r="CUT41" s="49"/>
      <c r="CUU41" s="49">
        <v>0</v>
      </c>
      <c r="CUV41" s="49">
        <v>446</v>
      </c>
      <c r="CUW41" s="49">
        <v>0</v>
      </c>
      <c r="CUX41" s="64">
        <f t="shared" si="1744"/>
        <v>1111</v>
      </c>
      <c r="CUY41" s="68">
        <f t="shared" si="1745"/>
        <v>185.16666666666666</v>
      </c>
      <c r="CUZ41" s="48">
        <v>408</v>
      </c>
      <c r="CVA41" s="49">
        <v>663</v>
      </c>
      <c r="CVB41" s="49"/>
      <c r="CVC41" s="49">
        <v>649</v>
      </c>
      <c r="CVD41" s="49">
        <v>0</v>
      </c>
      <c r="CVE41" s="49">
        <v>0</v>
      </c>
      <c r="CVF41" s="64">
        <f t="shared" si="1746"/>
        <v>1720</v>
      </c>
      <c r="CVG41" s="68">
        <f t="shared" si="1747"/>
        <v>286.66666666666669</v>
      </c>
      <c r="CVH41" s="48">
        <v>0</v>
      </c>
      <c r="CVI41" s="49">
        <v>0</v>
      </c>
      <c r="CVJ41" s="49">
        <v>0</v>
      </c>
      <c r="CVK41" s="49">
        <v>0</v>
      </c>
      <c r="CVL41" s="49">
        <v>662</v>
      </c>
      <c r="CVM41" s="49"/>
      <c r="CVN41" s="64">
        <f t="shared" si="1748"/>
        <v>662</v>
      </c>
      <c r="CVO41" s="68">
        <f t="shared" si="1749"/>
        <v>110.33333333333333</v>
      </c>
      <c r="CVP41" s="48">
        <v>0</v>
      </c>
      <c r="CVQ41" s="49">
        <v>0</v>
      </c>
      <c r="CVR41" s="49">
        <v>0</v>
      </c>
      <c r="CVS41" s="49">
        <v>1400</v>
      </c>
      <c r="CVT41" s="49">
        <v>329</v>
      </c>
      <c r="CVU41" s="49">
        <v>0</v>
      </c>
      <c r="CVV41" s="64">
        <f t="shared" si="1750"/>
        <v>1729</v>
      </c>
      <c r="CVW41" s="68">
        <f t="shared" si="1751"/>
        <v>288.16666666666669</v>
      </c>
      <c r="CVX41" s="48">
        <v>0</v>
      </c>
      <c r="CVY41" s="49">
        <v>0</v>
      </c>
      <c r="CVZ41" s="49">
        <v>439</v>
      </c>
      <c r="CWA41" s="49">
        <v>593</v>
      </c>
      <c r="CWB41" s="49">
        <v>0</v>
      </c>
      <c r="CWC41" s="49">
        <v>0</v>
      </c>
      <c r="CWD41" s="64">
        <f t="shared" si="1752"/>
        <v>1032</v>
      </c>
      <c r="CWE41" s="68">
        <f t="shared" si="1753"/>
        <v>172</v>
      </c>
      <c r="CWF41" s="48">
        <v>0</v>
      </c>
      <c r="CWG41" s="49">
        <v>0</v>
      </c>
      <c r="CWH41" s="49">
        <v>0</v>
      </c>
      <c r="CWI41" s="49">
        <v>800</v>
      </c>
      <c r="CWJ41" s="49">
        <v>0</v>
      </c>
      <c r="CWK41" s="49"/>
      <c r="CWL41" s="64">
        <f t="shared" si="1754"/>
        <v>800</v>
      </c>
      <c r="CWM41" s="68">
        <f t="shared" si="1755"/>
        <v>133.33333333333334</v>
      </c>
      <c r="CWN41" s="48">
        <v>754</v>
      </c>
      <c r="CWO41" s="49">
        <v>0</v>
      </c>
      <c r="CWP41" s="49">
        <v>472</v>
      </c>
      <c r="CWQ41" s="49">
        <v>0</v>
      </c>
      <c r="CWR41" s="49">
        <v>0</v>
      </c>
      <c r="CWS41" s="49">
        <v>220</v>
      </c>
      <c r="CWT41" s="64">
        <f t="shared" si="1756"/>
        <v>1446</v>
      </c>
      <c r="CWU41" s="68">
        <f t="shared" si="1757"/>
        <v>241</v>
      </c>
      <c r="CWV41" s="48">
        <v>1</v>
      </c>
      <c r="CWW41" s="49">
        <v>1</v>
      </c>
      <c r="CWX41" s="49">
        <v>1049</v>
      </c>
      <c r="CWY41" s="49">
        <v>337</v>
      </c>
      <c r="CWZ41" s="49">
        <v>0</v>
      </c>
      <c r="CXA41" s="49">
        <v>0</v>
      </c>
      <c r="CXB41" s="127">
        <f t="shared" si="1758"/>
        <v>1388</v>
      </c>
      <c r="CXC41" s="43">
        <f t="shared" si="1759"/>
        <v>231.33333333333334</v>
      </c>
      <c r="CXD41" s="48">
        <v>0</v>
      </c>
      <c r="CXE41" s="49">
        <v>0</v>
      </c>
      <c r="CXF41" s="49">
        <v>670</v>
      </c>
      <c r="CXG41" s="49">
        <v>0</v>
      </c>
      <c r="CXH41" s="49">
        <v>0</v>
      </c>
      <c r="CXI41" s="49">
        <v>0</v>
      </c>
      <c r="CXJ41" s="127">
        <f t="shared" si="1760"/>
        <v>670</v>
      </c>
      <c r="CXK41" s="43">
        <f t="shared" si="1761"/>
        <v>111.66666666666667</v>
      </c>
      <c r="CXL41" s="48">
        <v>0</v>
      </c>
      <c r="CXM41" s="49">
        <v>439</v>
      </c>
      <c r="CXN41" s="49">
        <v>0</v>
      </c>
      <c r="CXO41" s="49">
        <v>0</v>
      </c>
      <c r="CXP41" s="49">
        <v>0</v>
      </c>
      <c r="CXQ41" s="49">
        <v>0</v>
      </c>
      <c r="CXR41" s="127">
        <f t="shared" si="1762"/>
        <v>439</v>
      </c>
      <c r="CXS41" s="43">
        <f t="shared" si="1763"/>
        <v>73.166666666666671</v>
      </c>
      <c r="CXT41" s="48">
        <v>0</v>
      </c>
      <c r="CXU41" s="49">
        <v>0</v>
      </c>
      <c r="CXV41" s="49">
        <v>0</v>
      </c>
      <c r="CXW41" s="49"/>
      <c r="CXX41" s="49">
        <v>838</v>
      </c>
      <c r="CXY41" s="49">
        <v>661</v>
      </c>
      <c r="CXZ41" s="127">
        <f t="shared" si="1764"/>
        <v>1499</v>
      </c>
      <c r="CYA41" s="43">
        <f t="shared" si="1765"/>
        <v>249.83333333333334</v>
      </c>
      <c r="CYB41" s="48">
        <v>0</v>
      </c>
      <c r="CYC41" s="49">
        <v>0</v>
      </c>
      <c r="CYD41" s="49">
        <v>1018</v>
      </c>
      <c r="CYE41" s="49">
        <v>0</v>
      </c>
      <c r="CYF41" s="49">
        <v>0</v>
      </c>
      <c r="CYG41" s="49">
        <v>333</v>
      </c>
      <c r="CYH41" s="127">
        <f t="shared" si="1766"/>
        <v>1351</v>
      </c>
      <c r="CYI41" s="43">
        <f t="shared" si="1767"/>
        <v>225.16666666666666</v>
      </c>
      <c r="CYJ41" s="48"/>
      <c r="CYK41" s="49">
        <v>0</v>
      </c>
      <c r="CYL41" s="49">
        <v>0</v>
      </c>
      <c r="CYM41" s="49">
        <v>0</v>
      </c>
      <c r="CYN41" s="49">
        <v>220</v>
      </c>
      <c r="CYO41" s="49">
        <v>649</v>
      </c>
      <c r="CYP41" s="127">
        <f t="shared" si="1768"/>
        <v>869</v>
      </c>
      <c r="CYQ41" s="43">
        <f t="shared" si="1769"/>
        <v>144.83333333333334</v>
      </c>
      <c r="CYR41" s="48">
        <v>0</v>
      </c>
      <c r="CYS41" s="49">
        <v>560</v>
      </c>
      <c r="CYT41" s="49">
        <v>0</v>
      </c>
      <c r="CYU41" s="49">
        <v>0</v>
      </c>
      <c r="CYV41" s="49">
        <v>0</v>
      </c>
      <c r="CYW41" s="49">
        <v>444</v>
      </c>
      <c r="CYX41" s="127">
        <f t="shared" si="1770"/>
        <v>1004</v>
      </c>
      <c r="CYY41" s="43">
        <f t="shared" si="1771"/>
        <v>167.33333333333334</v>
      </c>
      <c r="CYZ41" s="48"/>
      <c r="CZA41" s="49">
        <v>0</v>
      </c>
      <c r="CZB41" s="49">
        <v>0</v>
      </c>
      <c r="CZC41" s="49">
        <v>623</v>
      </c>
      <c r="CZD41" s="49">
        <v>0</v>
      </c>
      <c r="CZE41" s="49">
        <v>0</v>
      </c>
      <c r="CZF41" s="127">
        <f t="shared" si="1772"/>
        <v>623</v>
      </c>
      <c r="CZG41" s="43">
        <f t="shared" si="1773"/>
        <v>124.6</v>
      </c>
      <c r="CZH41" s="48">
        <v>0</v>
      </c>
      <c r="CZI41" s="49">
        <v>0</v>
      </c>
      <c r="CZJ41" s="49">
        <v>662</v>
      </c>
      <c r="CZK41" s="49">
        <v>0</v>
      </c>
      <c r="CZL41" s="49">
        <v>0</v>
      </c>
      <c r="CZM41" s="49">
        <v>429</v>
      </c>
      <c r="CZN41" s="127">
        <f t="shared" si="1774"/>
        <v>1091</v>
      </c>
      <c r="CZO41" s="43">
        <f t="shared" si="1775"/>
        <v>181.83333333333334</v>
      </c>
      <c r="CZP41" s="48"/>
      <c r="CZQ41" s="49">
        <v>0</v>
      </c>
      <c r="CZR41" s="49"/>
      <c r="CZS41" s="49">
        <v>0</v>
      </c>
      <c r="CZT41" s="49">
        <v>0</v>
      </c>
      <c r="CZU41" s="49">
        <v>0</v>
      </c>
      <c r="CZV41" s="127">
        <f t="shared" si="1776"/>
        <v>0</v>
      </c>
      <c r="CZW41" s="43">
        <f t="shared" si="1777"/>
        <v>0</v>
      </c>
      <c r="CZX41" s="48">
        <v>660</v>
      </c>
      <c r="CZY41" s="49">
        <v>0</v>
      </c>
      <c r="CZZ41" s="49">
        <v>0</v>
      </c>
      <c r="DAA41" s="49">
        <v>0</v>
      </c>
      <c r="DAB41" s="49"/>
      <c r="DAC41" s="49">
        <v>0</v>
      </c>
      <c r="DAD41" s="64">
        <f t="shared" si="1778"/>
        <v>660</v>
      </c>
      <c r="DAE41" s="68">
        <f t="shared" si="1779"/>
        <v>110</v>
      </c>
      <c r="DAF41" s="48">
        <v>0</v>
      </c>
      <c r="DAG41" s="49">
        <v>660</v>
      </c>
      <c r="DAH41" s="49">
        <v>0</v>
      </c>
      <c r="DAI41" s="49">
        <v>0</v>
      </c>
      <c r="DAJ41" s="49">
        <v>0</v>
      </c>
      <c r="DAK41" s="49">
        <v>0</v>
      </c>
      <c r="DAL41" s="64">
        <f t="shared" si="1780"/>
        <v>660</v>
      </c>
      <c r="DAM41" s="68">
        <f t="shared" si="1781"/>
        <v>110</v>
      </c>
      <c r="DAN41" s="48">
        <v>0</v>
      </c>
      <c r="DAO41" s="49">
        <v>0</v>
      </c>
      <c r="DAP41" s="49">
        <v>602</v>
      </c>
      <c r="DAQ41" s="49">
        <v>0</v>
      </c>
      <c r="DAR41" s="49">
        <v>219</v>
      </c>
      <c r="DAS41" s="49">
        <v>0</v>
      </c>
      <c r="DAT41" s="64">
        <f t="shared" si="1782"/>
        <v>821</v>
      </c>
      <c r="DAU41" s="68">
        <f t="shared" si="1783"/>
        <v>136.83333333333334</v>
      </c>
      <c r="DAV41" s="48"/>
      <c r="DAW41" s="49">
        <v>0</v>
      </c>
      <c r="DAX41" s="49">
        <v>220</v>
      </c>
      <c r="DAY41" s="49">
        <v>0</v>
      </c>
      <c r="DAZ41" s="49">
        <v>896</v>
      </c>
      <c r="DBA41" s="49">
        <v>0</v>
      </c>
      <c r="DBB41" s="64">
        <f t="shared" si="1784"/>
        <v>1116</v>
      </c>
      <c r="DBC41" s="68">
        <f t="shared" si="1785"/>
        <v>186</v>
      </c>
      <c r="DBD41" s="48"/>
      <c r="DBE41" s="49">
        <v>220</v>
      </c>
      <c r="DBF41" s="49">
        <v>434</v>
      </c>
      <c r="DBG41" s="49">
        <v>0</v>
      </c>
      <c r="DBH41" s="49">
        <v>601</v>
      </c>
      <c r="DBI41" s="49">
        <v>0</v>
      </c>
      <c r="DBJ41" s="64">
        <f t="shared" si="1786"/>
        <v>1255</v>
      </c>
      <c r="DBK41" s="68">
        <f t="shared" si="1787"/>
        <v>209.16666666666666</v>
      </c>
      <c r="DBL41" s="48">
        <v>0</v>
      </c>
      <c r="DBM41" s="49">
        <v>110</v>
      </c>
      <c r="DBN41" s="49">
        <v>0</v>
      </c>
      <c r="DBO41" s="49">
        <v>682</v>
      </c>
      <c r="DBP41" s="49"/>
      <c r="DBQ41" s="49">
        <v>0</v>
      </c>
      <c r="DBR41" s="64">
        <f t="shared" si="1788"/>
        <v>792</v>
      </c>
      <c r="DBS41" s="68">
        <f t="shared" si="1789"/>
        <v>132</v>
      </c>
      <c r="DBT41" s="48">
        <v>0</v>
      </c>
      <c r="DBU41" s="49"/>
      <c r="DBV41" s="49"/>
      <c r="DBW41" s="49"/>
      <c r="DBX41" s="49"/>
      <c r="DBY41" s="49">
        <v>484</v>
      </c>
      <c r="DBZ41" s="64">
        <f t="shared" si="1790"/>
        <v>484</v>
      </c>
      <c r="DCA41" s="68">
        <f t="shared" si="1791"/>
        <v>96.8</v>
      </c>
      <c r="DCB41" s="48"/>
      <c r="DCC41" s="49"/>
      <c r="DCD41" s="49">
        <v>446</v>
      </c>
      <c r="DCE41" s="49"/>
      <c r="DCF41" s="49"/>
      <c r="DCG41" s="49">
        <f>166+213</f>
        <v>379</v>
      </c>
      <c r="DCH41" s="64">
        <f t="shared" si="1792"/>
        <v>825</v>
      </c>
      <c r="DCI41" s="68">
        <f t="shared" si="1793"/>
        <v>137.5</v>
      </c>
      <c r="DCJ41" s="48"/>
      <c r="DCK41" s="49">
        <v>0</v>
      </c>
      <c r="DCL41" s="49">
        <v>498</v>
      </c>
      <c r="DCM41" s="49">
        <v>0</v>
      </c>
      <c r="DCN41" s="49">
        <v>801</v>
      </c>
      <c r="DCO41" s="49">
        <v>0</v>
      </c>
      <c r="DCP41" s="64">
        <f t="shared" si="1794"/>
        <v>1299</v>
      </c>
      <c r="DCQ41" s="68">
        <f t="shared" si="1795"/>
        <v>216.5</v>
      </c>
      <c r="DCR41" s="48">
        <v>882</v>
      </c>
      <c r="DCS41" s="49">
        <v>0</v>
      </c>
      <c r="DCT41" s="49">
        <v>0</v>
      </c>
      <c r="DCU41" s="49">
        <v>0</v>
      </c>
      <c r="DCV41" s="49">
        <v>0</v>
      </c>
      <c r="DCW41" s="49">
        <v>0</v>
      </c>
      <c r="DCX41" s="64">
        <f t="shared" si="1796"/>
        <v>882</v>
      </c>
      <c r="DCY41" s="68">
        <f t="shared" si="1797"/>
        <v>147</v>
      </c>
      <c r="DCZ41" s="48">
        <v>0</v>
      </c>
      <c r="DDA41" s="49">
        <v>0</v>
      </c>
      <c r="DDB41" s="49">
        <v>659</v>
      </c>
      <c r="DDC41" s="49">
        <v>0</v>
      </c>
      <c r="DDD41" s="49">
        <v>0</v>
      </c>
      <c r="DDE41" s="49">
        <v>220</v>
      </c>
      <c r="DDF41" s="64">
        <f t="shared" si="1798"/>
        <v>879</v>
      </c>
      <c r="DDG41" s="68">
        <f t="shared" si="1799"/>
        <v>146.5</v>
      </c>
      <c r="DDH41" s="48">
        <v>363</v>
      </c>
      <c r="DDI41" s="49"/>
      <c r="DDJ41" s="49">
        <v>220</v>
      </c>
      <c r="DDK41" s="49">
        <v>0</v>
      </c>
      <c r="DDL41" s="49">
        <v>600</v>
      </c>
      <c r="DDM41" s="49">
        <v>0</v>
      </c>
      <c r="DDN41" s="127">
        <f t="shared" si="1800"/>
        <v>1183</v>
      </c>
      <c r="DDO41" s="43">
        <f t="shared" si="1801"/>
        <v>197.16666666666666</v>
      </c>
      <c r="DDP41" s="48">
        <v>590</v>
      </c>
      <c r="DDQ41" s="49">
        <v>0</v>
      </c>
      <c r="DDR41" s="49">
        <v>0</v>
      </c>
      <c r="DDS41" s="49">
        <v>0</v>
      </c>
      <c r="DDT41" s="49">
        <v>0</v>
      </c>
      <c r="DDU41" s="49"/>
      <c r="DDV41" s="127">
        <f t="shared" si="1802"/>
        <v>590</v>
      </c>
      <c r="DDW41" s="43">
        <f t="shared" si="1803"/>
        <v>98.333333333333329</v>
      </c>
      <c r="DDX41" s="48">
        <v>0</v>
      </c>
      <c r="DDY41" s="49">
        <v>0</v>
      </c>
      <c r="DDZ41" s="49">
        <v>661</v>
      </c>
      <c r="DEA41" s="49">
        <v>0</v>
      </c>
      <c r="DEB41" s="49">
        <v>553</v>
      </c>
      <c r="DEC41" s="49">
        <v>0</v>
      </c>
      <c r="DED41" s="127">
        <f t="shared" si="1804"/>
        <v>1214</v>
      </c>
      <c r="DEE41" s="43">
        <f t="shared" si="1805"/>
        <v>202.33333333333334</v>
      </c>
      <c r="DEF41" s="48">
        <v>664</v>
      </c>
      <c r="DEG41" s="49"/>
      <c r="DEH41" s="49">
        <v>0</v>
      </c>
      <c r="DEI41" s="49">
        <v>0</v>
      </c>
      <c r="DEJ41" s="49">
        <v>0</v>
      </c>
      <c r="DEK41" s="49"/>
      <c r="DEL41" s="127">
        <f t="shared" si="1806"/>
        <v>664</v>
      </c>
      <c r="DEM41" s="43">
        <f t="shared" si="1807"/>
        <v>110.66666666666667</v>
      </c>
      <c r="DEN41" s="48">
        <v>0</v>
      </c>
      <c r="DEO41" s="49">
        <v>0</v>
      </c>
      <c r="DEP41" s="49">
        <v>0</v>
      </c>
      <c r="DEQ41" s="49">
        <v>634</v>
      </c>
      <c r="DER41" s="49"/>
      <c r="DES41" s="49"/>
      <c r="DET41" s="127">
        <f t="shared" si="1808"/>
        <v>634</v>
      </c>
      <c r="DEU41" s="43">
        <f t="shared" si="1809"/>
        <v>105.66666666666667</v>
      </c>
      <c r="DEV41" s="48">
        <v>444</v>
      </c>
      <c r="DEW41" s="49">
        <v>0</v>
      </c>
      <c r="DEX41" s="49">
        <v>0</v>
      </c>
      <c r="DEY41" s="49">
        <v>400</v>
      </c>
      <c r="DEZ41" s="49">
        <v>0</v>
      </c>
      <c r="DFA41" s="49">
        <v>661</v>
      </c>
      <c r="DFB41" s="127">
        <f t="shared" si="1810"/>
        <v>1505</v>
      </c>
      <c r="DFC41" s="43">
        <f t="shared" si="1811"/>
        <v>250.83333333333334</v>
      </c>
      <c r="DFD41" s="48"/>
      <c r="DFE41" s="49">
        <v>805</v>
      </c>
      <c r="DFF41" s="49">
        <v>0</v>
      </c>
      <c r="DFG41" s="49">
        <v>0</v>
      </c>
      <c r="DFH41" s="49">
        <v>0</v>
      </c>
      <c r="DFI41" s="49">
        <v>0</v>
      </c>
      <c r="DFJ41" s="127">
        <f t="shared" si="1812"/>
        <v>805</v>
      </c>
      <c r="DFK41" s="43">
        <f t="shared" si="1813"/>
        <v>134.16666666666666</v>
      </c>
      <c r="DFL41" s="63">
        <v>0</v>
      </c>
      <c r="DFM41" s="64">
        <v>0</v>
      </c>
      <c r="DFN41" s="64">
        <v>980</v>
      </c>
      <c r="DFO41" s="64">
        <v>0</v>
      </c>
      <c r="DFP41" s="64">
        <v>0</v>
      </c>
      <c r="DFQ41" s="64">
        <v>0</v>
      </c>
      <c r="DFR41" s="64">
        <f t="shared" si="1814"/>
        <v>980</v>
      </c>
      <c r="DFS41" s="68">
        <f t="shared" si="1815"/>
        <v>163.33333333333334</v>
      </c>
      <c r="DFT41" s="48">
        <v>526</v>
      </c>
      <c r="DFU41" s="49">
        <v>0</v>
      </c>
      <c r="DFV41" s="49">
        <v>0</v>
      </c>
      <c r="DFW41" s="49">
        <v>0</v>
      </c>
      <c r="DFX41" s="49">
        <v>114</v>
      </c>
      <c r="DFY41" s="49">
        <v>0</v>
      </c>
      <c r="DFZ41" s="127">
        <f t="shared" si="1816"/>
        <v>640</v>
      </c>
      <c r="DGA41" s="43">
        <f t="shared" si="1817"/>
        <v>106.66666666666667</v>
      </c>
      <c r="DGB41" s="48">
        <v>0</v>
      </c>
      <c r="DGC41" s="49">
        <v>566</v>
      </c>
      <c r="DGD41" s="49">
        <v>0</v>
      </c>
      <c r="DGE41" s="49">
        <v>440</v>
      </c>
      <c r="DGF41" s="49">
        <v>0</v>
      </c>
      <c r="DGG41" s="49">
        <v>0</v>
      </c>
      <c r="DGH41" s="127">
        <f t="shared" si="1818"/>
        <v>1006</v>
      </c>
      <c r="DGI41" s="43">
        <f t="shared" si="1819"/>
        <v>167.66666666666666</v>
      </c>
      <c r="DGJ41" s="48">
        <v>782</v>
      </c>
      <c r="DGK41" s="49">
        <v>0</v>
      </c>
      <c r="DGL41" s="49">
        <v>0</v>
      </c>
      <c r="DGM41" s="49">
        <v>0</v>
      </c>
      <c r="DGN41" s="49">
        <v>0</v>
      </c>
      <c r="DGO41" s="49">
        <v>0</v>
      </c>
      <c r="DGP41" s="64">
        <f t="shared" si="1820"/>
        <v>782</v>
      </c>
      <c r="DGQ41" s="68">
        <f t="shared" si="1821"/>
        <v>130.33333333333334</v>
      </c>
      <c r="DGR41" s="48">
        <v>418</v>
      </c>
      <c r="DGS41" s="49">
        <v>485</v>
      </c>
      <c r="DGT41" s="49">
        <v>0</v>
      </c>
      <c r="DGU41" s="49">
        <v>0</v>
      </c>
      <c r="DGV41" s="49">
        <v>0</v>
      </c>
      <c r="DGW41" s="49">
        <v>333</v>
      </c>
      <c r="DGX41" s="64">
        <f t="shared" si="1822"/>
        <v>1236</v>
      </c>
      <c r="DGY41" s="68">
        <f t="shared" si="1823"/>
        <v>206</v>
      </c>
      <c r="DGZ41" s="48">
        <v>0</v>
      </c>
      <c r="DHA41" s="49">
        <v>939</v>
      </c>
      <c r="DHB41" s="49">
        <v>0</v>
      </c>
      <c r="DHC41" s="49"/>
      <c r="DHD41" s="49">
        <v>0</v>
      </c>
      <c r="DHE41" s="49">
        <v>330</v>
      </c>
      <c r="DHF41" s="64">
        <f t="shared" si="1824"/>
        <v>1269</v>
      </c>
      <c r="DHG41" s="68">
        <f t="shared" si="1825"/>
        <v>211.5</v>
      </c>
      <c r="DHH41" s="63">
        <v>0</v>
      </c>
      <c r="DHI41" s="64">
        <v>0</v>
      </c>
      <c r="DHJ41" s="64">
        <v>0</v>
      </c>
      <c r="DHK41" s="64">
        <v>1073</v>
      </c>
      <c r="DHL41" s="64">
        <v>0</v>
      </c>
      <c r="DHM41" s="64">
        <v>104</v>
      </c>
      <c r="DHN41" s="64">
        <f t="shared" si="1826"/>
        <v>1177</v>
      </c>
      <c r="DHO41" s="68">
        <f t="shared" si="1827"/>
        <v>196.16666666666666</v>
      </c>
      <c r="DHP41" s="48">
        <v>0</v>
      </c>
      <c r="DHQ41" s="49">
        <v>0</v>
      </c>
      <c r="DHR41" s="49"/>
      <c r="DHS41" s="49">
        <v>433</v>
      </c>
      <c r="DHT41" s="49">
        <v>0</v>
      </c>
      <c r="DHU41" s="49">
        <v>0</v>
      </c>
      <c r="DHV41" s="64">
        <f t="shared" si="1828"/>
        <v>433</v>
      </c>
      <c r="DHW41" s="68">
        <f t="shared" si="1829"/>
        <v>72.166666666666671</v>
      </c>
      <c r="DHX41" s="48">
        <v>117</v>
      </c>
      <c r="DHY41" s="49"/>
      <c r="DHZ41" s="49"/>
      <c r="DIA41" s="49">
        <v>808</v>
      </c>
      <c r="DIB41" s="49">
        <v>460</v>
      </c>
      <c r="DIC41" s="49">
        <v>0</v>
      </c>
      <c r="DID41" s="64">
        <f t="shared" si="1830"/>
        <v>1385</v>
      </c>
      <c r="DIE41" s="68">
        <f t="shared" si="1831"/>
        <v>230.83333333333334</v>
      </c>
      <c r="DIF41" s="48">
        <v>680</v>
      </c>
      <c r="DIG41" s="49">
        <v>0</v>
      </c>
      <c r="DIH41" s="49"/>
      <c r="DII41" s="49">
        <v>0</v>
      </c>
      <c r="DIJ41" s="49">
        <v>672</v>
      </c>
      <c r="DIK41" s="49"/>
      <c r="DIL41" s="64">
        <f t="shared" si="1832"/>
        <v>1352</v>
      </c>
      <c r="DIM41" s="68">
        <f t="shared" si="1833"/>
        <v>225.33333333333334</v>
      </c>
      <c r="DIN41" s="48">
        <v>0</v>
      </c>
      <c r="DIO41" s="49"/>
      <c r="DIP41" s="49">
        <v>0</v>
      </c>
      <c r="DIQ41" s="49"/>
      <c r="DIR41" s="49">
        <v>624</v>
      </c>
      <c r="DIS41" s="49">
        <v>0</v>
      </c>
      <c r="DIT41" s="64">
        <f t="shared" si="1834"/>
        <v>624</v>
      </c>
      <c r="DIU41" s="68">
        <f t="shared" si="1835"/>
        <v>104</v>
      </c>
      <c r="DIV41" s="48">
        <v>800</v>
      </c>
      <c r="DIW41" s="49">
        <v>0</v>
      </c>
      <c r="DIX41" s="49">
        <v>330</v>
      </c>
      <c r="DIY41" s="49">
        <v>0</v>
      </c>
      <c r="DIZ41" s="49">
        <v>438</v>
      </c>
      <c r="DJA41" s="49">
        <v>0</v>
      </c>
      <c r="DJB41" s="64">
        <f t="shared" si="1836"/>
        <v>1568</v>
      </c>
      <c r="DJC41" s="68">
        <f t="shared" si="1837"/>
        <v>261.33333333333331</v>
      </c>
      <c r="DJD41" s="48">
        <v>521</v>
      </c>
      <c r="DJE41" s="49">
        <v>0</v>
      </c>
      <c r="DJF41" s="49">
        <v>400</v>
      </c>
      <c r="DJG41" s="49">
        <v>0</v>
      </c>
      <c r="DJH41" s="49">
        <v>0</v>
      </c>
      <c r="DJI41" s="49"/>
      <c r="DJJ41" s="64">
        <f t="shared" si="1838"/>
        <v>921</v>
      </c>
      <c r="DJK41" s="68">
        <f t="shared" si="1839"/>
        <v>153.5</v>
      </c>
      <c r="DJL41" s="48">
        <v>0</v>
      </c>
      <c r="DJM41" s="49">
        <v>826</v>
      </c>
      <c r="DJN41" s="49">
        <v>0</v>
      </c>
      <c r="DJO41" s="49">
        <v>937</v>
      </c>
      <c r="DJP41" s="49">
        <v>0</v>
      </c>
      <c r="DJQ41" s="49">
        <v>0</v>
      </c>
      <c r="DJR41" s="64">
        <f t="shared" si="1840"/>
        <v>1763</v>
      </c>
      <c r="DJS41" s="68">
        <f t="shared" si="1841"/>
        <v>293.83333333333331</v>
      </c>
      <c r="DJT41" s="48"/>
      <c r="DJU41" s="49">
        <v>0</v>
      </c>
      <c r="DJV41" s="49">
        <v>342</v>
      </c>
      <c r="DJW41" s="49">
        <v>0</v>
      </c>
      <c r="DJX41" s="49">
        <v>0</v>
      </c>
      <c r="DJY41" s="49">
        <v>0</v>
      </c>
      <c r="DJZ41" s="64">
        <f t="shared" si="1842"/>
        <v>342</v>
      </c>
      <c r="DKA41" s="68">
        <f t="shared" si="1843"/>
        <v>57</v>
      </c>
      <c r="DKB41" s="48">
        <v>991</v>
      </c>
      <c r="DKC41" s="49">
        <v>0</v>
      </c>
      <c r="DKD41" s="49">
        <v>907</v>
      </c>
      <c r="DKE41" s="49">
        <v>0</v>
      </c>
      <c r="DKF41" s="49">
        <v>371</v>
      </c>
      <c r="DKG41" s="49">
        <v>0</v>
      </c>
      <c r="DKH41" s="64">
        <f t="shared" si="1844"/>
        <v>2269</v>
      </c>
      <c r="DKI41" s="68">
        <f t="shared" si="1845"/>
        <v>378.16666666666669</v>
      </c>
      <c r="DKJ41" s="48">
        <v>952</v>
      </c>
      <c r="DKK41" s="49">
        <v>0</v>
      </c>
      <c r="DKL41" s="49">
        <v>0</v>
      </c>
      <c r="DKM41" s="49"/>
      <c r="DKN41" s="49">
        <v>171</v>
      </c>
      <c r="DKO41" s="49"/>
      <c r="DKP41" s="64">
        <f t="shared" si="1846"/>
        <v>1123</v>
      </c>
      <c r="DKQ41" s="68">
        <f t="shared" si="1847"/>
        <v>187.16666666666666</v>
      </c>
      <c r="DKR41" s="48">
        <v>1029</v>
      </c>
      <c r="DKS41" s="49">
        <v>0</v>
      </c>
      <c r="DKT41" s="49"/>
      <c r="DKU41" s="49">
        <v>605</v>
      </c>
      <c r="DKV41" s="49">
        <v>0</v>
      </c>
      <c r="DKW41" s="49">
        <v>0</v>
      </c>
      <c r="DKX41" s="64">
        <f t="shared" si="1848"/>
        <v>1634</v>
      </c>
      <c r="DKY41" s="68">
        <f t="shared" si="1849"/>
        <v>272.33333333333331</v>
      </c>
      <c r="DKZ41" s="48"/>
      <c r="DLA41" s="49">
        <v>0</v>
      </c>
      <c r="DLB41" s="49">
        <v>0</v>
      </c>
      <c r="DLC41" s="49">
        <v>0</v>
      </c>
      <c r="DLD41" s="49"/>
      <c r="DLE41" s="49">
        <v>451</v>
      </c>
      <c r="DLF41" s="64">
        <f t="shared" si="1850"/>
        <v>451</v>
      </c>
      <c r="DLG41" s="68">
        <f t="shared" si="1851"/>
        <v>75.166666666666671</v>
      </c>
      <c r="DLH41" s="48"/>
      <c r="DLI41" s="49">
        <v>0</v>
      </c>
      <c r="DLJ41" s="49">
        <v>0</v>
      </c>
      <c r="DLK41" s="49">
        <v>905</v>
      </c>
      <c r="DLL41" s="49"/>
      <c r="DLM41" s="49"/>
      <c r="DLN41" s="64">
        <f t="shared" si="1852"/>
        <v>905</v>
      </c>
      <c r="DLO41" s="68">
        <f t="shared" si="1853"/>
        <v>150.83333333333334</v>
      </c>
      <c r="DLP41" s="48">
        <v>998</v>
      </c>
      <c r="DLQ41" s="49"/>
      <c r="DLR41" s="49">
        <v>400</v>
      </c>
      <c r="DLS41" s="49">
        <v>0</v>
      </c>
      <c r="DLT41" s="49">
        <v>847</v>
      </c>
      <c r="DLU41" s="49">
        <v>782</v>
      </c>
      <c r="DLV41" s="64">
        <f t="shared" si="1854"/>
        <v>3027</v>
      </c>
      <c r="DLW41" s="68">
        <f t="shared" si="1855"/>
        <v>504.5</v>
      </c>
      <c r="DLX41" s="48">
        <v>827</v>
      </c>
      <c r="DLY41" s="49"/>
      <c r="DLZ41" s="49"/>
      <c r="DMA41" s="49">
        <v>990</v>
      </c>
      <c r="DMB41" s="49"/>
      <c r="DMC41" s="49">
        <v>0</v>
      </c>
      <c r="DMD41" s="64">
        <f t="shared" si="1856"/>
        <v>1817</v>
      </c>
      <c r="DME41" s="68">
        <f t="shared" si="1857"/>
        <v>302.83333333333331</v>
      </c>
      <c r="DMF41" s="48"/>
      <c r="DMG41" s="49">
        <v>0</v>
      </c>
      <c r="DMH41" s="49"/>
      <c r="DMI41" s="49">
        <v>0</v>
      </c>
      <c r="DMJ41" s="49">
        <v>812</v>
      </c>
      <c r="DMK41" s="49">
        <v>0</v>
      </c>
      <c r="DML41" s="64">
        <f t="shared" si="1858"/>
        <v>812</v>
      </c>
      <c r="DMM41" s="68">
        <f t="shared" si="1859"/>
        <v>135.33333333333334</v>
      </c>
      <c r="DMN41" s="48">
        <v>221</v>
      </c>
      <c r="DMO41" s="49"/>
      <c r="DMP41" s="49">
        <v>330</v>
      </c>
      <c r="DMQ41" s="49">
        <v>0</v>
      </c>
      <c r="DMR41" s="49">
        <v>504</v>
      </c>
      <c r="DMS41" s="49">
        <v>0</v>
      </c>
      <c r="DMT41" s="64">
        <f t="shared" si="1860"/>
        <v>1055</v>
      </c>
      <c r="DMU41" s="68">
        <f t="shared" si="1861"/>
        <v>175.83333333333334</v>
      </c>
      <c r="DMV41" s="48">
        <v>0</v>
      </c>
      <c r="DMW41" s="49">
        <v>0</v>
      </c>
      <c r="DMX41" s="49">
        <v>936</v>
      </c>
      <c r="DMY41" s="49">
        <v>0</v>
      </c>
      <c r="DMZ41" s="49">
        <v>814</v>
      </c>
      <c r="DNA41" s="49">
        <v>0</v>
      </c>
      <c r="DNB41" s="64">
        <f t="shared" si="1862"/>
        <v>1750</v>
      </c>
      <c r="DNC41" s="68">
        <f t="shared" si="1863"/>
        <v>291.66666666666669</v>
      </c>
      <c r="DND41" s="48"/>
      <c r="DNE41" s="49">
        <v>0</v>
      </c>
      <c r="DNF41" s="49">
        <v>0</v>
      </c>
      <c r="DNG41" s="49">
        <v>326</v>
      </c>
      <c r="DNH41" s="49">
        <v>744</v>
      </c>
      <c r="DNI41" s="49">
        <v>0</v>
      </c>
      <c r="DNJ41" s="64">
        <f t="shared" si="1864"/>
        <v>1070</v>
      </c>
      <c r="DNK41" s="68">
        <f t="shared" si="1865"/>
        <v>178.33333333333334</v>
      </c>
      <c r="DNL41" s="48"/>
      <c r="DNM41" s="49"/>
      <c r="DNN41" s="49">
        <v>220</v>
      </c>
      <c r="DNO41" s="49">
        <v>0</v>
      </c>
      <c r="DNP41" s="49">
        <v>1648</v>
      </c>
      <c r="DNQ41" s="49">
        <v>0</v>
      </c>
      <c r="DNR41" s="64">
        <f t="shared" si="1866"/>
        <v>1868</v>
      </c>
      <c r="DNS41" s="68">
        <f t="shared" si="1867"/>
        <v>311.33333333333331</v>
      </c>
      <c r="DNT41" s="48">
        <v>442</v>
      </c>
      <c r="DNU41" s="49">
        <v>0</v>
      </c>
      <c r="DNV41" s="49">
        <v>0</v>
      </c>
      <c r="DNW41" s="49">
        <v>0</v>
      </c>
      <c r="DNX41" s="49">
        <v>0</v>
      </c>
      <c r="DNY41" s="49">
        <v>219</v>
      </c>
      <c r="DNZ41" s="64">
        <f t="shared" si="1868"/>
        <v>661</v>
      </c>
      <c r="DOA41" s="68">
        <f t="shared" si="1869"/>
        <v>110.16666666666667</v>
      </c>
      <c r="DOB41" s="48">
        <v>1082</v>
      </c>
      <c r="DOC41" s="49"/>
      <c r="DOD41" s="49">
        <v>0</v>
      </c>
      <c r="DOE41" s="49">
        <v>0</v>
      </c>
      <c r="DOF41" s="49">
        <v>639</v>
      </c>
      <c r="DOG41" s="49">
        <v>0</v>
      </c>
      <c r="DOH41" s="64">
        <f t="shared" si="1870"/>
        <v>1721</v>
      </c>
      <c r="DOI41" s="68">
        <f t="shared" si="1871"/>
        <v>286.83333333333331</v>
      </c>
      <c r="DOJ41" s="48">
        <v>0</v>
      </c>
      <c r="DOK41" s="49">
        <v>0</v>
      </c>
      <c r="DOL41" s="49">
        <v>806</v>
      </c>
      <c r="DOM41" s="49"/>
      <c r="DON41" s="49">
        <v>0</v>
      </c>
      <c r="DOO41" s="49">
        <v>759</v>
      </c>
      <c r="DOP41" s="64">
        <f t="shared" si="1872"/>
        <v>1565</v>
      </c>
      <c r="DOQ41" s="68">
        <f t="shared" si="1873"/>
        <v>260.83333333333331</v>
      </c>
      <c r="DOR41" s="48">
        <v>0</v>
      </c>
      <c r="DOS41" s="49">
        <v>0</v>
      </c>
      <c r="DOT41" s="49">
        <v>633</v>
      </c>
      <c r="DOU41" s="49">
        <v>0</v>
      </c>
      <c r="DOV41" s="49"/>
      <c r="DOW41" s="49">
        <v>865</v>
      </c>
      <c r="DOX41" s="64">
        <f t="shared" si="1874"/>
        <v>1498</v>
      </c>
      <c r="DOY41" s="68">
        <f t="shared" si="1875"/>
        <v>249.66666666666666</v>
      </c>
      <c r="DOZ41" s="48"/>
      <c r="DPA41" s="49">
        <v>0</v>
      </c>
      <c r="DPB41" s="49"/>
      <c r="DPC41" s="49">
        <v>329</v>
      </c>
      <c r="DPD41" s="49"/>
      <c r="DPE41" s="49">
        <v>0</v>
      </c>
      <c r="DPF41" s="64">
        <f t="shared" si="1876"/>
        <v>329</v>
      </c>
      <c r="DPG41" s="68">
        <f t="shared" si="1877"/>
        <v>54.833333333333336</v>
      </c>
      <c r="DPH41" s="48">
        <v>662</v>
      </c>
      <c r="DPI41" s="49">
        <v>652</v>
      </c>
      <c r="DPJ41" s="49">
        <v>0</v>
      </c>
      <c r="DPK41" s="49">
        <v>0</v>
      </c>
      <c r="DPL41" s="49"/>
      <c r="DPM41" s="49"/>
      <c r="DPN41" s="64">
        <f t="shared" si="1878"/>
        <v>1314</v>
      </c>
      <c r="DPO41" s="68">
        <f t="shared" si="1879"/>
        <v>219</v>
      </c>
      <c r="DPP41" s="48">
        <v>0</v>
      </c>
      <c r="DPQ41" s="49">
        <v>0</v>
      </c>
      <c r="DPR41" s="49">
        <v>438</v>
      </c>
      <c r="DPS41" s="49"/>
      <c r="DPT41" s="49"/>
      <c r="DPU41" s="49">
        <v>440</v>
      </c>
      <c r="DPV41" s="491">
        <f t="shared" si="1880"/>
        <v>878</v>
      </c>
      <c r="DPW41" s="492">
        <f t="shared" si="1881"/>
        <v>146.33333333333334</v>
      </c>
      <c r="DPX41" s="48">
        <v>0</v>
      </c>
      <c r="DPY41" s="49">
        <v>0</v>
      </c>
      <c r="DPZ41" s="49">
        <v>663</v>
      </c>
      <c r="DQA41" s="49">
        <v>695</v>
      </c>
      <c r="DQB41" s="49">
        <v>0</v>
      </c>
      <c r="DQC41" s="49">
        <v>0</v>
      </c>
      <c r="DQD41" s="491">
        <f t="shared" si="1882"/>
        <v>1358</v>
      </c>
      <c r="DQE41" s="492">
        <f t="shared" si="1883"/>
        <v>226.33333333333334</v>
      </c>
      <c r="DQF41" s="48">
        <v>0</v>
      </c>
      <c r="DQG41" s="49">
        <v>863</v>
      </c>
      <c r="DQH41" s="49">
        <v>782</v>
      </c>
      <c r="DQI41" s="49"/>
      <c r="DQJ41" s="49">
        <v>0</v>
      </c>
      <c r="DQK41" s="49">
        <v>0</v>
      </c>
      <c r="DQL41" s="489">
        <f t="shared" si="1884"/>
        <v>1645</v>
      </c>
      <c r="DQM41" s="492">
        <f t="shared" si="1885"/>
        <v>274.16666666666669</v>
      </c>
      <c r="DQN41" s="48">
        <v>0</v>
      </c>
      <c r="DQO41" s="49">
        <v>878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886"/>
        <v>878</v>
      </c>
      <c r="DQU41" s="68">
        <f t="shared" si="1887"/>
        <v>146.33333333333334</v>
      </c>
      <c r="DQV41" s="48">
        <v>632</v>
      </c>
      <c r="DQW41" s="49">
        <v>538</v>
      </c>
      <c r="DQX41" s="49"/>
      <c r="DQY41" s="49">
        <v>0</v>
      </c>
      <c r="DQZ41" s="49">
        <v>0</v>
      </c>
      <c r="DRA41" s="49">
        <v>0</v>
      </c>
      <c r="DRB41" s="491">
        <f t="shared" si="1888"/>
        <v>1170</v>
      </c>
      <c r="DRC41" s="492">
        <f t="shared" si="1889"/>
        <v>195</v>
      </c>
      <c r="DRD41" s="48">
        <v>660</v>
      </c>
      <c r="DRE41" s="49">
        <v>0</v>
      </c>
      <c r="DRF41" s="49">
        <v>0</v>
      </c>
      <c r="DRG41" s="49">
        <v>0</v>
      </c>
      <c r="DRH41" s="49">
        <v>600</v>
      </c>
      <c r="DRI41" s="49"/>
      <c r="DRJ41" s="491">
        <f t="shared" si="1890"/>
        <v>1260</v>
      </c>
      <c r="DRK41" s="492">
        <f t="shared" si="1891"/>
        <v>210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587"/>
        <v>0</v>
      </c>
      <c r="DRS41" s="68">
        <f t="shared" si="1588"/>
        <v>0</v>
      </c>
      <c r="DRT41" s="48">
        <v>801</v>
      </c>
      <c r="DRU41" s="49">
        <v>0</v>
      </c>
      <c r="DRV41" s="49">
        <v>406</v>
      </c>
      <c r="DRW41" s="49">
        <v>870</v>
      </c>
      <c r="DRX41" s="49">
        <v>400</v>
      </c>
      <c r="DRY41" s="49"/>
      <c r="DRZ41" s="491">
        <f t="shared" si="1589"/>
        <v>2477</v>
      </c>
      <c r="DSA41" s="68">
        <f t="shared" si="1590"/>
        <v>412.83333333333331</v>
      </c>
      <c r="DSB41" s="82"/>
      <c r="DSC41" s="83">
        <v>0</v>
      </c>
      <c r="DSD41" s="83">
        <v>0</v>
      </c>
      <c r="DSE41" s="83"/>
      <c r="DSF41" s="83">
        <v>0</v>
      </c>
      <c r="DSG41" s="83">
        <v>443</v>
      </c>
      <c r="DSH41" s="64">
        <f t="shared" si="1591"/>
        <v>443</v>
      </c>
      <c r="DSI41" s="68">
        <f t="shared" si="1592"/>
        <v>73.833333333333329</v>
      </c>
      <c r="DSJ41" s="48">
        <v>0</v>
      </c>
      <c r="DSK41" s="49">
        <v>0</v>
      </c>
      <c r="DSL41" s="49">
        <v>442</v>
      </c>
      <c r="DSM41" s="49">
        <v>0</v>
      </c>
      <c r="DSN41" s="49">
        <v>682</v>
      </c>
      <c r="DSO41" s="49">
        <v>0</v>
      </c>
      <c r="DSP41" s="64">
        <f t="shared" si="1593"/>
        <v>1124</v>
      </c>
      <c r="DSQ41" s="68">
        <f t="shared" si="1594"/>
        <v>187.33333333333334</v>
      </c>
      <c r="DSR41" s="48"/>
      <c r="DSS41" s="49">
        <v>0</v>
      </c>
      <c r="DST41" s="49">
        <v>438</v>
      </c>
      <c r="DSU41" s="49">
        <v>301</v>
      </c>
      <c r="DSV41" s="49">
        <v>0</v>
      </c>
      <c r="DSW41" s="49">
        <v>0</v>
      </c>
      <c r="DSX41" s="64">
        <f t="shared" si="1595"/>
        <v>739</v>
      </c>
      <c r="DSY41" s="68">
        <f t="shared" si="1596"/>
        <v>123.16666666666667</v>
      </c>
      <c r="DSZ41" s="48">
        <v>661</v>
      </c>
      <c r="DTA41" s="49">
        <v>0</v>
      </c>
      <c r="DTB41" s="49">
        <v>0</v>
      </c>
      <c r="DTC41" s="49">
        <v>0</v>
      </c>
      <c r="DTD41" s="49">
        <v>984</v>
      </c>
      <c r="DTE41" s="49">
        <v>0</v>
      </c>
      <c r="DTF41" s="64">
        <f t="shared" si="1597"/>
        <v>1645</v>
      </c>
      <c r="DTG41" s="68">
        <f t="shared" si="1598"/>
        <v>274.16666666666669</v>
      </c>
      <c r="DTH41" s="48">
        <v>646</v>
      </c>
      <c r="DTI41" s="49">
        <v>0</v>
      </c>
      <c r="DTJ41" s="49">
        <v>0</v>
      </c>
      <c r="DTK41" s="49">
        <v>1061</v>
      </c>
      <c r="DTL41" s="49">
        <v>608</v>
      </c>
      <c r="DTM41" s="49">
        <v>0</v>
      </c>
      <c r="DTN41" s="64">
        <f t="shared" si="1599"/>
        <v>2315</v>
      </c>
      <c r="DTO41" s="68">
        <f t="shared" si="1600"/>
        <v>385.83333333333331</v>
      </c>
      <c r="DTP41" s="48">
        <v>0</v>
      </c>
      <c r="DTQ41" s="49"/>
      <c r="DTR41" s="49"/>
      <c r="DTS41" s="49">
        <v>800</v>
      </c>
      <c r="DTT41" s="49">
        <v>0</v>
      </c>
      <c r="DTU41" s="49">
        <v>0</v>
      </c>
      <c r="DTV41" s="64">
        <f t="shared" si="1601"/>
        <v>800</v>
      </c>
      <c r="DTW41" s="68">
        <f t="shared" si="1602"/>
        <v>133.33333333333334</v>
      </c>
      <c r="DTX41" s="48">
        <v>0</v>
      </c>
      <c r="DTY41" s="49">
        <v>365</v>
      </c>
      <c r="DTZ41" s="49">
        <v>0</v>
      </c>
      <c r="DUA41" s="49">
        <v>800</v>
      </c>
      <c r="DUB41" s="49">
        <v>0</v>
      </c>
      <c r="DUC41" s="49">
        <v>0</v>
      </c>
      <c r="DUD41" s="64">
        <f t="shared" si="1603"/>
        <v>1165</v>
      </c>
      <c r="DUE41" s="68">
        <f t="shared" si="1604"/>
        <v>194.16666666666666</v>
      </c>
      <c r="DUF41" s="48">
        <v>0</v>
      </c>
      <c r="DUG41" s="49">
        <v>0</v>
      </c>
      <c r="DUH41" s="49"/>
      <c r="DUI41" s="49">
        <v>596</v>
      </c>
      <c r="DUJ41" s="49">
        <v>0</v>
      </c>
      <c r="DUK41" s="49">
        <v>651</v>
      </c>
      <c r="DUL41" s="64">
        <f t="shared" si="1605"/>
        <v>1247</v>
      </c>
      <c r="DUM41" s="68">
        <f t="shared" si="1606"/>
        <v>207.83333333333334</v>
      </c>
      <c r="DUN41" s="48"/>
      <c r="DUO41" s="49">
        <v>0</v>
      </c>
      <c r="DUP41" s="49">
        <v>0</v>
      </c>
      <c r="DUQ41" s="49">
        <v>618</v>
      </c>
      <c r="DUR41" s="49"/>
      <c r="DUS41" s="49">
        <v>0</v>
      </c>
      <c r="DUT41" s="64">
        <f t="shared" si="1607"/>
        <v>618</v>
      </c>
      <c r="DUU41" s="68">
        <f t="shared" si="1608"/>
        <v>103</v>
      </c>
      <c r="DUV41" s="48"/>
      <c r="DUW41" s="49">
        <v>0</v>
      </c>
      <c r="DUX41" s="49">
        <v>1001</v>
      </c>
      <c r="DUY41" s="49">
        <v>0</v>
      </c>
      <c r="DUZ41" s="49">
        <v>0</v>
      </c>
      <c r="DVA41" s="49">
        <v>0</v>
      </c>
      <c r="DVB41" s="64">
        <f t="shared" si="1609"/>
        <v>1001</v>
      </c>
      <c r="DVC41" s="68">
        <f t="shared" si="1610"/>
        <v>166.83333333333334</v>
      </c>
      <c r="DVD41" s="48"/>
      <c r="DVE41" s="49">
        <v>0</v>
      </c>
      <c r="DVF41" s="49">
        <v>0</v>
      </c>
      <c r="DVG41" s="49">
        <v>885</v>
      </c>
      <c r="DVH41" s="49">
        <v>0</v>
      </c>
      <c r="DVI41" s="49">
        <v>1317</v>
      </c>
      <c r="DVJ41" s="64">
        <f t="shared" si="1611"/>
        <v>2202</v>
      </c>
      <c r="DVK41" s="68">
        <f t="shared" si="1612"/>
        <v>367</v>
      </c>
      <c r="DVL41" s="48">
        <v>0</v>
      </c>
      <c r="DVM41" s="49">
        <v>0</v>
      </c>
      <c r="DVN41" s="49">
        <v>0</v>
      </c>
      <c r="DVO41" s="49">
        <v>660</v>
      </c>
      <c r="DVP41" s="49">
        <v>0</v>
      </c>
      <c r="DVQ41" s="49">
        <v>0</v>
      </c>
      <c r="DVR41" s="64">
        <f t="shared" si="1613"/>
        <v>660</v>
      </c>
      <c r="DVS41" s="68">
        <f t="shared" si="1614"/>
        <v>110</v>
      </c>
      <c r="DVT41" s="48"/>
      <c r="DVU41" s="49">
        <v>0</v>
      </c>
      <c r="DVV41" s="49">
        <v>0</v>
      </c>
      <c r="DVW41" s="49">
        <v>1041</v>
      </c>
      <c r="DVX41" s="49">
        <v>0</v>
      </c>
      <c r="DVY41" s="49">
        <v>401</v>
      </c>
      <c r="DVZ41" s="64">
        <f t="shared" si="1615"/>
        <v>1442</v>
      </c>
      <c r="DWA41" s="68">
        <f t="shared" si="1616"/>
        <v>240.33333333333334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17"/>
        <v>0</v>
      </c>
      <c r="DWI41" s="68">
        <f t="shared" si="1618"/>
        <v>0</v>
      </c>
      <c r="DWJ41" s="48">
        <v>0</v>
      </c>
      <c r="DWK41" s="49">
        <v>0</v>
      </c>
      <c r="DWL41" s="49">
        <v>0</v>
      </c>
      <c r="DWM41" s="49">
        <v>600</v>
      </c>
      <c r="DWN41" s="49">
        <v>441</v>
      </c>
      <c r="DWO41" s="49">
        <v>0</v>
      </c>
      <c r="DWP41" s="64">
        <f t="shared" si="1619"/>
        <v>1041</v>
      </c>
      <c r="DWQ41" s="68">
        <f t="shared" si="1620"/>
        <v>173.5</v>
      </c>
      <c r="DWR41" s="48">
        <v>0</v>
      </c>
      <c r="DWS41" s="49"/>
      <c r="DWT41" s="49">
        <v>0</v>
      </c>
      <c r="DWU41" s="49">
        <v>0</v>
      </c>
      <c r="DWV41" s="49">
        <v>0</v>
      </c>
      <c r="DWW41" s="49">
        <v>0</v>
      </c>
      <c r="DWX41" s="64">
        <f t="shared" si="1621"/>
        <v>0</v>
      </c>
      <c r="DWY41" s="68">
        <f t="shared" si="1622"/>
        <v>0</v>
      </c>
      <c r="DWZ41" s="48">
        <v>800</v>
      </c>
      <c r="DXA41" s="49">
        <v>400</v>
      </c>
      <c r="DXB41" s="49">
        <v>0</v>
      </c>
      <c r="DXC41" s="49">
        <v>0</v>
      </c>
      <c r="DXD41" s="49"/>
      <c r="DXE41" s="49"/>
      <c r="DXF41" s="64">
        <f t="shared" si="1623"/>
        <v>1200</v>
      </c>
      <c r="DXG41" s="68">
        <f t="shared" si="1624"/>
        <v>200</v>
      </c>
      <c r="DXH41" s="48">
        <v>0</v>
      </c>
      <c r="DXI41" s="49">
        <v>0</v>
      </c>
      <c r="DXJ41" s="49">
        <v>0</v>
      </c>
      <c r="DXK41" s="49">
        <v>492</v>
      </c>
      <c r="DXL41" s="49">
        <v>0</v>
      </c>
      <c r="DXM41" s="49">
        <v>0</v>
      </c>
      <c r="DXN41" s="64">
        <f t="shared" si="1625"/>
        <v>492</v>
      </c>
      <c r="DXO41" s="68">
        <f t="shared" si="1626"/>
        <v>82</v>
      </c>
      <c r="DXP41" s="48">
        <v>0</v>
      </c>
      <c r="DXQ41" s="49">
        <v>220</v>
      </c>
      <c r="DXR41" s="49">
        <v>220</v>
      </c>
      <c r="DXS41" s="49">
        <v>606</v>
      </c>
      <c r="DXT41" s="49">
        <v>0</v>
      </c>
      <c r="DXU41" s="49">
        <v>220</v>
      </c>
      <c r="DXV41" s="64">
        <f t="shared" si="1320"/>
        <v>1266</v>
      </c>
      <c r="DXW41" s="68">
        <f t="shared" si="1321"/>
        <v>211</v>
      </c>
      <c r="DXX41" s="48">
        <v>0</v>
      </c>
      <c r="DXY41" s="49">
        <v>0</v>
      </c>
      <c r="DXZ41" s="49">
        <v>0</v>
      </c>
      <c r="DYA41" s="49">
        <v>546</v>
      </c>
      <c r="DYB41" s="49">
        <v>802</v>
      </c>
      <c r="DYC41" s="49">
        <v>0</v>
      </c>
      <c r="DYD41" s="64">
        <f t="shared" si="1322"/>
        <v>1348</v>
      </c>
      <c r="DYE41" s="68">
        <f t="shared" si="1323"/>
        <v>224.66666666666666</v>
      </c>
      <c r="DYF41" s="48">
        <v>0</v>
      </c>
      <c r="DYG41" s="49">
        <v>0</v>
      </c>
      <c r="DYH41" s="49">
        <v>0</v>
      </c>
      <c r="DYI41" s="49">
        <v>0</v>
      </c>
      <c r="DYJ41" s="49">
        <v>600</v>
      </c>
      <c r="DYK41" s="49"/>
      <c r="DYL41" s="64">
        <f t="shared" si="1324"/>
        <v>600</v>
      </c>
      <c r="DYM41" s="68">
        <f t="shared" si="1325"/>
        <v>100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>
        <v>600</v>
      </c>
      <c r="DYT41" s="64">
        <f t="shared" si="1326"/>
        <v>600</v>
      </c>
      <c r="DYU41" s="68">
        <f t="shared" si="1327"/>
        <v>100</v>
      </c>
      <c r="DYV41" s="48">
        <v>0</v>
      </c>
      <c r="DYW41" s="49">
        <v>234</v>
      </c>
      <c r="DYX41" s="49">
        <v>0</v>
      </c>
      <c r="DYY41" s="49">
        <v>0</v>
      </c>
      <c r="DYZ41" s="49">
        <v>220</v>
      </c>
      <c r="DZA41" s="49">
        <v>180</v>
      </c>
      <c r="DZB41" s="64">
        <f t="shared" si="1328"/>
        <v>634</v>
      </c>
      <c r="DZC41" s="68">
        <f t="shared" si="1329"/>
        <v>105.66666666666667</v>
      </c>
      <c r="DZD41" s="48">
        <v>0</v>
      </c>
      <c r="DZE41" s="49">
        <v>0</v>
      </c>
      <c r="DZF41" s="49">
        <v>751</v>
      </c>
      <c r="DZG41" s="49">
        <v>0</v>
      </c>
      <c r="DZH41" s="49">
        <v>0</v>
      </c>
      <c r="DZI41" s="49">
        <v>0</v>
      </c>
      <c r="DZJ41" s="64">
        <f t="shared" si="1330"/>
        <v>751</v>
      </c>
      <c r="DZK41" s="68">
        <f t="shared" si="1331"/>
        <v>125.16666666666667</v>
      </c>
      <c r="DZL41" s="48">
        <v>975</v>
      </c>
      <c r="DZM41" s="49">
        <v>0</v>
      </c>
      <c r="DZN41" s="49"/>
      <c r="DZO41" s="49">
        <v>0</v>
      </c>
      <c r="DZP41" s="49">
        <v>1001</v>
      </c>
      <c r="DZQ41" s="49">
        <v>0</v>
      </c>
      <c r="DZR41" s="64">
        <f t="shared" si="1332"/>
        <v>1976</v>
      </c>
      <c r="DZS41" s="68">
        <f t="shared" si="1333"/>
        <v>329.33333333333331</v>
      </c>
      <c r="DZT41" s="48">
        <v>0</v>
      </c>
      <c r="DZU41" s="49">
        <v>0</v>
      </c>
      <c r="DZV41" s="49"/>
      <c r="DZW41" s="49">
        <v>0</v>
      </c>
      <c r="DZX41" s="49">
        <v>0</v>
      </c>
      <c r="DZY41" s="49">
        <v>1002</v>
      </c>
      <c r="DZZ41" s="64">
        <f t="shared" si="1334"/>
        <v>1002</v>
      </c>
      <c r="EAA41" s="68">
        <f t="shared" si="1335"/>
        <v>167</v>
      </c>
      <c r="EAB41" s="48"/>
      <c r="EAC41" s="49">
        <v>0</v>
      </c>
      <c r="EAD41" s="49">
        <v>0</v>
      </c>
      <c r="EAE41" s="49"/>
      <c r="EAF41" s="49">
        <v>216</v>
      </c>
      <c r="EAG41" s="49">
        <v>0</v>
      </c>
      <c r="EAH41" s="64">
        <f t="shared" si="1336"/>
        <v>216</v>
      </c>
      <c r="EAI41" s="68">
        <f t="shared" si="1337"/>
        <v>36</v>
      </c>
      <c r="EAJ41" s="48">
        <v>0</v>
      </c>
      <c r="EAK41" s="49"/>
      <c r="EAL41" s="49">
        <v>0</v>
      </c>
      <c r="EAM41" s="49">
        <v>800</v>
      </c>
      <c r="EAN41" s="49">
        <v>0</v>
      </c>
      <c r="EAO41" s="49">
        <v>0</v>
      </c>
      <c r="EAP41" s="64">
        <f t="shared" si="1338"/>
        <v>800</v>
      </c>
      <c r="EAQ41" s="68">
        <f t="shared" si="1339"/>
        <v>133.33333333333334</v>
      </c>
      <c r="EAR41" s="48">
        <v>0</v>
      </c>
      <c r="EAS41" s="49">
        <v>879</v>
      </c>
      <c r="EAT41" s="49">
        <v>0</v>
      </c>
      <c r="EAU41" s="49">
        <v>0</v>
      </c>
      <c r="EAV41" s="49">
        <v>605</v>
      </c>
      <c r="EAW41" s="49"/>
      <c r="EAX41" s="64">
        <f t="shared" si="1340"/>
        <v>1484</v>
      </c>
      <c r="EAY41" s="68">
        <f t="shared" si="1341"/>
        <v>247.33333333333334</v>
      </c>
      <c r="EAZ41" s="48">
        <v>0</v>
      </c>
      <c r="EBA41" s="49"/>
      <c r="EBB41" s="49">
        <v>0</v>
      </c>
      <c r="EBC41" s="49">
        <v>0</v>
      </c>
      <c r="EBD41" s="49">
        <v>1200</v>
      </c>
      <c r="EBE41" s="49">
        <v>0</v>
      </c>
      <c r="EBF41" s="64">
        <f t="shared" si="1342"/>
        <v>1200</v>
      </c>
      <c r="EBG41" s="68">
        <f t="shared" si="1343"/>
        <v>200</v>
      </c>
      <c r="EBH41" s="48">
        <v>0</v>
      </c>
      <c r="EBI41" s="49">
        <v>0</v>
      </c>
      <c r="EBJ41" s="49">
        <v>700</v>
      </c>
      <c r="EBK41" s="49">
        <v>0</v>
      </c>
      <c r="EBL41" s="49">
        <v>330</v>
      </c>
      <c r="EBM41" s="49">
        <v>0</v>
      </c>
      <c r="EBN41" s="64">
        <f t="shared" si="1344"/>
        <v>1030</v>
      </c>
      <c r="EBO41" s="68">
        <f t="shared" si="1345"/>
        <v>171.66666666666666</v>
      </c>
      <c r="EBP41" s="48">
        <v>0</v>
      </c>
      <c r="EBQ41" s="49">
        <v>0</v>
      </c>
      <c r="EBR41" s="49"/>
      <c r="EBS41" s="49">
        <v>0</v>
      </c>
      <c r="EBT41" s="49"/>
      <c r="EBU41" s="49"/>
      <c r="EBV41" s="64">
        <f t="shared" si="1346"/>
        <v>0</v>
      </c>
      <c r="EBW41" s="68">
        <f t="shared" si="1347"/>
        <v>0</v>
      </c>
      <c r="EBX41" s="48">
        <v>0</v>
      </c>
      <c r="EBY41" s="49">
        <v>600</v>
      </c>
      <c r="EBZ41" s="49">
        <v>0</v>
      </c>
      <c r="ECA41" s="49"/>
      <c r="ECB41" s="49">
        <v>339</v>
      </c>
      <c r="ECC41" s="49">
        <v>0</v>
      </c>
      <c r="ECD41" s="64">
        <f t="shared" si="1348"/>
        <v>939</v>
      </c>
      <c r="ECE41" s="68">
        <f t="shared" si="1349"/>
        <v>156.5</v>
      </c>
      <c r="ECF41" s="48">
        <v>0</v>
      </c>
      <c r="ECG41" s="49">
        <v>0</v>
      </c>
      <c r="ECH41" s="49">
        <v>674</v>
      </c>
      <c r="ECI41" s="49">
        <v>0</v>
      </c>
      <c r="ECJ41" s="49">
        <v>399</v>
      </c>
      <c r="ECK41" s="49"/>
      <c r="ECL41" s="64">
        <f t="shared" si="1350"/>
        <v>1073</v>
      </c>
      <c r="ECM41" s="68">
        <f t="shared" si="1351"/>
        <v>178.83333333333334</v>
      </c>
      <c r="ECN41" s="48">
        <v>621</v>
      </c>
      <c r="ECO41" s="49">
        <v>0</v>
      </c>
      <c r="ECP41" s="49">
        <v>302</v>
      </c>
      <c r="ECQ41" s="49"/>
      <c r="ECR41" s="49">
        <v>0</v>
      </c>
      <c r="ECS41" s="49">
        <v>499</v>
      </c>
      <c r="ECT41" s="64">
        <f t="shared" si="1352"/>
        <v>1422</v>
      </c>
      <c r="ECU41" s="68">
        <f t="shared" si="1353"/>
        <v>237</v>
      </c>
      <c r="ECV41" s="48">
        <v>499</v>
      </c>
      <c r="ECW41" s="49">
        <v>0</v>
      </c>
      <c r="ECX41" s="49">
        <v>621</v>
      </c>
      <c r="ECY41" s="49">
        <v>0</v>
      </c>
      <c r="ECZ41" s="49"/>
      <c r="EDA41" s="49"/>
      <c r="EDB41" s="64">
        <f t="shared" si="1354"/>
        <v>1120</v>
      </c>
      <c r="EDC41" s="68">
        <f t="shared" si="1355"/>
        <v>186.66666666666666</v>
      </c>
      <c r="EDD41" s="48"/>
      <c r="EDE41" s="49">
        <v>0</v>
      </c>
      <c r="EDF41" s="49">
        <v>600</v>
      </c>
      <c r="EDG41" s="49">
        <v>0</v>
      </c>
      <c r="EDH41" s="49"/>
      <c r="EDI41" s="49"/>
      <c r="EDJ41" s="64">
        <f t="shared" si="1356"/>
        <v>600</v>
      </c>
      <c r="EDK41" s="68">
        <f t="shared" si="1357"/>
        <v>100</v>
      </c>
      <c r="EDL41" s="48">
        <v>0</v>
      </c>
      <c r="EDM41" s="49">
        <v>0</v>
      </c>
      <c r="EDN41" s="49"/>
      <c r="EDO41" s="49">
        <v>619</v>
      </c>
      <c r="EDP41" s="49">
        <v>0</v>
      </c>
      <c r="EDQ41" s="49">
        <v>0</v>
      </c>
      <c r="EDR41" s="64">
        <f t="shared" si="1358"/>
        <v>619</v>
      </c>
      <c r="EDS41" s="68">
        <f t="shared" si="1359"/>
        <v>103.16666666666667</v>
      </c>
      <c r="EDT41" s="48">
        <v>673</v>
      </c>
      <c r="EDU41" s="49">
        <v>0</v>
      </c>
      <c r="EDV41" s="49"/>
      <c r="EDW41" s="49">
        <v>0</v>
      </c>
      <c r="EDX41" s="49">
        <v>1261</v>
      </c>
      <c r="EDY41" s="49"/>
      <c r="EDZ41" s="64">
        <f t="shared" si="1360"/>
        <v>1934</v>
      </c>
      <c r="EEA41" s="68">
        <f t="shared" si="1361"/>
        <v>322.33333333333331</v>
      </c>
      <c r="EEB41" s="48">
        <v>0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62"/>
        <v>0</v>
      </c>
      <c r="EEI41" s="68">
        <f t="shared" si="1363"/>
        <v>0</v>
      </c>
      <c r="EEJ41" s="48">
        <v>0</v>
      </c>
      <c r="EEK41" s="49">
        <v>0</v>
      </c>
      <c r="EEL41" s="49">
        <v>1000</v>
      </c>
      <c r="EEM41" s="49">
        <v>0</v>
      </c>
      <c r="EEN41" s="49">
        <v>0</v>
      </c>
      <c r="EEO41" s="49">
        <v>0</v>
      </c>
      <c r="EEP41" s="64">
        <f t="shared" si="1364"/>
        <v>1000</v>
      </c>
      <c r="EEQ41" s="68">
        <f t="shared" si="1365"/>
        <v>166.66666666666666</v>
      </c>
      <c r="EER41" s="48">
        <v>0</v>
      </c>
      <c r="EES41" s="49">
        <v>0</v>
      </c>
      <c r="EET41" s="49">
        <v>0</v>
      </c>
      <c r="EEU41" s="49">
        <v>1022</v>
      </c>
      <c r="EEV41" s="49">
        <v>0</v>
      </c>
      <c r="EEW41" s="49"/>
      <c r="EEX41" s="64">
        <f t="shared" si="1366"/>
        <v>1022</v>
      </c>
      <c r="EEY41" s="68">
        <f t="shared" si="1367"/>
        <v>170.33333333333334</v>
      </c>
      <c r="EEZ41" s="48">
        <v>0</v>
      </c>
      <c r="EFA41" s="49"/>
      <c r="EFB41" s="49">
        <v>759</v>
      </c>
      <c r="EFC41" s="49">
        <v>399</v>
      </c>
      <c r="EFD41" s="49">
        <v>0</v>
      </c>
      <c r="EFE41" s="49">
        <v>0</v>
      </c>
      <c r="EFF41" s="64">
        <f t="shared" si="1368"/>
        <v>1158</v>
      </c>
      <c r="EFG41" s="68">
        <f t="shared" si="1369"/>
        <v>193</v>
      </c>
      <c r="EFH41" s="48">
        <v>0</v>
      </c>
      <c r="EFI41" s="49">
        <v>0</v>
      </c>
      <c r="EFJ41" s="49">
        <v>0</v>
      </c>
      <c r="EFK41" s="49">
        <v>599</v>
      </c>
      <c r="EFL41" s="49">
        <v>362</v>
      </c>
      <c r="EFM41" s="49">
        <v>0</v>
      </c>
      <c r="EFN41" s="64">
        <f t="shared" si="1370"/>
        <v>961</v>
      </c>
      <c r="EFO41" s="68">
        <f t="shared" si="1371"/>
        <v>160.16666666666666</v>
      </c>
      <c r="EFP41" s="48">
        <v>607</v>
      </c>
      <c r="EFQ41" s="49"/>
      <c r="EFR41" s="49"/>
      <c r="EFS41" s="49">
        <v>0</v>
      </c>
      <c r="EFT41" s="49">
        <v>0</v>
      </c>
      <c r="EFU41" s="49">
        <v>0</v>
      </c>
      <c r="EFV41" s="64">
        <f t="shared" si="1372"/>
        <v>607</v>
      </c>
      <c r="EFW41" s="68">
        <f t="shared" si="1373"/>
        <v>101.16666666666667</v>
      </c>
      <c r="EFX41" s="48">
        <v>959</v>
      </c>
      <c r="EFY41" s="49">
        <v>0</v>
      </c>
      <c r="EFZ41" s="49"/>
      <c r="EGA41" s="49">
        <v>946</v>
      </c>
      <c r="EGB41" s="49">
        <v>0</v>
      </c>
      <c r="EGC41" s="49">
        <v>0</v>
      </c>
      <c r="EGD41" s="64">
        <f t="shared" si="1374"/>
        <v>1905</v>
      </c>
      <c r="EGE41" s="68">
        <f t="shared" si="1375"/>
        <v>317.5</v>
      </c>
      <c r="EGF41" s="48">
        <v>340</v>
      </c>
      <c r="EGG41" s="49">
        <v>0</v>
      </c>
      <c r="EGH41" s="49"/>
      <c r="EGI41" s="49">
        <v>0</v>
      </c>
      <c r="EGJ41" s="49">
        <v>0</v>
      </c>
      <c r="EGK41" s="49">
        <v>414</v>
      </c>
      <c r="EGL41" s="64">
        <f t="shared" si="1376"/>
        <v>754</v>
      </c>
      <c r="EGM41" s="68">
        <f t="shared" si="1377"/>
        <v>125.66666666666667</v>
      </c>
      <c r="EGN41" s="48">
        <v>401</v>
      </c>
      <c r="EGO41" s="49">
        <v>0</v>
      </c>
      <c r="EGP41" s="49"/>
      <c r="EGQ41" s="49">
        <v>0</v>
      </c>
      <c r="EGR41" s="49">
        <v>921</v>
      </c>
      <c r="EGS41" s="49">
        <v>0</v>
      </c>
      <c r="EGT41" s="64">
        <f t="shared" si="1378"/>
        <v>1322</v>
      </c>
      <c r="EGU41" s="68">
        <f t="shared" si="1379"/>
        <v>220.33333333333334</v>
      </c>
      <c r="EGV41" s="48">
        <v>0</v>
      </c>
      <c r="EGW41" s="49">
        <v>0</v>
      </c>
      <c r="EGX41" s="49">
        <v>0</v>
      </c>
      <c r="EGY41" s="49">
        <v>565</v>
      </c>
      <c r="EGZ41" s="49">
        <v>0</v>
      </c>
      <c r="EHA41" s="49">
        <v>0</v>
      </c>
      <c r="EHB41" s="64">
        <f t="shared" si="1380"/>
        <v>565</v>
      </c>
      <c r="EHC41" s="68">
        <f t="shared" si="1381"/>
        <v>94.166666666666671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575</v>
      </c>
      <c r="EHJ41" s="64">
        <f t="shared" si="1382"/>
        <v>575</v>
      </c>
      <c r="EHK41" s="68">
        <f t="shared" si="1383"/>
        <v>95.833333333333329</v>
      </c>
      <c r="EHL41" s="48">
        <v>0</v>
      </c>
      <c r="EHM41" s="49">
        <v>0</v>
      </c>
      <c r="EHN41" s="49"/>
      <c r="EHO41" s="49">
        <v>215</v>
      </c>
      <c r="EHP41" s="49"/>
      <c r="EHQ41" s="49">
        <v>0</v>
      </c>
      <c r="EHR41" s="64">
        <f t="shared" si="1384"/>
        <v>215</v>
      </c>
      <c r="EHS41" s="68">
        <f t="shared" si="1385"/>
        <v>35.833333333333336</v>
      </c>
      <c r="EHT41" s="48">
        <v>0</v>
      </c>
      <c r="EHU41" s="49">
        <v>701</v>
      </c>
      <c r="EHV41" s="49"/>
      <c r="EHW41" s="49">
        <v>0</v>
      </c>
      <c r="EHX41" s="49">
        <v>216</v>
      </c>
      <c r="EHY41" s="49">
        <v>0</v>
      </c>
      <c r="EHZ41" s="64">
        <f t="shared" si="1386"/>
        <v>917</v>
      </c>
      <c r="EIA41" s="68">
        <f t="shared" si="1387"/>
        <v>152.83333333333334</v>
      </c>
      <c r="EIB41" s="48">
        <v>0</v>
      </c>
      <c r="EIC41" s="49">
        <v>1064</v>
      </c>
      <c r="EID41" s="49">
        <v>0</v>
      </c>
      <c r="EIE41" s="49">
        <v>608</v>
      </c>
      <c r="EIF41" s="49">
        <v>0</v>
      </c>
      <c r="EIG41" s="49">
        <v>0</v>
      </c>
      <c r="EIH41" s="64">
        <f t="shared" si="1388"/>
        <v>1672</v>
      </c>
      <c r="EII41" s="68">
        <f t="shared" si="1389"/>
        <v>278.66666666666669</v>
      </c>
      <c r="EIJ41" s="48">
        <v>0</v>
      </c>
      <c r="EIK41" s="49">
        <v>0</v>
      </c>
      <c r="EIL41" s="49">
        <v>0</v>
      </c>
      <c r="EIM41" s="49">
        <v>620</v>
      </c>
      <c r="EIN41" s="49">
        <v>0</v>
      </c>
      <c r="EIO41" s="49">
        <v>0</v>
      </c>
      <c r="EIP41" s="64">
        <f t="shared" si="1390"/>
        <v>620</v>
      </c>
      <c r="EIQ41" s="68">
        <f t="shared" si="1391"/>
        <v>103.33333333333333</v>
      </c>
      <c r="EIR41" s="48">
        <v>0</v>
      </c>
      <c r="EIS41" s="49">
        <v>0</v>
      </c>
      <c r="EIT41" s="49">
        <v>0</v>
      </c>
      <c r="EIU41" s="49">
        <v>814</v>
      </c>
      <c r="EIV41" s="49">
        <v>0</v>
      </c>
      <c r="EIW41" s="49">
        <v>0</v>
      </c>
      <c r="EIX41" s="64">
        <f t="shared" si="1392"/>
        <v>814</v>
      </c>
      <c r="EIY41" s="68">
        <f t="shared" si="1393"/>
        <v>135.66666666666666</v>
      </c>
      <c r="EIZ41" s="48">
        <v>0</v>
      </c>
      <c r="EJA41" s="49">
        <v>0</v>
      </c>
      <c r="EJB41" s="49">
        <v>0</v>
      </c>
      <c r="EJC41" s="49">
        <v>305</v>
      </c>
      <c r="EJD41" s="49">
        <v>0</v>
      </c>
      <c r="EJE41" s="49">
        <v>0</v>
      </c>
      <c r="EJF41" s="64">
        <f t="shared" si="1394"/>
        <v>305</v>
      </c>
      <c r="EJG41" s="68">
        <f t="shared" si="1395"/>
        <v>50.833333333333336</v>
      </c>
      <c r="EJH41" s="48">
        <v>330</v>
      </c>
      <c r="EJI41" s="49">
        <v>0</v>
      </c>
      <c r="EJJ41" s="49"/>
      <c r="EJK41" s="49">
        <v>229</v>
      </c>
      <c r="EJL41" s="49"/>
      <c r="EJM41" s="49"/>
      <c r="EJN41" s="64">
        <f t="shared" si="1396"/>
        <v>559</v>
      </c>
      <c r="EJO41" s="68">
        <f t="shared" si="1397"/>
        <v>93.166666666666671</v>
      </c>
      <c r="EJP41" s="48">
        <v>0</v>
      </c>
      <c r="EJQ41" s="49">
        <v>621</v>
      </c>
      <c r="EJR41" s="49">
        <v>414</v>
      </c>
      <c r="EJS41" s="49">
        <v>0</v>
      </c>
      <c r="EJT41" s="49">
        <v>0</v>
      </c>
      <c r="EJU41" s="49">
        <v>0</v>
      </c>
      <c r="EJV41" s="64">
        <f t="shared" si="1398"/>
        <v>1035</v>
      </c>
      <c r="EJW41" s="68">
        <f t="shared" si="1399"/>
        <v>172.5</v>
      </c>
      <c r="EJX41" s="48">
        <v>0</v>
      </c>
      <c r="EJY41" s="49">
        <v>245</v>
      </c>
      <c r="EJZ41" s="49">
        <v>0</v>
      </c>
      <c r="EKA41" s="49"/>
      <c r="EKB41" s="49">
        <v>0</v>
      </c>
      <c r="EKC41" s="49"/>
      <c r="EKD41" s="64">
        <f t="shared" si="1400"/>
        <v>245</v>
      </c>
      <c r="EKE41" s="68">
        <f t="shared" si="1401"/>
        <v>40.833333333333336</v>
      </c>
      <c r="EKF41" s="48">
        <v>982</v>
      </c>
      <c r="EKG41" s="49">
        <v>0</v>
      </c>
      <c r="EKH41" s="49">
        <v>0</v>
      </c>
      <c r="EKI41" s="49"/>
      <c r="EKJ41" s="49">
        <v>305</v>
      </c>
      <c r="EKK41" s="49">
        <v>0</v>
      </c>
      <c r="EKL41" s="64">
        <f t="shared" si="1402"/>
        <v>1287</v>
      </c>
      <c r="EKM41" s="68">
        <f t="shared" si="1403"/>
        <v>214.5</v>
      </c>
      <c r="EKN41" s="48">
        <v>704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04"/>
        <v>704</v>
      </c>
      <c r="EKU41" s="184">
        <f t="shared" si="1405"/>
        <v>117.33333333333333</v>
      </c>
      <c r="EKV41" s="665"/>
      <c r="EKW41" s="195">
        <v>397</v>
      </c>
      <c r="EKX41" s="49">
        <v>0</v>
      </c>
      <c r="EKY41" s="49">
        <v>0</v>
      </c>
      <c r="EKZ41" s="49">
        <v>0</v>
      </c>
      <c r="ELA41" s="49">
        <v>337</v>
      </c>
      <c r="ELB41" s="49">
        <v>0</v>
      </c>
      <c r="ELC41" s="64">
        <f t="shared" si="1406"/>
        <v>734</v>
      </c>
      <c r="ELD41" s="211">
        <f t="shared" si="1407"/>
        <v>122.33333333333333</v>
      </c>
      <c r="ELE41" s="195">
        <v>512</v>
      </c>
      <c r="ELF41" s="49">
        <v>0</v>
      </c>
      <c r="ELG41" s="49">
        <v>0</v>
      </c>
      <c r="ELH41" s="49">
        <v>667</v>
      </c>
      <c r="ELI41" s="49">
        <v>0</v>
      </c>
      <c r="ELJ41" s="49">
        <v>0</v>
      </c>
      <c r="ELK41" s="64">
        <f t="shared" si="1408"/>
        <v>1179</v>
      </c>
      <c r="ELL41" s="211">
        <f t="shared" si="1409"/>
        <v>196.5</v>
      </c>
      <c r="ELM41" s="195">
        <v>0</v>
      </c>
      <c r="ELN41" s="49">
        <v>0</v>
      </c>
      <c r="ELO41" s="49">
        <v>327</v>
      </c>
      <c r="ELP41" s="49">
        <v>0</v>
      </c>
      <c r="ELQ41" s="49">
        <v>0</v>
      </c>
      <c r="ELR41" s="49">
        <v>419</v>
      </c>
      <c r="ELS41" s="64">
        <f t="shared" si="1410"/>
        <v>746</v>
      </c>
      <c r="ELT41" s="211">
        <f t="shared" si="1411"/>
        <v>124.33333333333333</v>
      </c>
      <c r="ELU41" s="195">
        <v>0</v>
      </c>
      <c r="ELV41" s="49">
        <v>0</v>
      </c>
      <c r="ELW41" s="49">
        <v>0</v>
      </c>
      <c r="ELX41" s="49">
        <v>598</v>
      </c>
      <c r="ELY41" s="49">
        <v>0</v>
      </c>
      <c r="ELZ41" s="49">
        <v>0</v>
      </c>
      <c r="EMA41" s="64">
        <f t="shared" si="1412"/>
        <v>598</v>
      </c>
      <c r="EMB41" s="211">
        <f t="shared" si="1413"/>
        <v>99.666666666666671</v>
      </c>
      <c r="EMC41" s="195">
        <v>0</v>
      </c>
      <c r="EMD41" s="49">
        <v>331</v>
      </c>
      <c r="EME41" s="49">
        <v>0</v>
      </c>
      <c r="EMF41" s="49">
        <v>582</v>
      </c>
      <c r="EMG41" s="49"/>
      <c r="EMH41" s="49">
        <v>0</v>
      </c>
      <c r="EMI41" s="64">
        <f t="shared" si="1414"/>
        <v>913</v>
      </c>
      <c r="EMJ41" s="211">
        <f t="shared" si="1415"/>
        <v>152.16666666666666</v>
      </c>
      <c r="EMK41" s="195">
        <v>1507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16"/>
        <v>1507</v>
      </c>
      <c r="EMR41" s="211">
        <f t="shared" si="1417"/>
        <v>251.16666666666666</v>
      </c>
      <c r="EMS41" s="195">
        <v>0</v>
      </c>
      <c r="EMT41" s="49">
        <v>223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18"/>
        <v>223</v>
      </c>
      <c r="EMZ41" s="211">
        <f t="shared" si="1419"/>
        <v>37.166666666666664</v>
      </c>
      <c r="ENA41" s="195">
        <v>0</v>
      </c>
      <c r="ENB41" s="49">
        <v>1072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20"/>
        <v>1072</v>
      </c>
      <c r="ENH41" s="211">
        <f t="shared" si="1421"/>
        <v>178.66666666666666</v>
      </c>
      <c r="ENI41" s="195">
        <v>0</v>
      </c>
      <c r="ENJ41" s="49"/>
      <c r="ENK41" s="49">
        <v>0</v>
      </c>
      <c r="ENL41" s="49">
        <v>0</v>
      </c>
      <c r="ENM41" s="49">
        <v>829</v>
      </c>
      <c r="ENN41" s="49">
        <v>0</v>
      </c>
      <c r="ENO41" s="64">
        <f t="shared" si="1422"/>
        <v>829</v>
      </c>
      <c r="ENP41" s="211">
        <f t="shared" si="1423"/>
        <v>138.16666666666666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24"/>
        <v>0</v>
      </c>
      <c r="ENX41" s="211">
        <f t="shared" si="1425"/>
        <v>0</v>
      </c>
      <c r="ENY41" s="195">
        <v>0</v>
      </c>
      <c r="ENZ41" s="49"/>
      <c r="EOA41" s="49">
        <v>0</v>
      </c>
      <c r="EOB41" s="49">
        <v>874</v>
      </c>
      <c r="EOC41" s="49">
        <v>0</v>
      </c>
      <c r="EOD41" s="49">
        <v>350</v>
      </c>
      <c r="EOE41" s="64">
        <f t="shared" si="1426"/>
        <v>1224</v>
      </c>
      <c r="EOF41" s="211">
        <f t="shared" si="1427"/>
        <v>204</v>
      </c>
      <c r="EOG41" s="1"/>
      <c r="EOH41" s="195"/>
      <c r="EOI41" s="49">
        <v>0</v>
      </c>
      <c r="EOJ41" s="49">
        <v>0</v>
      </c>
      <c r="EOK41" s="49">
        <v>798</v>
      </c>
      <c r="EOL41" s="49">
        <v>0</v>
      </c>
      <c r="EOM41" s="49">
        <v>0</v>
      </c>
      <c r="EON41" s="184">
        <f t="shared" si="1428"/>
        <v>798</v>
      </c>
      <c r="EOO41" s="244">
        <v>0</v>
      </c>
      <c r="EOP41" s="49">
        <v>231</v>
      </c>
      <c r="EOQ41" s="49">
        <v>0</v>
      </c>
      <c r="EOR41" s="49">
        <v>0</v>
      </c>
      <c r="EOS41" s="49">
        <v>0</v>
      </c>
      <c r="EOT41" s="49">
        <v>576</v>
      </c>
      <c r="EOU41" s="64">
        <f t="shared" si="1429"/>
        <v>807</v>
      </c>
      <c r="EOV41" s="211">
        <f t="shared" si="1430"/>
        <v>134.5</v>
      </c>
      <c r="EOW41" s="195">
        <v>0</v>
      </c>
      <c r="EOX41" s="49">
        <v>0</v>
      </c>
      <c r="EOY41" s="49">
        <v>220</v>
      </c>
      <c r="EOZ41" s="49"/>
      <c r="EPA41" s="49">
        <v>0</v>
      </c>
      <c r="EPB41" s="49">
        <v>0</v>
      </c>
      <c r="EPC41" s="64">
        <f t="shared" si="1431"/>
        <v>220</v>
      </c>
      <c r="EPD41" s="211">
        <f t="shared" si="1432"/>
        <v>36.666666666666664</v>
      </c>
      <c r="EPE41" s="195">
        <v>992</v>
      </c>
      <c r="EPF41" s="49">
        <v>0</v>
      </c>
      <c r="EPG41" s="49">
        <v>0</v>
      </c>
      <c r="EPH41" s="49">
        <v>0</v>
      </c>
      <c r="EPI41" s="49">
        <v>827</v>
      </c>
      <c r="EPJ41" s="49">
        <v>0</v>
      </c>
      <c r="EPK41" s="64">
        <f t="shared" si="1433"/>
        <v>1819</v>
      </c>
      <c r="EPL41" s="211">
        <f t="shared" si="1434"/>
        <v>303.16666666666669</v>
      </c>
      <c r="EPM41" s="195">
        <v>0</v>
      </c>
      <c r="EPN41" s="49">
        <v>0</v>
      </c>
      <c r="EPO41" s="49">
        <v>0</v>
      </c>
      <c r="EPP41" s="49">
        <v>229</v>
      </c>
      <c r="EPQ41" s="49">
        <v>0</v>
      </c>
      <c r="EPR41" s="49">
        <v>838</v>
      </c>
      <c r="EPS41" s="64">
        <f t="shared" si="1435"/>
        <v>1067</v>
      </c>
      <c r="EPT41" s="211">
        <f t="shared" si="1436"/>
        <v>177.83333333333334</v>
      </c>
      <c r="EPU41" s="195">
        <v>0</v>
      </c>
      <c r="EPV41" s="49">
        <v>0</v>
      </c>
      <c r="EPW41" s="49">
        <v>417</v>
      </c>
      <c r="EPX41" s="49">
        <v>0</v>
      </c>
      <c r="EPY41" s="49">
        <f>SUMIF(SUMPK!$B:$B,$B:$B,SUMPK!$O:$O)</f>
        <v>0</v>
      </c>
      <c r="EPZ41" s="49">
        <v>0</v>
      </c>
      <c r="EQA41" s="64">
        <f t="shared" si="1437"/>
        <v>417</v>
      </c>
      <c r="EQB41" s="211">
        <f t="shared" si="1438"/>
        <v>69.5</v>
      </c>
      <c r="EQC41" s="195">
        <v>659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39"/>
        <v>659</v>
      </c>
      <c r="EQJ41" s="211">
        <f t="shared" si="1440"/>
        <v>109.83333333333333</v>
      </c>
      <c r="EQK41" s="195">
        <v>0</v>
      </c>
      <c r="EQL41" s="49">
        <v>0</v>
      </c>
      <c r="EQM41" s="49">
        <v>0</v>
      </c>
      <c r="EQN41" s="49">
        <v>330</v>
      </c>
      <c r="EQO41" s="49">
        <v>0</v>
      </c>
      <c r="EQP41" s="49">
        <v>0</v>
      </c>
      <c r="EQQ41" s="64">
        <f t="shared" si="1441"/>
        <v>330</v>
      </c>
      <c r="EQR41" s="211">
        <f t="shared" si="1442"/>
        <v>55</v>
      </c>
      <c r="EQS41" s="195">
        <v>597</v>
      </c>
      <c r="EQT41" s="49">
        <v>0</v>
      </c>
      <c r="EQU41" s="49">
        <v>219</v>
      </c>
      <c r="EQV41" s="49">
        <v>0</v>
      </c>
      <c r="EQW41" s="49"/>
      <c r="EQX41" s="49">
        <v>0</v>
      </c>
      <c r="EQY41" s="64">
        <f t="shared" si="1443"/>
        <v>816</v>
      </c>
      <c r="EQZ41" s="211">
        <f t="shared" si="1444"/>
        <v>136</v>
      </c>
      <c r="ERA41" s="195">
        <v>334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45"/>
        <v>334</v>
      </c>
      <c r="ERH41" s="211">
        <f t="shared" si="1446"/>
        <v>55.666666666666664</v>
      </c>
      <c r="ERI41" s="195"/>
      <c r="ERJ41" s="49">
        <v>617</v>
      </c>
      <c r="ERK41" s="49">
        <v>0</v>
      </c>
      <c r="ERL41" s="49">
        <v>0</v>
      </c>
      <c r="ERM41" s="49">
        <v>224</v>
      </c>
      <c r="ERN41" s="49">
        <v>0</v>
      </c>
      <c r="ERO41" s="64">
        <f t="shared" si="1447"/>
        <v>841</v>
      </c>
      <c r="ERP41" s="211">
        <f t="shared" si="1448"/>
        <v>140.16666666666666</v>
      </c>
      <c r="ERQ41" s="195"/>
      <c r="ERR41" s="49">
        <v>0</v>
      </c>
      <c r="ERS41" s="49">
        <v>682</v>
      </c>
      <c r="ERT41" s="49">
        <v>0</v>
      </c>
      <c r="ERU41" s="49">
        <v>0</v>
      </c>
      <c r="ERV41" s="49">
        <v>211</v>
      </c>
      <c r="ERW41" s="64">
        <f t="shared" si="1449"/>
        <v>893</v>
      </c>
      <c r="ERX41" s="211">
        <f t="shared" si="1450"/>
        <v>148.83333333333334</v>
      </c>
      <c r="ERY41" s="195">
        <v>0</v>
      </c>
      <c r="ERZ41" s="49">
        <v>0</v>
      </c>
      <c r="ESA41" s="49">
        <v>0</v>
      </c>
      <c r="ESB41" s="49">
        <v>0</v>
      </c>
      <c r="ESC41" s="49">
        <v>428</v>
      </c>
      <c r="ESD41" s="49">
        <v>404</v>
      </c>
      <c r="ESE41" s="64">
        <f t="shared" si="1451"/>
        <v>832</v>
      </c>
      <c r="ESF41" s="211">
        <f t="shared" si="1452"/>
        <v>138.66666666666666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53"/>
        <v>0</v>
      </c>
      <c r="ESN41" s="211">
        <f t="shared" si="1454"/>
        <v>0</v>
      </c>
      <c r="ESO41" s="458">
        <v>0</v>
      </c>
      <c r="ESP41" s="83">
        <v>220</v>
      </c>
      <c r="ESQ41" s="83">
        <v>0</v>
      </c>
      <c r="ESR41" s="83">
        <v>0</v>
      </c>
      <c r="ESS41" s="83">
        <v>0</v>
      </c>
      <c r="EST41" s="83"/>
      <c r="ESU41" s="64">
        <f t="shared" si="1455"/>
        <v>220</v>
      </c>
      <c r="ESV41" s="211">
        <f t="shared" si="1456"/>
        <v>36.666666666666664</v>
      </c>
      <c r="ESW41" s="195">
        <v>170</v>
      </c>
      <c r="ESX41" s="49">
        <v>80</v>
      </c>
      <c r="ESY41" s="49">
        <v>0</v>
      </c>
      <c r="ESZ41" s="49">
        <v>0</v>
      </c>
      <c r="ETA41" s="49">
        <v>6</v>
      </c>
      <c r="ETB41" s="49">
        <v>328</v>
      </c>
      <c r="ETC41" s="808">
        <f t="shared" si="1457"/>
        <v>584</v>
      </c>
      <c r="ETD41" s="211">
        <f t="shared" si="1458"/>
        <v>97.333333333333329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59"/>
        <v>0</v>
      </c>
      <c r="ETL41" s="211">
        <f t="shared" si="1460"/>
        <v>0</v>
      </c>
      <c r="ETM41" s="814">
        <v>0</v>
      </c>
      <c r="ETN41" s="815">
        <v>480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61"/>
        <v>480</v>
      </c>
      <c r="ETT41" s="211">
        <f t="shared" si="1462"/>
        <v>80</v>
      </c>
      <c r="ETU41" s="458">
        <v>0</v>
      </c>
      <c r="ETV41" s="83">
        <v>631</v>
      </c>
      <c r="ETW41" s="83">
        <v>0</v>
      </c>
      <c r="ETX41" s="83">
        <v>0</v>
      </c>
      <c r="ETY41" s="83">
        <v>801</v>
      </c>
      <c r="ETZ41" s="83">
        <v>0</v>
      </c>
      <c r="EUA41" s="808">
        <f t="shared" si="1463"/>
        <v>1432</v>
      </c>
      <c r="EUB41" s="211">
        <f t="shared" si="1464"/>
        <v>238.66666666666666</v>
      </c>
      <c r="EUC41" s="458"/>
      <c r="EUD41" s="83">
        <v>0</v>
      </c>
      <c r="EUE41" s="83"/>
      <c r="EUF41" s="83">
        <v>0</v>
      </c>
      <c r="EUG41" s="83">
        <v>639</v>
      </c>
      <c r="EUH41" s="83">
        <v>0</v>
      </c>
      <c r="EUI41" s="808">
        <f t="shared" si="1465"/>
        <v>639</v>
      </c>
      <c r="EUJ41" s="211">
        <f t="shared" si="1466"/>
        <v>106.5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348</v>
      </c>
      <c r="EUQ41" s="808">
        <f t="shared" si="1467"/>
        <v>348</v>
      </c>
      <c r="EUR41" s="211">
        <f t="shared" si="1468"/>
        <v>58</v>
      </c>
      <c r="EUS41" s="195">
        <v>0</v>
      </c>
      <c r="EUT41" s="49">
        <v>398</v>
      </c>
      <c r="EUU41" s="49">
        <v>0</v>
      </c>
      <c r="EUV41" s="49">
        <v>0</v>
      </c>
      <c r="EUW41" s="49">
        <v>186</v>
      </c>
      <c r="EUX41" s="49">
        <v>411</v>
      </c>
      <c r="EUY41" s="808">
        <f t="shared" si="1469"/>
        <v>995</v>
      </c>
      <c r="EUZ41" s="211">
        <f t="shared" si="1470"/>
        <v>165.83333333333334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71"/>
        <v>0</v>
      </c>
      <c r="EVH41" s="211">
        <f t="shared" si="1472"/>
        <v>0</v>
      </c>
      <c r="EVI41" s="195">
        <v>0</v>
      </c>
      <c r="EVJ41" s="49">
        <v>213</v>
      </c>
      <c r="EVK41" s="49">
        <f>SUMIF(SUMPK!$B:$B,$B:$B,SUMPK!$O:$O)</f>
        <v>0</v>
      </c>
      <c r="EVL41" s="49"/>
      <c r="EVM41" s="49"/>
      <c r="EVN41" s="49">
        <v>359</v>
      </c>
      <c r="EVO41" s="808">
        <f t="shared" si="1473"/>
        <v>572</v>
      </c>
      <c r="EVP41" s="211">
        <f t="shared" si="1474"/>
        <v>95.333333333333329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75"/>
        <v>0</v>
      </c>
      <c r="EVX41" s="211">
        <f t="shared" si="1476"/>
        <v>0</v>
      </c>
      <c r="EVY41" s="195">
        <v>698</v>
      </c>
      <c r="EVZ41" s="49">
        <v>412</v>
      </c>
      <c r="EWA41" s="49">
        <v>0</v>
      </c>
      <c r="EWB41" s="49">
        <v>0</v>
      </c>
      <c r="EWC41" s="49">
        <v>0</v>
      </c>
      <c r="EWD41" s="49"/>
      <c r="EWE41" s="808">
        <f t="shared" si="1477"/>
        <v>1110</v>
      </c>
      <c r="EWF41" s="211">
        <f t="shared" si="1478"/>
        <v>185</v>
      </c>
      <c r="EWG41" s="195">
        <v>300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79"/>
        <v>300</v>
      </c>
      <c r="EWN41" s="211">
        <f t="shared" si="1480"/>
        <v>50</v>
      </c>
      <c r="EWO41" s="195">
        <v>0</v>
      </c>
      <c r="EWP41" s="49"/>
      <c r="EWQ41" s="49">
        <v>470</v>
      </c>
      <c r="EWR41" s="49">
        <v>1238</v>
      </c>
      <c r="EWS41" s="49">
        <v>0</v>
      </c>
      <c r="EWT41" s="49">
        <v>0</v>
      </c>
      <c r="EWU41" s="808">
        <f t="shared" si="1481"/>
        <v>1708</v>
      </c>
      <c r="EWV41" s="211">
        <f t="shared" si="1482"/>
        <v>284.66666666666669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83"/>
        <v>0</v>
      </c>
      <c r="EXD41" s="211">
        <f t="shared" si="1484"/>
        <v>0</v>
      </c>
      <c r="EXE41" s="195"/>
      <c r="EXF41" s="49">
        <v>0</v>
      </c>
      <c r="EXG41" s="49">
        <v>0</v>
      </c>
      <c r="EXH41" s="49">
        <v>288</v>
      </c>
      <c r="EXI41" s="49">
        <v>406</v>
      </c>
      <c r="EXJ41" s="49">
        <v>0</v>
      </c>
      <c r="EXK41" s="808">
        <f t="shared" si="1485"/>
        <v>694</v>
      </c>
      <c r="EXL41" s="211">
        <f t="shared" si="1486"/>
        <v>115.66666666666667</v>
      </c>
      <c r="EXM41" s="458">
        <v>151</v>
      </c>
      <c r="EXN41" s="83">
        <v>0</v>
      </c>
      <c r="EXO41" s="83">
        <v>0</v>
      </c>
      <c r="EXP41" s="83">
        <v>1858</v>
      </c>
      <c r="EXQ41" s="83"/>
      <c r="EXR41" s="83">
        <v>0</v>
      </c>
      <c r="EXS41" s="808">
        <f t="shared" si="1487"/>
        <v>2009</v>
      </c>
      <c r="EXT41" s="211">
        <f t="shared" si="1488"/>
        <v>334.83333333333331</v>
      </c>
      <c r="EXU41" s="195">
        <v>0</v>
      </c>
      <c r="EXV41" s="49">
        <v>299</v>
      </c>
      <c r="EXW41" s="49">
        <v>0</v>
      </c>
      <c r="EXX41" s="49">
        <v>998</v>
      </c>
      <c r="EXY41" s="49">
        <v>0</v>
      </c>
      <c r="EXZ41" s="49">
        <v>0</v>
      </c>
      <c r="EYA41" s="808">
        <f t="shared" si="1489"/>
        <v>1297</v>
      </c>
      <c r="EYB41" s="211">
        <f t="shared" si="1490"/>
        <v>216.16666666666666</v>
      </c>
      <c r="EYC41" s="195">
        <v>926</v>
      </c>
      <c r="EYD41" s="49"/>
      <c r="EYE41" s="49">
        <v>0</v>
      </c>
      <c r="EYF41" s="49"/>
      <c r="EYG41" s="49">
        <v>0</v>
      </c>
      <c r="EYH41" s="49">
        <v>821</v>
      </c>
      <c r="EYI41" s="808">
        <f t="shared" si="1491"/>
        <v>1747</v>
      </c>
      <c r="EYJ41" s="211">
        <f t="shared" si="1492"/>
        <v>291.16666666666669</v>
      </c>
      <c r="EYK41" s="195">
        <v>0</v>
      </c>
      <c r="EYL41" s="49">
        <v>0</v>
      </c>
      <c r="EYM41" s="49">
        <v>0</v>
      </c>
      <c r="EYN41" s="49">
        <v>969</v>
      </c>
      <c r="EYO41" s="49">
        <v>420</v>
      </c>
      <c r="EYP41" s="49">
        <v>773</v>
      </c>
      <c r="EYQ41" s="808">
        <f t="shared" si="1493"/>
        <v>2162</v>
      </c>
      <c r="EYR41" s="211">
        <f t="shared" si="1494"/>
        <v>360.33333333333331</v>
      </c>
      <c r="EYS41" s="195">
        <v>203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495"/>
        <v>203</v>
      </c>
      <c r="EYZ41" s="873">
        <f t="shared" si="1496"/>
        <v>33.833333333333336</v>
      </c>
      <c r="EZA41" s="195">
        <v>1504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497"/>
        <v>1504</v>
      </c>
      <c r="EZH41" s="873">
        <f t="shared" si="1498"/>
        <v>250.66666666666666</v>
      </c>
      <c r="EZI41" s="195">
        <v>1020</v>
      </c>
      <c r="EZJ41" s="49">
        <v>0</v>
      </c>
      <c r="EZK41" s="49"/>
      <c r="EZL41" s="49"/>
      <c r="EZM41" s="49"/>
      <c r="EZN41" s="49"/>
      <c r="EZO41" s="872">
        <f t="shared" si="1499"/>
        <v>1020</v>
      </c>
      <c r="EZP41" s="873">
        <f t="shared" si="1500"/>
        <v>170</v>
      </c>
    </row>
    <row r="42" spans="1:4072" s="8" customFormat="1" ht="13.5" thickBot="1" x14ac:dyDescent="0.25">
      <c r="A42" s="21">
        <v>13</v>
      </c>
      <c r="B42" s="297" t="s">
        <v>41</v>
      </c>
      <c r="C42" s="725" t="s">
        <v>42</v>
      </c>
      <c r="D42" s="297">
        <v>25</v>
      </c>
      <c r="E42" s="24"/>
      <c r="F42" s="24">
        <v>982</v>
      </c>
      <c r="G42" s="24"/>
      <c r="H42" s="24"/>
      <c r="I42" s="24"/>
      <c r="J42" s="360">
        <f>SUMIF(SUMPK!$B:$B,$B:$B,SUMPK!$O:$O)</f>
        <v>0</v>
      </c>
      <c r="K42" s="24">
        <f t="shared" si="1220"/>
        <v>0</v>
      </c>
      <c r="L42" s="24">
        <f t="shared" si="1505"/>
        <v>982</v>
      </c>
      <c r="M42" s="15">
        <f t="shared" si="1627"/>
        <v>982</v>
      </c>
      <c r="N42" s="15">
        <v>0</v>
      </c>
      <c r="O42" s="276">
        <f t="shared" si="1223"/>
        <v>0</v>
      </c>
      <c r="P42" s="712">
        <v>0</v>
      </c>
      <c r="Q42" s="276">
        <f t="shared" si="1506"/>
        <v>0</v>
      </c>
      <c r="R42" s="277">
        <f t="shared" si="1507"/>
        <v>15.384615384615385</v>
      </c>
      <c r="S42" s="222">
        <v>400</v>
      </c>
      <c r="T42" s="276">
        <f t="shared" si="1628"/>
        <v>63.83</v>
      </c>
      <c r="U42" s="278"/>
      <c r="V42" s="276">
        <f t="shared" si="1227"/>
        <v>63.83</v>
      </c>
      <c r="W42" s="279">
        <f t="shared" si="1228"/>
        <v>1</v>
      </c>
      <c r="X42" s="278"/>
      <c r="Y42" s="7"/>
      <c r="Z42" s="7"/>
      <c r="AA42" s="7"/>
      <c r="AB42" s="7"/>
      <c r="AC42" s="662">
        <v>16</v>
      </c>
      <c r="AD42" s="649"/>
      <c r="AE42" s="49">
        <v>201</v>
      </c>
      <c r="AF42" s="49"/>
      <c r="AG42" s="49"/>
      <c r="AH42" s="49"/>
      <c r="AI42" s="49"/>
      <c r="AJ42" s="42">
        <f t="shared" si="1892"/>
        <v>201</v>
      </c>
      <c r="AK42" s="43">
        <f t="shared" si="1893"/>
        <v>33.5</v>
      </c>
      <c r="AL42" s="48">
        <v>206</v>
      </c>
      <c r="AM42" s="49"/>
      <c r="AN42" s="49"/>
      <c r="AO42" s="49"/>
      <c r="AP42" s="49">
        <v>429</v>
      </c>
      <c r="AQ42" s="49"/>
      <c r="AR42" s="42">
        <f t="shared" si="1894"/>
        <v>635</v>
      </c>
      <c r="AS42" s="43">
        <f t="shared" si="1895"/>
        <v>105.83333333333333</v>
      </c>
      <c r="AT42" s="48"/>
      <c r="AU42" s="49"/>
      <c r="AV42" s="49">
        <v>98</v>
      </c>
      <c r="AW42" s="49"/>
      <c r="AX42" s="49"/>
      <c r="AY42" s="49"/>
      <c r="AZ42" s="42">
        <f t="shared" si="1896"/>
        <v>98</v>
      </c>
      <c r="BA42" s="43">
        <f t="shared" si="1897"/>
        <v>16.333333333333332</v>
      </c>
      <c r="BB42" s="48"/>
      <c r="BC42" s="49">
        <v>400</v>
      </c>
      <c r="BD42" s="49"/>
      <c r="BE42" s="49"/>
      <c r="BF42" s="49"/>
      <c r="BG42" s="49"/>
      <c r="BH42" s="42">
        <f t="shared" si="1898"/>
        <v>400</v>
      </c>
      <c r="BI42" s="43">
        <f t="shared" si="1899"/>
        <v>66.666666666666671</v>
      </c>
      <c r="BJ42" s="48">
        <v>400</v>
      </c>
      <c r="BK42" s="49"/>
      <c r="BL42" s="49"/>
      <c r="BM42" s="49"/>
      <c r="BN42" s="49"/>
      <c r="BO42" s="49">
        <v>412</v>
      </c>
      <c r="BP42" s="42">
        <f t="shared" si="1900"/>
        <v>812</v>
      </c>
      <c r="BQ42" s="43">
        <f t="shared" si="1901"/>
        <v>135.33333333333334</v>
      </c>
      <c r="BR42" s="48"/>
      <c r="BS42" s="49"/>
      <c r="BT42" s="49"/>
      <c r="BU42" s="49">
        <v>400</v>
      </c>
      <c r="BV42" s="49"/>
      <c r="BW42" s="49"/>
      <c r="BX42" s="42">
        <f t="shared" si="1902"/>
        <v>400</v>
      </c>
      <c r="BY42" s="43">
        <f t="shared" si="1903"/>
        <v>66.666666666666671</v>
      </c>
      <c r="BZ42" s="48"/>
      <c r="CA42" s="49"/>
      <c r="CB42" s="49">
        <v>200</v>
      </c>
      <c r="CC42" s="49"/>
      <c r="CD42" s="49"/>
      <c r="CE42" s="49"/>
      <c r="CF42" s="42">
        <f t="shared" si="1904"/>
        <v>200</v>
      </c>
      <c r="CG42" s="43">
        <f t="shared" si="1905"/>
        <v>33.333333333333336</v>
      </c>
      <c r="CH42" s="48"/>
      <c r="CI42" s="49"/>
      <c r="CJ42" s="49">
        <v>200</v>
      </c>
      <c r="CK42" s="49"/>
      <c r="CL42" s="49"/>
      <c r="CM42" s="49"/>
      <c r="CN42" s="42">
        <f t="shared" si="1906"/>
        <v>200</v>
      </c>
      <c r="CO42" s="43">
        <f t="shared" si="1907"/>
        <v>33.333333333333336</v>
      </c>
      <c r="CP42" s="48"/>
      <c r="CQ42" s="49"/>
      <c r="CR42" s="49">
        <v>400</v>
      </c>
      <c r="CS42" s="49"/>
      <c r="CT42" s="49"/>
      <c r="CU42" s="49"/>
      <c r="CV42" s="42">
        <f t="shared" si="1908"/>
        <v>400</v>
      </c>
      <c r="CW42" s="43">
        <f t="shared" si="1909"/>
        <v>66.666666666666671</v>
      </c>
      <c r="CX42" s="48"/>
      <c r="CY42" s="49"/>
      <c r="CZ42" s="49">
        <v>200</v>
      </c>
      <c r="DA42" s="49"/>
      <c r="DB42" s="49"/>
      <c r="DC42" s="49">
        <v>394</v>
      </c>
      <c r="DD42" s="42">
        <f t="shared" si="1910"/>
        <v>594</v>
      </c>
      <c r="DE42" s="43">
        <f t="shared" si="1911"/>
        <v>99</v>
      </c>
      <c r="DF42" s="48"/>
      <c r="DG42" s="49"/>
      <c r="DH42" s="49"/>
      <c r="DI42" s="49"/>
      <c r="DJ42" s="49"/>
      <c r="DK42" s="49"/>
      <c r="DL42" s="42">
        <f t="shared" si="1912"/>
        <v>0</v>
      </c>
      <c r="DM42" s="43">
        <f t="shared" si="1913"/>
        <v>0</v>
      </c>
      <c r="DN42" s="48"/>
      <c r="DO42" s="49">
        <v>597</v>
      </c>
      <c r="DP42" s="49"/>
      <c r="DQ42" s="49"/>
      <c r="DR42" s="49"/>
      <c r="DS42" s="49"/>
      <c r="DT42" s="42">
        <f t="shared" si="1914"/>
        <v>597</v>
      </c>
      <c r="DU42" s="43">
        <f t="shared" si="1915"/>
        <v>99.5</v>
      </c>
      <c r="DV42" s="48"/>
      <c r="DW42" s="49"/>
      <c r="DX42" s="49"/>
      <c r="DY42" s="49"/>
      <c r="DZ42" s="49"/>
      <c r="EA42" s="49"/>
      <c r="EB42" s="42">
        <f t="shared" si="1916"/>
        <v>0</v>
      </c>
      <c r="EC42" s="43">
        <f t="shared" si="1917"/>
        <v>0</v>
      </c>
      <c r="ED42" s="48"/>
      <c r="EE42" s="49"/>
      <c r="EF42" s="49"/>
      <c r="EG42" s="49">
        <v>400</v>
      </c>
      <c r="EH42" s="49"/>
      <c r="EI42" s="49"/>
      <c r="EJ42" s="42">
        <f t="shared" si="1918"/>
        <v>400</v>
      </c>
      <c r="EK42" s="43">
        <f t="shared" si="1919"/>
        <v>66.666666666666671</v>
      </c>
      <c r="EL42" s="48"/>
      <c r="EM42" s="49"/>
      <c r="EN42" s="49"/>
      <c r="EO42" s="49">
        <v>400</v>
      </c>
      <c r="EP42" s="49"/>
      <c r="EQ42" s="49"/>
      <c r="ER42" s="42">
        <f t="shared" si="1920"/>
        <v>400</v>
      </c>
      <c r="ES42" s="43">
        <f t="shared" si="1921"/>
        <v>66.666666666666671</v>
      </c>
      <c r="ET42" s="48"/>
      <c r="EU42" s="49"/>
      <c r="EV42" s="49"/>
      <c r="EW42" s="49"/>
      <c r="EX42" s="49"/>
      <c r="EY42" s="49">
        <v>398</v>
      </c>
      <c r="EZ42" s="42">
        <f t="shared" si="1922"/>
        <v>398</v>
      </c>
      <c r="FA42" s="43">
        <f t="shared" si="1923"/>
        <v>66.333333333333329</v>
      </c>
      <c r="FB42" s="48"/>
      <c r="FC42" s="49"/>
      <c r="FD42" s="49"/>
      <c r="FE42" s="49"/>
      <c r="FF42" s="49">
        <v>400</v>
      </c>
      <c r="FG42" s="49"/>
      <c r="FH42" s="42">
        <f t="shared" si="1924"/>
        <v>400</v>
      </c>
      <c r="FI42" s="43">
        <f t="shared" si="1925"/>
        <v>66.666666666666671</v>
      </c>
      <c r="FJ42" s="48"/>
      <c r="FK42" s="49"/>
      <c r="FL42" s="49"/>
      <c r="FM42" s="49"/>
      <c r="FN42" s="49"/>
      <c r="FO42" s="49"/>
      <c r="FP42" s="42">
        <f t="shared" si="1926"/>
        <v>0</v>
      </c>
      <c r="FQ42" s="43">
        <f t="shared" si="1927"/>
        <v>0</v>
      </c>
      <c r="FR42" s="48"/>
      <c r="FS42" s="49"/>
      <c r="FT42" s="49">
        <v>400</v>
      </c>
      <c r="FU42" s="49"/>
      <c r="FV42" s="49"/>
      <c r="FW42" s="49"/>
      <c r="FX42" s="42">
        <f t="shared" si="1928"/>
        <v>400</v>
      </c>
      <c r="FY42" s="43">
        <f t="shared" si="1929"/>
        <v>66.666666666666671</v>
      </c>
      <c r="FZ42" s="48"/>
      <c r="GA42" s="49"/>
      <c r="GB42" s="49"/>
      <c r="GC42" s="49"/>
      <c r="GD42" s="49"/>
      <c r="GE42" s="49"/>
      <c r="GF42" s="42">
        <f t="shared" si="1930"/>
        <v>0</v>
      </c>
      <c r="GG42" s="43">
        <f t="shared" si="1931"/>
        <v>0</v>
      </c>
      <c r="GH42" s="48">
        <v>399</v>
      </c>
      <c r="GI42" s="49"/>
      <c r="GJ42" s="49"/>
      <c r="GK42" s="49"/>
      <c r="GL42" s="49"/>
      <c r="GM42" s="49"/>
      <c r="GN42" s="42">
        <f t="shared" si="1932"/>
        <v>399</v>
      </c>
      <c r="GO42" s="43">
        <f t="shared" si="1933"/>
        <v>66.5</v>
      </c>
      <c r="GP42" s="48"/>
      <c r="GQ42" s="49"/>
      <c r="GR42" s="49">
        <v>400</v>
      </c>
      <c r="GS42" s="49"/>
      <c r="GT42" s="49"/>
      <c r="GU42" s="49"/>
      <c r="GV42" s="42">
        <f t="shared" si="1934"/>
        <v>400</v>
      </c>
      <c r="GW42" s="43">
        <f t="shared" si="1935"/>
        <v>66.666666666666671</v>
      </c>
      <c r="GX42" s="48"/>
      <c r="GY42" s="49"/>
      <c r="GZ42" s="49">
        <v>200</v>
      </c>
      <c r="HA42" s="49"/>
      <c r="HB42" s="49"/>
      <c r="HC42" s="49"/>
      <c r="HD42" s="42">
        <f t="shared" si="1936"/>
        <v>200</v>
      </c>
      <c r="HE42" s="43">
        <f t="shared" si="1937"/>
        <v>33.333333333333336</v>
      </c>
      <c r="HF42" s="48"/>
      <c r="HG42" s="49"/>
      <c r="HH42" s="49"/>
      <c r="HI42" s="49"/>
      <c r="HJ42" s="49"/>
      <c r="HK42" s="49"/>
      <c r="HL42" s="42">
        <f t="shared" si="1938"/>
        <v>0</v>
      </c>
      <c r="HM42" s="43">
        <f t="shared" si="1939"/>
        <v>0</v>
      </c>
      <c r="HN42" s="82">
        <v>189</v>
      </c>
      <c r="HO42" s="83"/>
      <c r="HP42" s="83"/>
      <c r="HQ42" s="83"/>
      <c r="HR42" s="83">
        <v>200</v>
      </c>
      <c r="HS42" s="83"/>
      <c r="HT42" s="42">
        <f t="shared" si="1940"/>
        <v>389</v>
      </c>
      <c r="HU42" s="43">
        <f t="shared" si="1941"/>
        <v>64.833333333333329</v>
      </c>
      <c r="HV42" s="48"/>
      <c r="HW42" s="49"/>
      <c r="HX42" s="49">
        <v>82</v>
      </c>
      <c r="HY42" s="49"/>
      <c r="HZ42" s="49"/>
      <c r="IA42" s="49"/>
      <c r="IB42" s="42">
        <f t="shared" si="1942"/>
        <v>82</v>
      </c>
      <c r="IC42" s="43">
        <f t="shared" si="1943"/>
        <v>13.666666666666666</v>
      </c>
      <c r="ID42" s="48">
        <v>195</v>
      </c>
      <c r="IE42" s="49"/>
      <c r="IF42" s="49"/>
      <c r="IG42" s="49">
        <v>200</v>
      </c>
      <c r="IH42" s="49"/>
      <c r="II42" s="49"/>
      <c r="IJ42" s="42">
        <f t="shared" si="1944"/>
        <v>395</v>
      </c>
      <c r="IK42" s="43">
        <f t="shared" si="1945"/>
        <v>65.833333333333329</v>
      </c>
      <c r="IL42" s="48"/>
      <c r="IM42" s="49"/>
      <c r="IN42" s="49"/>
      <c r="IO42" s="49"/>
      <c r="IP42" s="49"/>
      <c r="IQ42" s="49"/>
      <c r="IR42" s="67">
        <f t="shared" si="1946"/>
        <v>0</v>
      </c>
      <c r="IS42" s="68">
        <f t="shared" si="1947"/>
        <v>0</v>
      </c>
      <c r="IT42" s="48"/>
      <c r="IU42" s="49"/>
      <c r="IV42" s="49"/>
      <c r="IW42" s="49"/>
      <c r="IX42" s="49"/>
      <c r="IY42" s="49"/>
      <c r="IZ42" s="67">
        <f t="shared" si="1948"/>
        <v>0</v>
      </c>
      <c r="JA42" s="68">
        <f t="shared" si="1949"/>
        <v>0</v>
      </c>
      <c r="JB42" s="48"/>
      <c r="JC42" s="49"/>
      <c r="JD42" s="49"/>
      <c r="JE42" s="49">
        <v>400</v>
      </c>
      <c r="JF42" s="49"/>
      <c r="JG42" s="49"/>
      <c r="JH42" s="67">
        <f t="shared" si="1950"/>
        <v>400</v>
      </c>
      <c r="JI42" s="68">
        <f t="shared" si="1951"/>
        <v>66.666666666666671</v>
      </c>
      <c r="JJ42" s="48">
        <v>89</v>
      </c>
      <c r="JK42" s="49"/>
      <c r="JL42" s="49">
        <v>329</v>
      </c>
      <c r="JM42" s="49"/>
      <c r="JN42" s="49"/>
      <c r="JO42" s="49"/>
      <c r="JP42" s="42">
        <f t="shared" si="1952"/>
        <v>418</v>
      </c>
      <c r="JQ42" s="43">
        <f t="shared" si="1953"/>
        <v>69.666666666666671</v>
      </c>
      <c r="JR42" s="48">
        <v>83</v>
      </c>
      <c r="JS42" s="49"/>
      <c r="JT42" s="49"/>
      <c r="JU42" s="49"/>
      <c r="JV42" s="49"/>
      <c r="JW42" s="49"/>
      <c r="JX42" s="42">
        <f t="shared" si="1954"/>
        <v>83</v>
      </c>
      <c r="JY42" s="43">
        <f t="shared" si="1955"/>
        <v>13.833333333333334</v>
      </c>
      <c r="JZ42" s="48">
        <v>300</v>
      </c>
      <c r="KA42" s="49"/>
      <c r="KB42" s="49"/>
      <c r="KC42" s="49"/>
      <c r="KD42" s="49"/>
      <c r="KE42" s="49">
        <v>196</v>
      </c>
      <c r="KF42" s="42">
        <f t="shared" si="1956"/>
        <v>496</v>
      </c>
      <c r="KG42" s="43">
        <f t="shared" si="1957"/>
        <v>82.666666666666671</v>
      </c>
      <c r="KH42" s="48"/>
      <c r="KI42" s="49"/>
      <c r="KJ42" s="49"/>
      <c r="KK42" s="49"/>
      <c r="KL42" s="49"/>
      <c r="KM42" s="49">
        <v>204</v>
      </c>
      <c r="KN42" s="67">
        <f t="shared" si="1958"/>
        <v>204</v>
      </c>
      <c r="KO42" s="68">
        <f t="shared" si="1959"/>
        <v>34</v>
      </c>
      <c r="KP42" s="48"/>
      <c r="KQ42" s="49"/>
      <c r="KR42" s="49"/>
      <c r="KS42" s="49"/>
      <c r="KT42" s="49"/>
      <c r="KU42" s="49">
        <v>300</v>
      </c>
      <c r="KV42" s="67">
        <f t="shared" si="1960"/>
        <v>300</v>
      </c>
      <c r="KW42" s="68">
        <f t="shared" si="1961"/>
        <v>50</v>
      </c>
      <c r="KX42" s="48"/>
      <c r="KY42" s="49"/>
      <c r="KZ42" s="49"/>
      <c r="LA42" s="49"/>
      <c r="LB42" s="49"/>
      <c r="LC42" s="49"/>
      <c r="LD42" s="67">
        <f t="shared" si="1962"/>
        <v>0</v>
      </c>
      <c r="LE42" s="68">
        <f t="shared" si="1963"/>
        <v>0</v>
      </c>
      <c r="LF42" s="48">
        <v>300</v>
      </c>
      <c r="LG42" s="49"/>
      <c r="LH42" s="49"/>
      <c r="LI42" s="49"/>
      <c r="LJ42" s="49"/>
      <c r="LK42" s="49"/>
      <c r="LL42" s="67">
        <f t="shared" si="1964"/>
        <v>300</v>
      </c>
      <c r="LM42" s="68">
        <f t="shared" si="1965"/>
        <v>50</v>
      </c>
      <c r="LN42" s="48"/>
      <c r="LO42" s="49">
        <v>186</v>
      </c>
      <c r="LP42" s="49"/>
      <c r="LQ42" s="49"/>
      <c r="LR42" s="49"/>
      <c r="LS42" s="49"/>
      <c r="LT42" s="67">
        <f t="shared" si="1966"/>
        <v>186</v>
      </c>
      <c r="LU42" s="68">
        <f t="shared" si="1967"/>
        <v>31</v>
      </c>
      <c r="LV42" s="48"/>
      <c r="LW42" s="49"/>
      <c r="LX42" s="49">
        <v>200</v>
      </c>
      <c r="LY42" s="49"/>
      <c r="LZ42" s="49"/>
      <c r="MA42" s="49"/>
      <c r="MB42" s="67">
        <f t="shared" si="1968"/>
        <v>200</v>
      </c>
      <c r="MC42" s="68">
        <f t="shared" si="1969"/>
        <v>33.333333333333336</v>
      </c>
      <c r="MD42" s="48"/>
      <c r="ME42" s="49"/>
      <c r="MF42" s="49">
        <v>99</v>
      </c>
      <c r="MG42" s="49"/>
      <c r="MH42" s="49"/>
      <c r="MI42" s="49"/>
      <c r="MJ42" s="67">
        <f t="shared" si="1970"/>
        <v>99</v>
      </c>
      <c r="MK42" s="68">
        <f t="shared" si="1971"/>
        <v>16.5</v>
      </c>
      <c r="ML42" s="48"/>
      <c r="MM42" s="49"/>
      <c r="MN42" s="49"/>
      <c r="MO42" s="49"/>
      <c r="MP42" s="49"/>
      <c r="MQ42" s="49">
        <v>200</v>
      </c>
      <c r="MR42" s="67">
        <f t="shared" si="1972"/>
        <v>200</v>
      </c>
      <c r="MS42" s="68">
        <f t="shared" si="1973"/>
        <v>33.333333333333336</v>
      </c>
      <c r="MT42" s="48"/>
      <c r="MU42" s="49"/>
      <c r="MV42" s="49"/>
      <c r="MW42" s="49"/>
      <c r="MX42" s="49"/>
      <c r="MY42" s="49"/>
      <c r="MZ42" s="67">
        <f t="shared" si="1974"/>
        <v>0</v>
      </c>
      <c r="NA42" s="68">
        <f t="shared" si="1975"/>
        <v>0</v>
      </c>
      <c r="NB42" s="48"/>
      <c r="NC42" s="49">
        <v>262</v>
      </c>
      <c r="ND42" s="49"/>
      <c r="NE42" s="49"/>
      <c r="NF42" s="49"/>
      <c r="NG42" s="49"/>
      <c r="NH42" s="67">
        <f t="shared" si="1976"/>
        <v>262</v>
      </c>
      <c r="NI42" s="68">
        <f t="shared" si="1977"/>
        <v>43.666666666666664</v>
      </c>
      <c r="NJ42" s="48"/>
      <c r="NK42" s="49"/>
      <c r="NL42" s="49"/>
      <c r="NM42" s="49"/>
      <c r="NN42" s="49"/>
      <c r="NO42" s="49"/>
      <c r="NP42" s="67">
        <f t="shared" si="1978"/>
        <v>0</v>
      </c>
      <c r="NQ42" s="68">
        <f t="shared" si="1979"/>
        <v>0</v>
      </c>
      <c r="NR42" s="48"/>
      <c r="NS42" s="49"/>
      <c r="NT42" s="49"/>
      <c r="NU42" s="49"/>
      <c r="NV42" s="49"/>
      <c r="NW42" s="49"/>
      <c r="NX42" s="67">
        <f t="shared" si="1980"/>
        <v>0</v>
      </c>
      <c r="NY42" s="68">
        <f t="shared" si="1981"/>
        <v>0</v>
      </c>
      <c r="NZ42" s="48"/>
      <c r="OA42" s="49">
        <v>300</v>
      </c>
      <c r="OB42" s="49">
        <v>300</v>
      </c>
      <c r="OC42" s="49"/>
      <c r="OD42" s="49"/>
      <c r="OE42" s="49"/>
      <c r="OF42" s="67">
        <f t="shared" si="1982"/>
        <v>600</v>
      </c>
      <c r="OG42" s="68">
        <f t="shared" si="1983"/>
        <v>100</v>
      </c>
      <c r="OH42" s="48"/>
      <c r="OI42" s="49"/>
      <c r="OJ42" s="49"/>
      <c r="OK42" s="49"/>
      <c r="OL42" s="49">
        <v>196</v>
      </c>
      <c r="OM42" s="49"/>
      <c r="ON42" s="67">
        <f t="shared" si="1984"/>
        <v>196</v>
      </c>
      <c r="OO42" s="68">
        <f t="shared" si="1985"/>
        <v>32.666666666666664</v>
      </c>
      <c r="OP42" s="48"/>
      <c r="OQ42" s="49"/>
      <c r="OR42" s="49"/>
      <c r="OS42" s="49"/>
      <c r="OT42" s="49"/>
      <c r="OU42" s="49"/>
      <c r="OV42" s="67">
        <f t="shared" si="1986"/>
        <v>0</v>
      </c>
      <c r="OW42" s="68">
        <f t="shared" si="1987"/>
        <v>0</v>
      </c>
      <c r="OX42" s="48"/>
      <c r="OY42" s="49"/>
      <c r="OZ42" s="49"/>
      <c r="PA42" s="49"/>
      <c r="PB42" s="49"/>
      <c r="PC42" s="49"/>
      <c r="PD42" s="67">
        <f t="shared" si="1988"/>
        <v>0</v>
      </c>
      <c r="PE42" s="68">
        <f t="shared" si="1989"/>
        <v>0</v>
      </c>
      <c r="PF42" s="48">
        <v>200</v>
      </c>
      <c r="PG42" s="49"/>
      <c r="PH42" s="49"/>
      <c r="PI42" s="49"/>
      <c r="PJ42" s="49"/>
      <c r="PK42" s="49"/>
      <c r="PL42" s="67">
        <f t="shared" si="1990"/>
        <v>200</v>
      </c>
      <c r="PM42" s="68">
        <f t="shared" si="1991"/>
        <v>33.333333333333336</v>
      </c>
      <c r="PN42" s="48">
        <v>254</v>
      </c>
      <c r="PO42" s="49"/>
      <c r="PP42" s="49"/>
      <c r="PQ42" s="49"/>
      <c r="PR42" s="49"/>
      <c r="PS42" s="49"/>
      <c r="PT42" s="67">
        <f t="shared" si="1992"/>
        <v>254</v>
      </c>
      <c r="PU42" s="68">
        <f t="shared" si="1993"/>
        <v>42.333333333333336</v>
      </c>
      <c r="PV42" s="106"/>
      <c r="PW42" s="107">
        <v>200</v>
      </c>
      <c r="PX42" s="107"/>
      <c r="PY42" s="107"/>
      <c r="PZ42" s="107"/>
      <c r="QA42" s="107"/>
      <c r="QB42" s="104">
        <f t="shared" si="1994"/>
        <v>200</v>
      </c>
      <c r="QC42" s="105">
        <f t="shared" si="1995"/>
        <v>33.333333333333336</v>
      </c>
      <c r="QD42" s="106"/>
      <c r="QE42" s="107"/>
      <c r="QF42" s="107"/>
      <c r="QG42" s="107"/>
      <c r="QH42" s="107"/>
      <c r="QI42" s="107"/>
      <c r="QJ42" s="104">
        <f t="shared" si="1996"/>
        <v>0</v>
      </c>
      <c r="QK42" s="105">
        <f t="shared" si="1997"/>
        <v>0</v>
      </c>
      <c r="QL42" s="106"/>
      <c r="QM42" s="107"/>
      <c r="QN42" s="107">
        <v>96</v>
      </c>
      <c r="QO42" s="107"/>
      <c r="QP42" s="107"/>
      <c r="QQ42" s="107"/>
      <c r="QR42" s="104">
        <f t="shared" si="1998"/>
        <v>96</v>
      </c>
      <c r="QS42" s="105">
        <f t="shared" si="1999"/>
        <v>16</v>
      </c>
      <c r="QT42" s="106"/>
      <c r="QU42" s="107"/>
      <c r="QV42" s="107"/>
      <c r="QW42" s="107"/>
      <c r="QX42" s="107"/>
      <c r="QY42" s="107">
        <v>200</v>
      </c>
      <c r="QZ42" s="104">
        <f t="shared" si="2000"/>
        <v>200</v>
      </c>
      <c r="RA42" s="105">
        <f t="shared" si="2001"/>
        <v>33.333333333333336</v>
      </c>
      <c r="RB42" s="106"/>
      <c r="RC42" s="107"/>
      <c r="RD42" s="107"/>
      <c r="RE42" s="107"/>
      <c r="RF42" s="107"/>
      <c r="RG42" s="107">
        <v>206</v>
      </c>
      <c r="RH42" s="104">
        <f t="shared" si="2002"/>
        <v>206</v>
      </c>
      <c r="RI42" s="105">
        <f t="shared" si="2003"/>
        <v>34.333333333333336</v>
      </c>
      <c r="RJ42" s="106"/>
      <c r="RK42" s="107"/>
      <c r="RL42" s="107"/>
      <c r="RM42" s="107"/>
      <c r="RN42" s="107"/>
      <c r="RO42" s="107"/>
      <c r="RP42" s="104">
        <f t="shared" si="2004"/>
        <v>0</v>
      </c>
      <c r="RQ42" s="105">
        <f t="shared" si="2005"/>
        <v>0</v>
      </c>
      <c r="RR42" s="106"/>
      <c r="RS42" s="107"/>
      <c r="RT42" s="107"/>
      <c r="RU42" s="107"/>
      <c r="RV42" s="107"/>
      <c r="RW42" s="107"/>
      <c r="RX42" s="104">
        <f t="shared" si="2006"/>
        <v>0</v>
      </c>
      <c r="RY42" s="105">
        <f t="shared" si="2007"/>
        <v>0</v>
      </c>
      <c r="RZ42" s="106">
        <v>102</v>
      </c>
      <c r="SA42" s="107"/>
      <c r="SB42" s="107"/>
      <c r="SC42" s="107"/>
      <c r="SD42" s="107"/>
      <c r="SE42" s="107"/>
      <c r="SF42" s="104">
        <f t="shared" si="2008"/>
        <v>102</v>
      </c>
      <c r="SG42" s="105">
        <f t="shared" si="2009"/>
        <v>17</v>
      </c>
      <c r="SH42" s="106"/>
      <c r="SI42" s="107">
        <v>198</v>
      </c>
      <c r="SJ42" s="107"/>
      <c r="SK42" s="107"/>
      <c r="SL42" s="107"/>
      <c r="SM42" s="107"/>
      <c r="SN42" s="104">
        <f t="shared" si="2010"/>
        <v>198</v>
      </c>
      <c r="SO42" s="105">
        <f t="shared" si="2011"/>
        <v>33</v>
      </c>
      <c r="SP42" s="106"/>
      <c r="SQ42" s="107"/>
      <c r="SR42" s="107">
        <v>102</v>
      </c>
      <c r="SS42" s="107"/>
      <c r="ST42" s="107"/>
      <c r="SU42" s="107"/>
      <c r="SV42" s="104">
        <f t="shared" si="2012"/>
        <v>102</v>
      </c>
      <c r="SW42" s="105">
        <f t="shared" si="2013"/>
        <v>17</v>
      </c>
      <c r="SX42" s="106"/>
      <c r="SY42" s="107"/>
      <c r="SZ42" s="107"/>
      <c r="TA42" s="107"/>
      <c r="TB42" s="107">
        <v>204</v>
      </c>
      <c r="TC42" s="107"/>
      <c r="TD42" s="104">
        <f t="shared" si="2014"/>
        <v>204</v>
      </c>
      <c r="TE42" s="105">
        <f t="shared" si="2015"/>
        <v>34</v>
      </c>
      <c r="TF42" s="106"/>
      <c r="TG42" s="107"/>
      <c r="TH42" s="107"/>
      <c r="TI42" s="107"/>
      <c r="TJ42" s="107"/>
      <c r="TK42" s="107"/>
      <c r="TL42" s="104">
        <f t="shared" si="2016"/>
        <v>0</v>
      </c>
      <c r="TM42" s="105">
        <f t="shared" si="2017"/>
        <v>0</v>
      </c>
      <c r="TN42" s="130"/>
      <c r="TO42" s="107">
        <v>201</v>
      </c>
      <c r="TP42" s="107"/>
      <c r="TQ42" s="107"/>
      <c r="TR42" s="107"/>
      <c r="TS42" s="107"/>
      <c r="TT42" s="104">
        <f t="shared" si="2018"/>
        <v>201</v>
      </c>
      <c r="TU42" s="105">
        <f t="shared" si="2019"/>
        <v>33.5</v>
      </c>
      <c r="TV42" s="106"/>
      <c r="TW42" s="107"/>
      <c r="TX42" s="107">
        <v>211</v>
      </c>
      <c r="TY42" s="107"/>
      <c r="TZ42" s="107"/>
      <c r="UA42" s="107"/>
      <c r="UB42" s="104">
        <f t="shared" si="2020"/>
        <v>211</v>
      </c>
      <c r="UC42" s="105">
        <f t="shared" si="2021"/>
        <v>35.166666666666664</v>
      </c>
      <c r="UD42" s="106"/>
      <c r="UE42" s="107"/>
      <c r="UF42" s="107"/>
      <c r="UG42" s="107"/>
      <c r="UH42" s="107"/>
      <c r="UI42" s="107"/>
      <c r="UJ42" s="104">
        <f t="shared" si="2022"/>
        <v>0</v>
      </c>
      <c r="UK42" s="105">
        <f t="shared" si="2023"/>
        <v>0</v>
      </c>
      <c r="UL42" s="106"/>
      <c r="UM42" s="107"/>
      <c r="UN42" s="107"/>
      <c r="UO42" s="107"/>
      <c r="UP42" s="107"/>
      <c r="UQ42" s="107"/>
      <c r="UR42" s="107"/>
      <c r="US42" s="104">
        <f t="shared" si="1579"/>
        <v>0</v>
      </c>
      <c r="UT42" s="105">
        <f t="shared" si="2024"/>
        <v>0</v>
      </c>
      <c r="UU42" s="106"/>
      <c r="UV42" s="107"/>
      <c r="UW42" s="107">
        <v>200</v>
      </c>
      <c r="UX42" s="107"/>
      <c r="UY42" s="107"/>
      <c r="UZ42" s="107"/>
      <c r="VA42" s="104">
        <f t="shared" si="2025"/>
        <v>200</v>
      </c>
      <c r="VB42" s="105">
        <f t="shared" si="2026"/>
        <v>33.333333333333336</v>
      </c>
      <c r="VC42" s="106"/>
      <c r="VD42" s="107"/>
      <c r="VE42" s="107"/>
      <c r="VF42" s="107"/>
      <c r="VG42" s="107"/>
      <c r="VH42" s="107"/>
      <c r="VI42" s="104">
        <f t="shared" si="2027"/>
        <v>0</v>
      </c>
      <c r="VJ42" s="105">
        <f t="shared" si="2028"/>
        <v>0</v>
      </c>
      <c r="VK42" s="48"/>
      <c r="VL42" s="49"/>
      <c r="VM42" s="49"/>
      <c r="VN42" s="49">
        <v>225</v>
      </c>
      <c r="VO42" s="49"/>
      <c r="VP42" s="49"/>
      <c r="VQ42" s="67">
        <f t="shared" si="2029"/>
        <v>225</v>
      </c>
      <c r="VR42" s="68">
        <f t="shared" si="2030"/>
        <v>37.5</v>
      </c>
      <c r="VS42" s="106"/>
      <c r="VT42" s="107"/>
      <c r="VU42" s="107"/>
      <c r="VV42" s="107"/>
      <c r="VW42" s="107"/>
      <c r="VX42" s="107"/>
      <c r="VY42" s="104">
        <f t="shared" si="2031"/>
        <v>0</v>
      </c>
      <c r="VZ42" s="105">
        <f t="shared" si="2032"/>
        <v>0</v>
      </c>
      <c r="WA42" s="63"/>
      <c r="WB42" s="64"/>
      <c r="WC42" s="64"/>
      <c r="WD42" s="64"/>
      <c r="WE42" s="64"/>
      <c r="WF42" s="64"/>
      <c r="WG42" s="67">
        <f t="shared" si="2033"/>
        <v>0</v>
      </c>
      <c r="WH42" s="68">
        <f t="shared" si="2034"/>
        <v>0</v>
      </c>
      <c r="WI42" s="106">
        <v>201</v>
      </c>
      <c r="WJ42" s="107"/>
      <c r="WK42" s="107"/>
      <c r="WL42" s="107"/>
      <c r="WM42" s="107"/>
      <c r="WN42" s="107"/>
      <c r="WO42" s="104">
        <f t="shared" si="2035"/>
        <v>201</v>
      </c>
      <c r="WP42" s="105">
        <f t="shared" si="2036"/>
        <v>33.5</v>
      </c>
      <c r="WQ42" s="48"/>
      <c r="WR42" s="49"/>
      <c r="WS42" s="49">
        <v>225</v>
      </c>
      <c r="WT42" s="49"/>
      <c r="WU42" s="49"/>
      <c r="WV42" s="49"/>
      <c r="WW42" s="49"/>
      <c r="WX42" s="67">
        <f t="shared" si="2037"/>
        <v>225</v>
      </c>
      <c r="WY42" s="68">
        <f t="shared" si="2038"/>
        <v>37.5</v>
      </c>
      <c r="WZ42" s="48"/>
      <c r="XA42" s="49"/>
      <c r="XB42" s="49"/>
      <c r="XC42" s="49"/>
      <c r="XD42" s="49"/>
      <c r="XE42" s="49"/>
      <c r="XF42" s="49">
        <v>268</v>
      </c>
      <c r="XG42" s="67">
        <f t="shared" si="2039"/>
        <v>268</v>
      </c>
      <c r="XH42" s="68">
        <f t="shared" si="2040"/>
        <v>44.666666666666664</v>
      </c>
      <c r="XI42" s="48"/>
      <c r="XJ42" s="49"/>
      <c r="XK42" s="49"/>
      <c r="XL42" s="49"/>
      <c r="XM42" s="49">
        <v>201</v>
      </c>
      <c r="XN42" s="49"/>
      <c r="XO42" s="49"/>
      <c r="XP42" s="67">
        <f t="shared" si="2041"/>
        <v>201</v>
      </c>
      <c r="XQ42" s="68">
        <f t="shared" si="2042"/>
        <v>33.5</v>
      </c>
      <c r="XR42" s="48"/>
      <c r="XS42" s="49"/>
      <c r="XT42" s="49"/>
      <c r="XU42" s="49"/>
      <c r="XV42" s="49"/>
      <c r="XW42" s="49">
        <v>200</v>
      </c>
      <c r="XX42" s="49"/>
      <c r="XY42" s="67">
        <f t="shared" si="2043"/>
        <v>200</v>
      </c>
      <c r="XZ42" s="68">
        <f t="shared" si="2044"/>
        <v>33.333333333333336</v>
      </c>
      <c r="YA42" s="48"/>
      <c r="YB42" s="49"/>
      <c r="YC42" s="49"/>
      <c r="YD42" s="49">
        <v>167</v>
      </c>
      <c r="YE42" s="49"/>
      <c r="YF42" s="49"/>
      <c r="YG42" s="49"/>
      <c r="YH42" s="67">
        <f t="shared" si="2045"/>
        <v>167</v>
      </c>
      <c r="YI42" s="68">
        <f t="shared" si="2046"/>
        <v>27.833333333333332</v>
      </c>
      <c r="YJ42" s="48"/>
      <c r="YK42" s="49"/>
      <c r="YL42" s="49"/>
      <c r="YM42" s="49"/>
      <c r="YN42" s="49"/>
      <c r="YO42" s="49"/>
      <c r="YP42" s="49">
        <v>208</v>
      </c>
      <c r="YQ42" s="67">
        <f t="shared" si="2047"/>
        <v>208</v>
      </c>
      <c r="YR42" s="68">
        <f t="shared" si="2048"/>
        <v>34.666666666666664</v>
      </c>
      <c r="YS42" s="48"/>
      <c r="YT42" s="49"/>
      <c r="YU42" s="49"/>
      <c r="YV42" s="49"/>
      <c r="YW42" s="49">
        <v>300</v>
      </c>
      <c r="YX42" s="49"/>
      <c r="YY42" s="67">
        <f t="shared" si="2049"/>
        <v>300</v>
      </c>
      <c r="YZ42" s="68">
        <f t="shared" si="2050"/>
        <v>50</v>
      </c>
      <c r="ZA42" s="48"/>
      <c r="ZB42" s="49"/>
      <c r="ZC42" s="49"/>
      <c r="ZD42" s="49"/>
      <c r="ZE42" s="49"/>
      <c r="ZF42" s="49"/>
      <c r="ZG42" s="67">
        <f t="shared" si="2051"/>
        <v>0</v>
      </c>
      <c r="ZH42" s="68">
        <f t="shared" si="2052"/>
        <v>0</v>
      </c>
      <c r="ZI42" s="48"/>
      <c r="ZJ42" s="49"/>
      <c r="ZK42" s="49"/>
      <c r="ZL42" s="49"/>
      <c r="ZM42" s="49"/>
      <c r="ZN42" s="24"/>
      <c r="ZO42" s="67">
        <f t="shared" si="2053"/>
        <v>0</v>
      </c>
      <c r="ZP42" s="68">
        <f t="shared" si="2054"/>
        <v>0</v>
      </c>
      <c r="ZQ42" s="48"/>
      <c r="ZR42" s="49"/>
      <c r="ZS42" s="49">
        <v>200</v>
      </c>
      <c r="ZT42" s="49"/>
      <c r="ZU42" s="49"/>
      <c r="ZV42" s="49"/>
      <c r="ZW42" s="49"/>
      <c r="ZX42" s="67">
        <f t="shared" si="2055"/>
        <v>200</v>
      </c>
      <c r="ZY42" s="70">
        <f t="shared" si="2056"/>
        <v>33.333333333333336</v>
      </c>
      <c r="ZZ42" s="48"/>
      <c r="AAA42" s="49"/>
      <c r="AAB42" s="49">
        <v>200</v>
      </c>
      <c r="AAC42" s="49"/>
      <c r="AAD42" s="49"/>
      <c r="AAE42" s="49"/>
      <c r="AAF42" s="49"/>
      <c r="AAG42" s="67">
        <f t="shared" si="2057"/>
        <v>200</v>
      </c>
      <c r="AAH42" s="68">
        <f t="shared" si="2058"/>
        <v>33.333333333333336</v>
      </c>
      <c r="AAI42" s="48"/>
      <c r="AAJ42" s="49">
        <v>200</v>
      </c>
      <c r="AAK42" s="49"/>
      <c r="AAL42" s="49"/>
      <c r="AAM42" s="49"/>
      <c r="AAN42" s="49"/>
      <c r="AAO42" s="67">
        <f t="shared" si="2059"/>
        <v>200</v>
      </c>
      <c r="AAP42" s="68">
        <f t="shared" si="2060"/>
        <v>33.333333333333336</v>
      </c>
      <c r="AAQ42" s="48"/>
      <c r="AAR42" s="49"/>
      <c r="AAS42" s="49"/>
      <c r="AAT42" s="49"/>
      <c r="AAU42" s="49"/>
      <c r="AAV42" s="49">
        <v>200</v>
      </c>
      <c r="AAW42" s="67">
        <f t="shared" si="2061"/>
        <v>200</v>
      </c>
      <c r="AAX42" s="68">
        <f t="shared" si="2062"/>
        <v>33.333333333333336</v>
      </c>
      <c r="AAY42" s="48"/>
      <c r="AAZ42" s="49"/>
      <c r="ABA42" s="49"/>
      <c r="ABB42" s="49"/>
      <c r="ABC42" s="49">
        <v>200</v>
      </c>
      <c r="ABD42" s="49"/>
      <c r="ABE42" s="67">
        <f t="shared" si="2063"/>
        <v>200</v>
      </c>
      <c r="ABF42" s="68">
        <f t="shared" si="2064"/>
        <v>33.333333333333336</v>
      </c>
      <c r="ABG42" s="48"/>
      <c r="ABH42" s="49"/>
      <c r="ABI42" s="49"/>
      <c r="ABJ42" s="49"/>
      <c r="ABK42" s="49"/>
      <c r="ABL42" s="49"/>
      <c r="ABM42" s="67">
        <f t="shared" si="2065"/>
        <v>0</v>
      </c>
      <c r="ABN42" s="68">
        <f t="shared" si="2066"/>
        <v>0</v>
      </c>
      <c r="ABO42" s="48">
        <v>200</v>
      </c>
      <c r="ABP42" s="49"/>
      <c r="ABQ42" s="49"/>
      <c r="ABR42" s="49"/>
      <c r="ABS42" s="49"/>
      <c r="ABT42" s="49">
        <v>104</v>
      </c>
      <c r="ABU42" s="67">
        <f t="shared" si="2067"/>
        <v>304</v>
      </c>
      <c r="ABV42" s="68">
        <f t="shared" si="2068"/>
        <v>50.666666666666664</v>
      </c>
      <c r="ABW42" s="48"/>
      <c r="ABX42" s="49">
        <v>101</v>
      </c>
      <c r="ABY42" s="49"/>
      <c r="ABZ42" s="49"/>
      <c r="ACA42" s="49"/>
      <c r="ACB42" s="49"/>
      <c r="ACC42" s="67">
        <f t="shared" si="2069"/>
        <v>101</v>
      </c>
      <c r="ACD42" s="68">
        <f t="shared" si="2070"/>
        <v>16.833333333333332</v>
      </c>
      <c r="ACE42" s="48"/>
      <c r="ACF42" s="49"/>
      <c r="ACG42" s="49"/>
      <c r="ACH42" s="49">
        <v>300</v>
      </c>
      <c r="ACI42" s="49"/>
      <c r="ACJ42" s="49"/>
      <c r="ACK42" s="67">
        <f t="shared" si="2071"/>
        <v>300</v>
      </c>
      <c r="ACL42" s="68">
        <f t="shared" si="2072"/>
        <v>50</v>
      </c>
      <c r="ACM42" s="48"/>
      <c r="ACN42" s="49"/>
      <c r="ACO42" s="49"/>
      <c r="ACP42" s="49"/>
      <c r="ACQ42" s="49"/>
      <c r="ACR42" s="49"/>
      <c r="ACS42" s="67">
        <f t="shared" si="2073"/>
        <v>0</v>
      </c>
      <c r="ACT42" s="68">
        <f t="shared" si="2074"/>
        <v>0</v>
      </c>
      <c r="ACU42" s="48"/>
      <c r="ACV42" s="49"/>
      <c r="ACW42" s="49"/>
      <c r="ACX42" s="49"/>
      <c r="ACY42" s="49"/>
      <c r="ACZ42" s="49"/>
      <c r="ADA42" s="67">
        <f t="shared" si="2075"/>
        <v>0</v>
      </c>
      <c r="ADB42" s="68">
        <f t="shared" si="2076"/>
        <v>0</v>
      </c>
      <c r="ADC42" s="48"/>
      <c r="ADD42" s="49">
        <v>124</v>
      </c>
      <c r="ADE42" s="49"/>
      <c r="ADF42" s="49"/>
      <c r="ADG42" s="49"/>
      <c r="ADH42" s="49"/>
      <c r="ADI42" s="67">
        <f t="shared" si="2077"/>
        <v>124</v>
      </c>
      <c r="ADJ42" s="68">
        <f t="shared" si="2078"/>
        <v>20.666666666666668</v>
      </c>
      <c r="ADK42" s="48"/>
      <c r="ADL42" s="49">
        <v>220</v>
      </c>
      <c r="ADM42" s="49"/>
      <c r="ADN42" s="49"/>
      <c r="ADO42" s="49"/>
      <c r="ADP42" s="49"/>
      <c r="ADQ42" s="67">
        <f t="shared" si="2079"/>
        <v>220</v>
      </c>
      <c r="ADR42" s="68">
        <f t="shared" si="2080"/>
        <v>36.666666666666664</v>
      </c>
      <c r="ADS42" s="48"/>
      <c r="ADT42" s="49"/>
      <c r="ADU42" s="49"/>
      <c r="ADV42" s="49">
        <v>220</v>
      </c>
      <c r="ADW42" s="49"/>
      <c r="ADX42" s="49"/>
      <c r="ADY42" s="67">
        <f t="shared" si="2081"/>
        <v>220</v>
      </c>
      <c r="ADZ42" s="68">
        <f t="shared" si="2082"/>
        <v>36.666666666666664</v>
      </c>
      <c r="AEA42" s="48"/>
      <c r="AEB42" s="49"/>
      <c r="AEC42" s="49"/>
      <c r="AED42" s="49">
        <v>199</v>
      </c>
      <c r="AEE42" s="49"/>
      <c r="AEF42" s="49"/>
      <c r="AEG42" s="67">
        <f t="shared" si="2083"/>
        <v>199</v>
      </c>
      <c r="AEH42" s="68">
        <f t="shared" si="2084"/>
        <v>33.166666666666664</v>
      </c>
      <c r="AEI42" s="48"/>
      <c r="AEJ42" s="49"/>
      <c r="AEK42" s="49"/>
      <c r="AEL42" s="49"/>
      <c r="AEM42" s="49"/>
      <c r="AEN42" s="49"/>
      <c r="AEO42" s="67">
        <f t="shared" si="2085"/>
        <v>0</v>
      </c>
      <c r="AEP42" s="68">
        <f t="shared" si="2086"/>
        <v>0</v>
      </c>
      <c r="AEQ42" s="48"/>
      <c r="AER42" s="49"/>
      <c r="AES42" s="49">
        <v>110</v>
      </c>
      <c r="AET42" s="49"/>
      <c r="AEU42" s="49"/>
      <c r="AEV42" s="49"/>
      <c r="AEW42" s="67">
        <f t="shared" si="2087"/>
        <v>110</v>
      </c>
      <c r="AEX42" s="68">
        <f t="shared" si="2088"/>
        <v>18.333333333333332</v>
      </c>
      <c r="AEY42" s="48"/>
      <c r="AEZ42" s="49"/>
      <c r="AFA42" s="49"/>
      <c r="AFB42" s="49"/>
      <c r="AFC42" s="49"/>
      <c r="AFD42" s="49"/>
      <c r="AFE42" s="67">
        <f t="shared" si="2089"/>
        <v>0</v>
      </c>
      <c r="AFF42" s="68">
        <f t="shared" si="2090"/>
        <v>0</v>
      </c>
      <c r="AFG42" s="48"/>
      <c r="AFH42" s="49"/>
      <c r="AFI42" s="49"/>
      <c r="AFJ42" s="49">
        <v>220</v>
      </c>
      <c r="AFK42" s="49"/>
      <c r="AFL42" s="49"/>
      <c r="AFM42" s="67">
        <f t="shared" si="2091"/>
        <v>220</v>
      </c>
      <c r="AFN42" s="68">
        <f t="shared" si="2092"/>
        <v>36.666666666666664</v>
      </c>
      <c r="AFO42" s="48"/>
      <c r="AFP42" s="49"/>
      <c r="AFQ42" s="49">
        <v>220</v>
      </c>
      <c r="AFR42" s="49"/>
      <c r="AFS42" s="49"/>
      <c r="AFT42" s="49"/>
      <c r="AFU42" s="67">
        <f t="shared" si="2093"/>
        <v>220</v>
      </c>
      <c r="AFV42" s="68">
        <f t="shared" si="2094"/>
        <v>36.666666666666664</v>
      </c>
      <c r="AFW42" s="48"/>
      <c r="AFX42" s="49"/>
      <c r="AFY42" s="49"/>
      <c r="AFZ42" s="49"/>
      <c r="AGA42" s="49"/>
      <c r="AGB42" s="49">
        <v>217</v>
      </c>
      <c r="AGC42" s="67">
        <f t="shared" si="2095"/>
        <v>217</v>
      </c>
      <c r="AGD42" s="68">
        <f t="shared" si="2096"/>
        <v>36.166666666666664</v>
      </c>
      <c r="AGE42" s="48"/>
      <c r="AGF42" s="49"/>
      <c r="AGG42" s="49"/>
      <c r="AGH42" s="49">
        <v>123</v>
      </c>
      <c r="AGI42" s="49"/>
      <c r="AGJ42" s="49"/>
      <c r="AGK42" s="67">
        <f t="shared" si="2097"/>
        <v>123</v>
      </c>
      <c r="AGL42" s="68">
        <f t="shared" si="2098"/>
        <v>20.5</v>
      </c>
      <c r="AGM42" s="48"/>
      <c r="AGN42" s="49"/>
      <c r="AGO42" s="49"/>
      <c r="AGP42" s="49"/>
      <c r="AGQ42" s="49"/>
      <c r="AGR42" s="49"/>
      <c r="AGS42" s="49"/>
      <c r="AGT42" s="67">
        <f t="shared" si="2099"/>
        <v>0</v>
      </c>
      <c r="AGU42" s="68">
        <f t="shared" si="2100"/>
        <v>0</v>
      </c>
      <c r="AGV42" s="48"/>
      <c r="AGW42" s="49"/>
      <c r="AGX42" s="49"/>
      <c r="AGY42" s="49"/>
      <c r="AGZ42" s="49"/>
      <c r="AHA42" s="49"/>
      <c r="AHB42" s="67">
        <f t="shared" si="2101"/>
        <v>0</v>
      </c>
      <c r="AHC42" s="68">
        <f t="shared" si="2102"/>
        <v>0</v>
      </c>
      <c r="AHD42" s="48"/>
      <c r="AHE42" s="49"/>
      <c r="AHF42" s="49">
        <v>110</v>
      </c>
      <c r="AHG42" s="49"/>
      <c r="AHH42" s="49"/>
      <c r="AHI42" s="49"/>
      <c r="AHJ42" s="67">
        <f t="shared" si="2103"/>
        <v>110</v>
      </c>
      <c r="AHK42" s="68">
        <f t="shared" si="2104"/>
        <v>3.7931034482758621</v>
      </c>
      <c r="AHL42" s="48"/>
      <c r="AHM42" s="49">
        <v>110</v>
      </c>
      <c r="AHN42" s="49"/>
      <c r="AHO42" s="49"/>
      <c r="AHP42" s="49"/>
      <c r="AHQ42" s="49"/>
      <c r="AHR42" s="67">
        <f t="shared" si="2105"/>
        <v>110</v>
      </c>
      <c r="AHS42" s="68">
        <f t="shared" si="2106"/>
        <v>3.7931034482758621</v>
      </c>
      <c r="AHT42" s="48"/>
      <c r="AHU42" s="49">
        <v>220</v>
      </c>
      <c r="AHV42" s="49"/>
      <c r="AHW42" s="49"/>
      <c r="AHX42" s="49"/>
      <c r="AHY42" s="49"/>
      <c r="AHZ42" s="67">
        <f t="shared" si="2107"/>
        <v>220</v>
      </c>
      <c r="AIA42" s="68">
        <f t="shared" si="2108"/>
        <v>7.5862068965517242</v>
      </c>
      <c r="AIB42" s="48"/>
      <c r="AIC42" s="49"/>
      <c r="AID42" s="49"/>
      <c r="AIE42" s="49"/>
      <c r="AIF42" s="49"/>
      <c r="AIG42" s="49"/>
      <c r="AIH42" s="67">
        <f t="shared" si="2109"/>
        <v>0</v>
      </c>
      <c r="AII42" s="68">
        <f t="shared" si="2110"/>
        <v>0</v>
      </c>
      <c r="AIJ42" s="48"/>
      <c r="AIK42" s="49"/>
      <c r="AIL42" s="49"/>
      <c r="AIM42" s="49">
        <v>111</v>
      </c>
      <c r="AIN42" s="49"/>
      <c r="AIO42" s="49"/>
      <c r="AIP42" s="67">
        <f t="shared" si="2111"/>
        <v>111</v>
      </c>
      <c r="AIQ42" s="68">
        <f t="shared" si="2112"/>
        <v>3.8275862068965516</v>
      </c>
      <c r="AIR42" s="48"/>
      <c r="AIS42" s="49"/>
      <c r="AIT42" s="49"/>
      <c r="AIU42" s="49">
        <v>110</v>
      </c>
      <c r="AIV42" s="49"/>
      <c r="AIW42" s="49"/>
      <c r="AIX42" s="67">
        <f t="shared" si="2113"/>
        <v>110</v>
      </c>
      <c r="AIY42" s="68">
        <f t="shared" si="2114"/>
        <v>3.7931034482758621</v>
      </c>
      <c r="AIZ42" s="48"/>
      <c r="AJA42" s="49">
        <v>110</v>
      </c>
      <c r="AJB42" s="49"/>
      <c r="AJC42" s="49"/>
      <c r="AJD42" s="49"/>
      <c r="AJE42" s="49"/>
      <c r="AJF42" s="67">
        <f t="shared" si="2115"/>
        <v>110</v>
      </c>
      <c r="AJG42" s="68">
        <f t="shared" si="2116"/>
        <v>3.7931034482758621</v>
      </c>
      <c r="AJH42" s="48"/>
      <c r="AJI42" s="49"/>
      <c r="AJJ42" s="49"/>
      <c r="AJK42" s="49"/>
      <c r="AJL42" s="49"/>
      <c r="AJM42" s="49"/>
      <c r="AJN42" s="42">
        <f t="shared" si="2117"/>
        <v>0</v>
      </c>
      <c r="AJO42" s="43">
        <f t="shared" si="2118"/>
        <v>0</v>
      </c>
      <c r="AJP42" s="48"/>
      <c r="AJQ42" s="49"/>
      <c r="AJR42" s="49"/>
      <c r="AJS42" s="49"/>
      <c r="AJT42" s="49"/>
      <c r="AJU42" s="49"/>
      <c r="AJV42" s="42">
        <f t="shared" si="2119"/>
        <v>0</v>
      </c>
      <c r="AJW42" s="43">
        <f t="shared" si="2120"/>
        <v>0</v>
      </c>
      <c r="AJX42" s="48"/>
      <c r="AJY42" s="49"/>
      <c r="AJZ42" s="49"/>
      <c r="AKA42" s="49"/>
      <c r="AKB42" s="49"/>
      <c r="AKC42" s="49">
        <v>220</v>
      </c>
      <c r="AKD42" s="67">
        <f t="shared" si="2121"/>
        <v>220</v>
      </c>
      <c r="AKE42" s="68">
        <f t="shared" si="2122"/>
        <v>7.5862068965517242</v>
      </c>
      <c r="AKF42" s="48"/>
      <c r="AKG42" s="49"/>
      <c r="AKH42" s="49"/>
      <c r="AKI42" s="49">
        <v>110</v>
      </c>
      <c r="AKJ42" s="49"/>
      <c r="AKK42" s="49"/>
      <c r="AKL42" s="67">
        <f t="shared" si="2123"/>
        <v>110</v>
      </c>
      <c r="AKM42" s="184">
        <f t="shared" si="2124"/>
        <v>18.333333333333332</v>
      </c>
      <c r="AKN42" s="195"/>
      <c r="AKO42" s="49"/>
      <c r="AKP42" s="49"/>
      <c r="AKQ42" s="49"/>
      <c r="AKR42" s="49"/>
      <c r="AKS42" s="49">
        <v>143</v>
      </c>
      <c r="AKT42" s="67">
        <f t="shared" si="2125"/>
        <v>143</v>
      </c>
      <c r="AKU42" s="184">
        <f t="shared" si="2126"/>
        <v>23.833333333333332</v>
      </c>
      <c r="AKV42" s="48"/>
      <c r="AKW42" s="49"/>
      <c r="AKX42" s="49"/>
      <c r="AKY42" s="49"/>
      <c r="AKZ42" s="49"/>
      <c r="ALA42" s="49"/>
      <c r="ALB42" s="67">
        <f t="shared" si="2127"/>
        <v>0</v>
      </c>
      <c r="ALC42" s="68">
        <f t="shared" si="2128"/>
        <v>0</v>
      </c>
      <c r="ALD42" s="48"/>
      <c r="ALE42" s="49"/>
      <c r="ALF42" s="49"/>
      <c r="ALG42" s="49"/>
      <c r="ALH42" s="49"/>
      <c r="ALI42" s="49"/>
      <c r="ALJ42" s="67">
        <f t="shared" si="2129"/>
        <v>0</v>
      </c>
      <c r="ALK42" s="68">
        <f t="shared" si="2130"/>
        <v>0</v>
      </c>
      <c r="ALL42" s="48"/>
      <c r="ALM42" s="49"/>
      <c r="ALN42" s="49">
        <v>110</v>
      </c>
      <c r="ALO42" s="49"/>
      <c r="ALP42" s="49"/>
      <c r="ALQ42" s="49"/>
      <c r="ALR42" s="67">
        <f t="shared" si="2131"/>
        <v>110</v>
      </c>
      <c r="ALS42" s="68">
        <f t="shared" si="2132"/>
        <v>18.333333333333332</v>
      </c>
      <c r="ALT42" s="48"/>
      <c r="ALU42" s="49"/>
      <c r="ALV42" s="49"/>
      <c r="ALW42" s="49"/>
      <c r="ALX42" s="49"/>
      <c r="ALY42" s="49"/>
      <c r="ALZ42" s="67">
        <f t="shared" si="2133"/>
        <v>0</v>
      </c>
      <c r="AMA42" s="68">
        <f t="shared" si="2134"/>
        <v>0</v>
      </c>
      <c r="AMB42" s="48"/>
      <c r="AMC42" s="49"/>
      <c r="AMD42" s="49"/>
      <c r="AME42" s="49">
        <v>110</v>
      </c>
      <c r="AMF42" s="49"/>
      <c r="AMG42" s="49"/>
      <c r="AMH42" s="67">
        <f t="shared" si="2135"/>
        <v>110</v>
      </c>
      <c r="AMI42" s="68">
        <f t="shared" si="2136"/>
        <v>18.333333333333332</v>
      </c>
      <c r="AMJ42" s="48"/>
      <c r="AMK42" s="49">
        <v>110</v>
      </c>
      <c r="AML42" s="49"/>
      <c r="AMM42" s="49"/>
      <c r="AMN42" s="49"/>
      <c r="AMO42" s="49"/>
      <c r="AMP42" s="67">
        <f t="shared" si="2137"/>
        <v>110</v>
      </c>
      <c r="AMQ42" s="68">
        <f t="shared" si="2138"/>
        <v>18.333333333333332</v>
      </c>
      <c r="AMR42" s="48"/>
      <c r="AMS42" s="49"/>
      <c r="AMT42" s="49"/>
      <c r="AMU42" s="49">
        <v>100</v>
      </c>
      <c r="AMV42" s="49"/>
      <c r="AMW42" s="49"/>
      <c r="AMX42" s="67">
        <f t="shared" si="2139"/>
        <v>100</v>
      </c>
      <c r="AMY42" s="68">
        <f t="shared" si="2140"/>
        <v>16.666666666666668</v>
      </c>
      <c r="AMZ42" s="48"/>
      <c r="ANA42" s="49"/>
      <c r="ANB42" s="49">
        <v>111</v>
      </c>
      <c r="ANC42" s="49"/>
      <c r="AND42" s="49"/>
      <c r="ANE42" s="49"/>
      <c r="ANF42" s="67">
        <f t="shared" si="2141"/>
        <v>111</v>
      </c>
      <c r="ANG42" s="68">
        <f t="shared" si="2142"/>
        <v>18.5</v>
      </c>
      <c r="ANH42" s="48"/>
      <c r="ANI42" s="49"/>
      <c r="ANJ42" s="49"/>
      <c r="ANK42" s="49"/>
      <c r="ANL42" s="49"/>
      <c r="ANM42" s="49"/>
      <c r="ANN42" s="67">
        <f t="shared" si="2143"/>
        <v>0</v>
      </c>
      <c r="ANO42" s="68">
        <f t="shared" si="2144"/>
        <v>0</v>
      </c>
      <c r="ANP42" s="48"/>
      <c r="ANQ42" s="49"/>
      <c r="ANR42" s="49"/>
      <c r="ANS42" s="49"/>
      <c r="ANT42" s="49"/>
      <c r="ANU42" s="49"/>
      <c r="ANV42" s="67">
        <f t="shared" si="2145"/>
        <v>0</v>
      </c>
      <c r="ANW42" s="68">
        <f t="shared" si="2146"/>
        <v>0</v>
      </c>
      <c r="ANX42" s="82"/>
      <c r="ANY42" s="83"/>
      <c r="ANZ42" s="83"/>
      <c r="AOA42" s="83">
        <v>109</v>
      </c>
      <c r="AOB42" s="83"/>
      <c r="AOC42" s="83"/>
      <c r="AOD42" s="67">
        <f t="shared" si="2147"/>
        <v>109</v>
      </c>
      <c r="AOE42" s="68">
        <f t="shared" si="2148"/>
        <v>18.166666666666668</v>
      </c>
      <c r="AOF42" s="48"/>
      <c r="AOG42" s="49"/>
      <c r="AOH42" s="49"/>
      <c r="AOI42" s="49"/>
      <c r="AOJ42" s="49"/>
      <c r="AOK42" s="49"/>
      <c r="AOL42" s="67">
        <f t="shared" si="2149"/>
        <v>0</v>
      </c>
      <c r="AOM42" s="68">
        <f t="shared" si="2150"/>
        <v>0</v>
      </c>
      <c r="AON42" s="48">
        <v>110</v>
      </c>
      <c r="AOO42" s="49"/>
      <c r="AOP42" s="49"/>
      <c r="AOQ42" s="49"/>
      <c r="AOR42" s="49"/>
      <c r="AOS42" s="49"/>
      <c r="AOT42" s="67">
        <f t="shared" si="2151"/>
        <v>110</v>
      </c>
      <c r="AOU42" s="68">
        <f t="shared" si="2152"/>
        <v>18.333333333333332</v>
      </c>
      <c r="AOV42" s="48"/>
      <c r="AOW42" s="49"/>
      <c r="AOX42" s="49"/>
      <c r="AOY42" s="49">
        <v>110</v>
      </c>
      <c r="AOZ42" s="49"/>
      <c r="APA42" s="49"/>
      <c r="APB42" s="67">
        <f t="shared" si="2153"/>
        <v>110</v>
      </c>
      <c r="APC42" s="68">
        <f t="shared" si="2154"/>
        <v>18.333333333333332</v>
      </c>
      <c r="APD42" s="48"/>
      <c r="APE42" s="49"/>
      <c r="APF42" s="49"/>
      <c r="APG42" s="49"/>
      <c r="APH42" s="49">
        <v>110</v>
      </c>
      <c r="API42" s="49"/>
      <c r="APJ42" s="67">
        <f t="shared" si="2155"/>
        <v>110</v>
      </c>
      <c r="APK42" s="68">
        <f t="shared" si="2156"/>
        <v>18.333333333333332</v>
      </c>
      <c r="APL42" s="48"/>
      <c r="APM42" s="49"/>
      <c r="APN42" s="49"/>
      <c r="APO42" s="49"/>
      <c r="APP42" s="49"/>
      <c r="APQ42" s="49"/>
      <c r="APR42" s="67">
        <f t="shared" si="2157"/>
        <v>0</v>
      </c>
      <c r="APS42" s="68">
        <f t="shared" si="2158"/>
        <v>0</v>
      </c>
      <c r="APT42" s="48"/>
      <c r="APU42" s="49"/>
      <c r="APV42" s="49"/>
      <c r="APW42" s="49">
        <v>220</v>
      </c>
      <c r="APX42" s="49"/>
      <c r="APY42" s="49"/>
      <c r="APZ42" s="67">
        <f t="shared" si="2159"/>
        <v>220</v>
      </c>
      <c r="AQA42" s="68">
        <f t="shared" si="2160"/>
        <v>36.666666666666664</v>
      </c>
      <c r="AQB42" s="48"/>
      <c r="AQC42" s="49"/>
      <c r="AQD42" s="49"/>
      <c r="AQE42" s="49"/>
      <c r="AQF42" s="49"/>
      <c r="AQG42" s="49"/>
      <c r="AQH42" s="67">
        <f t="shared" si="2161"/>
        <v>0</v>
      </c>
      <c r="AQI42" s="68">
        <f t="shared" si="2162"/>
        <v>0</v>
      </c>
      <c r="AQJ42" s="48"/>
      <c r="AQK42" s="49"/>
      <c r="AQL42" s="49"/>
      <c r="AQM42" s="49"/>
      <c r="AQN42" s="49"/>
      <c r="AQO42" s="49"/>
      <c r="AQP42" s="67">
        <f t="shared" si="2163"/>
        <v>0</v>
      </c>
      <c r="AQQ42" s="68">
        <f t="shared" si="2164"/>
        <v>0</v>
      </c>
      <c r="AQR42" s="48">
        <v>109</v>
      </c>
      <c r="AQS42" s="49"/>
      <c r="AQT42" s="49">
        <v>110</v>
      </c>
      <c r="AQU42" s="49"/>
      <c r="AQV42" s="49"/>
      <c r="AQW42" s="49"/>
      <c r="AQX42" s="67">
        <f t="shared" si="2165"/>
        <v>219</v>
      </c>
      <c r="AQY42" s="68">
        <f t="shared" si="2166"/>
        <v>36.5</v>
      </c>
      <c r="AQZ42" s="48"/>
      <c r="ARA42" s="49"/>
      <c r="ARB42" s="49">
        <v>110</v>
      </c>
      <c r="ARC42" s="49"/>
      <c r="ARD42" s="49"/>
      <c r="ARE42" s="49"/>
      <c r="ARF42" s="67">
        <f t="shared" si="2167"/>
        <v>110</v>
      </c>
      <c r="ARG42" s="68">
        <f t="shared" si="2168"/>
        <v>18.333333333333332</v>
      </c>
      <c r="ARH42" s="48"/>
      <c r="ARI42" s="49"/>
      <c r="ARJ42" s="49"/>
      <c r="ARK42" s="49">
        <v>219</v>
      </c>
      <c r="ARL42" s="49"/>
      <c r="ARM42" s="49"/>
      <c r="ARN42" s="67">
        <f t="shared" si="2169"/>
        <v>219</v>
      </c>
      <c r="ARO42" s="68">
        <f t="shared" si="2170"/>
        <v>36.5</v>
      </c>
      <c r="ARP42" s="48"/>
      <c r="ARQ42" s="49"/>
      <c r="ARR42" s="49"/>
      <c r="ARS42" s="49"/>
      <c r="ART42" s="49"/>
      <c r="ARU42" s="49"/>
      <c r="ARV42" s="67">
        <f t="shared" si="2171"/>
        <v>0</v>
      </c>
      <c r="ARW42" s="68">
        <f t="shared" si="2172"/>
        <v>0</v>
      </c>
      <c r="ARX42" s="48"/>
      <c r="ARY42" s="49"/>
      <c r="ARZ42" s="49">
        <v>100</v>
      </c>
      <c r="ASA42" s="49"/>
      <c r="ASB42" s="49"/>
      <c r="ASC42" s="49"/>
      <c r="ASD42" s="67">
        <f t="shared" si="2173"/>
        <v>100</v>
      </c>
      <c r="ASE42" s="68">
        <f t="shared" si="2174"/>
        <v>16.666666666666668</v>
      </c>
      <c r="ASF42" s="48"/>
      <c r="ASG42" s="49"/>
      <c r="ASH42" s="49">
        <v>110</v>
      </c>
      <c r="ASI42" s="49"/>
      <c r="ASJ42" s="49"/>
      <c r="ASK42" s="49"/>
      <c r="ASL42" s="67">
        <f t="shared" si="2175"/>
        <v>110</v>
      </c>
      <c r="ASM42" s="68">
        <f t="shared" si="2176"/>
        <v>18.333333333333332</v>
      </c>
      <c r="ASN42" s="48"/>
      <c r="ASO42" s="49"/>
      <c r="ASP42" s="49"/>
      <c r="ASQ42" s="49">
        <v>110</v>
      </c>
      <c r="ASR42" s="49"/>
      <c r="ASS42" s="49"/>
      <c r="AST42" s="67">
        <f t="shared" si="2177"/>
        <v>110</v>
      </c>
      <c r="ASU42" s="68">
        <f t="shared" si="2178"/>
        <v>18.333333333333332</v>
      </c>
      <c r="ASV42" s="48"/>
      <c r="ASW42" s="49">
        <v>108</v>
      </c>
      <c r="ASX42" s="49"/>
      <c r="ASY42" s="49"/>
      <c r="ASZ42" s="49"/>
      <c r="ATA42" s="49"/>
      <c r="ATB42" s="67">
        <f t="shared" si="2179"/>
        <v>108</v>
      </c>
      <c r="ATC42" s="68">
        <f t="shared" si="2180"/>
        <v>18</v>
      </c>
      <c r="ATD42" s="48"/>
      <c r="ATE42" s="49"/>
      <c r="ATF42" s="49"/>
      <c r="ATG42" s="49"/>
      <c r="ATH42" s="49"/>
      <c r="ATI42" s="49"/>
      <c r="ATJ42" s="67">
        <f t="shared" si="2181"/>
        <v>0</v>
      </c>
      <c r="ATK42" s="68">
        <f t="shared" si="2182"/>
        <v>0</v>
      </c>
      <c r="ATL42" s="48"/>
      <c r="ATM42" s="49">
        <v>110</v>
      </c>
      <c r="ATN42" s="49"/>
      <c r="ATO42" s="49"/>
      <c r="ATP42" s="49"/>
      <c r="ATQ42" s="49"/>
      <c r="ATR42" s="67">
        <f t="shared" si="2183"/>
        <v>110</v>
      </c>
      <c r="ATS42" s="68">
        <f t="shared" si="2184"/>
        <v>18.333333333333332</v>
      </c>
      <c r="ATT42" s="48"/>
      <c r="ATU42" s="49"/>
      <c r="ATV42" s="49"/>
      <c r="ATW42" s="49"/>
      <c r="ATX42" s="49"/>
      <c r="ATY42" s="49"/>
      <c r="ATZ42" s="67">
        <f t="shared" si="2185"/>
        <v>0</v>
      </c>
      <c r="AUA42" s="68">
        <f t="shared" si="2186"/>
        <v>0</v>
      </c>
      <c r="AUB42" s="48"/>
      <c r="AUC42" s="49"/>
      <c r="AUD42" s="49"/>
      <c r="AUE42" s="49"/>
      <c r="AUF42" s="49"/>
      <c r="AUG42" s="49"/>
      <c r="AUH42" s="67">
        <f t="shared" si="2187"/>
        <v>0</v>
      </c>
      <c r="AUI42" s="68">
        <f t="shared" si="2188"/>
        <v>0</v>
      </c>
      <c r="AUJ42" s="48"/>
      <c r="AUK42" s="49"/>
      <c r="AUL42" s="49"/>
      <c r="AUM42" s="49"/>
      <c r="AUN42" s="49"/>
      <c r="AUO42" s="49"/>
      <c r="AUP42" s="67">
        <f t="shared" si="2189"/>
        <v>0</v>
      </c>
      <c r="AUQ42" s="68">
        <f t="shared" si="2190"/>
        <v>0</v>
      </c>
      <c r="AUR42" s="48"/>
      <c r="AUS42" s="49">
        <v>110</v>
      </c>
      <c r="AUT42" s="49"/>
      <c r="AUU42" s="49"/>
      <c r="AUV42" s="49"/>
      <c r="AUW42" s="49"/>
      <c r="AUX42" s="67">
        <f t="shared" si="2191"/>
        <v>110</v>
      </c>
      <c r="AUY42" s="68">
        <f t="shared" si="2192"/>
        <v>18.333333333333332</v>
      </c>
      <c r="AUZ42" s="48"/>
      <c r="AVA42" s="49"/>
      <c r="AVB42" s="49"/>
      <c r="AVC42" s="49">
        <v>109</v>
      </c>
      <c r="AVD42" s="49"/>
      <c r="AVE42" s="49"/>
      <c r="AVF42" s="67">
        <f t="shared" si="2193"/>
        <v>109</v>
      </c>
      <c r="AVG42" s="68">
        <f t="shared" si="2194"/>
        <v>18.166666666666668</v>
      </c>
      <c r="AVH42" s="48"/>
      <c r="AVI42" s="49"/>
      <c r="AVJ42" s="49"/>
      <c r="AVK42" s="49"/>
      <c r="AVL42" s="49"/>
      <c r="AVM42" s="49"/>
      <c r="AVN42" s="67">
        <f t="shared" si="2195"/>
        <v>0</v>
      </c>
      <c r="AVO42" s="68">
        <f t="shared" si="2196"/>
        <v>0</v>
      </c>
      <c r="AVP42" s="48"/>
      <c r="AVQ42" s="49"/>
      <c r="AVR42" s="49"/>
      <c r="AVS42" s="49"/>
      <c r="AVT42" s="49"/>
      <c r="AVU42" s="49"/>
      <c r="AVV42" s="67">
        <f t="shared" si="2197"/>
        <v>0</v>
      </c>
      <c r="AVW42" s="68">
        <f t="shared" si="2198"/>
        <v>0</v>
      </c>
      <c r="AVX42" s="48"/>
      <c r="AVY42" s="49"/>
      <c r="AVZ42" s="49"/>
      <c r="AWA42" s="49"/>
      <c r="AWB42" s="49"/>
      <c r="AWC42" s="49"/>
      <c r="AWD42" s="67">
        <f t="shared" si="2199"/>
        <v>0</v>
      </c>
      <c r="AWE42" s="68">
        <f t="shared" si="2200"/>
        <v>0</v>
      </c>
      <c r="AWF42" s="48"/>
      <c r="AWG42" s="49"/>
      <c r="AWH42" s="49"/>
      <c r="AWI42" s="49"/>
      <c r="AWJ42" s="49"/>
      <c r="AWK42" s="49"/>
      <c r="AWL42" s="67">
        <f t="shared" si="2201"/>
        <v>0</v>
      </c>
      <c r="AWM42" s="184">
        <f t="shared" si="2202"/>
        <v>0</v>
      </c>
      <c r="AWN42" s="48">
        <v>110</v>
      </c>
      <c r="AWO42" s="49"/>
      <c r="AWP42" s="49"/>
      <c r="AWQ42" s="49"/>
      <c r="AWR42" s="49"/>
      <c r="AWS42" s="49"/>
      <c r="AWT42" s="42">
        <f t="shared" si="2203"/>
        <v>110</v>
      </c>
      <c r="AWU42" s="43">
        <f t="shared" si="2204"/>
        <v>18.333333333333332</v>
      </c>
      <c r="AWV42" s="48"/>
      <c r="AWW42" s="49"/>
      <c r="AWX42" s="49"/>
      <c r="AWY42" s="49"/>
      <c r="AWZ42" s="49"/>
      <c r="AXA42" s="49"/>
      <c r="AXB42" s="42">
        <f t="shared" si="2205"/>
        <v>0</v>
      </c>
      <c r="AXC42" s="43">
        <f t="shared" si="2206"/>
        <v>0</v>
      </c>
      <c r="AXD42" s="48"/>
      <c r="AXE42" s="49"/>
      <c r="AXF42" s="49"/>
      <c r="AXG42" s="49"/>
      <c r="AXH42" s="49">
        <v>107</v>
      </c>
      <c r="AXI42" s="49"/>
      <c r="AXJ42" s="42">
        <f t="shared" si="2207"/>
        <v>107</v>
      </c>
      <c r="AXK42" s="43">
        <f t="shared" si="2208"/>
        <v>17.833333333333332</v>
      </c>
      <c r="AXL42" s="48"/>
      <c r="AXM42" s="49"/>
      <c r="AXN42" s="49"/>
      <c r="AXO42" s="49"/>
      <c r="AXP42" s="49"/>
      <c r="AXQ42" s="49"/>
      <c r="AXR42" s="42">
        <f t="shared" si="2209"/>
        <v>0</v>
      </c>
      <c r="AXS42" s="43">
        <f t="shared" si="2210"/>
        <v>0</v>
      </c>
      <c r="AXT42" s="48"/>
      <c r="AXU42" s="49"/>
      <c r="AXV42" s="49"/>
      <c r="AXW42" s="49"/>
      <c r="AXX42" s="49"/>
      <c r="AXY42" s="49"/>
      <c r="AXZ42" s="42">
        <f t="shared" si="2211"/>
        <v>0</v>
      </c>
      <c r="AYA42" s="43">
        <f t="shared" si="2212"/>
        <v>0</v>
      </c>
      <c r="AYB42" s="48"/>
      <c r="AYC42" s="49"/>
      <c r="AYD42" s="49"/>
      <c r="AYE42" s="49"/>
      <c r="AYF42" s="49"/>
      <c r="AYG42" s="49"/>
      <c r="AYH42" s="42">
        <f t="shared" si="2213"/>
        <v>0</v>
      </c>
      <c r="AYI42" s="43">
        <f t="shared" si="2214"/>
        <v>0</v>
      </c>
      <c r="AYJ42" s="48"/>
      <c r="AYK42" s="49">
        <v>109</v>
      </c>
      <c r="AYL42" s="49"/>
      <c r="AYM42" s="49"/>
      <c r="AYN42" s="49"/>
      <c r="AYO42" s="49"/>
      <c r="AYP42" s="42">
        <f t="shared" si="2215"/>
        <v>109</v>
      </c>
      <c r="AYQ42" s="43">
        <f t="shared" si="2216"/>
        <v>18.166666666666668</v>
      </c>
      <c r="AYR42" s="48">
        <v>110</v>
      </c>
      <c r="AYS42" s="49"/>
      <c r="AYT42" s="49"/>
      <c r="AYU42" s="49"/>
      <c r="AYV42" s="49"/>
      <c r="AYW42" s="49"/>
      <c r="AYX42" s="42">
        <f t="shared" si="2217"/>
        <v>110</v>
      </c>
      <c r="AYY42" s="43">
        <f t="shared" si="2218"/>
        <v>18.333333333333332</v>
      </c>
      <c r="AYZ42" s="48">
        <v>110</v>
      </c>
      <c r="AZA42" s="49"/>
      <c r="AZB42" s="49"/>
      <c r="AZC42" s="49"/>
      <c r="AZD42" s="49"/>
      <c r="AZE42" s="49"/>
      <c r="AZF42" s="42">
        <f t="shared" si="2219"/>
        <v>110</v>
      </c>
      <c r="AZG42" s="43">
        <f t="shared" si="2220"/>
        <v>18.333333333333332</v>
      </c>
      <c r="AZH42" s="48"/>
      <c r="AZI42" s="49"/>
      <c r="AZJ42" s="49"/>
      <c r="AZK42" s="49"/>
      <c r="AZL42" s="49"/>
      <c r="AZM42" s="49"/>
      <c r="AZN42" s="42">
        <f t="shared" si="2221"/>
        <v>0</v>
      </c>
      <c r="AZO42" s="43">
        <f t="shared" si="2222"/>
        <v>0</v>
      </c>
      <c r="AZP42" s="48"/>
      <c r="AZQ42" s="49">
        <v>110</v>
      </c>
      <c r="AZR42" s="49"/>
      <c r="AZS42" s="49"/>
      <c r="AZT42" s="49">
        <v>110</v>
      </c>
      <c r="AZU42" s="49"/>
      <c r="AZV42" s="42">
        <f t="shared" si="2223"/>
        <v>220</v>
      </c>
      <c r="AZW42" s="43">
        <f t="shared" si="2224"/>
        <v>36.666666666666664</v>
      </c>
      <c r="AZX42" s="82"/>
      <c r="AZY42" s="83"/>
      <c r="AZZ42" s="83"/>
      <c r="BAA42" s="83"/>
      <c r="BAB42" s="83"/>
      <c r="BAC42" s="83"/>
      <c r="BAD42" s="42">
        <f t="shared" si="2225"/>
        <v>0</v>
      </c>
      <c r="BAE42" s="43">
        <f t="shared" si="2226"/>
        <v>0</v>
      </c>
      <c r="BAF42" s="48"/>
      <c r="BAG42" s="49"/>
      <c r="BAH42" s="49"/>
      <c r="BAI42" s="49"/>
      <c r="BAJ42" s="49"/>
      <c r="BAK42" s="49"/>
      <c r="BAL42" s="42">
        <f t="shared" si="2227"/>
        <v>0</v>
      </c>
      <c r="BAM42" s="43">
        <f t="shared" si="2228"/>
        <v>0</v>
      </c>
      <c r="BAN42" s="48"/>
      <c r="BAO42" s="49"/>
      <c r="BAP42" s="49"/>
      <c r="BAQ42" s="49"/>
      <c r="BAR42" s="49"/>
      <c r="BAS42" s="49"/>
      <c r="BAT42" s="42">
        <f t="shared" si="2229"/>
        <v>0</v>
      </c>
      <c r="BAU42" s="43">
        <f t="shared" si="2230"/>
        <v>0</v>
      </c>
      <c r="BAV42" s="48">
        <v>110</v>
      </c>
      <c r="BAW42" s="49"/>
      <c r="BAX42" s="49"/>
      <c r="BAY42" s="49"/>
      <c r="BAZ42" s="49"/>
      <c r="BBA42" s="49"/>
      <c r="BBB42" s="42">
        <f t="shared" si="2231"/>
        <v>110</v>
      </c>
      <c r="BBC42" s="43">
        <f t="shared" si="2232"/>
        <v>18.333333333333332</v>
      </c>
      <c r="BBD42" s="48"/>
      <c r="BBE42" s="49"/>
      <c r="BBF42" s="49"/>
      <c r="BBG42" s="49"/>
      <c r="BBH42" s="49"/>
      <c r="BBI42" s="49">
        <v>106</v>
      </c>
      <c r="BBJ42" s="42">
        <f t="shared" si="2233"/>
        <v>106</v>
      </c>
      <c r="BBK42" s="43">
        <f t="shared" si="2234"/>
        <v>17.666666666666668</v>
      </c>
      <c r="BBL42" s="48"/>
      <c r="BBM42" s="49"/>
      <c r="BBN42" s="49"/>
      <c r="BBO42" s="49">
        <v>318</v>
      </c>
      <c r="BBP42" s="49"/>
      <c r="BBQ42" s="49"/>
      <c r="BBR42" s="42">
        <f t="shared" si="2235"/>
        <v>318</v>
      </c>
      <c r="BBS42" s="43">
        <f t="shared" si="2236"/>
        <v>53</v>
      </c>
      <c r="BBT42" s="48"/>
      <c r="BBU42" s="49"/>
      <c r="BBV42" s="49"/>
      <c r="BBW42" s="49"/>
      <c r="BBX42" s="49"/>
      <c r="BBY42" s="49"/>
      <c r="BBZ42" s="42">
        <f t="shared" si="2237"/>
        <v>0</v>
      </c>
      <c r="BCA42" s="43">
        <f t="shared" si="2238"/>
        <v>0</v>
      </c>
      <c r="BCB42" s="48"/>
      <c r="BCC42" s="49"/>
      <c r="BCD42" s="49"/>
      <c r="BCE42" s="49"/>
      <c r="BCF42" s="49"/>
      <c r="BCG42" s="49"/>
      <c r="BCH42" s="42">
        <f t="shared" si="2239"/>
        <v>0</v>
      </c>
      <c r="BCI42" s="43">
        <f t="shared" si="2240"/>
        <v>0</v>
      </c>
      <c r="BCJ42" s="48"/>
      <c r="BCK42" s="49"/>
      <c r="BCL42" s="49"/>
      <c r="BCM42" s="49"/>
      <c r="BCN42" s="49"/>
      <c r="BCO42" s="49"/>
      <c r="BCP42" s="42">
        <f t="shared" si="2241"/>
        <v>0</v>
      </c>
      <c r="BCQ42" s="43">
        <f t="shared" si="2242"/>
        <v>0</v>
      </c>
      <c r="BCR42" s="48"/>
      <c r="BCS42" s="49"/>
      <c r="BCT42" s="49"/>
      <c r="BCU42" s="49"/>
      <c r="BCV42" s="49"/>
      <c r="BCW42" s="49"/>
      <c r="BCX42" s="42">
        <f t="shared" si="2243"/>
        <v>0</v>
      </c>
      <c r="BCY42" s="43">
        <f t="shared" si="2244"/>
        <v>0</v>
      </c>
      <c r="BCZ42" s="48"/>
      <c r="BDA42" s="49"/>
      <c r="BDB42" s="49">
        <v>110</v>
      </c>
      <c r="BDC42" s="49"/>
      <c r="BDD42" s="49"/>
      <c r="BDE42" s="49"/>
      <c r="BDF42" s="42">
        <f t="shared" si="2245"/>
        <v>110</v>
      </c>
      <c r="BDG42" s="43">
        <f t="shared" si="2246"/>
        <v>18.333333333333332</v>
      </c>
      <c r="BDH42" s="48"/>
      <c r="BDI42" s="49"/>
      <c r="BDJ42" s="49"/>
      <c r="BDK42" s="49"/>
      <c r="BDL42" s="49"/>
      <c r="BDM42" s="49"/>
      <c r="BDN42" s="42">
        <f t="shared" si="2247"/>
        <v>0</v>
      </c>
      <c r="BDO42" s="43">
        <f t="shared" si="2248"/>
        <v>0</v>
      </c>
      <c r="BDP42" s="48"/>
      <c r="BDQ42" s="49"/>
      <c r="BDR42" s="49"/>
      <c r="BDS42" s="49"/>
      <c r="BDT42" s="49"/>
      <c r="BDU42" s="49"/>
      <c r="BDV42" s="42">
        <f t="shared" si="2249"/>
        <v>0</v>
      </c>
      <c r="BDW42" s="43">
        <f t="shared" si="2250"/>
        <v>0</v>
      </c>
      <c r="BDX42" s="48">
        <v>105</v>
      </c>
      <c r="BDY42" s="49"/>
      <c r="BDZ42" s="49"/>
      <c r="BEA42" s="49"/>
      <c r="BEB42" s="49"/>
      <c r="BEC42" s="49"/>
      <c r="BED42" s="42">
        <f t="shared" si="2251"/>
        <v>105</v>
      </c>
      <c r="BEE42" s="43">
        <f t="shared" si="2252"/>
        <v>17.5</v>
      </c>
      <c r="BEF42" s="48"/>
      <c r="BEG42" s="49"/>
      <c r="BEH42" s="49">
        <v>105</v>
      </c>
      <c r="BEI42" s="49"/>
      <c r="BEJ42" s="49"/>
      <c r="BEK42" s="49"/>
      <c r="BEL42" s="42">
        <f t="shared" si="2253"/>
        <v>105</v>
      </c>
      <c r="BEM42" s="43">
        <f t="shared" si="2254"/>
        <v>17.5</v>
      </c>
      <c r="BEN42" s="48"/>
      <c r="BEO42" s="49"/>
      <c r="BEP42" s="49"/>
      <c r="BEQ42" s="49"/>
      <c r="BER42" s="49"/>
      <c r="BES42" s="49"/>
      <c r="BET42" s="42">
        <f t="shared" si="2255"/>
        <v>0</v>
      </c>
      <c r="BEU42" s="43">
        <f t="shared" si="2256"/>
        <v>0</v>
      </c>
      <c r="BEV42" s="82">
        <v>110</v>
      </c>
      <c r="BEW42" s="83"/>
      <c r="BEX42" s="83"/>
      <c r="BEY42" s="83"/>
      <c r="BEZ42" s="83"/>
      <c r="BFA42" s="83"/>
      <c r="BFB42" s="42">
        <f t="shared" si="2257"/>
        <v>110</v>
      </c>
      <c r="BFC42" s="43">
        <f t="shared" si="2258"/>
        <v>18.333333333333332</v>
      </c>
      <c r="BFD42" s="48"/>
      <c r="BFE42" s="49">
        <v>110</v>
      </c>
      <c r="BFF42" s="49"/>
      <c r="BFG42" s="49"/>
      <c r="BFH42" s="49"/>
      <c r="BFI42" s="49"/>
      <c r="BFJ42" s="42">
        <f t="shared" si="2259"/>
        <v>110</v>
      </c>
      <c r="BFK42" s="43">
        <f t="shared" si="2260"/>
        <v>18.333333333333332</v>
      </c>
      <c r="BFL42" s="48"/>
      <c r="BFM42" s="49"/>
      <c r="BFN42" s="49"/>
      <c r="BFO42" s="49"/>
      <c r="BFP42" s="49"/>
      <c r="BFQ42" s="49"/>
      <c r="BFR42" s="42">
        <f t="shared" si="2261"/>
        <v>0</v>
      </c>
      <c r="BFS42" s="43">
        <f t="shared" si="2262"/>
        <v>0</v>
      </c>
      <c r="BFT42" s="48">
        <v>97</v>
      </c>
      <c r="BFU42" s="49"/>
      <c r="BFV42" s="49"/>
      <c r="BFW42" s="49"/>
      <c r="BFX42" s="49"/>
      <c r="BFY42" s="49"/>
      <c r="BFZ42" s="42">
        <f t="shared" si="2263"/>
        <v>97</v>
      </c>
      <c r="BGA42" s="43">
        <f t="shared" si="2264"/>
        <v>16.166666666666668</v>
      </c>
      <c r="BGB42" s="48"/>
      <c r="BGC42" s="49"/>
      <c r="BGD42" s="49"/>
      <c r="BGE42" s="49"/>
      <c r="BGF42" s="49"/>
      <c r="BGG42" s="49"/>
      <c r="BGH42" s="42">
        <f t="shared" si="2265"/>
        <v>0</v>
      </c>
      <c r="BGI42" s="43">
        <f t="shared" si="2266"/>
        <v>0</v>
      </c>
      <c r="BGJ42" s="48"/>
      <c r="BGK42" s="49"/>
      <c r="BGL42" s="49">
        <v>110</v>
      </c>
      <c r="BGM42" s="49"/>
      <c r="BGN42" s="49"/>
      <c r="BGO42" s="49"/>
      <c r="BGP42" s="42">
        <f t="shared" si="2267"/>
        <v>110</v>
      </c>
      <c r="BGQ42" s="43">
        <f t="shared" si="2268"/>
        <v>18.333333333333332</v>
      </c>
      <c r="BGR42" s="48"/>
      <c r="BGS42" s="49"/>
      <c r="BGT42" s="49"/>
      <c r="BGU42" s="49"/>
      <c r="BGV42" s="49"/>
      <c r="BGW42" s="49"/>
      <c r="BGX42" s="42">
        <f t="shared" si="2269"/>
        <v>0</v>
      </c>
      <c r="BGY42" s="43">
        <f t="shared" si="2270"/>
        <v>0</v>
      </c>
      <c r="BGZ42" s="239"/>
      <c r="BHA42" s="1"/>
      <c r="BHB42" s="1"/>
      <c r="BHC42" s="1"/>
      <c r="BHD42" s="1"/>
      <c r="BHE42" s="1"/>
      <c r="BHF42" s="42">
        <f t="shared" si="2271"/>
        <v>0</v>
      </c>
      <c r="BHG42" s="43">
        <f t="shared" si="2272"/>
        <v>0</v>
      </c>
      <c r="BHH42" s="48">
        <v>98</v>
      </c>
      <c r="BHI42" s="49"/>
      <c r="BHJ42" s="49"/>
      <c r="BHK42" s="49"/>
      <c r="BHL42" s="49">
        <v>110</v>
      </c>
      <c r="BHM42" s="49"/>
      <c r="BHN42" s="42">
        <f t="shared" si="2273"/>
        <v>208</v>
      </c>
      <c r="BHO42" s="43">
        <f t="shared" si="2274"/>
        <v>34.666666666666664</v>
      </c>
      <c r="BHP42" s="48"/>
      <c r="BHQ42" s="49"/>
      <c r="BHR42" s="49"/>
      <c r="BHS42" s="49"/>
      <c r="BHT42" s="49"/>
      <c r="BHU42" s="49"/>
      <c r="BHV42" s="42">
        <f t="shared" si="2275"/>
        <v>0</v>
      </c>
      <c r="BHW42" s="43">
        <f t="shared" si="2276"/>
        <v>0</v>
      </c>
      <c r="BHX42" s="48"/>
      <c r="BHY42" s="49"/>
      <c r="BHZ42" s="49"/>
      <c r="BIA42" s="49">
        <v>110</v>
      </c>
      <c r="BIB42" s="49"/>
      <c r="BIC42" s="49"/>
      <c r="BID42" s="42">
        <f t="shared" si="2277"/>
        <v>110</v>
      </c>
      <c r="BIE42" s="43">
        <f t="shared" si="2278"/>
        <v>18.333333333333332</v>
      </c>
      <c r="BIF42" s="48"/>
      <c r="BIG42" s="49"/>
      <c r="BIH42" s="49">
        <v>97</v>
      </c>
      <c r="BII42" s="49"/>
      <c r="BIJ42" s="49"/>
      <c r="BIK42" s="49"/>
      <c r="BIL42" s="42">
        <f t="shared" si="2279"/>
        <v>97</v>
      </c>
      <c r="BIM42" s="43">
        <f t="shared" si="2280"/>
        <v>16.166666666666668</v>
      </c>
      <c r="BIN42" s="48"/>
      <c r="BIO42" s="49"/>
      <c r="BIP42" s="49">
        <v>110</v>
      </c>
      <c r="BIQ42" s="49"/>
      <c r="BIR42" s="49"/>
      <c r="BIS42" s="49"/>
      <c r="BIT42" s="42">
        <f t="shared" si="2281"/>
        <v>110</v>
      </c>
      <c r="BIU42" s="101">
        <f t="shared" si="2282"/>
        <v>18.333333333333332</v>
      </c>
      <c r="BIV42" s="195"/>
      <c r="BIW42" s="49"/>
      <c r="BIX42" s="49"/>
      <c r="BIY42" s="49"/>
      <c r="BIZ42" s="49"/>
      <c r="BJA42" s="49">
        <v>110</v>
      </c>
      <c r="BJB42" s="42">
        <f t="shared" si="2283"/>
        <v>110</v>
      </c>
      <c r="BJC42" s="101">
        <f t="shared" si="2284"/>
        <v>18.333333333333332</v>
      </c>
      <c r="BJD42" s="48"/>
      <c r="BJE42" s="49"/>
      <c r="BJF42" s="49"/>
      <c r="BJG42" s="49"/>
      <c r="BJH42" s="49"/>
      <c r="BJI42" s="49"/>
      <c r="BJJ42" s="42">
        <f t="shared" si="2285"/>
        <v>0</v>
      </c>
      <c r="BJK42" s="43">
        <f t="shared" si="2286"/>
        <v>0</v>
      </c>
      <c r="BJL42" s="48"/>
      <c r="BJM42" s="49"/>
      <c r="BJN42" s="49">
        <v>109</v>
      </c>
      <c r="BJO42" s="49"/>
      <c r="BJP42" s="49"/>
      <c r="BJQ42" s="49"/>
      <c r="BJR42" s="42">
        <f t="shared" si="2287"/>
        <v>109</v>
      </c>
      <c r="BJS42" s="43">
        <f t="shared" si="2288"/>
        <v>18.166666666666668</v>
      </c>
      <c r="BJT42" s="48"/>
      <c r="BJU42" s="49"/>
      <c r="BJV42" s="49"/>
      <c r="BJW42" s="49"/>
      <c r="BJX42" s="49"/>
      <c r="BJY42" s="49">
        <v>110</v>
      </c>
      <c r="BJZ42" s="42">
        <f t="shared" si="2289"/>
        <v>110</v>
      </c>
      <c r="BKA42" s="43">
        <f t="shared" si="2290"/>
        <v>22</v>
      </c>
      <c r="BKB42" s="48"/>
      <c r="BKC42" s="49"/>
      <c r="BKD42" s="49"/>
      <c r="BKE42" s="49"/>
      <c r="BKF42" s="49">
        <v>110</v>
      </c>
      <c r="BKG42" s="49"/>
      <c r="BKH42" s="67">
        <f t="shared" si="2291"/>
        <v>110</v>
      </c>
      <c r="BKI42" s="68">
        <f t="shared" si="2292"/>
        <v>18.333333333333332</v>
      </c>
      <c r="BKJ42" s="48"/>
      <c r="BKK42" s="49"/>
      <c r="BKL42" s="49"/>
      <c r="BKM42" s="49"/>
      <c r="BKN42" s="49"/>
      <c r="BKO42" s="49">
        <v>110</v>
      </c>
      <c r="BKP42" s="42">
        <f t="shared" si="2293"/>
        <v>110</v>
      </c>
      <c r="BKQ42" s="43">
        <f t="shared" si="2294"/>
        <v>18.333333333333332</v>
      </c>
      <c r="BKR42" s="48"/>
      <c r="BKS42" s="49"/>
      <c r="BKT42" s="49"/>
      <c r="BKU42" s="49"/>
      <c r="BKV42" s="49"/>
      <c r="BKW42" s="49"/>
      <c r="BKX42" s="42">
        <f t="shared" si="2295"/>
        <v>0</v>
      </c>
      <c r="BKY42" s="43">
        <f t="shared" si="2296"/>
        <v>0</v>
      </c>
      <c r="BKZ42" s="48"/>
      <c r="BLA42" s="49"/>
      <c r="BLB42" s="49"/>
      <c r="BLC42" s="49"/>
      <c r="BLD42" s="49"/>
      <c r="BLE42" s="49">
        <v>110</v>
      </c>
      <c r="BLF42" s="42">
        <f t="shared" si="2297"/>
        <v>110</v>
      </c>
      <c r="BLG42" s="43">
        <f t="shared" si="2298"/>
        <v>18.333333333333332</v>
      </c>
      <c r="BLH42" s="48"/>
      <c r="BLI42" s="49"/>
      <c r="BLJ42" s="49"/>
      <c r="BLK42" s="49">
        <v>110</v>
      </c>
      <c r="BLL42" s="49"/>
      <c r="BLM42" s="49"/>
      <c r="BLN42" s="42">
        <f t="shared" si="2299"/>
        <v>110</v>
      </c>
      <c r="BLO42" s="43">
        <f t="shared" si="2300"/>
        <v>18.333333333333332</v>
      </c>
      <c r="BLP42" s="48"/>
      <c r="BLQ42" s="49"/>
      <c r="BLR42" s="49">
        <v>110</v>
      </c>
      <c r="BLS42" s="49"/>
      <c r="BLT42" s="49"/>
      <c r="BLU42" s="49"/>
      <c r="BLV42" s="42">
        <f t="shared" si="2301"/>
        <v>110</v>
      </c>
      <c r="BLW42" s="43">
        <f t="shared" si="2302"/>
        <v>18.333333333333332</v>
      </c>
      <c r="BLX42" s="48"/>
      <c r="BLY42" s="49"/>
      <c r="BLZ42" s="49"/>
      <c r="BMA42" s="49"/>
      <c r="BMB42" s="49"/>
      <c r="BMC42" s="49"/>
      <c r="BMD42" s="42">
        <f t="shared" si="2303"/>
        <v>0</v>
      </c>
      <c r="BME42" s="43">
        <f t="shared" si="2304"/>
        <v>0</v>
      </c>
      <c r="BMF42" s="48"/>
      <c r="BMG42" s="49"/>
      <c r="BMH42" s="49"/>
      <c r="BMI42" s="49">
        <v>100</v>
      </c>
      <c r="BMJ42" s="49"/>
      <c r="BMK42" s="49"/>
      <c r="BML42" s="42">
        <f t="shared" si="2305"/>
        <v>100</v>
      </c>
      <c r="BMM42" s="43">
        <f t="shared" si="2306"/>
        <v>16.666666666666668</v>
      </c>
      <c r="BMN42" s="48"/>
      <c r="BMO42" s="49"/>
      <c r="BMP42" s="49"/>
      <c r="BMQ42" s="49"/>
      <c r="BMR42" s="49"/>
      <c r="BMS42" s="49"/>
      <c r="BMT42" s="42">
        <f t="shared" si="2307"/>
        <v>0</v>
      </c>
      <c r="BMU42" s="43">
        <f t="shared" si="2308"/>
        <v>0</v>
      </c>
      <c r="BMV42" s="48"/>
      <c r="BMW42" s="49"/>
      <c r="BMX42" s="49"/>
      <c r="BMY42" s="49"/>
      <c r="BMZ42" s="49">
        <v>77</v>
      </c>
      <c r="BNA42" s="49"/>
      <c r="BNB42" s="42">
        <f t="shared" si="2309"/>
        <v>77</v>
      </c>
      <c r="BNC42" s="43">
        <f t="shared" si="2310"/>
        <v>12.833333333333334</v>
      </c>
      <c r="BND42" s="48"/>
      <c r="BNE42" s="49"/>
      <c r="BNF42" s="49"/>
      <c r="BNG42" s="49"/>
      <c r="BNH42" s="49">
        <v>100</v>
      </c>
      <c r="BNI42" s="49"/>
      <c r="BNJ42" s="42">
        <f t="shared" si="2311"/>
        <v>100</v>
      </c>
      <c r="BNK42" s="43">
        <f t="shared" si="2312"/>
        <v>16.666666666666668</v>
      </c>
      <c r="BNL42" s="48"/>
      <c r="BNM42" s="49"/>
      <c r="BNN42" s="49"/>
      <c r="BNO42" s="49"/>
      <c r="BNP42" s="49"/>
      <c r="BNQ42" s="49"/>
      <c r="BNR42" s="42">
        <f t="shared" si="2313"/>
        <v>0</v>
      </c>
      <c r="BNS42" s="43">
        <f t="shared" si="2314"/>
        <v>0</v>
      </c>
      <c r="BNT42" s="48">
        <v>108</v>
      </c>
      <c r="BNU42" s="49"/>
      <c r="BNV42" s="49"/>
      <c r="BNW42" s="49"/>
      <c r="BNX42" s="49"/>
      <c r="BNY42" s="49">
        <v>111</v>
      </c>
      <c r="BNZ42" s="42">
        <f t="shared" si="2315"/>
        <v>219</v>
      </c>
      <c r="BOA42" s="43">
        <f t="shared" si="2316"/>
        <v>36.5</v>
      </c>
      <c r="BOB42" s="48"/>
      <c r="BOC42" s="49"/>
      <c r="BOD42" s="49"/>
      <c r="BOE42" s="49"/>
      <c r="BOF42" s="49"/>
      <c r="BOG42" s="49"/>
      <c r="BOH42" s="42">
        <f t="shared" si="2317"/>
        <v>0</v>
      </c>
      <c r="BOI42" s="43">
        <f t="shared" si="2318"/>
        <v>0</v>
      </c>
      <c r="BOJ42" s="48"/>
      <c r="BOK42" s="49"/>
      <c r="BOL42" s="49"/>
      <c r="BOM42" s="49"/>
      <c r="BON42" s="49"/>
      <c r="BOO42" s="49"/>
      <c r="BOP42" s="42">
        <f t="shared" si="2319"/>
        <v>0</v>
      </c>
      <c r="BOQ42" s="43">
        <f t="shared" si="2320"/>
        <v>0</v>
      </c>
      <c r="BOR42" s="48"/>
      <c r="BOS42" s="49">
        <v>100</v>
      </c>
      <c r="BOT42" s="49"/>
      <c r="BOU42" s="49"/>
      <c r="BOV42" s="49"/>
      <c r="BOW42" s="49"/>
      <c r="BOX42" s="42">
        <f t="shared" si="2321"/>
        <v>100</v>
      </c>
      <c r="BOY42" s="43">
        <f t="shared" si="2322"/>
        <v>16.666666666666668</v>
      </c>
      <c r="BOZ42" s="48"/>
      <c r="BPA42" s="49"/>
      <c r="BPB42" s="49"/>
      <c r="BPC42" s="49"/>
      <c r="BPD42" s="49"/>
      <c r="BPE42" s="49"/>
      <c r="BPF42" s="42">
        <f t="shared" si="2323"/>
        <v>0</v>
      </c>
      <c r="BPG42" s="43">
        <f t="shared" si="2324"/>
        <v>0</v>
      </c>
      <c r="BPH42" s="48"/>
      <c r="BPI42" s="49"/>
      <c r="BPJ42" s="49"/>
      <c r="BPK42" s="49"/>
      <c r="BPL42" s="49"/>
      <c r="BPM42" s="49"/>
      <c r="BPN42" s="42">
        <f t="shared" si="2325"/>
        <v>0</v>
      </c>
      <c r="BPO42" s="43">
        <f t="shared" si="2326"/>
        <v>0</v>
      </c>
      <c r="BPP42" s="48"/>
      <c r="BPQ42" s="49"/>
      <c r="BPR42" s="49"/>
      <c r="BPS42" s="49"/>
      <c r="BPT42" s="49">
        <v>110</v>
      </c>
      <c r="BPU42" s="49"/>
      <c r="BPV42" s="42">
        <f t="shared" si="2327"/>
        <v>110</v>
      </c>
      <c r="BPW42" s="43">
        <f t="shared" si="2328"/>
        <v>18.333333333333332</v>
      </c>
      <c r="BPX42" s="48"/>
      <c r="BPY42" s="49"/>
      <c r="BPZ42" s="49"/>
      <c r="BQA42" s="49"/>
      <c r="BQB42" s="49"/>
      <c r="BQC42" s="49"/>
      <c r="BQD42" s="67">
        <f t="shared" si="2329"/>
        <v>0</v>
      </c>
      <c r="BQE42" s="43">
        <f t="shared" si="2330"/>
        <v>0</v>
      </c>
      <c r="BQF42" s="48"/>
      <c r="BQG42" s="49">
        <v>39</v>
      </c>
      <c r="BQH42" s="49"/>
      <c r="BQI42" s="49"/>
      <c r="BQJ42" s="49"/>
      <c r="BQK42" s="49">
        <v>50</v>
      </c>
      <c r="BQL42" s="67">
        <f t="shared" si="2331"/>
        <v>89</v>
      </c>
      <c r="BQM42" s="43">
        <f t="shared" si="2332"/>
        <v>14.833333333333334</v>
      </c>
      <c r="BQN42" s="48"/>
      <c r="BQO42" s="49"/>
      <c r="BQP42" s="49">
        <v>110</v>
      </c>
      <c r="BQQ42" s="49"/>
      <c r="BQR42" s="49"/>
      <c r="BQS42" s="49"/>
      <c r="BQT42" s="67">
        <f t="shared" si="2333"/>
        <v>110</v>
      </c>
      <c r="BQU42" s="43">
        <f t="shared" si="2334"/>
        <v>18.333333333333332</v>
      </c>
      <c r="BQV42" s="48"/>
      <c r="BQW42" s="49"/>
      <c r="BQX42" s="49"/>
      <c r="BQY42" s="49"/>
      <c r="BQZ42" s="49">
        <v>110</v>
      </c>
      <c r="BRA42" s="49"/>
      <c r="BRB42" s="67">
        <f t="shared" si="2335"/>
        <v>110</v>
      </c>
      <c r="BRC42" s="43">
        <f t="shared" si="2336"/>
        <v>18.333333333333332</v>
      </c>
      <c r="BRD42" s="48"/>
      <c r="BRE42" s="49"/>
      <c r="BRF42" s="49">
        <v>59</v>
      </c>
      <c r="BRG42" s="49"/>
      <c r="BRH42" s="49"/>
      <c r="BRI42" s="49"/>
      <c r="BRJ42" s="67">
        <f t="shared" si="2337"/>
        <v>59</v>
      </c>
      <c r="BRK42" s="43">
        <f t="shared" si="2338"/>
        <v>9.8333333333333339</v>
      </c>
      <c r="BRL42" s="48"/>
      <c r="BRM42" s="49">
        <v>48</v>
      </c>
      <c r="BRN42" s="49"/>
      <c r="BRO42" s="49"/>
      <c r="BRP42" s="49">
        <v>110</v>
      </c>
      <c r="BRQ42" s="49"/>
      <c r="BRR42" s="67">
        <f t="shared" si="2339"/>
        <v>158</v>
      </c>
      <c r="BRS42" s="68">
        <f t="shared" si="2340"/>
        <v>26.333333333333332</v>
      </c>
      <c r="BRT42" s="63"/>
      <c r="BRU42" s="64"/>
      <c r="BRV42" s="64"/>
      <c r="BRW42" s="64"/>
      <c r="BRX42" s="64"/>
      <c r="BRY42" s="64">
        <v>110</v>
      </c>
      <c r="BRZ42" s="67">
        <f t="shared" si="2341"/>
        <v>110</v>
      </c>
      <c r="BSA42" s="43">
        <f t="shared" si="2342"/>
        <v>18.333333333333332</v>
      </c>
      <c r="BSB42" s="48"/>
      <c r="BSC42" s="49"/>
      <c r="BSD42" s="49"/>
      <c r="BSE42" s="49"/>
      <c r="BSF42" s="49"/>
      <c r="BSG42" s="49"/>
      <c r="BSH42" s="67">
        <f t="shared" si="2343"/>
        <v>0</v>
      </c>
      <c r="BSI42" s="43">
        <f t="shared" si="2344"/>
        <v>0</v>
      </c>
      <c r="BSJ42" s="48"/>
      <c r="BSK42" s="49"/>
      <c r="BSL42" s="49">
        <v>98</v>
      </c>
      <c r="BSM42" s="49"/>
      <c r="BSN42" s="49"/>
      <c r="BSO42" s="49"/>
      <c r="BSP42" s="67">
        <f t="shared" si="2345"/>
        <v>98</v>
      </c>
      <c r="BSQ42" s="43">
        <f t="shared" si="2346"/>
        <v>16.333333333333332</v>
      </c>
      <c r="BSR42" s="48"/>
      <c r="BSS42" s="49">
        <v>50</v>
      </c>
      <c r="BST42" s="49">
        <v>40</v>
      </c>
      <c r="BSU42" s="49"/>
      <c r="BSV42" s="49"/>
      <c r="BSW42" s="49"/>
      <c r="BSX42" s="67">
        <f t="shared" si="2347"/>
        <v>90</v>
      </c>
      <c r="BSY42" s="43">
        <f t="shared" si="2348"/>
        <v>15</v>
      </c>
      <c r="BSZ42" s="48">
        <v>80</v>
      </c>
      <c r="BTA42" s="49"/>
      <c r="BTB42" s="49"/>
      <c r="BTC42" s="49"/>
      <c r="BTD42" s="49">
        <v>110</v>
      </c>
      <c r="BTE42" s="49"/>
      <c r="BTF42" s="67">
        <f t="shared" si="2349"/>
        <v>190</v>
      </c>
      <c r="BTG42" s="43">
        <f t="shared" si="2350"/>
        <v>31.666666666666668</v>
      </c>
      <c r="BTH42" s="48"/>
      <c r="BTI42" s="49"/>
      <c r="BTJ42" s="49"/>
      <c r="BTK42" s="49"/>
      <c r="BTL42" s="49"/>
      <c r="BTM42" s="49"/>
      <c r="BTN42" s="67">
        <f t="shared" si="2351"/>
        <v>0</v>
      </c>
      <c r="BTO42" s="68">
        <f t="shared" si="2352"/>
        <v>0</v>
      </c>
      <c r="BTP42" s="48"/>
      <c r="BTQ42" s="49"/>
      <c r="BTR42" s="49">
        <v>50</v>
      </c>
      <c r="BTS42" s="49"/>
      <c r="BTT42" s="49"/>
      <c r="BTU42" s="49"/>
      <c r="BTV42" s="67">
        <f t="shared" si="2353"/>
        <v>50</v>
      </c>
      <c r="BTW42" s="43">
        <f t="shared" si="2354"/>
        <v>8.3333333333333339</v>
      </c>
      <c r="BTX42" s="48"/>
      <c r="BTY42" s="49"/>
      <c r="BTZ42" s="49"/>
      <c r="BUA42" s="49">
        <v>60</v>
      </c>
      <c r="BUB42" s="49"/>
      <c r="BUC42" s="49"/>
      <c r="BUD42" s="67">
        <f t="shared" si="2355"/>
        <v>60</v>
      </c>
      <c r="BUE42" s="68">
        <f t="shared" si="2356"/>
        <v>10</v>
      </c>
      <c r="BUF42" s="48">
        <v>98</v>
      </c>
      <c r="BUG42" s="49"/>
      <c r="BUH42" s="49"/>
      <c r="BUI42" s="49"/>
      <c r="BUJ42" s="49"/>
      <c r="BUK42" s="49"/>
      <c r="BUL42" s="67">
        <f t="shared" si="2357"/>
        <v>98</v>
      </c>
      <c r="BUM42" s="68">
        <f t="shared" si="2358"/>
        <v>16.333333333333332</v>
      </c>
      <c r="BUN42" s="48">
        <v>80</v>
      </c>
      <c r="BUO42" s="49">
        <v>110</v>
      </c>
      <c r="BUP42" s="49"/>
      <c r="BUQ42" s="49"/>
      <c r="BUR42" s="49"/>
      <c r="BUS42" s="49"/>
      <c r="BUT42" s="67">
        <f t="shared" si="2359"/>
        <v>190</v>
      </c>
      <c r="BUU42" s="68">
        <f t="shared" si="2360"/>
        <v>31.666666666666668</v>
      </c>
      <c r="BUV42" s="48"/>
      <c r="BUW42" s="49"/>
      <c r="BUX42" s="49"/>
      <c r="BUY42" s="49"/>
      <c r="BUZ42" s="49"/>
      <c r="BVA42" s="49"/>
      <c r="BVB42" s="67">
        <f t="shared" si="2361"/>
        <v>0</v>
      </c>
      <c r="BVC42" s="68">
        <f t="shared" si="2362"/>
        <v>0</v>
      </c>
      <c r="BVD42" s="48"/>
      <c r="BVE42" s="49"/>
      <c r="BVF42" s="49"/>
      <c r="BVG42" s="49"/>
      <c r="BVH42" s="49"/>
      <c r="BVI42" s="49"/>
      <c r="BVJ42" s="67">
        <f t="shared" si="2363"/>
        <v>0</v>
      </c>
      <c r="BVK42" s="68">
        <f t="shared" si="2364"/>
        <v>0</v>
      </c>
      <c r="BVL42" s="48"/>
      <c r="BVM42" s="49"/>
      <c r="BVN42" s="49">
        <v>111</v>
      </c>
      <c r="BVO42" s="49"/>
      <c r="BVP42" s="49"/>
      <c r="BVQ42" s="49">
        <v>79</v>
      </c>
      <c r="BVR42" s="67">
        <f t="shared" si="2365"/>
        <v>190</v>
      </c>
      <c r="BVS42" s="68">
        <f t="shared" si="2366"/>
        <v>31.666666666666668</v>
      </c>
      <c r="BVT42" s="48"/>
      <c r="BVU42" s="49"/>
      <c r="BVV42" s="49">
        <v>111</v>
      </c>
      <c r="BVW42" s="49"/>
      <c r="BVX42" s="49"/>
      <c r="BVY42" s="49"/>
      <c r="BVZ42" s="67">
        <f t="shared" si="2367"/>
        <v>111</v>
      </c>
      <c r="BWA42" s="68">
        <f t="shared" si="2368"/>
        <v>18.5</v>
      </c>
      <c r="BWB42" s="48"/>
      <c r="BWC42" s="49"/>
      <c r="BWD42" s="49"/>
      <c r="BWE42" s="49"/>
      <c r="BWF42" s="49"/>
      <c r="BWG42" s="49"/>
      <c r="BWH42" s="67">
        <f t="shared" si="2369"/>
        <v>0</v>
      </c>
      <c r="BWI42" s="68">
        <f t="shared" si="2370"/>
        <v>0</v>
      </c>
      <c r="BWJ42" s="48"/>
      <c r="BWK42" s="49"/>
      <c r="BWL42" s="49"/>
      <c r="BWM42" s="49">
        <v>101</v>
      </c>
      <c r="BWN42" s="49"/>
      <c r="BWO42" s="49"/>
      <c r="BWP42" s="67">
        <f t="shared" si="2371"/>
        <v>101</v>
      </c>
      <c r="BWQ42" s="68">
        <f t="shared" si="2372"/>
        <v>16.833333333333332</v>
      </c>
      <c r="BWR42" s="48"/>
      <c r="BWS42" s="49"/>
      <c r="BWT42" s="49">
        <v>109</v>
      </c>
      <c r="BWU42" s="49"/>
      <c r="BWV42" s="49"/>
      <c r="BWW42" s="49"/>
      <c r="BWX42" s="67">
        <f t="shared" si="2373"/>
        <v>109</v>
      </c>
      <c r="BWY42" s="68">
        <f t="shared" si="2374"/>
        <v>18.166666666666668</v>
      </c>
      <c r="BWZ42" s="48"/>
      <c r="BXA42" s="49"/>
      <c r="BXB42" s="49"/>
      <c r="BXC42" s="49"/>
      <c r="BXD42" s="49"/>
      <c r="BXE42" s="49"/>
      <c r="BXF42" s="67">
        <f t="shared" si="2375"/>
        <v>0</v>
      </c>
      <c r="BXG42" s="68">
        <f t="shared" si="2376"/>
        <v>0</v>
      </c>
      <c r="BXH42" s="48">
        <v>81</v>
      </c>
      <c r="BXI42" s="49"/>
      <c r="BXJ42" s="49"/>
      <c r="BXK42" s="49"/>
      <c r="BXL42" s="49"/>
      <c r="BXM42" s="49">
        <v>110</v>
      </c>
      <c r="BXN42" s="67">
        <f t="shared" si="2377"/>
        <v>191</v>
      </c>
      <c r="BXO42" s="68">
        <f t="shared" si="2378"/>
        <v>31.833333333333332</v>
      </c>
      <c r="BXP42" s="48"/>
      <c r="BXQ42" s="49">
        <v>40</v>
      </c>
      <c r="BXR42" s="49"/>
      <c r="BXS42" s="49"/>
      <c r="BXT42" s="49"/>
      <c r="BXU42" s="49"/>
      <c r="BXV42" s="67">
        <f t="shared" si="2379"/>
        <v>40</v>
      </c>
      <c r="BXW42" s="68">
        <f t="shared" si="1584"/>
        <v>6.666666666666667</v>
      </c>
      <c r="BXX42" s="48"/>
      <c r="BXY42" s="49"/>
      <c r="BXZ42" s="49"/>
      <c r="BYA42" s="49">
        <v>80</v>
      </c>
      <c r="BYB42" s="49"/>
      <c r="BYC42" s="49"/>
      <c r="BYD42" s="67">
        <f t="shared" si="2380"/>
        <v>80</v>
      </c>
      <c r="BYE42" s="68">
        <f t="shared" si="2381"/>
        <v>13.333333333333334</v>
      </c>
      <c r="BYF42" s="48"/>
      <c r="BYG42" s="49"/>
      <c r="BYH42" s="49"/>
      <c r="BYI42" s="49"/>
      <c r="BYJ42" s="49"/>
      <c r="BYK42" s="49">
        <v>100</v>
      </c>
      <c r="BYL42" s="67">
        <f t="shared" si="2382"/>
        <v>100</v>
      </c>
      <c r="BYM42" s="68">
        <f t="shared" si="2383"/>
        <v>16.666666666666668</v>
      </c>
      <c r="BYN42" s="48"/>
      <c r="BYO42" s="49"/>
      <c r="BYP42" s="49"/>
      <c r="BYQ42" s="49">
        <v>100</v>
      </c>
      <c r="BYR42" s="49"/>
      <c r="BYS42" s="49"/>
      <c r="BYT42" s="67">
        <f t="shared" si="2384"/>
        <v>100</v>
      </c>
      <c r="BYU42" s="68">
        <f t="shared" si="2385"/>
        <v>16.666666666666668</v>
      </c>
      <c r="BYV42" s="48">
        <v>220</v>
      </c>
      <c r="BYW42" s="49"/>
      <c r="BYX42" s="49"/>
      <c r="BYY42" s="49"/>
      <c r="BYZ42" s="49"/>
      <c r="BZA42" s="49"/>
      <c r="BZB42" s="67">
        <f t="shared" si="2386"/>
        <v>220</v>
      </c>
      <c r="BZC42" s="68">
        <f t="shared" si="2387"/>
        <v>36.666666666666664</v>
      </c>
      <c r="BZD42" s="48"/>
      <c r="BZE42" s="49"/>
      <c r="BZF42" s="49"/>
      <c r="BZG42" s="49"/>
      <c r="BZH42" s="49"/>
      <c r="BZI42" s="49">
        <v>109</v>
      </c>
      <c r="BZJ42" s="67">
        <f t="shared" si="2388"/>
        <v>109</v>
      </c>
      <c r="BZK42" s="68">
        <f t="shared" si="2389"/>
        <v>18.166666666666668</v>
      </c>
      <c r="BZL42" s="48"/>
      <c r="BZM42" s="49">
        <v>110</v>
      </c>
      <c r="BZN42" s="49"/>
      <c r="BZO42" s="49"/>
      <c r="BZP42" s="49"/>
      <c r="BZQ42" s="49"/>
      <c r="BZR42" s="67">
        <f t="shared" si="2390"/>
        <v>110</v>
      </c>
      <c r="BZS42" s="68">
        <f t="shared" si="2391"/>
        <v>18.333333333333332</v>
      </c>
      <c r="BZT42" s="48"/>
      <c r="BZU42" s="49">
        <v>5</v>
      </c>
      <c r="BZV42" s="49"/>
      <c r="BZW42" s="49"/>
      <c r="BZX42" s="49"/>
      <c r="BZY42" s="49">
        <v>124</v>
      </c>
      <c r="BZZ42" s="67">
        <f t="shared" si="2392"/>
        <v>129</v>
      </c>
      <c r="CAA42" s="68">
        <f t="shared" si="2393"/>
        <v>21.5</v>
      </c>
      <c r="CAB42" s="48"/>
      <c r="CAC42" s="49">
        <v>118</v>
      </c>
      <c r="CAD42" s="49"/>
      <c r="CAE42" s="49"/>
      <c r="CAF42" s="49">
        <v>119</v>
      </c>
      <c r="CAG42" s="49"/>
      <c r="CAH42" s="67">
        <f t="shared" si="2394"/>
        <v>237</v>
      </c>
      <c r="CAI42" s="68">
        <f t="shared" si="2395"/>
        <v>39.5</v>
      </c>
      <c r="CAJ42" s="48"/>
      <c r="CAK42" s="49"/>
      <c r="CAL42" s="49"/>
      <c r="CAM42" s="49"/>
      <c r="CAN42" s="49"/>
      <c r="CAO42" s="49"/>
      <c r="CAP42" s="67">
        <f t="shared" si="2396"/>
        <v>0</v>
      </c>
      <c r="CAQ42" s="68">
        <f t="shared" si="2397"/>
        <v>0</v>
      </c>
      <c r="CAR42" s="48"/>
      <c r="CAS42" s="49"/>
      <c r="CAT42" s="49"/>
      <c r="CAU42" s="49"/>
      <c r="CAV42" s="49"/>
      <c r="CAW42" s="49"/>
      <c r="CAX42" s="67">
        <f t="shared" si="2398"/>
        <v>0</v>
      </c>
      <c r="CAY42" s="68">
        <f t="shared" si="2399"/>
        <v>0</v>
      </c>
      <c r="CAZ42" s="48">
        <v>110</v>
      </c>
      <c r="CBA42" s="49"/>
      <c r="CBB42" s="49"/>
      <c r="CBC42" s="49"/>
      <c r="CBD42" s="49"/>
      <c r="CBE42" s="49"/>
      <c r="CBF42" s="67">
        <f t="shared" si="2400"/>
        <v>110</v>
      </c>
      <c r="CBG42" s="68">
        <f t="shared" si="2401"/>
        <v>18.333333333333332</v>
      </c>
      <c r="CBH42" s="48">
        <v>83</v>
      </c>
      <c r="CBI42" s="49"/>
      <c r="CBJ42" s="49"/>
      <c r="CBK42" s="49">
        <v>60</v>
      </c>
      <c r="CBL42" s="49"/>
      <c r="CBM42" s="49"/>
      <c r="CBN42" s="67">
        <f t="shared" si="2402"/>
        <v>143</v>
      </c>
      <c r="CBO42" s="68">
        <f t="shared" si="2403"/>
        <v>23.833333333333332</v>
      </c>
      <c r="CBP42" s="48"/>
      <c r="CBQ42" s="49"/>
      <c r="CBR42" s="49"/>
      <c r="CBS42" s="49"/>
      <c r="CBT42" s="49">
        <v>110</v>
      </c>
      <c r="CBU42" s="49"/>
      <c r="CBV42" s="67">
        <f t="shared" si="2404"/>
        <v>110</v>
      </c>
      <c r="CBW42" s="68">
        <f t="shared" si="2405"/>
        <v>18.333333333333332</v>
      </c>
      <c r="CBX42" s="48"/>
      <c r="CBY42" s="49"/>
      <c r="CBZ42" s="49"/>
      <c r="CCA42" s="49"/>
      <c r="CCB42" s="49"/>
      <c r="CCC42" s="49"/>
      <c r="CCD42" s="67">
        <f t="shared" si="2406"/>
        <v>0</v>
      </c>
      <c r="CCE42" s="68">
        <f t="shared" si="2407"/>
        <v>0</v>
      </c>
      <c r="CCF42" s="48"/>
      <c r="CCG42" s="49"/>
      <c r="CCH42" s="49"/>
      <c r="CCI42" s="49">
        <v>80</v>
      </c>
      <c r="CCJ42" s="49"/>
      <c r="CCK42" s="49"/>
      <c r="CCL42" s="67">
        <f t="shared" si="2408"/>
        <v>80</v>
      </c>
      <c r="CCM42" s="68">
        <f t="shared" si="2409"/>
        <v>13.333333333333334</v>
      </c>
      <c r="CCN42" s="48"/>
      <c r="CCO42" s="49"/>
      <c r="CCP42" s="49"/>
      <c r="CCQ42" s="49"/>
      <c r="CCR42" s="49"/>
      <c r="CCS42" s="49"/>
      <c r="CCT42" s="67">
        <f t="shared" si="2410"/>
        <v>0</v>
      </c>
      <c r="CCU42" s="68">
        <f t="shared" si="2411"/>
        <v>0</v>
      </c>
      <c r="CCV42" s="48"/>
      <c r="CCW42" s="49"/>
      <c r="CCX42" s="49"/>
      <c r="CCY42" s="49"/>
      <c r="CCZ42" s="49"/>
      <c r="CDA42" s="49"/>
      <c r="CDB42" s="67">
        <f t="shared" si="1629"/>
        <v>0</v>
      </c>
      <c r="CDC42" s="68">
        <f t="shared" si="1630"/>
        <v>0</v>
      </c>
      <c r="CDD42" s="48"/>
      <c r="CDE42" s="49"/>
      <c r="CDF42" s="49"/>
      <c r="CDG42" s="49"/>
      <c r="CDH42" s="49"/>
      <c r="CDI42" s="49"/>
      <c r="CDJ42" s="67">
        <f t="shared" si="1631"/>
        <v>0</v>
      </c>
      <c r="CDK42" s="68">
        <f t="shared" si="1632"/>
        <v>0</v>
      </c>
      <c r="CDL42" s="48">
        <v>43</v>
      </c>
      <c r="CDM42" s="49"/>
      <c r="CDN42" s="49"/>
      <c r="CDO42" s="49"/>
      <c r="CDP42" s="49"/>
      <c r="CDQ42" s="49"/>
      <c r="CDR42" s="67">
        <f t="shared" si="1633"/>
        <v>43</v>
      </c>
      <c r="CDS42" s="68">
        <f t="shared" si="1634"/>
        <v>7.166666666666667</v>
      </c>
      <c r="CDT42" s="48"/>
      <c r="CDU42" s="49"/>
      <c r="CDV42" s="49"/>
      <c r="CDW42" s="49"/>
      <c r="CDX42" s="49"/>
      <c r="CDY42" s="49"/>
      <c r="CDZ42" s="67">
        <f t="shared" si="1635"/>
        <v>0</v>
      </c>
      <c r="CEA42" s="68">
        <f t="shared" si="1636"/>
        <v>0</v>
      </c>
      <c r="CEB42" s="48">
        <v>58</v>
      </c>
      <c r="CEC42" s="49"/>
      <c r="CED42" s="49"/>
      <c r="CEE42" s="49"/>
      <c r="CEF42" s="49"/>
      <c r="CEG42" s="49"/>
      <c r="CEH42" s="67">
        <f t="shared" si="1637"/>
        <v>58</v>
      </c>
      <c r="CEI42" s="68">
        <f t="shared" si="1638"/>
        <v>9.6666666666666661</v>
      </c>
      <c r="CEJ42" s="48"/>
      <c r="CEK42" s="49"/>
      <c r="CEL42" s="49"/>
      <c r="CEM42" s="49">
        <v>39</v>
      </c>
      <c r="CEN42" s="49"/>
      <c r="CEO42" s="49"/>
      <c r="CEP42" s="67">
        <f t="shared" si="1639"/>
        <v>39</v>
      </c>
      <c r="CEQ42" s="68">
        <f t="shared" si="1640"/>
        <v>6.5</v>
      </c>
      <c r="CER42" s="48"/>
      <c r="CES42" s="49"/>
      <c r="CET42" s="49"/>
      <c r="CEU42" s="49"/>
      <c r="CEV42" s="49"/>
      <c r="CEW42" s="49"/>
      <c r="CEX42" s="67">
        <f t="shared" si="1641"/>
        <v>0</v>
      </c>
      <c r="CEY42" s="68">
        <f t="shared" si="1642"/>
        <v>0</v>
      </c>
      <c r="CEZ42" s="48"/>
      <c r="CFA42" s="49">
        <v>15</v>
      </c>
      <c r="CFB42" s="49"/>
      <c r="CFC42" s="49">
        <v>40</v>
      </c>
      <c r="CFD42" s="49"/>
      <c r="CFE42" s="49"/>
      <c r="CFF42" s="67">
        <f t="shared" si="1643"/>
        <v>55</v>
      </c>
      <c r="CFG42" s="68">
        <f t="shared" si="1644"/>
        <v>9.1666666666666661</v>
      </c>
      <c r="CFH42" s="48"/>
      <c r="CFI42" s="49">
        <v>40</v>
      </c>
      <c r="CFJ42" s="49"/>
      <c r="CFK42" s="49"/>
      <c r="CFL42" s="49"/>
      <c r="CFM42" s="49">
        <v>110</v>
      </c>
      <c r="CFN42" s="67">
        <f t="shared" si="1645"/>
        <v>150</v>
      </c>
      <c r="CFO42" s="68">
        <f t="shared" si="1646"/>
        <v>25</v>
      </c>
      <c r="CFP42" s="48"/>
      <c r="CFQ42" s="49"/>
      <c r="CFR42" s="49"/>
      <c r="CFS42" s="49"/>
      <c r="CFT42" s="49">
        <v>110</v>
      </c>
      <c r="CFU42" s="49"/>
      <c r="CFV42" s="67">
        <f t="shared" si="1647"/>
        <v>110</v>
      </c>
      <c r="CFW42" s="68">
        <f t="shared" si="1648"/>
        <v>18.333333333333332</v>
      </c>
      <c r="CFX42" s="48"/>
      <c r="CFY42" s="49"/>
      <c r="CFZ42" s="49"/>
      <c r="CGA42" s="49"/>
      <c r="CGB42" s="49"/>
      <c r="CGC42" s="49"/>
      <c r="CGD42" s="67">
        <f t="shared" si="1649"/>
        <v>0</v>
      </c>
      <c r="CGE42" s="68">
        <f t="shared" si="1650"/>
        <v>0</v>
      </c>
      <c r="CGF42" s="48"/>
      <c r="CGG42" s="49"/>
      <c r="CGH42" s="49"/>
      <c r="CGI42" s="49"/>
      <c r="CGJ42" s="49"/>
      <c r="CGK42" s="49"/>
      <c r="CGL42" s="67">
        <f t="shared" si="1651"/>
        <v>0</v>
      </c>
      <c r="CGM42" s="68">
        <f t="shared" si="1652"/>
        <v>0</v>
      </c>
      <c r="CGN42" s="48"/>
      <c r="CGO42" s="49"/>
      <c r="CGP42" s="49"/>
      <c r="CGQ42" s="49"/>
      <c r="CGR42" s="49">
        <v>93</v>
      </c>
      <c r="CGS42" s="49"/>
      <c r="CGT42" s="67">
        <f t="shared" si="1653"/>
        <v>93</v>
      </c>
      <c r="CGU42" s="68">
        <f t="shared" si="1654"/>
        <v>15.5</v>
      </c>
      <c r="CGV42" s="48"/>
      <c r="CGW42" s="49"/>
      <c r="CGX42" s="49"/>
      <c r="CGY42" s="49"/>
      <c r="CGZ42" s="49"/>
      <c r="CHA42" s="49"/>
      <c r="CHB42" s="67">
        <f t="shared" si="1655"/>
        <v>0</v>
      </c>
      <c r="CHC42" s="68">
        <f t="shared" si="1656"/>
        <v>0</v>
      </c>
      <c r="CHD42" s="48"/>
      <c r="CHE42" s="49"/>
      <c r="CHF42" s="49"/>
      <c r="CHG42" s="49"/>
      <c r="CHH42" s="49"/>
      <c r="CHI42" s="49"/>
      <c r="CHJ42" s="67">
        <f t="shared" si="1657"/>
        <v>0</v>
      </c>
      <c r="CHK42" s="68">
        <f t="shared" si="1658"/>
        <v>0</v>
      </c>
      <c r="CHL42" s="48"/>
      <c r="CHM42" s="49">
        <v>101</v>
      </c>
      <c r="CHN42" s="49"/>
      <c r="CHO42" s="49"/>
      <c r="CHP42" s="49"/>
      <c r="CHQ42" s="49"/>
      <c r="CHR42" s="67">
        <f t="shared" si="1659"/>
        <v>101</v>
      </c>
      <c r="CHS42" s="68">
        <f t="shared" si="1660"/>
        <v>16.833333333333332</v>
      </c>
      <c r="CHT42" s="48"/>
      <c r="CHU42" s="49"/>
      <c r="CHV42" s="49"/>
      <c r="CHW42" s="49"/>
      <c r="CHX42" s="49">
        <v>41</v>
      </c>
      <c r="CHY42" s="49"/>
      <c r="CHZ42" s="67">
        <f t="shared" si="1661"/>
        <v>41</v>
      </c>
      <c r="CIA42" s="68">
        <f t="shared" si="1662"/>
        <v>6.833333333333333</v>
      </c>
      <c r="CIB42" s="48">
        <v>24</v>
      </c>
      <c r="CIC42" s="49">
        <v>80</v>
      </c>
      <c r="CID42" s="49"/>
      <c r="CIE42" s="49"/>
      <c r="CIF42" s="49"/>
      <c r="CIG42" s="49"/>
      <c r="CIH42" s="67">
        <f t="shared" si="1663"/>
        <v>104</v>
      </c>
      <c r="CII42" s="68">
        <f t="shared" si="1664"/>
        <v>17.333333333333332</v>
      </c>
      <c r="CIJ42" s="48">
        <v>50</v>
      </c>
      <c r="CIK42" s="49"/>
      <c r="CIL42" s="49">
        <v>79</v>
      </c>
      <c r="CIM42" s="49"/>
      <c r="CIN42" s="49"/>
      <c r="CIO42" s="49"/>
      <c r="CIP42" s="67">
        <f t="shared" si="1665"/>
        <v>129</v>
      </c>
      <c r="CIQ42" s="68">
        <f t="shared" si="1666"/>
        <v>21.5</v>
      </c>
      <c r="CIR42" s="48"/>
      <c r="CIS42" s="49"/>
      <c r="CIT42" s="49"/>
      <c r="CIU42" s="49"/>
      <c r="CIV42" s="49"/>
      <c r="CIW42" s="49"/>
      <c r="CIX42" s="67">
        <f t="shared" si="1667"/>
        <v>0</v>
      </c>
      <c r="CIY42" s="68">
        <f t="shared" si="1668"/>
        <v>0</v>
      </c>
      <c r="CIZ42" s="63"/>
      <c r="CJA42" s="64"/>
      <c r="CJB42" s="64">
        <v>110</v>
      </c>
      <c r="CJC42" s="64"/>
      <c r="CJD42" s="64"/>
      <c r="CJE42" s="64"/>
      <c r="CJF42" s="67">
        <f t="shared" si="1669"/>
        <v>110</v>
      </c>
      <c r="CJG42" s="68">
        <f t="shared" si="1670"/>
        <v>18.333333333333332</v>
      </c>
      <c r="CJH42" s="48"/>
      <c r="CJI42" s="49"/>
      <c r="CJJ42" s="49"/>
      <c r="CJK42" s="49"/>
      <c r="CJL42" s="49"/>
      <c r="CJM42" s="49"/>
      <c r="CJN42" s="67">
        <f t="shared" si="1671"/>
        <v>0</v>
      </c>
      <c r="CJO42" s="184">
        <f t="shared" si="1672"/>
        <v>0</v>
      </c>
      <c r="CJP42" s="48"/>
      <c r="CJQ42" s="49"/>
      <c r="CJR42" s="49"/>
      <c r="CJS42" s="49"/>
      <c r="CJT42" s="49"/>
      <c r="CJU42" s="49"/>
      <c r="CJV42" s="67">
        <f t="shared" si="1673"/>
        <v>0</v>
      </c>
      <c r="CJW42" s="68">
        <f t="shared" si="1674"/>
        <v>0</v>
      </c>
      <c r="CJX42" s="48"/>
      <c r="CJY42" s="49"/>
      <c r="CJZ42" s="49">
        <v>162</v>
      </c>
      <c r="CKA42" s="49"/>
      <c r="CKB42" s="49"/>
      <c r="CKC42" s="49"/>
      <c r="CKD42" s="67">
        <f t="shared" si="2412"/>
        <v>162</v>
      </c>
      <c r="CKE42" s="68">
        <f t="shared" si="1675"/>
        <v>27</v>
      </c>
      <c r="CKF42" s="48">
        <v>110</v>
      </c>
      <c r="CKG42" s="49"/>
      <c r="CKH42" s="49"/>
      <c r="CKI42" s="49"/>
      <c r="CKJ42" s="49"/>
      <c r="CKK42" s="49"/>
      <c r="CKL42" s="67">
        <f t="shared" si="1676"/>
        <v>110</v>
      </c>
      <c r="CKM42" s="68">
        <f t="shared" si="1677"/>
        <v>18.333333333333332</v>
      </c>
      <c r="CKN42" s="48"/>
      <c r="CKO42" s="49"/>
      <c r="CKP42" s="49"/>
      <c r="CKQ42" s="49"/>
      <c r="CKR42" s="49"/>
      <c r="CKS42" s="47"/>
      <c r="CKT42" s="67">
        <f t="shared" si="1678"/>
        <v>0</v>
      </c>
      <c r="CKU42" s="68">
        <f t="shared" si="1679"/>
        <v>0</v>
      </c>
      <c r="CKV42" s="48"/>
      <c r="CKW42" s="49"/>
      <c r="CKX42" s="49"/>
      <c r="CKY42" s="49">
        <v>110</v>
      </c>
      <c r="CKZ42" s="49"/>
      <c r="CLA42" s="49"/>
      <c r="CLB42" s="67">
        <f t="shared" si="1680"/>
        <v>110</v>
      </c>
      <c r="CLC42" s="68">
        <f t="shared" si="1681"/>
        <v>18.333333333333332</v>
      </c>
      <c r="CLD42" s="48"/>
      <c r="CLE42" s="49"/>
      <c r="CLF42" s="49"/>
      <c r="CLG42" s="49"/>
      <c r="CLH42" s="49"/>
      <c r="CLI42" s="49"/>
      <c r="CLJ42" s="67">
        <f t="shared" si="1682"/>
        <v>0</v>
      </c>
      <c r="CLK42" s="68">
        <f t="shared" si="1683"/>
        <v>0</v>
      </c>
      <c r="CLL42" s="48">
        <v>79</v>
      </c>
      <c r="CLM42" s="49"/>
      <c r="CLN42" s="49"/>
      <c r="CLO42" s="49"/>
      <c r="CLP42" s="49">
        <v>105</v>
      </c>
      <c r="CLQ42" s="49"/>
      <c r="CLR42" s="67">
        <f t="shared" si="1684"/>
        <v>184</v>
      </c>
      <c r="CLS42" s="68">
        <f t="shared" si="1685"/>
        <v>30.666666666666668</v>
      </c>
      <c r="CLT42" s="48"/>
      <c r="CLU42" s="49"/>
      <c r="CLV42" s="49"/>
      <c r="CLW42" s="49"/>
      <c r="CLX42" s="49"/>
      <c r="CLY42" s="49"/>
      <c r="CLZ42" s="67">
        <f t="shared" si="1686"/>
        <v>0</v>
      </c>
      <c r="CMA42" s="68">
        <f t="shared" si="1687"/>
        <v>0</v>
      </c>
      <c r="CMB42" s="48"/>
      <c r="CMC42" s="49">
        <v>220</v>
      </c>
      <c r="CMD42" s="49"/>
      <c r="CME42" s="49"/>
      <c r="CMF42" s="49"/>
      <c r="CMG42" s="49"/>
      <c r="CMH42" s="67">
        <f t="shared" si="1688"/>
        <v>220</v>
      </c>
      <c r="CMI42" s="68">
        <f t="shared" si="1689"/>
        <v>36.666666666666664</v>
      </c>
      <c r="CMJ42" s="48"/>
      <c r="CMK42" s="49"/>
      <c r="CML42" s="49"/>
      <c r="CMM42" s="49"/>
      <c r="CMN42" s="49"/>
      <c r="CMO42" s="49"/>
      <c r="CMP42" s="67">
        <f t="shared" si="1690"/>
        <v>0</v>
      </c>
      <c r="CMQ42" s="68">
        <f t="shared" si="1691"/>
        <v>0</v>
      </c>
      <c r="CMR42" s="48"/>
      <c r="CMS42" s="49"/>
      <c r="CMT42" s="49"/>
      <c r="CMU42" s="49"/>
      <c r="CMV42" s="49">
        <v>40</v>
      </c>
      <c r="CMW42" s="49"/>
      <c r="CMX42" s="67">
        <f t="shared" si="1692"/>
        <v>40</v>
      </c>
      <c r="CMY42" s="68">
        <f t="shared" si="1693"/>
        <v>6.666666666666667</v>
      </c>
      <c r="CMZ42" s="48"/>
      <c r="CNA42" s="49"/>
      <c r="CNB42" s="49"/>
      <c r="CNC42" s="49"/>
      <c r="CND42" s="49">
        <v>100</v>
      </c>
      <c r="CNE42" s="49"/>
      <c r="CNF42" s="67">
        <f t="shared" si="1694"/>
        <v>100</v>
      </c>
      <c r="CNG42" s="68">
        <f t="shared" si="1695"/>
        <v>16.666666666666668</v>
      </c>
      <c r="CNH42" s="48"/>
      <c r="CNI42" s="49">
        <v>80</v>
      </c>
      <c r="CNJ42" s="49"/>
      <c r="CNK42" s="49"/>
      <c r="CNL42" s="49">
        <v>81</v>
      </c>
      <c r="CNM42" s="49"/>
      <c r="CNN42" s="67">
        <f t="shared" si="1696"/>
        <v>161</v>
      </c>
      <c r="CNO42" s="68">
        <f t="shared" si="1697"/>
        <v>26.833333333333332</v>
      </c>
      <c r="CNP42" s="48"/>
      <c r="CNQ42" s="49"/>
      <c r="CNR42" s="49"/>
      <c r="CNS42" s="49"/>
      <c r="CNT42" s="49">
        <v>10</v>
      </c>
      <c r="CNU42" s="49"/>
      <c r="CNV42" s="67">
        <f t="shared" si="1698"/>
        <v>10</v>
      </c>
      <c r="CNW42" s="68">
        <f t="shared" si="1699"/>
        <v>1.6666666666666667</v>
      </c>
      <c r="CNX42" s="48">
        <v>80</v>
      </c>
      <c r="CNY42" s="49"/>
      <c r="CNZ42" s="49"/>
      <c r="COA42" s="49"/>
      <c r="COB42" s="49"/>
      <c r="COC42" s="49"/>
      <c r="COD42" s="67">
        <f t="shared" si="1700"/>
        <v>80</v>
      </c>
      <c r="COE42" s="68">
        <f t="shared" si="1701"/>
        <v>13.333333333333334</v>
      </c>
      <c r="COF42" s="48"/>
      <c r="COG42" s="49"/>
      <c r="COH42" s="49"/>
      <c r="COI42" s="49"/>
      <c r="COJ42" s="49">
        <v>76</v>
      </c>
      <c r="COK42" s="49"/>
      <c r="COL42" s="67">
        <f t="shared" si="1702"/>
        <v>76</v>
      </c>
      <c r="COM42" s="68">
        <f t="shared" si="1703"/>
        <v>12.666666666666666</v>
      </c>
      <c r="CON42" s="48"/>
      <c r="COO42" s="49"/>
      <c r="COP42" s="49">
        <v>110</v>
      </c>
      <c r="COQ42" s="49"/>
      <c r="COR42" s="49">
        <v>110</v>
      </c>
      <c r="COS42" s="49"/>
      <c r="COT42" s="67">
        <f t="shared" si="1704"/>
        <v>220</v>
      </c>
      <c r="COU42" s="68">
        <f t="shared" si="1705"/>
        <v>36.666666666666664</v>
      </c>
      <c r="COV42" s="48"/>
      <c r="COW42" s="49"/>
      <c r="COX42" s="49"/>
      <c r="COY42" s="49"/>
      <c r="COZ42" s="49"/>
      <c r="CPA42" s="49">
        <v>80</v>
      </c>
      <c r="CPB42" s="67">
        <f t="shared" si="1706"/>
        <v>80</v>
      </c>
      <c r="CPC42" s="68">
        <f t="shared" si="1707"/>
        <v>13.333333333333334</v>
      </c>
      <c r="CPD42" s="48"/>
      <c r="CPE42" s="49">
        <v>0</v>
      </c>
      <c r="CPF42" s="49">
        <v>0</v>
      </c>
      <c r="CPG42" s="49">
        <v>0</v>
      </c>
      <c r="CPH42" s="49">
        <v>0</v>
      </c>
      <c r="CPI42" s="49">
        <v>38</v>
      </c>
      <c r="CPJ42" s="67">
        <f t="shared" si="1708"/>
        <v>38</v>
      </c>
      <c r="CPK42" s="68">
        <f t="shared" si="1709"/>
        <v>6.333333333333333</v>
      </c>
      <c r="CPL42" s="48"/>
      <c r="CPM42" s="49">
        <v>0</v>
      </c>
      <c r="CPN42" s="49">
        <v>0</v>
      </c>
      <c r="CPO42" s="49"/>
      <c r="CPP42" s="49">
        <v>30</v>
      </c>
      <c r="CPQ42" s="49"/>
      <c r="CPR42" s="67">
        <f t="shared" si="1710"/>
        <v>30</v>
      </c>
      <c r="CPS42" s="68">
        <f t="shared" si="1711"/>
        <v>5</v>
      </c>
      <c r="CPT42" s="48">
        <v>0</v>
      </c>
      <c r="CPU42" s="49">
        <v>0</v>
      </c>
      <c r="CPV42" s="49">
        <v>80</v>
      </c>
      <c r="CPW42" s="49"/>
      <c r="CPX42" s="49">
        <v>80</v>
      </c>
      <c r="CPY42" s="49">
        <v>0</v>
      </c>
      <c r="CPZ42" s="67">
        <f t="shared" si="1712"/>
        <v>160</v>
      </c>
      <c r="CQA42" s="68">
        <f t="shared" si="1713"/>
        <v>26.666666666666668</v>
      </c>
      <c r="CQB42" s="48">
        <v>0</v>
      </c>
      <c r="CQC42" s="49">
        <v>0</v>
      </c>
      <c r="CQD42" s="49">
        <v>95</v>
      </c>
      <c r="CQE42" s="49">
        <v>0</v>
      </c>
      <c r="CQF42" s="49">
        <v>0</v>
      </c>
      <c r="CQG42" s="49">
        <v>0</v>
      </c>
      <c r="CQH42" s="67">
        <f t="shared" si="1714"/>
        <v>95</v>
      </c>
      <c r="CQI42" s="68">
        <f t="shared" si="1715"/>
        <v>15.833333333333334</v>
      </c>
      <c r="CQJ42" s="82">
        <v>0</v>
      </c>
      <c r="CQK42" s="83">
        <v>0</v>
      </c>
      <c r="CQL42" s="83">
        <v>0</v>
      </c>
      <c r="CQM42" s="83">
        <v>81</v>
      </c>
      <c r="CQN42" s="83"/>
      <c r="CQO42" s="83"/>
      <c r="CQP42" s="67">
        <f t="shared" si="1716"/>
        <v>81</v>
      </c>
      <c r="CQQ42" s="68">
        <f t="shared" si="1717"/>
        <v>13.5</v>
      </c>
      <c r="CQR42" s="239"/>
      <c r="CQS42" s="1">
        <v>0</v>
      </c>
      <c r="CQT42" s="1">
        <v>0</v>
      </c>
      <c r="CQU42" s="1">
        <v>0</v>
      </c>
      <c r="CQV42" s="1">
        <v>0</v>
      </c>
      <c r="CQW42" s="1"/>
      <c r="CQX42" s="67">
        <f t="shared" si="1718"/>
        <v>0</v>
      </c>
      <c r="CQY42" s="68">
        <f t="shared" si="1719"/>
        <v>0</v>
      </c>
      <c r="CQZ42" s="48">
        <v>0</v>
      </c>
      <c r="CRA42" s="49"/>
      <c r="CRB42" s="49">
        <v>159</v>
      </c>
      <c r="CRC42" s="49">
        <v>0</v>
      </c>
      <c r="CRD42" s="49">
        <v>0</v>
      </c>
      <c r="CRE42" s="49">
        <v>0</v>
      </c>
      <c r="CRF42" s="67">
        <f t="shared" si="1720"/>
        <v>159</v>
      </c>
      <c r="CRG42" s="68">
        <f t="shared" si="1721"/>
        <v>26.5</v>
      </c>
      <c r="CRH42" s="48">
        <v>0</v>
      </c>
      <c r="CRI42" s="49">
        <v>0</v>
      </c>
      <c r="CRJ42" s="49">
        <v>0</v>
      </c>
      <c r="CRK42" s="49">
        <v>110</v>
      </c>
      <c r="CRL42" s="49">
        <v>0</v>
      </c>
      <c r="CRM42" s="49">
        <v>0</v>
      </c>
      <c r="CRN42" s="67">
        <f t="shared" si="1722"/>
        <v>110</v>
      </c>
      <c r="CRO42" s="68">
        <f t="shared" si="1723"/>
        <v>18.333333333333332</v>
      </c>
      <c r="CRP42" s="48"/>
      <c r="CRQ42" s="49">
        <v>0</v>
      </c>
      <c r="CRR42" s="49">
        <v>0</v>
      </c>
      <c r="CRS42" s="49">
        <v>110</v>
      </c>
      <c r="CRT42" s="49">
        <v>0</v>
      </c>
      <c r="CRU42" s="49">
        <v>0</v>
      </c>
      <c r="CRV42" s="47">
        <f t="shared" si="1724"/>
        <v>110</v>
      </c>
      <c r="CRW42" s="68">
        <f t="shared" si="1725"/>
        <v>18.333333333333332</v>
      </c>
      <c r="CRX42" s="48">
        <v>0</v>
      </c>
      <c r="CRY42" s="49">
        <v>0</v>
      </c>
      <c r="CRZ42" s="49">
        <v>0</v>
      </c>
      <c r="CSA42" s="49">
        <v>0</v>
      </c>
      <c r="CSB42" s="49">
        <v>0</v>
      </c>
      <c r="CSC42" s="49">
        <v>0</v>
      </c>
      <c r="CSD42" s="67">
        <f t="shared" si="1726"/>
        <v>0</v>
      </c>
      <c r="CSE42" s="68">
        <f t="shared" si="1727"/>
        <v>0</v>
      </c>
      <c r="CSF42" s="48">
        <v>0</v>
      </c>
      <c r="CSG42" s="49">
        <v>0</v>
      </c>
      <c r="CSH42" s="49">
        <v>150</v>
      </c>
      <c r="CSI42" s="49">
        <v>41</v>
      </c>
      <c r="CSJ42" s="49">
        <v>0</v>
      </c>
      <c r="CSK42" s="360">
        <f>SUMIF(SUMPK!$B:$B,$B:$B,SUMPK!$O:$O)</f>
        <v>0</v>
      </c>
      <c r="CSL42" s="64">
        <f t="shared" si="1728"/>
        <v>191</v>
      </c>
      <c r="CSM42" s="68">
        <f t="shared" si="1729"/>
        <v>31.833333333333332</v>
      </c>
      <c r="CSN42" s="48">
        <v>0</v>
      </c>
      <c r="CSO42" s="49">
        <v>0</v>
      </c>
      <c r="CSP42" s="49">
        <v>0</v>
      </c>
      <c r="CSQ42" s="49"/>
      <c r="CSR42" s="49">
        <v>0</v>
      </c>
      <c r="CSS42" s="49">
        <v>0</v>
      </c>
      <c r="CST42" s="64">
        <f t="shared" si="1730"/>
        <v>0</v>
      </c>
      <c r="CSU42" s="68">
        <f t="shared" si="1731"/>
        <v>0</v>
      </c>
      <c r="CSV42" s="48">
        <v>0</v>
      </c>
      <c r="CSW42" s="49">
        <v>0</v>
      </c>
      <c r="CSX42" s="49">
        <v>0</v>
      </c>
      <c r="CSY42" s="49">
        <v>110</v>
      </c>
      <c r="CSZ42" s="49">
        <v>0</v>
      </c>
      <c r="CTA42" s="49">
        <v>0</v>
      </c>
      <c r="CTB42" s="64">
        <f t="shared" si="1732"/>
        <v>110</v>
      </c>
      <c r="CTC42" s="68">
        <f t="shared" si="1733"/>
        <v>18.333333333333332</v>
      </c>
      <c r="CTD42" s="48">
        <v>0</v>
      </c>
      <c r="CTE42" s="49">
        <v>0</v>
      </c>
      <c r="CTF42" s="49">
        <v>121</v>
      </c>
      <c r="CTG42" s="49">
        <v>0</v>
      </c>
      <c r="CTH42" s="49"/>
      <c r="CTI42" s="49"/>
      <c r="CTJ42" s="64">
        <f t="shared" si="1734"/>
        <v>121</v>
      </c>
      <c r="CTK42" s="68">
        <f t="shared" si="1735"/>
        <v>20.166666666666668</v>
      </c>
      <c r="CTL42" s="48">
        <v>0</v>
      </c>
      <c r="CTM42" s="49">
        <v>0</v>
      </c>
      <c r="CTN42" s="49">
        <v>0</v>
      </c>
      <c r="CTO42" s="49">
        <v>20</v>
      </c>
      <c r="CTP42" s="49">
        <v>0</v>
      </c>
      <c r="CTQ42" s="49">
        <v>0</v>
      </c>
      <c r="CTR42" s="64">
        <f t="shared" si="1736"/>
        <v>20</v>
      </c>
      <c r="CTS42" s="68">
        <f t="shared" si="1737"/>
        <v>3.3333333333333335</v>
      </c>
      <c r="CTT42" s="48">
        <v>0</v>
      </c>
      <c r="CTU42" s="49"/>
      <c r="CTV42" s="49">
        <v>81</v>
      </c>
      <c r="CTW42" s="49"/>
      <c r="CTX42" s="49">
        <v>0</v>
      </c>
      <c r="CTY42" s="49"/>
      <c r="CTZ42" s="64">
        <f t="shared" si="1738"/>
        <v>81</v>
      </c>
      <c r="CUA42" s="68">
        <f t="shared" si="1739"/>
        <v>13.5</v>
      </c>
      <c r="CUB42" s="48">
        <v>0</v>
      </c>
      <c r="CUC42" s="49">
        <v>0</v>
      </c>
      <c r="CUD42" s="49"/>
      <c r="CUE42" s="49"/>
      <c r="CUF42" s="49">
        <v>0</v>
      </c>
      <c r="CUG42" s="49">
        <v>0</v>
      </c>
      <c r="CUH42" s="64">
        <f t="shared" si="1740"/>
        <v>0</v>
      </c>
      <c r="CUI42" s="68">
        <f t="shared" si="1741"/>
        <v>0</v>
      </c>
      <c r="CUJ42" s="48">
        <v>0</v>
      </c>
      <c r="CUK42" s="49">
        <v>0</v>
      </c>
      <c r="CUL42" s="49">
        <v>0</v>
      </c>
      <c r="CUM42" s="49">
        <v>0</v>
      </c>
      <c r="CUN42" s="49">
        <v>0</v>
      </c>
      <c r="CUO42" s="49">
        <v>0</v>
      </c>
      <c r="CUP42" s="64">
        <f t="shared" si="1742"/>
        <v>0</v>
      </c>
      <c r="CUQ42" s="68">
        <f t="shared" si="1743"/>
        <v>0</v>
      </c>
      <c r="CUR42" s="48">
        <v>0</v>
      </c>
      <c r="CUS42" s="49"/>
      <c r="CUT42" s="49"/>
      <c r="CUU42" s="49">
        <v>83</v>
      </c>
      <c r="CUV42" s="49">
        <v>0</v>
      </c>
      <c r="CUW42" s="49">
        <v>0</v>
      </c>
      <c r="CUX42" s="64">
        <f t="shared" si="1744"/>
        <v>83</v>
      </c>
      <c r="CUY42" s="68">
        <f t="shared" si="1745"/>
        <v>13.833333333333334</v>
      </c>
      <c r="CUZ42" s="48">
        <v>0</v>
      </c>
      <c r="CVA42" s="49">
        <v>0</v>
      </c>
      <c r="CVB42" s="49"/>
      <c r="CVC42" s="49">
        <v>0</v>
      </c>
      <c r="CVD42" s="49">
        <v>0</v>
      </c>
      <c r="CVE42" s="49">
        <v>0</v>
      </c>
      <c r="CVF42" s="64">
        <f t="shared" si="1746"/>
        <v>0</v>
      </c>
      <c r="CVG42" s="68">
        <f t="shared" si="1747"/>
        <v>0</v>
      </c>
      <c r="CVH42" s="48">
        <v>0</v>
      </c>
      <c r="CVI42" s="49">
        <v>61</v>
      </c>
      <c r="CVJ42" s="49">
        <v>0</v>
      </c>
      <c r="CVK42" s="49">
        <v>0</v>
      </c>
      <c r="CVL42" s="49">
        <v>0</v>
      </c>
      <c r="CVM42" s="49"/>
      <c r="CVN42" s="64">
        <f t="shared" si="1748"/>
        <v>61</v>
      </c>
      <c r="CVO42" s="68">
        <f t="shared" si="1749"/>
        <v>10.166666666666666</v>
      </c>
      <c r="CVP42" s="48">
        <v>0</v>
      </c>
      <c r="CVQ42" s="49">
        <v>39</v>
      </c>
      <c r="CVR42" s="49">
        <v>0</v>
      </c>
      <c r="CVS42" s="49">
        <v>79</v>
      </c>
      <c r="CVT42" s="49">
        <v>0</v>
      </c>
      <c r="CVU42" s="49">
        <v>0</v>
      </c>
      <c r="CVV42" s="64">
        <f t="shared" si="1750"/>
        <v>118</v>
      </c>
      <c r="CVW42" s="68">
        <f t="shared" si="1751"/>
        <v>19.666666666666668</v>
      </c>
      <c r="CVX42" s="48">
        <v>0</v>
      </c>
      <c r="CVY42" s="49">
        <v>0</v>
      </c>
      <c r="CVZ42" s="49">
        <v>0</v>
      </c>
      <c r="CWA42" s="49">
        <v>0</v>
      </c>
      <c r="CWB42" s="49">
        <v>111</v>
      </c>
      <c r="CWC42" s="49">
        <v>0</v>
      </c>
      <c r="CWD42" s="64">
        <f t="shared" si="1752"/>
        <v>111</v>
      </c>
      <c r="CWE42" s="68">
        <f t="shared" si="1753"/>
        <v>18.5</v>
      </c>
      <c r="CWF42" s="48">
        <v>0</v>
      </c>
      <c r="CWG42" s="49">
        <v>0</v>
      </c>
      <c r="CWH42" s="49">
        <v>0</v>
      </c>
      <c r="CWI42" s="49">
        <v>0</v>
      </c>
      <c r="CWJ42" s="49">
        <v>0</v>
      </c>
      <c r="CWK42" s="49"/>
      <c r="CWL42" s="64">
        <f t="shared" si="1754"/>
        <v>0</v>
      </c>
      <c r="CWM42" s="68">
        <f t="shared" si="1755"/>
        <v>0</v>
      </c>
      <c r="CWN42" s="48">
        <v>0</v>
      </c>
      <c r="CWO42" s="49">
        <v>85</v>
      </c>
      <c r="CWP42" s="49">
        <v>0</v>
      </c>
      <c r="CWQ42" s="49">
        <v>0</v>
      </c>
      <c r="CWR42" s="49">
        <v>0</v>
      </c>
      <c r="CWS42" s="49">
        <v>6</v>
      </c>
      <c r="CWT42" s="64">
        <f t="shared" si="1756"/>
        <v>91</v>
      </c>
      <c r="CWU42" s="68">
        <f t="shared" si="1757"/>
        <v>15.166666666666666</v>
      </c>
      <c r="CWV42" s="48">
        <v>111</v>
      </c>
      <c r="CWW42" s="49">
        <v>0</v>
      </c>
      <c r="CWX42" s="49">
        <v>0</v>
      </c>
      <c r="CWY42" s="49"/>
      <c r="CWZ42" s="49">
        <v>0</v>
      </c>
      <c r="CXA42" s="49">
        <v>0</v>
      </c>
      <c r="CXB42" s="127">
        <f t="shared" si="1758"/>
        <v>111</v>
      </c>
      <c r="CXC42" s="43">
        <f t="shared" si="1759"/>
        <v>18.5</v>
      </c>
      <c r="CXD42" s="48">
        <v>0</v>
      </c>
      <c r="CXE42" s="49">
        <v>0</v>
      </c>
      <c r="CXF42" s="49">
        <v>0</v>
      </c>
      <c r="CXG42" s="49">
        <v>0</v>
      </c>
      <c r="CXH42" s="49">
        <v>0</v>
      </c>
      <c r="CXI42" s="49">
        <v>119</v>
      </c>
      <c r="CXJ42" s="127">
        <f t="shared" si="1760"/>
        <v>119</v>
      </c>
      <c r="CXK42" s="43">
        <f t="shared" si="1761"/>
        <v>19.833333333333332</v>
      </c>
      <c r="CXL42" s="48">
        <v>0</v>
      </c>
      <c r="CXM42" s="49">
        <v>0</v>
      </c>
      <c r="CXN42" s="49">
        <v>101</v>
      </c>
      <c r="CXO42" s="49">
        <v>0</v>
      </c>
      <c r="CXP42" s="49">
        <v>0</v>
      </c>
      <c r="CXQ42" s="49">
        <v>0</v>
      </c>
      <c r="CXR42" s="127">
        <f t="shared" si="1762"/>
        <v>101</v>
      </c>
      <c r="CXS42" s="43">
        <f t="shared" si="1763"/>
        <v>16.833333333333332</v>
      </c>
      <c r="CXT42" s="48">
        <v>0</v>
      </c>
      <c r="CXU42" s="49">
        <v>110</v>
      </c>
      <c r="CXV42" s="49">
        <v>0</v>
      </c>
      <c r="CXW42" s="49"/>
      <c r="CXX42" s="49">
        <v>0</v>
      </c>
      <c r="CXY42" s="49">
        <v>83</v>
      </c>
      <c r="CXZ42" s="127">
        <f t="shared" si="1764"/>
        <v>193</v>
      </c>
      <c r="CYA42" s="43">
        <f t="shared" si="1765"/>
        <v>32.166666666666664</v>
      </c>
      <c r="CYB42" s="48">
        <v>0</v>
      </c>
      <c r="CYC42" s="49">
        <v>0</v>
      </c>
      <c r="CYD42" s="49">
        <v>0</v>
      </c>
      <c r="CYE42" s="49">
        <v>0</v>
      </c>
      <c r="CYF42" s="49">
        <v>0</v>
      </c>
      <c r="CYG42" s="49">
        <v>79</v>
      </c>
      <c r="CYH42" s="127">
        <f t="shared" si="1766"/>
        <v>79</v>
      </c>
      <c r="CYI42" s="43">
        <f t="shared" si="1767"/>
        <v>13.166666666666666</v>
      </c>
      <c r="CYJ42" s="48"/>
      <c r="CYK42" s="49">
        <v>0</v>
      </c>
      <c r="CYL42" s="49">
        <v>0</v>
      </c>
      <c r="CYM42" s="49">
        <v>0</v>
      </c>
      <c r="CYN42" s="49">
        <v>0</v>
      </c>
      <c r="CYO42" s="49">
        <v>0</v>
      </c>
      <c r="CYP42" s="127">
        <f t="shared" si="1768"/>
        <v>0</v>
      </c>
      <c r="CYQ42" s="43">
        <f t="shared" si="1769"/>
        <v>0</v>
      </c>
      <c r="CYR42" s="48">
        <v>0</v>
      </c>
      <c r="CYS42" s="49">
        <v>0</v>
      </c>
      <c r="CYT42" s="49">
        <v>0</v>
      </c>
      <c r="CYU42" s="49">
        <v>110</v>
      </c>
      <c r="CYV42" s="49">
        <v>0</v>
      </c>
      <c r="CYW42" s="49">
        <v>0</v>
      </c>
      <c r="CYX42" s="127">
        <f t="shared" si="1770"/>
        <v>110</v>
      </c>
      <c r="CYY42" s="43">
        <f t="shared" si="1771"/>
        <v>18.333333333333332</v>
      </c>
      <c r="CYZ42" s="48"/>
      <c r="CZA42" s="49">
        <v>0</v>
      </c>
      <c r="CZB42" s="49">
        <v>0</v>
      </c>
      <c r="CZC42" s="49">
        <v>0</v>
      </c>
      <c r="CZD42" s="49">
        <v>0</v>
      </c>
      <c r="CZE42" s="49">
        <v>0</v>
      </c>
      <c r="CZF42" s="127">
        <f t="shared" si="1772"/>
        <v>0</v>
      </c>
      <c r="CZG42" s="43">
        <f t="shared" si="1773"/>
        <v>0</v>
      </c>
      <c r="CZH42" s="48">
        <v>167</v>
      </c>
      <c r="CZI42" s="49">
        <v>130</v>
      </c>
      <c r="CZJ42" s="49">
        <v>10</v>
      </c>
      <c r="CZK42" s="49">
        <v>0</v>
      </c>
      <c r="CZL42" s="49">
        <v>110</v>
      </c>
      <c r="CZM42" s="49">
        <v>0</v>
      </c>
      <c r="CZN42" s="127">
        <f t="shared" si="1774"/>
        <v>417</v>
      </c>
      <c r="CZO42" s="43">
        <f t="shared" si="1775"/>
        <v>69.5</v>
      </c>
      <c r="CZP42" s="48"/>
      <c r="CZQ42" s="49">
        <v>0</v>
      </c>
      <c r="CZR42" s="49">
        <v>110</v>
      </c>
      <c r="CZS42" s="49">
        <v>0</v>
      </c>
      <c r="CZT42" s="49">
        <v>0</v>
      </c>
      <c r="CZU42" s="49">
        <v>0</v>
      </c>
      <c r="CZV42" s="127">
        <f t="shared" si="1776"/>
        <v>110</v>
      </c>
      <c r="CZW42" s="43">
        <f t="shared" si="1777"/>
        <v>18.333333333333332</v>
      </c>
      <c r="CZX42" s="48">
        <v>0</v>
      </c>
      <c r="CZY42" s="49">
        <v>0</v>
      </c>
      <c r="CZZ42" s="49">
        <v>0</v>
      </c>
      <c r="DAA42" s="49">
        <v>0</v>
      </c>
      <c r="DAB42" s="49"/>
      <c r="DAC42" s="49">
        <v>110</v>
      </c>
      <c r="DAD42" s="64">
        <f t="shared" si="1778"/>
        <v>110</v>
      </c>
      <c r="DAE42" s="68">
        <f t="shared" si="1779"/>
        <v>18.333333333333332</v>
      </c>
      <c r="DAF42" s="48">
        <v>0</v>
      </c>
      <c r="DAG42" s="49">
        <v>0</v>
      </c>
      <c r="DAH42" s="49">
        <v>0</v>
      </c>
      <c r="DAI42" s="49">
        <v>40</v>
      </c>
      <c r="DAJ42" s="49">
        <v>0</v>
      </c>
      <c r="DAK42" s="49">
        <v>0</v>
      </c>
      <c r="DAL42" s="64">
        <f t="shared" si="1780"/>
        <v>40</v>
      </c>
      <c r="DAM42" s="68">
        <f t="shared" si="1781"/>
        <v>6.666666666666667</v>
      </c>
      <c r="DAN42" s="48">
        <v>0</v>
      </c>
      <c r="DAO42" s="49">
        <v>0</v>
      </c>
      <c r="DAP42" s="49">
        <v>0</v>
      </c>
      <c r="DAQ42" s="49">
        <v>110</v>
      </c>
      <c r="DAR42" s="49">
        <v>0</v>
      </c>
      <c r="DAS42" s="49">
        <v>0</v>
      </c>
      <c r="DAT42" s="64">
        <f t="shared" si="1782"/>
        <v>110</v>
      </c>
      <c r="DAU42" s="68">
        <f t="shared" si="1783"/>
        <v>18.333333333333332</v>
      </c>
      <c r="DAV42" s="48"/>
      <c r="DAW42" s="49">
        <v>0</v>
      </c>
      <c r="DAX42" s="49">
        <v>0</v>
      </c>
      <c r="DAY42" s="49">
        <v>0</v>
      </c>
      <c r="DAZ42" s="49">
        <v>0</v>
      </c>
      <c r="DBA42" s="49">
        <v>0</v>
      </c>
      <c r="DBB42" s="64">
        <f t="shared" si="1784"/>
        <v>0</v>
      </c>
      <c r="DBC42" s="68">
        <f t="shared" si="1785"/>
        <v>0</v>
      </c>
      <c r="DBD42" s="48"/>
      <c r="DBE42" s="49">
        <v>0</v>
      </c>
      <c r="DBF42" s="49">
        <v>0</v>
      </c>
      <c r="DBG42" s="49">
        <v>220</v>
      </c>
      <c r="DBH42" s="49">
        <v>0</v>
      </c>
      <c r="DBI42" s="49">
        <v>0</v>
      </c>
      <c r="DBJ42" s="64">
        <f t="shared" si="1786"/>
        <v>220</v>
      </c>
      <c r="DBK42" s="68">
        <f t="shared" si="1787"/>
        <v>36.666666666666664</v>
      </c>
      <c r="DBL42" s="48">
        <v>0</v>
      </c>
      <c r="DBM42" s="49">
        <v>0</v>
      </c>
      <c r="DBN42" s="49">
        <v>0</v>
      </c>
      <c r="DBO42" s="49">
        <v>0</v>
      </c>
      <c r="DBP42" s="49"/>
      <c r="DBQ42" s="49">
        <v>0</v>
      </c>
      <c r="DBR42" s="64">
        <f t="shared" si="1788"/>
        <v>0</v>
      </c>
      <c r="DBS42" s="68">
        <f t="shared" si="1789"/>
        <v>0</v>
      </c>
      <c r="DBT42" s="48">
        <v>0</v>
      </c>
      <c r="DBU42" s="49"/>
      <c r="DBV42" s="49"/>
      <c r="DBW42" s="49">
        <v>0</v>
      </c>
      <c r="DBX42" s="49"/>
      <c r="DBY42" s="49">
        <v>0</v>
      </c>
      <c r="DBZ42" s="64">
        <f t="shared" si="1790"/>
        <v>0</v>
      </c>
      <c r="DCA42" s="68">
        <f t="shared" si="1791"/>
        <v>0</v>
      </c>
      <c r="DCB42" s="48">
        <v>0</v>
      </c>
      <c r="DCC42" s="49">
        <v>219</v>
      </c>
      <c r="DCD42" s="49"/>
      <c r="DCE42" s="49">
        <v>0</v>
      </c>
      <c r="DCF42" s="49">
        <v>0</v>
      </c>
      <c r="DCG42" s="49">
        <v>0</v>
      </c>
      <c r="DCH42" s="64">
        <f t="shared" si="1792"/>
        <v>219</v>
      </c>
      <c r="DCI42" s="68">
        <f t="shared" si="1793"/>
        <v>36.5</v>
      </c>
      <c r="DCJ42" s="48"/>
      <c r="DCK42" s="49">
        <v>0</v>
      </c>
      <c r="DCL42" s="49">
        <v>0</v>
      </c>
      <c r="DCM42" s="49">
        <v>0</v>
      </c>
      <c r="DCN42" s="49">
        <v>0</v>
      </c>
      <c r="DCO42" s="49">
        <v>0</v>
      </c>
      <c r="DCP42" s="64">
        <f t="shared" si="1794"/>
        <v>0</v>
      </c>
      <c r="DCQ42" s="68">
        <f t="shared" si="1795"/>
        <v>0</v>
      </c>
      <c r="DCR42" s="48">
        <v>0</v>
      </c>
      <c r="DCS42" s="49">
        <v>110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796"/>
        <v>110</v>
      </c>
      <c r="DCY42" s="68">
        <f t="shared" si="1797"/>
        <v>18.333333333333332</v>
      </c>
      <c r="DCZ42" s="48">
        <v>122</v>
      </c>
      <c r="DDA42" s="49">
        <v>0</v>
      </c>
      <c r="DDB42" s="49">
        <v>0</v>
      </c>
      <c r="DDC42" s="49">
        <v>0</v>
      </c>
      <c r="DDD42" s="49">
        <v>0</v>
      </c>
      <c r="DDE42" s="49">
        <v>0</v>
      </c>
      <c r="DDF42" s="64">
        <f t="shared" si="1798"/>
        <v>122</v>
      </c>
      <c r="DDG42" s="68">
        <f t="shared" si="1799"/>
        <v>20.333333333333332</v>
      </c>
      <c r="DDH42" s="48">
        <v>0</v>
      </c>
      <c r="DDI42" s="49"/>
      <c r="DDJ42" s="49">
        <v>0</v>
      </c>
      <c r="DDK42" s="49">
        <v>214</v>
      </c>
      <c r="DDL42" s="49">
        <v>0</v>
      </c>
      <c r="DDM42" s="49">
        <v>0</v>
      </c>
      <c r="DDN42" s="127">
        <f t="shared" si="1800"/>
        <v>214</v>
      </c>
      <c r="DDO42" s="43">
        <f t="shared" si="1801"/>
        <v>35.666666666666664</v>
      </c>
      <c r="DDP42" s="48">
        <v>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02"/>
        <v>0</v>
      </c>
      <c r="DDW42" s="43">
        <f t="shared" si="1803"/>
        <v>0</v>
      </c>
      <c r="DDX42" s="48">
        <v>111</v>
      </c>
      <c r="DDY42" s="49">
        <v>0</v>
      </c>
      <c r="DDZ42" s="49">
        <v>0</v>
      </c>
      <c r="DEA42" s="49">
        <v>0</v>
      </c>
      <c r="DEB42" s="49">
        <v>0</v>
      </c>
      <c r="DEC42" s="49">
        <v>0</v>
      </c>
      <c r="DED42" s="127">
        <f t="shared" si="1804"/>
        <v>111</v>
      </c>
      <c r="DEE42" s="43">
        <f t="shared" si="1805"/>
        <v>18.5</v>
      </c>
      <c r="DEF42" s="48">
        <v>0</v>
      </c>
      <c r="DEG42" s="49"/>
      <c r="DEH42" s="49">
        <v>220</v>
      </c>
      <c r="DEI42" s="49">
        <v>0</v>
      </c>
      <c r="DEJ42" s="49">
        <v>0</v>
      </c>
      <c r="DEK42" s="49"/>
      <c r="DEL42" s="127">
        <f t="shared" si="1806"/>
        <v>220</v>
      </c>
      <c r="DEM42" s="43">
        <f t="shared" si="1807"/>
        <v>36.666666666666664</v>
      </c>
      <c r="DEN42" s="48">
        <v>0</v>
      </c>
      <c r="DEO42" s="49">
        <v>0</v>
      </c>
      <c r="DEP42" s="49">
        <v>0</v>
      </c>
      <c r="DEQ42" s="49">
        <v>0</v>
      </c>
      <c r="DER42" s="49"/>
      <c r="DES42" s="49"/>
      <c r="DET42" s="127">
        <f t="shared" si="1808"/>
        <v>0</v>
      </c>
      <c r="DEU42" s="43">
        <f t="shared" si="1809"/>
        <v>0</v>
      </c>
      <c r="DEV42" s="48">
        <v>0</v>
      </c>
      <c r="DEW42" s="49">
        <v>0</v>
      </c>
      <c r="DEX42" s="49">
        <v>0</v>
      </c>
      <c r="DEY42" s="49">
        <v>110</v>
      </c>
      <c r="DEZ42" s="49">
        <v>0</v>
      </c>
      <c r="DFA42" s="49">
        <v>0</v>
      </c>
      <c r="DFB42" s="127">
        <f t="shared" si="1810"/>
        <v>110</v>
      </c>
      <c r="DFC42" s="43">
        <f t="shared" si="1811"/>
        <v>18.333333333333332</v>
      </c>
      <c r="DFD42" s="48"/>
      <c r="DFE42" s="49">
        <v>0</v>
      </c>
      <c r="DFF42" s="49">
        <v>0</v>
      </c>
      <c r="DFG42" s="49">
        <v>110</v>
      </c>
      <c r="DFH42" s="49">
        <v>0</v>
      </c>
      <c r="DFI42" s="49">
        <v>0</v>
      </c>
      <c r="DFJ42" s="127">
        <f t="shared" si="1812"/>
        <v>110</v>
      </c>
      <c r="DFK42" s="43">
        <f t="shared" si="1813"/>
        <v>18.333333333333332</v>
      </c>
      <c r="DFL42" s="63">
        <v>0</v>
      </c>
      <c r="DFM42" s="64">
        <v>0</v>
      </c>
      <c r="DFN42" s="64">
        <v>0</v>
      </c>
      <c r="DFO42" s="64">
        <v>0</v>
      </c>
      <c r="DFP42" s="64">
        <v>127</v>
      </c>
      <c r="DFQ42" s="64">
        <v>0</v>
      </c>
      <c r="DFR42" s="64">
        <f t="shared" si="1814"/>
        <v>127</v>
      </c>
      <c r="DFS42" s="68">
        <f t="shared" si="1815"/>
        <v>21.166666666666668</v>
      </c>
      <c r="DFT42" s="48">
        <v>0</v>
      </c>
      <c r="DFU42" s="49">
        <v>0</v>
      </c>
      <c r="DFV42" s="49">
        <v>0</v>
      </c>
      <c r="DFW42" s="49">
        <v>0</v>
      </c>
      <c r="DFX42" s="49"/>
      <c r="DFY42" s="49">
        <v>0</v>
      </c>
      <c r="DFZ42" s="127">
        <f t="shared" si="1816"/>
        <v>0</v>
      </c>
      <c r="DGA42" s="43">
        <f t="shared" si="1817"/>
        <v>0</v>
      </c>
      <c r="DGB42" s="48">
        <v>0</v>
      </c>
      <c r="DGC42" s="49">
        <v>0</v>
      </c>
      <c r="DGD42" s="49">
        <v>0</v>
      </c>
      <c r="DGE42" s="49">
        <v>0</v>
      </c>
      <c r="DGF42" s="49">
        <v>0</v>
      </c>
      <c r="DGG42" s="49">
        <v>0</v>
      </c>
      <c r="DGH42" s="127">
        <f t="shared" si="1818"/>
        <v>0</v>
      </c>
      <c r="DGI42" s="43">
        <f t="shared" si="1819"/>
        <v>0</v>
      </c>
      <c r="DGJ42" s="48">
        <v>0</v>
      </c>
      <c r="DGK42" s="49">
        <v>120</v>
      </c>
      <c r="DGL42" s="49">
        <v>0</v>
      </c>
      <c r="DGM42" s="49">
        <v>15</v>
      </c>
      <c r="DGN42" s="49">
        <v>191</v>
      </c>
      <c r="DGO42" s="49">
        <v>0</v>
      </c>
      <c r="DGP42" s="64">
        <f t="shared" si="1820"/>
        <v>326</v>
      </c>
      <c r="DGQ42" s="68">
        <f t="shared" si="1821"/>
        <v>54.333333333333336</v>
      </c>
      <c r="DGR42" s="48">
        <v>0</v>
      </c>
      <c r="DGS42" s="49">
        <v>0</v>
      </c>
      <c r="DGT42" s="49">
        <v>0</v>
      </c>
      <c r="DGU42" s="49"/>
      <c r="DGV42" s="49">
        <v>0</v>
      </c>
      <c r="DGW42" s="49">
        <v>0</v>
      </c>
      <c r="DGX42" s="64">
        <f t="shared" si="1822"/>
        <v>0</v>
      </c>
      <c r="DGY42" s="68">
        <f t="shared" si="1823"/>
        <v>0</v>
      </c>
      <c r="DGZ42" s="48">
        <v>0</v>
      </c>
      <c r="DHA42" s="49">
        <v>0</v>
      </c>
      <c r="DHB42" s="49"/>
      <c r="DHC42" s="49"/>
      <c r="DHD42" s="49">
        <v>0</v>
      </c>
      <c r="DHE42" s="49">
        <v>0</v>
      </c>
      <c r="DHF42" s="64">
        <f t="shared" si="1824"/>
        <v>0</v>
      </c>
      <c r="DHG42" s="68">
        <f t="shared" si="1825"/>
        <v>0</v>
      </c>
      <c r="DHH42" s="63">
        <v>0</v>
      </c>
      <c r="DHI42" s="64">
        <v>229</v>
      </c>
      <c r="DHJ42" s="64">
        <v>0</v>
      </c>
      <c r="DHK42" s="64">
        <v>0</v>
      </c>
      <c r="DHL42" s="64">
        <v>0</v>
      </c>
      <c r="DHM42" s="64">
        <v>0</v>
      </c>
      <c r="DHN42" s="64">
        <f t="shared" si="1826"/>
        <v>229</v>
      </c>
      <c r="DHO42" s="68">
        <f t="shared" si="1827"/>
        <v>38.166666666666664</v>
      </c>
      <c r="DHP42" s="48">
        <v>0</v>
      </c>
      <c r="DHQ42" s="49">
        <v>0</v>
      </c>
      <c r="DHR42" s="49"/>
      <c r="DHS42" s="49">
        <v>0</v>
      </c>
      <c r="DHT42" s="49">
        <v>0</v>
      </c>
      <c r="DHU42" s="49">
        <v>111</v>
      </c>
      <c r="DHV42" s="64">
        <f t="shared" si="1828"/>
        <v>111</v>
      </c>
      <c r="DHW42" s="68">
        <f t="shared" si="1829"/>
        <v>18.5</v>
      </c>
      <c r="DHX42" s="48">
        <v>0</v>
      </c>
      <c r="DHY42" s="49"/>
      <c r="DHZ42" s="49"/>
      <c r="DIA42" s="49">
        <v>117</v>
      </c>
      <c r="DIB42" s="49">
        <v>0</v>
      </c>
      <c r="DIC42" s="49">
        <v>0</v>
      </c>
      <c r="DID42" s="64">
        <f t="shared" si="1830"/>
        <v>117</v>
      </c>
      <c r="DIE42" s="68">
        <f t="shared" si="1831"/>
        <v>19.5</v>
      </c>
      <c r="DIF42" s="48">
        <v>0</v>
      </c>
      <c r="DIG42" s="49">
        <v>0</v>
      </c>
      <c r="DIH42" s="49"/>
      <c r="DII42" s="49">
        <v>0</v>
      </c>
      <c r="DIJ42" s="49">
        <v>0</v>
      </c>
      <c r="DIK42" s="49"/>
      <c r="DIL42" s="64">
        <f t="shared" si="1832"/>
        <v>0</v>
      </c>
      <c r="DIM42" s="68">
        <f t="shared" si="1833"/>
        <v>0</v>
      </c>
      <c r="DIN42" s="48">
        <v>0</v>
      </c>
      <c r="DIO42" s="49"/>
      <c r="DIP42" s="49">
        <v>0</v>
      </c>
      <c r="DIQ42" s="49"/>
      <c r="DIR42" s="49">
        <v>0</v>
      </c>
      <c r="DIS42" s="49">
        <v>119</v>
      </c>
      <c r="DIT42" s="64">
        <f t="shared" si="1834"/>
        <v>119</v>
      </c>
      <c r="DIU42" s="68">
        <f t="shared" si="1835"/>
        <v>19.833333333333332</v>
      </c>
      <c r="DIV42" s="48">
        <v>0</v>
      </c>
      <c r="DIW42" s="49">
        <v>0</v>
      </c>
      <c r="DIX42" s="49">
        <v>0</v>
      </c>
      <c r="DIY42" s="49">
        <v>0</v>
      </c>
      <c r="DIZ42" s="49">
        <v>0</v>
      </c>
      <c r="DJA42" s="49">
        <v>110</v>
      </c>
      <c r="DJB42" s="64">
        <f t="shared" si="1836"/>
        <v>110</v>
      </c>
      <c r="DJC42" s="68">
        <f t="shared" si="1837"/>
        <v>18.333333333333332</v>
      </c>
      <c r="DJD42" s="48">
        <v>0</v>
      </c>
      <c r="DJE42" s="49">
        <v>0</v>
      </c>
      <c r="DJF42" s="49">
        <v>0</v>
      </c>
      <c r="DJG42" s="49">
        <v>0</v>
      </c>
      <c r="DJH42" s="49">
        <v>0</v>
      </c>
      <c r="DJI42" s="49"/>
      <c r="DJJ42" s="64">
        <f t="shared" si="1838"/>
        <v>0</v>
      </c>
      <c r="DJK42" s="68">
        <f t="shared" si="1839"/>
        <v>0</v>
      </c>
      <c r="DJL42" s="48">
        <v>109</v>
      </c>
      <c r="DJM42" s="49">
        <v>0</v>
      </c>
      <c r="DJN42" s="49">
        <v>0</v>
      </c>
      <c r="DJO42" s="49">
        <v>0</v>
      </c>
      <c r="DJP42" s="49">
        <v>0</v>
      </c>
      <c r="DJQ42" s="49">
        <v>0</v>
      </c>
      <c r="DJR42" s="64">
        <f t="shared" si="1840"/>
        <v>109</v>
      </c>
      <c r="DJS42" s="68">
        <f t="shared" si="1841"/>
        <v>18.166666666666668</v>
      </c>
      <c r="DJT42" s="48"/>
      <c r="DJU42" s="49">
        <v>301</v>
      </c>
      <c r="DJV42" s="49">
        <v>0</v>
      </c>
      <c r="DJW42" s="49">
        <v>0</v>
      </c>
      <c r="DJX42" s="49">
        <v>0</v>
      </c>
      <c r="DJY42" s="49">
        <v>0</v>
      </c>
      <c r="DJZ42" s="64">
        <f t="shared" si="1842"/>
        <v>301</v>
      </c>
      <c r="DKA42" s="68">
        <f t="shared" si="1843"/>
        <v>50.166666666666664</v>
      </c>
      <c r="DKB42" s="48">
        <v>0</v>
      </c>
      <c r="DKC42" s="49">
        <v>113</v>
      </c>
      <c r="DKD42" s="49">
        <v>224</v>
      </c>
      <c r="DKE42" s="49">
        <v>0</v>
      </c>
      <c r="DKF42" s="49">
        <v>0</v>
      </c>
      <c r="DKG42" s="49">
        <v>0</v>
      </c>
      <c r="DKH42" s="64">
        <f t="shared" si="1844"/>
        <v>337</v>
      </c>
      <c r="DKI42" s="68">
        <f t="shared" si="1845"/>
        <v>56.166666666666664</v>
      </c>
      <c r="DKJ42" s="48">
        <v>0</v>
      </c>
      <c r="DKK42" s="49">
        <v>0</v>
      </c>
      <c r="DKL42" s="49">
        <v>0</v>
      </c>
      <c r="DKM42" s="49"/>
      <c r="DKN42" s="49">
        <v>0</v>
      </c>
      <c r="DKO42" s="49"/>
      <c r="DKP42" s="64">
        <f t="shared" si="1846"/>
        <v>0</v>
      </c>
      <c r="DKQ42" s="68">
        <f t="shared" si="1847"/>
        <v>0</v>
      </c>
      <c r="DKR42" s="48">
        <v>0</v>
      </c>
      <c r="DKS42" s="49">
        <v>0</v>
      </c>
      <c r="DKT42" s="49"/>
      <c r="DKU42" s="49">
        <v>0</v>
      </c>
      <c r="DKV42" s="49">
        <v>0</v>
      </c>
      <c r="DKW42" s="49">
        <v>211</v>
      </c>
      <c r="DKX42" s="64">
        <f t="shared" si="1848"/>
        <v>211</v>
      </c>
      <c r="DKY42" s="68">
        <f t="shared" si="1849"/>
        <v>35.166666666666664</v>
      </c>
      <c r="DKZ42" s="48"/>
      <c r="DLA42" s="49">
        <v>0</v>
      </c>
      <c r="DLB42" s="49">
        <v>0</v>
      </c>
      <c r="DLC42" s="49">
        <v>0</v>
      </c>
      <c r="DLD42" s="49"/>
      <c r="DLE42" s="49">
        <v>0</v>
      </c>
      <c r="DLF42" s="64">
        <f t="shared" si="1850"/>
        <v>0</v>
      </c>
      <c r="DLG42" s="68">
        <f t="shared" si="1851"/>
        <v>0</v>
      </c>
      <c r="DLH42" s="48"/>
      <c r="DLI42" s="49">
        <v>0</v>
      </c>
      <c r="DLJ42" s="49">
        <v>110</v>
      </c>
      <c r="DLK42" s="49">
        <v>50</v>
      </c>
      <c r="DLL42" s="49"/>
      <c r="DLM42" s="49"/>
      <c r="DLN42" s="64">
        <f t="shared" si="1852"/>
        <v>160</v>
      </c>
      <c r="DLO42" s="68">
        <f t="shared" si="1853"/>
        <v>26.666666666666668</v>
      </c>
      <c r="DLP42" s="48">
        <v>0</v>
      </c>
      <c r="DLQ42" s="49"/>
      <c r="DLR42" s="49">
        <v>110</v>
      </c>
      <c r="DLS42" s="49">
        <v>0</v>
      </c>
      <c r="DLT42" s="49">
        <v>0</v>
      </c>
      <c r="DLU42" s="49">
        <v>0</v>
      </c>
      <c r="DLV42" s="64">
        <f t="shared" si="1854"/>
        <v>110</v>
      </c>
      <c r="DLW42" s="68">
        <f t="shared" si="1855"/>
        <v>18.333333333333332</v>
      </c>
      <c r="DLX42" s="48">
        <v>0</v>
      </c>
      <c r="DLY42" s="49"/>
      <c r="DLZ42" s="49"/>
      <c r="DMA42" s="49">
        <v>0</v>
      </c>
      <c r="DMB42" s="49">
        <v>160</v>
      </c>
      <c r="DMC42" s="49">
        <v>0</v>
      </c>
      <c r="DMD42" s="64">
        <f t="shared" si="1856"/>
        <v>160</v>
      </c>
      <c r="DME42" s="68">
        <f t="shared" si="1857"/>
        <v>26.666666666666668</v>
      </c>
      <c r="DMF42" s="48"/>
      <c r="DMG42" s="49">
        <v>0</v>
      </c>
      <c r="DMH42" s="49"/>
      <c r="DMI42" s="49">
        <v>0</v>
      </c>
      <c r="DMJ42" s="49">
        <v>0</v>
      </c>
      <c r="DMK42" s="49">
        <v>0</v>
      </c>
      <c r="DML42" s="64">
        <f t="shared" si="1858"/>
        <v>0</v>
      </c>
      <c r="DMM42" s="68">
        <f t="shared" si="1859"/>
        <v>0</v>
      </c>
      <c r="DMN42" s="48">
        <v>0</v>
      </c>
      <c r="DMO42" s="49"/>
      <c r="DMP42" s="49">
        <v>0</v>
      </c>
      <c r="DMQ42" s="49">
        <v>0</v>
      </c>
      <c r="DMR42" s="49">
        <v>0</v>
      </c>
      <c r="DMS42" s="49">
        <v>160</v>
      </c>
      <c r="DMT42" s="64">
        <f t="shared" si="1860"/>
        <v>160</v>
      </c>
      <c r="DMU42" s="68">
        <f t="shared" si="1861"/>
        <v>26.666666666666668</v>
      </c>
      <c r="DMV42" s="48">
        <v>0</v>
      </c>
      <c r="DMW42" s="49">
        <v>0</v>
      </c>
      <c r="DMX42" s="49">
        <v>0</v>
      </c>
      <c r="DMY42" s="49">
        <v>0</v>
      </c>
      <c r="DMZ42" s="49">
        <v>7</v>
      </c>
      <c r="DNA42" s="49">
        <v>110</v>
      </c>
      <c r="DNB42" s="64">
        <f t="shared" si="1862"/>
        <v>117</v>
      </c>
      <c r="DNC42" s="68">
        <f t="shared" si="1863"/>
        <v>19.5</v>
      </c>
      <c r="DND42" s="48"/>
      <c r="DNE42" s="49">
        <v>0</v>
      </c>
      <c r="DNF42" s="49">
        <v>0</v>
      </c>
      <c r="DNG42" s="49"/>
      <c r="DNH42" s="49">
        <v>0</v>
      </c>
      <c r="DNI42" s="49">
        <v>0</v>
      </c>
      <c r="DNJ42" s="64">
        <f t="shared" si="1864"/>
        <v>0</v>
      </c>
      <c r="DNK42" s="68">
        <f t="shared" si="1865"/>
        <v>0</v>
      </c>
      <c r="DNL42" s="48"/>
      <c r="DNM42" s="49"/>
      <c r="DNN42" s="49">
        <v>0</v>
      </c>
      <c r="DNO42" s="49">
        <v>0</v>
      </c>
      <c r="DNP42" s="49">
        <v>160</v>
      </c>
      <c r="DNQ42" s="49">
        <v>0</v>
      </c>
      <c r="DNR42" s="64">
        <f t="shared" si="1866"/>
        <v>160</v>
      </c>
      <c r="DNS42" s="68">
        <f t="shared" si="1867"/>
        <v>26.666666666666668</v>
      </c>
      <c r="DNT42" s="48">
        <v>0</v>
      </c>
      <c r="DNU42" s="49">
        <v>0</v>
      </c>
      <c r="DNV42" s="49">
        <v>0</v>
      </c>
      <c r="DNW42" s="49">
        <v>0</v>
      </c>
      <c r="DNX42" s="49">
        <v>110</v>
      </c>
      <c r="DNY42" s="49">
        <v>0</v>
      </c>
      <c r="DNZ42" s="64">
        <f t="shared" si="1868"/>
        <v>110</v>
      </c>
      <c r="DOA42" s="68">
        <f t="shared" si="1869"/>
        <v>18.333333333333332</v>
      </c>
      <c r="DOB42" s="48">
        <v>0</v>
      </c>
      <c r="DOC42" s="49"/>
      <c r="DOD42" s="49">
        <v>0</v>
      </c>
      <c r="DOE42" s="49">
        <v>111</v>
      </c>
      <c r="DOF42" s="49">
        <v>0</v>
      </c>
      <c r="DOG42" s="49">
        <v>0</v>
      </c>
      <c r="DOH42" s="64">
        <f t="shared" si="1870"/>
        <v>111</v>
      </c>
      <c r="DOI42" s="68">
        <f t="shared" si="1871"/>
        <v>18.5</v>
      </c>
      <c r="DOJ42" s="48">
        <v>0</v>
      </c>
      <c r="DOK42" s="49">
        <v>0</v>
      </c>
      <c r="DOL42" s="49">
        <v>0</v>
      </c>
      <c r="DOM42" s="49">
        <v>80</v>
      </c>
      <c r="DON42" s="49">
        <v>0</v>
      </c>
      <c r="DOO42" s="49">
        <v>0</v>
      </c>
      <c r="DOP42" s="64">
        <f t="shared" si="1872"/>
        <v>80</v>
      </c>
      <c r="DOQ42" s="68">
        <f t="shared" si="1873"/>
        <v>13.333333333333334</v>
      </c>
      <c r="DOR42" s="48">
        <v>0</v>
      </c>
      <c r="DOS42" s="49">
        <v>0</v>
      </c>
      <c r="DOT42" s="49">
        <v>0</v>
      </c>
      <c r="DOU42" s="49">
        <v>110</v>
      </c>
      <c r="DOV42" s="49"/>
      <c r="DOW42" s="49">
        <v>0</v>
      </c>
      <c r="DOX42" s="64">
        <f t="shared" si="1874"/>
        <v>110</v>
      </c>
      <c r="DOY42" s="68">
        <f t="shared" si="1875"/>
        <v>18.333333333333332</v>
      </c>
      <c r="DOZ42" s="48"/>
      <c r="DPA42" s="49">
        <v>0</v>
      </c>
      <c r="DPB42" s="49"/>
      <c r="DPC42" s="49">
        <v>0</v>
      </c>
      <c r="DPD42" s="49"/>
      <c r="DPE42" s="49">
        <v>0</v>
      </c>
      <c r="DPF42" s="64">
        <f t="shared" si="1876"/>
        <v>0</v>
      </c>
      <c r="DPG42" s="68">
        <f t="shared" si="1877"/>
        <v>0</v>
      </c>
      <c r="DPH42" s="48">
        <v>0</v>
      </c>
      <c r="DPI42" s="49">
        <v>7</v>
      </c>
      <c r="DPJ42" s="49">
        <v>110</v>
      </c>
      <c r="DPK42" s="49">
        <v>0</v>
      </c>
      <c r="DPL42" s="49"/>
      <c r="DPM42" s="49"/>
      <c r="DPN42" s="64">
        <f t="shared" si="1878"/>
        <v>117</v>
      </c>
      <c r="DPO42" s="68">
        <f t="shared" si="1879"/>
        <v>19.5</v>
      </c>
      <c r="DPP42" s="48">
        <v>0</v>
      </c>
      <c r="DPQ42" s="49">
        <v>0</v>
      </c>
      <c r="DPR42" s="49">
        <v>112</v>
      </c>
      <c r="DPS42" s="49"/>
      <c r="DPT42" s="49"/>
      <c r="DPU42" s="49">
        <v>0</v>
      </c>
      <c r="DPV42" s="491">
        <f t="shared" si="1880"/>
        <v>112</v>
      </c>
      <c r="DPW42" s="492">
        <f t="shared" si="1881"/>
        <v>18.666666666666668</v>
      </c>
      <c r="DPX42" s="48">
        <v>0</v>
      </c>
      <c r="DPY42" s="49">
        <v>0</v>
      </c>
      <c r="DPZ42" s="49">
        <v>0</v>
      </c>
      <c r="DQA42" s="49">
        <v>0</v>
      </c>
      <c r="DQB42" s="49">
        <v>0</v>
      </c>
      <c r="DQC42" s="49">
        <v>0</v>
      </c>
      <c r="DQD42" s="491">
        <f t="shared" si="1882"/>
        <v>0</v>
      </c>
      <c r="DQE42" s="492">
        <f t="shared" si="1883"/>
        <v>0</v>
      </c>
      <c r="DQF42" s="48">
        <v>113</v>
      </c>
      <c r="DQG42" s="49">
        <v>0</v>
      </c>
      <c r="DQH42" s="49">
        <v>0</v>
      </c>
      <c r="DQI42" s="49"/>
      <c r="DQJ42" s="49">
        <v>80</v>
      </c>
      <c r="DQK42" s="49">
        <v>0</v>
      </c>
      <c r="DQL42" s="489">
        <f t="shared" si="1884"/>
        <v>193</v>
      </c>
      <c r="DQM42" s="492">
        <f t="shared" si="1885"/>
        <v>32.166666666666664</v>
      </c>
      <c r="DQN42" s="48">
        <v>109</v>
      </c>
      <c r="DQO42" s="49">
        <v>0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886"/>
        <v>109</v>
      </c>
      <c r="DQU42" s="68">
        <f t="shared" si="1887"/>
        <v>18.166666666666668</v>
      </c>
      <c r="DQV42" s="48">
        <v>0</v>
      </c>
      <c r="DQW42" s="49">
        <v>0</v>
      </c>
      <c r="DQX42" s="49"/>
      <c r="DQY42" s="49">
        <v>0</v>
      </c>
      <c r="DQZ42" s="49">
        <v>0</v>
      </c>
      <c r="DRA42" s="49">
        <v>0</v>
      </c>
      <c r="DRB42" s="491">
        <f t="shared" si="1888"/>
        <v>0</v>
      </c>
      <c r="DRC42" s="492">
        <f t="shared" si="1889"/>
        <v>0</v>
      </c>
      <c r="DRD42" s="48">
        <v>0</v>
      </c>
      <c r="DRE42" s="49">
        <v>0</v>
      </c>
      <c r="DRF42" s="49">
        <v>0</v>
      </c>
      <c r="DRG42" s="49">
        <v>0</v>
      </c>
      <c r="DRH42" s="49">
        <v>110</v>
      </c>
      <c r="DRI42" s="49"/>
      <c r="DRJ42" s="491">
        <f t="shared" si="1890"/>
        <v>110</v>
      </c>
      <c r="DRK42" s="492">
        <f t="shared" si="1891"/>
        <v>18.333333333333332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587"/>
        <v>0</v>
      </c>
      <c r="DRS42" s="68">
        <f t="shared" si="1588"/>
        <v>0</v>
      </c>
      <c r="DRT42" s="48">
        <v>0</v>
      </c>
      <c r="DRU42" s="49">
        <v>0</v>
      </c>
      <c r="DRV42" s="49">
        <v>0</v>
      </c>
      <c r="DRW42" s="49">
        <v>0</v>
      </c>
      <c r="DRX42" s="49">
        <v>0</v>
      </c>
      <c r="DRY42" s="49"/>
      <c r="DRZ42" s="491">
        <f t="shared" si="1589"/>
        <v>0</v>
      </c>
      <c r="DSA42" s="68">
        <f t="shared" si="1590"/>
        <v>0</v>
      </c>
      <c r="DSB42" s="82"/>
      <c r="DSC42" s="83">
        <v>0</v>
      </c>
      <c r="DSD42" s="83">
        <v>93</v>
      </c>
      <c r="DSE42" s="83"/>
      <c r="DSF42" s="83">
        <v>0</v>
      </c>
      <c r="DSG42" s="83">
        <v>0</v>
      </c>
      <c r="DSH42" s="64">
        <f t="shared" si="1591"/>
        <v>93</v>
      </c>
      <c r="DSI42" s="68">
        <f t="shared" si="1592"/>
        <v>15.5</v>
      </c>
      <c r="DSJ42" s="48">
        <v>0</v>
      </c>
      <c r="DSK42" s="49">
        <v>80</v>
      </c>
      <c r="DSL42" s="49">
        <v>0</v>
      </c>
      <c r="DSM42" s="49">
        <v>0</v>
      </c>
      <c r="DSN42" s="49">
        <v>0</v>
      </c>
      <c r="DSO42" s="49">
        <v>0</v>
      </c>
      <c r="DSP42" s="64">
        <f t="shared" si="1593"/>
        <v>80</v>
      </c>
      <c r="DSQ42" s="68">
        <f t="shared" si="1594"/>
        <v>13.333333333333334</v>
      </c>
      <c r="DSR42" s="48"/>
      <c r="DSS42" s="49">
        <v>0</v>
      </c>
      <c r="DST42" s="49">
        <v>108</v>
      </c>
      <c r="DSU42" s="49">
        <v>0</v>
      </c>
      <c r="DSV42" s="49">
        <v>0</v>
      </c>
      <c r="DSW42" s="49">
        <v>0</v>
      </c>
      <c r="DSX42" s="64">
        <f t="shared" si="1595"/>
        <v>108</v>
      </c>
      <c r="DSY42" s="68">
        <f t="shared" si="1596"/>
        <v>18</v>
      </c>
      <c r="DSZ42" s="48">
        <v>112</v>
      </c>
      <c r="DTA42" s="49">
        <v>0</v>
      </c>
      <c r="DTB42" s="49">
        <v>0</v>
      </c>
      <c r="DTC42" s="49">
        <v>0</v>
      </c>
      <c r="DTD42" s="49"/>
      <c r="DTE42" s="49">
        <v>0</v>
      </c>
      <c r="DTF42" s="64">
        <f t="shared" si="1597"/>
        <v>112</v>
      </c>
      <c r="DTG42" s="68">
        <f t="shared" si="1598"/>
        <v>18.666666666666668</v>
      </c>
      <c r="DTH42" s="48">
        <v>20</v>
      </c>
      <c r="DTI42" s="49">
        <v>109</v>
      </c>
      <c r="DTJ42" s="49">
        <v>0</v>
      </c>
      <c r="DTK42" s="49">
        <v>0</v>
      </c>
      <c r="DTL42" s="49">
        <v>160</v>
      </c>
      <c r="DTM42" s="49">
        <v>0</v>
      </c>
      <c r="DTN42" s="64">
        <f t="shared" si="1599"/>
        <v>289</v>
      </c>
      <c r="DTO42" s="68">
        <f t="shared" si="1600"/>
        <v>48.166666666666664</v>
      </c>
      <c r="DTP42" s="48">
        <v>0</v>
      </c>
      <c r="DTQ42" s="49"/>
      <c r="DTR42" s="49"/>
      <c r="DTS42" s="49">
        <v>110</v>
      </c>
      <c r="DTT42" s="49">
        <v>0</v>
      </c>
      <c r="DTU42" s="49">
        <v>0</v>
      </c>
      <c r="DTV42" s="64">
        <f t="shared" si="1601"/>
        <v>110</v>
      </c>
      <c r="DTW42" s="68">
        <f t="shared" si="1602"/>
        <v>18.333333333333332</v>
      </c>
      <c r="DTX42" s="48">
        <v>80</v>
      </c>
      <c r="DTY42" s="49">
        <v>0</v>
      </c>
      <c r="DTZ42" s="49">
        <v>0</v>
      </c>
      <c r="DUA42" s="49">
        <v>0</v>
      </c>
      <c r="DUB42" s="49">
        <v>0</v>
      </c>
      <c r="DUC42" s="49">
        <v>159</v>
      </c>
      <c r="DUD42" s="64">
        <f t="shared" si="1603"/>
        <v>239</v>
      </c>
      <c r="DUE42" s="68">
        <f t="shared" si="1604"/>
        <v>39.833333333333336</v>
      </c>
      <c r="DUF42" s="48">
        <v>0</v>
      </c>
      <c r="DUG42" s="49">
        <v>0</v>
      </c>
      <c r="DUH42" s="49"/>
      <c r="DUI42" s="49">
        <v>0</v>
      </c>
      <c r="DUJ42" s="49">
        <v>0</v>
      </c>
      <c r="DUK42" s="49">
        <v>0</v>
      </c>
      <c r="DUL42" s="64">
        <f t="shared" si="1605"/>
        <v>0</v>
      </c>
      <c r="DUM42" s="68">
        <f t="shared" si="1606"/>
        <v>0</v>
      </c>
      <c r="DUN42" s="48"/>
      <c r="DUO42" s="49">
        <v>10</v>
      </c>
      <c r="DUP42" s="49">
        <v>110</v>
      </c>
      <c r="DUQ42" s="49">
        <v>0</v>
      </c>
      <c r="DUR42" s="49"/>
      <c r="DUS42" s="49">
        <v>0</v>
      </c>
      <c r="DUT42" s="64">
        <f t="shared" si="1607"/>
        <v>120</v>
      </c>
      <c r="DUU42" s="68">
        <f t="shared" si="1608"/>
        <v>20</v>
      </c>
      <c r="DUV42" s="48"/>
      <c r="DUW42" s="49">
        <v>0</v>
      </c>
      <c r="DUX42" s="49">
        <v>0</v>
      </c>
      <c r="DUY42" s="49">
        <v>0</v>
      </c>
      <c r="DUZ42" s="49">
        <v>110</v>
      </c>
      <c r="DVA42" s="49">
        <v>0</v>
      </c>
      <c r="DVB42" s="64">
        <f t="shared" si="1609"/>
        <v>110</v>
      </c>
      <c r="DVC42" s="68">
        <f t="shared" si="1610"/>
        <v>18.333333333333332</v>
      </c>
      <c r="DVD42" s="48"/>
      <c r="DVE42" s="49">
        <v>0</v>
      </c>
      <c r="DVF42" s="49">
        <v>0</v>
      </c>
      <c r="DVG42" s="49">
        <v>110</v>
      </c>
      <c r="DVH42" s="49">
        <v>0</v>
      </c>
      <c r="DVI42" s="49">
        <v>0</v>
      </c>
      <c r="DVJ42" s="64">
        <f t="shared" si="1611"/>
        <v>110</v>
      </c>
      <c r="DVK42" s="68">
        <f t="shared" si="1612"/>
        <v>18.333333333333332</v>
      </c>
      <c r="DVL42" s="48">
        <v>0</v>
      </c>
      <c r="DVM42" s="49">
        <v>0</v>
      </c>
      <c r="DVN42" s="49">
        <v>0</v>
      </c>
      <c r="DVO42" s="49">
        <v>0</v>
      </c>
      <c r="DVP42" s="49">
        <v>0</v>
      </c>
      <c r="DVQ42" s="49">
        <v>0</v>
      </c>
      <c r="DVR42" s="64">
        <f t="shared" si="1613"/>
        <v>0</v>
      </c>
      <c r="DVS42" s="68">
        <f t="shared" si="1614"/>
        <v>0</v>
      </c>
      <c r="DVT42" s="48"/>
      <c r="DVU42" s="49">
        <v>0</v>
      </c>
      <c r="DVV42" s="49">
        <v>0</v>
      </c>
      <c r="DVW42" s="49">
        <v>0</v>
      </c>
      <c r="DVX42" s="49">
        <v>0</v>
      </c>
      <c r="DVY42" s="49">
        <v>120</v>
      </c>
      <c r="DVZ42" s="64">
        <f t="shared" si="1615"/>
        <v>120</v>
      </c>
      <c r="DWA42" s="68">
        <f t="shared" si="1616"/>
        <v>20</v>
      </c>
      <c r="DWB42" s="48">
        <v>0</v>
      </c>
      <c r="DWC42" s="49">
        <v>0</v>
      </c>
      <c r="DWD42" s="49">
        <v>0</v>
      </c>
      <c r="DWE42" s="49">
        <v>0</v>
      </c>
      <c r="DWF42" s="49">
        <v>110</v>
      </c>
      <c r="DWG42" s="49"/>
      <c r="DWH42" s="64">
        <f t="shared" si="1617"/>
        <v>110</v>
      </c>
      <c r="DWI42" s="68">
        <f t="shared" si="1618"/>
        <v>18.333333333333332</v>
      </c>
      <c r="DWJ42" s="48">
        <v>0</v>
      </c>
      <c r="DWK42" s="49">
        <v>0</v>
      </c>
      <c r="DWL42" s="49">
        <v>0</v>
      </c>
      <c r="DWM42" s="49">
        <v>0</v>
      </c>
      <c r="DWN42" s="49">
        <v>110</v>
      </c>
      <c r="DWO42" s="49">
        <v>0</v>
      </c>
      <c r="DWP42" s="64">
        <f t="shared" si="1619"/>
        <v>110</v>
      </c>
      <c r="DWQ42" s="68">
        <f t="shared" si="1620"/>
        <v>18.333333333333332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21"/>
        <v>0</v>
      </c>
      <c r="DWY42" s="68">
        <f t="shared" si="1622"/>
        <v>0</v>
      </c>
      <c r="DWZ42" s="48">
        <v>110</v>
      </c>
      <c r="DXA42" s="49">
        <v>0</v>
      </c>
      <c r="DXB42" s="49">
        <v>0</v>
      </c>
      <c r="DXC42" s="49">
        <v>0</v>
      </c>
      <c r="DXD42" s="49"/>
      <c r="DXE42" s="49"/>
      <c r="DXF42" s="64">
        <f t="shared" si="1623"/>
        <v>110</v>
      </c>
      <c r="DXG42" s="68">
        <f t="shared" si="1624"/>
        <v>18.333333333333332</v>
      </c>
      <c r="DXH42" s="48">
        <v>0</v>
      </c>
      <c r="DXI42" s="49">
        <v>0</v>
      </c>
      <c r="DXJ42" s="49">
        <v>0</v>
      </c>
      <c r="DXK42" s="49">
        <v>0</v>
      </c>
      <c r="DXL42" s="49">
        <v>0</v>
      </c>
      <c r="DXM42" s="49">
        <v>0</v>
      </c>
      <c r="DXN42" s="64">
        <f t="shared" si="1625"/>
        <v>0</v>
      </c>
      <c r="DXO42" s="68">
        <f t="shared" si="1626"/>
        <v>0</v>
      </c>
      <c r="DXP42" s="48">
        <v>220</v>
      </c>
      <c r="DXQ42" s="49">
        <v>0</v>
      </c>
      <c r="DXR42" s="49">
        <v>0</v>
      </c>
      <c r="DXS42" s="49">
        <v>0</v>
      </c>
      <c r="DXT42" s="49">
        <v>0</v>
      </c>
      <c r="DXU42" s="49">
        <v>0</v>
      </c>
      <c r="DXV42" s="64">
        <f t="shared" si="1320"/>
        <v>220</v>
      </c>
      <c r="DXW42" s="68">
        <f t="shared" si="1321"/>
        <v>36.666666666666664</v>
      </c>
      <c r="DXX42" s="48">
        <v>0</v>
      </c>
      <c r="DXY42" s="49">
        <v>0</v>
      </c>
      <c r="DXZ42" s="49">
        <v>0</v>
      </c>
      <c r="DYA42" s="49">
        <v>0</v>
      </c>
      <c r="DYB42" s="49">
        <v>0</v>
      </c>
      <c r="DYC42" s="49">
        <v>0</v>
      </c>
      <c r="DYD42" s="64">
        <f t="shared" si="1322"/>
        <v>0</v>
      </c>
      <c r="DYE42" s="68">
        <f t="shared" si="1323"/>
        <v>0</v>
      </c>
      <c r="DYF42" s="48">
        <v>0</v>
      </c>
      <c r="DYG42" s="49">
        <v>103</v>
      </c>
      <c r="DYH42" s="49">
        <v>0</v>
      </c>
      <c r="DYI42" s="49">
        <v>0</v>
      </c>
      <c r="DYJ42" s="49">
        <v>0</v>
      </c>
      <c r="DYK42" s="49"/>
      <c r="DYL42" s="64">
        <f t="shared" si="1324"/>
        <v>103</v>
      </c>
      <c r="DYM42" s="68">
        <f t="shared" si="1325"/>
        <v>17.166666666666668</v>
      </c>
      <c r="DYN42" s="48">
        <v>80</v>
      </c>
      <c r="DYO42" s="49">
        <v>0</v>
      </c>
      <c r="DYP42" s="49">
        <v>0</v>
      </c>
      <c r="DYQ42" s="49">
        <v>0</v>
      </c>
      <c r="DYR42" s="49"/>
      <c r="DYS42" s="49"/>
      <c r="DYT42" s="64">
        <f t="shared" si="1326"/>
        <v>80</v>
      </c>
      <c r="DYU42" s="68">
        <f t="shared" si="1327"/>
        <v>13.333333333333334</v>
      </c>
      <c r="DYV42" s="48">
        <v>110</v>
      </c>
      <c r="DYW42" s="49">
        <v>0</v>
      </c>
      <c r="DYX42" s="49">
        <v>0</v>
      </c>
      <c r="DYY42" s="49">
        <v>0</v>
      </c>
      <c r="DYZ42" s="49">
        <v>0</v>
      </c>
      <c r="DZA42" s="49">
        <v>0</v>
      </c>
      <c r="DZB42" s="64">
        <f t="shared" si="1328"/>
        <v>110</v>
      </c>
      <c r="DZC42" s="68">
        <f t="shared" si="1329"/>
        <v>18.333333333333332</v>
      </c>
      <c r="DZD42" s="48">
        <v>0</v>
      </c>
      <c r="DZE42" s="49">
        <v>0</v>
      </c>
      <c r="DZF42" s="49">
        <v>0</v>
      </c>
      <c r="DZG42" s="49">
        <v>0</v>
      </c>
      <c r="DZH42" s="49">
        <v>0</v>
      </c>
      <c r="DZI42" s="49">
        <v>0</v>
      </c>
      <c r="DZJ42" s="64">
        <f t="shared" si="1330"/>
        <v>0</v>
      </c>
      <c r="DZK42" s="68">
        <f t="shared" si="1331"/>
        <v>0</v>
      </c>
      <c r="DZL42" s="48">
        <v>120</v>
      </c>
      <c r="DZM42" s="49">
        <v>0</v>
      </c>
      <c r="DZN42" s="49"/>
      <c r="DZO42" s="49">
        <v>0</v>
      </c>
      <c r="DZP42" s="49">
        <v>0</v>
      </c>
      <c r="DZQ42" s="49">
        <v>0</v>
      </c>
      <c r="DZR42" s="64">
        <f t="shared" si="1332"/>
        <v>120</v>
      </c>
      <c r="DZS42" s="68">
        <f t="shared" si="1333"/>
        <v>20</v>
      </c>
      <c r="DZT42" s="48">
        <v>0</v>
      </c>
      <c r="DZU42" s="49">
        <v>0</v>
      </c>
      <c r="DZV42" s="49"/>
      <c r="DZW42" s="49">
        <v>110</v>
      </c>
      <c r="DZX42" s="49">
        <v>0</v>
      </c>
      <c r="DZY42" s="49">
        <v>0</v>
      </c>
      <c r="DZZ42" s="64">
        <f t="shared" si="1334"/>
        <v>110</v>
      </c>
      <c r="EAA42" s="68">
        <f t="shared" si="1335"/>
        <v>18.333333333333332</v>
      </c>
      <c r="EAB42" s="48"/>
      <c r="EAC42" s="49">
        <v>0</v>
      </c>
      <c r="EAD42" s="49">
        <v>0</v>
      </c>
      <c r="EAE42" s="49"/>
      <c r="EAF42" s="49">
        <v>0</v>
      </c>
      <c r="EAG42" s="49">
        <v>0</v>
      </c>
      <c r="EAH42" s="64">
        <f t="shared" si="1336"/>
        <v>0</v>
      </c>
      <c r="EAI42" s="68">
        <f t="shared" si="1337"/>
        <v>0</v>
      </c>
      <c r="EAJ42" s="48">
        <v>0</v>
      </c>
      <c r="EAK42" s="49"/>
      <c r="EAL42" s="49">
        <v>0</v>
      </c>
      <c r="EAM42" s="49">
        <v>0</v>
      </c>
      <c r="EAN42" s="49">
        <v>0</v>
      </c>
      <c r="EAO42" s="49">
        <v>0</v>
      </c>
      <c r="EAP42" s="64">
        <f t="shared" si="1338"/>
        <v>0</v>
      </c>
      <c r="EAQ42" s="68">
        <f t="shared" si="1339"/>
        <v>0</v>
      </c>
      <c r="EAR42" s="48">
        <v>80</v>
      </c>
      <c r="EAS42" s="49">
        <v>0</v>
      </c>
      <c r="EAT42" s="49">
        <v>0</v>
      </c>
      <c r="EAU42" s="49">
        <v>0</v>
      </c>
      <c r="EAV42" s="49">
        <v>0</v>
      </c>
      <c r="EAW42" s="49"/>
      <c r="EAX42" s="64">
        <f t="shared" si="1340"/>
        <v>80</v>
      </c>
      <c r="EAY42" s="68">
        <f t="shared" si="1341"/>
        <v>13.333333333333334</v>
      </c>
      <c r="EAZ42" s="48">
        <v>0</v>
      </c>
      <c r="EBA42" s="49"/>
      <c r="EBB42" s="49">
        <v>0</v>
      </c>
      <c r="EBC42" s="49">
        <v>0</v>
      </c>
      <c r="EBD42" s="49">
        <v>0</v>
      </c>
      <c r="EBE42" s="49">
        <v>0</v>
      </c>
      <c r="EBF42" s="64">
        <f t="shared" si="1342"/>
        <v>0</v>
      </c>
      <c r="EBG42" s="68">
        <f t="shared" si="1343"/>
        <v>0</v>
      </c>
      <c r="EBH42" s="48">
        <v>0</v>
      </c>
      <c r="EBI42" s="49">
        <v>0</v>
      </c>
      <c r="EBJ42" s="49">
        <v>0</v>
      </c>
      <c r="EBK42" s="49">
        <v>0</v>
      </c>
      <c r="EBL42" s="49">
        <v>78</v>
      </c>
      <c r="EBM42" s="49">
        <v>0</v>
      </c>
      <c r="EBN42" s="64">
        <f t="shared" si="1344"/>
        <v>78</v>
      </c>
      <c r="EBO42" s="68">
        <f t="shared" si="1345"/>
        <v>13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46"/>
        <v>0</v>
      </c>
      <c r="EBW42" s="68">
        <f t="shared" si="1347"/>
        <v>0</v>
      </c>
      <c r="EBX42" s="48">
        <v>0</v>
      </c>
      <c r="EBY42" s="49">
        <v>80</v>
      </c>
      <c r="EBZ42" s="49">
        <v>0</v>
      </c>
      <c r="ECA42" s="49"/>
      <c r="ECB42" s="49">
        <v>0</v>
      </c>
      <c r="ECC42" s="49">
        <v>0</v>
      </c>
      <c r="ECD42" s="64">
        <f t="shared" si="1348"/>
        <v>80</v>
      </c>
      <c r="ECE42" s="68">
        <f t="shared" si="1349"/>
        <v>13.333333333333334</v>
      </c>
      <c r="ECF42" s="48">
        <v>40</v>
      </c>
      <c r="ECG42" s="49">
        <v>0</v>
      </c>
      <c r="ECH42" s="49">
        <v>0</v>
      </c>
      <c r="ECI42" s="49">
        <v>0</v>
      </c>
      <c r="ECJ42" s="49">
        <v>0</v>
      </c>
      <c r="ECK42" s="49"/>
      <c r="ECL42" s="64">
        <f t="shared" si="1350"/>
        <v>40</v>
      </c>
      <c r="ECM42" s="68">
        <f t="shared" si="1351"/>
        <v>6.666666666666667</v>
      </c>
      <c r="ECN42" s="48">
        <v>80</v>
      </c>
      <c r="ECO42" s="49">
        <v>0</v>
      </c>
      <c r="ECP42" s="49">
        <v>0</v>
      </c>
      <c r="ECQ42" s="49"/>
      <c r="ECR42" s="49">
        <v>110</v>
      </c>
      <c r="ECS42" s="49">
        <v>0</v>
      </c>
      <c r="ECT42" s="64">
        <f t="shared" si="1352"/>
        <v>190</v>
      </c>
      <c r="ECU42" s="68">
        <f t="shared" si="1353"/>
        <v>31.666666666666668</v>
      </c>
      <c r="ECV42" s="48">
        <v>0</v>
      </c>
      <c r="ECW42" s="49">
        <v>0</v>
      </c>
      <c r="ECX42" s="49">
        <v>0</v>
      </c>
      <c r="ECY42" s="49">
        <v>0</v>
      </c>
      <c r="ECZ42" s="49">
        <v>110</v>
      </c>
      <c r="EDA42" s="49"/>
      <c r="EDB42" s="64">
        <f t="shared" si="1354"/>
        <v>110</v>
      </c>
      <c r="EDC42" s="68">
        <f t="shared" si="1355"/>
        <v>18.333333333333332</v>
      </c>
      <c r="EDD42" s="48"/>
      <c r="EDE42" s="49">
        <v>0</v>
      </c>
      <c r="EDF42" s="49">
        <v>0</v>
      </c>
      <c r="EDG42" s="49">
        <v>0</v>
      </c>
      <c r="EDH42" s="49"/>
      <c r="EDI42" s="49"/>
      <c r="EDJ42" s="64">
        <f t="shared" si="1356"/>
        <v>0</v>
      </c>
      <c r="EDK42" s="68">
        <f t="shared" si="1357"/>
        <v>0</v>
      </c>
      <c r="EDL42" s="48">
        <v>0</v>
      </c>
      <c r="EDM42" s="49">
        <v>0</v>
      </c>
      <c r="EDN42" s="49"/>
      <c r="EDO42" s="49">
        <v>110</v>
      </c>
      <c r="EDP42" s="49">
        <v>0</v>
      </c>
      <c r="EDQ42" s="49">
        <v>0</v>
      </c>
      <c r="EDR42" s="64">
        <f t="shared" si="1358"/>
        <v>110</v>
      </c>
      <c r="EDS42" s="68">
        <f t="shared" si="1359"/>
        <v>18.333333333333332</v>
      </c>
      <c r="EDT42" s="48">
        <v>0</v>
      </c>
      <c r="EDU42" s="49">
        <v>0</v>
      </c>
      <c r="EDV42" s="49"/>
      <c r="EDW42" s="49">
        <v>0</v>
      </c>
      <c r="EDX42" s="49">
        <v>0</v>
      </c>
      <c r="EDY42" s="49"/>
      <c r="EDZ42" s="64">
        <f t="shared" si="1360"/>
        <v>0</v>
      </c>
      <c r="EEA42" s="68">
        <f t="shared" si="1361"/>
        <v>0</v>
      </c>
      <c r="EEB42" s="48">
        <v>0</v>
      </c>
      <c r="EEC42" s="49">
        <v>0</v>
      </c>
      <c r="EED42" s="49">
        <v>110</v>
      </c>
      <c r="EEE42" s="49">
        <v>0</v>
      </c>
      <c r="EEF42" s="49">
        <v>0</v>
      </c>
      <c r="EEG42" s="49"/>
      <c r="EEH42" s="64">
        <f t="shared" si="1362"/>
        <v>110</v>
      </c>
      <c r="EEI42" s="68">
        <f t="shared" si="1363"/>
        <v>18.333333333333332</v>
      </c>
      <c r="EEJ42" s="48">
        <v>0</v>
      </c>
      <c r="EEK42" s="49">
        <v>0</v>
      </c>
      <c r="EEL42" s="49">
        <v>110</v>
      </c>
      <c r="EEM42" s="49">
        <v>0</v>
      </c>
      <c r="EEN42" s="49">
        <v>0</v>
      </c>
      <c r="EEO42" s="49">
        <v>0</v>
      </c>
      <c r="EEP42" s="64">
        <f t="shared" si="1364"/>
        <v>110</v>
      </c>
      <c r="EEQ42" s="68">
        <f t="shared" si="1365"/>
        <v>18.333333333333332</v>
      </c>
      <c r="EER42" s="48">
        <v>0</v>
      </c>
      <c r="EES42" s="49">
        <v>0</v>
      </c>
      <c r="EET42" s="49">
        <v>0</v>
      </c>
      <c r="EEU42" s="49">
        <v>0</v>
      </c>
      <c r="EEV42" s="49">
        <v>110</v>
      </c>
      <c r="EEW42" s="49"/>
      <c r="EEX42" s="64">
        <f t="shared" si="1366"/>
        <v>110</v>
      </c>
      <c r="EEY42" s="68">
        <f t="shared" si="1367"/>
        <v>18.333333333333332</v>
      </c>
      <c r="EEZ42" s="48">
        <v>0</v>
      </c>
      <c r="EFA42" s="49"/>
      <c r="EFB42" s="49">
        <v>0</v>
      </c>
      <c r="EFC42" s="49">
        <v>0</v>
      </c>
      <c r="EFD42" s="49">
        <v>0</v>
      </c>
      <c r="EFE42" s="49">
        <v>0</v>
      </c>
      <c r="EFF42" s="64">
        <f t="shared" si="1368"/>
        <v>0</v>
      </c>
      <c r="EFG42" s="68">
        <f t="shared" si="1369"/>
        <v>0</v>
      </c>
      <c r="EFH42" s="48">
        <v>0</v>
      </c>
      <c r="EFI42" s="49">
        <v>0</v>
      </c>
      <c r="EFJ42" s="49">
        <v>0</v>
      </c>
      <c r="EFK42" s="49">
        <v>0</v>
      </c>
      <c r="EFL42" s="49">
        <v>0</v>
      </c>
      <c r="EFM42" s="49">
        <v>0</v>
      </c>
      <c r="EFN42" s="64">
        <f t="shared" si="1370"/>
        <v>0</v>
      </c>
      <c r="EFO42" s="68">
        <f t="shared" si="1371"/>
        <v>0</v>
      </c>
      <c r="EFP42" s="48">
        <v>0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72"/>
        <v>0</v>
      </c>
      <c r="EFW42" s="68">
        <f t="shared" si="1373"/>
        <v>0</v>
      </c>
      <c r="EFX42" s="48">
        <v>0</v>
      </c>
      <c r="EFY42" s="49">
        <v>0</v>
      </c>
      <c r="EFZ42" s="49"/>
      <c r="EGA42" s="49">
        <v>50</v>
      </c>
      <c r="EGB42" s="49">
        <v>0</v>
      </c>
      <c r="EGC42" s="49">
        <v>0</v>
      </c>
      <c r="EGD42" s="64">
        <f t="shared" si="1374"/>
        <v>50</v>
      </c>
      <c r="EGE42" s="68">
        <f t="shared" si="1375"/>
        <v>8.3333333333333339</v>
      </c>
      <c r="EGF42" s="48">
        <v>0</v>
      </c>
      <c r="EGG42" s="49">
        <v>0</v>
      </c>
      <c r="EGH42" s="49"/>
      <c r="EGI42" s="49">
        <v>0</v>
      </c>
      <c r="EGJ42" s="49">
        <v>90</v>
      </c>
      <c r="EGK42" s="49">
        <v>0</v>
      </c>
      <c r="EGL42" s="64">
        <f t="shared" si="1376"/>
        <v>90</v>
      </c>
      <c r="EGM42" s="68">
        <f t="shared" si="1377"/>
        <v>15</v>
      </c>
      <c r="EGN42" s="48">
        <v>0</v>
      </c>
      <c r="EGO42" s="49">
        <v>0</v>
      </c>
      <c r="EGP42" s="49"/>
      <c r="EGQ42" s="49">
        <v>0</v>
      </c>
      <c r="EGR42" s="49">
        <v>0</v>
      </c>
      <c r="EGS42" s="49">
        <v>0</v>
      </c>
      <c r="EGT42" s="64">
        <f t="shared" si="1378"/>
        <v>0</v>
      </c>
      <c r="EGU42" s="68">
        <f t="shared" si="1379"/>
        <v>0</v>
      </c>
      <c r="EGV42" s="48">
        <v>0</v>
      </c>
      <c r="EGW42" s="49">
        <v>0</v>
      </c>
      <c r="EGX42" s="49">
        <v>0</v>
      </c>
      <c r="EGY42" s="49">
        <v>0</v>
      </c>
      <c r="EGZ42" s="49">
        <v>0</v>
      </c>
      <c r="EHA42" s="49">
        <v>0</v>
      </c>
      <c r="EHB42" s="64">
        <f t="shared" si="1380"/>
        <v>0</v>
      </c>
      <c r="EHC42" s="68">
        <f t="shared" si="1381"/>
        <v>0</v>
      </c>
      <c r="EHD42" s="48">
        <v>0</v>
      </c>
      <c r="EHE42" s="49">
        <v>80</v>
      </c>
      <c r="EHF42" s="49"/>
      <c r="EHG42" s="49">
        <v>0</v>
      </c>
      <c r="EHH42" s="49">
        <v>0</v>
      </c>
      <c r="EHI42" s="49">
        <v>0</v>
      </c>
      <c r="EHJ42" s="64">
        <f t="shared" si="1382"/>
        <v>80</v>
      </c>
      <c r="EHK42" s="68">
        <f t="shared" si="1383"/>
        <v>13.333333333333334</v>
      </c>
      <c r="EHL42" s="48">
        <v>0</v>
      </c>
      <c r="EHM42" s="49">
        <v>72</v>
      </c>
      <c r="EHN42" s="49"/>
      <c r="EHO42" s="49">
        <v>0</v>
      </c>
      <c r="EHP42" s="49"/>
      <c r="EHQ42" s="49">
        <v>0</v>
      </c>
      <c r="EHR42" s="64">
        <f t="shared" si="1384"/>
        <v>72</v>
      </c>
      <c r="EHS42" s="68">
        <f t="shared" si="1385"/>
        <v>12</v>
      </c>
      <c r="EHT42" s="48">
        <v>0</v>
      </c>
      <c r="EHU42" s="49">
        <v>0</v>
      </c>
      <c r="EHV42" s="49"/>
      <c r="EHW42" s="49">
        <v>88</v>
      </c>
      <c r="EHX42" s="49">
        <v>0</v>
      </c>
      <c r="EHY42" s="49">
        <v>0</v>
      </c>
      <c r="EHZ42" s="64">
        <f t="shared" si="1386"/>
        <v>88</v>
      </c>
      <c r="EIA42" s="68">
        <f t="shared" si="1387"/>
        <v>14.666666666666666</v>
      </c>
      <c r="EIB42" s="48">
        <v>0</v>
      </c>
      <c r="EIC42" s="49">
        <v>0</v>
      </c>
      <c r="EID42" s="49">
        <v>0</v>
      </c>
      <c r="EIE42" s="49">
        <v>0</v>
      </c>
      <c r="EIF42" s="49">
        <v>0</v>
      </c>
      <c r="EIG42" s="49">
        <v>0</v>
      </c>
      <c r="EIH42" s="64">
        <f t="shared" si="1388"/>
        <v>0</v>
      </c>
      <c r="EII42" s="68">
        <f t="shared" si="1389"/>
        <v>0</v>
      </c>
      <c r="EIJ42" s="48">
        <v>0</v>
      </c>
      <c r="EIK42" s="49">
        <v>0</v>
      </c>
      <c r="EIL42" s="49">
        <v>0</v>
      </c>
      <c r="EIM42" s="49">
        <v>0</v>
      </c>
      <c r="EIN42" s="49">
        <v>0</v>
      </c>
      <c r="EIO42" s="49">
        <v>0</v>
      </c>
      <c r="EIP42" s="64">
        <f t="shared" si="1390"/>
        <v>0</v>
      </c>
      <c r="EIQ42" s="68">
        <f t="shared" si="1391"/>
        <v>0</v>
      </c>
      <c r="EIR42" s="48">
        <v>40</v>
      </c>
      <c r="EIS42" s="49">
        <v>0</v>
      </c>
      <c r="EIT42" s="49">
        <v>0</v>
      </c>
      <c r="EIU42" s="49">
        <v>0</v>
      </c>
      <c r="EIV42" s="49">
        <v>0</v>
      </c>
      <c r="EIW42" s="49">
        <v>0</v>
      </c>
      <c r="EIX42" s="64">
        <f t="shared" si="1392"/>
        <v>40</v>
      </c>
      <c r="EIY42" s="68">
        <f t="shared" si="1393"/>
        <v>6.666666666666667</v>
      </c>
      <c r="EIZ42" s="48">
        <v>0</v>
      </c>
      <c r="EJA42" s="49">
        <v>0</v>
      </c>
      <c r="EJB42" s="49">
        <v>0</v>
      </c>
      <c r="EJC42" s="49">
        <v>0</v>
      </c>
      <c r="EJD42" s="49">
        <v>80</v>
      </c>
      <c r="EJE42" s="49">
        <v>0</v>
      </c>
      <c r="EJF42" s="64">
        <f t="shared" si="1394"/>
        <v>80</v>
      </c>
      <c r="EJG42" s="68">
        <f t="shared" si="1395"/>
        <v>13.333333333333334</v>
      </c>
      <c r="EJH42" s="48">
        <v>0</v>
      </c>
      <c r="EJI42" s="49">
        <v>0</v>
      </c>
      <c r="EJJ42" s="49"/>
      <c r="EJK42" s="49">
        <v>0</v>
      </c>
      <c r="EJL42" s="49"/>
      <c r="EJM42" s="49"/>
      <c r="EJN42" s="64">
        <f t="shared" si="1396"/>
        <v>0</v>
      </c>
      <c r="EJO42" s="68">
        <f t="shared" si="1397"/>
        <v>0</v>
      </c>
      <c r="EJP42" s="48">
        <v>0</v>
      </c>
      <c r="EJQ42" s="49">
        <v>0</v>
      </c>
      <c r="EJR42" s="49">
        <v>0</v>
      </c>
      <c r="EJS42" s="49">
        <v>40</v>
      </c>
      <c r="EJT42" s="49">
        <v>0</v>
      </c>
      <c r="EJU42" s="49">
        <v>0</v>
      </c>
      <c r="EJV42" s="64">
        <f t="shared" si="1398"/>
        <v>40</v>
      </c>
      <c r="EJW42" s="68">
        <f t="shared" si="1399"/>
        <v>6.666666666666667</v>
      </c>
      <c r="EJX42" s="48">
        <v>0</v>
      </c>
      <c r="EJY42" s="49">
        <v>79</v>
      </c>
      <c r="EJZ42" s="49">
        <v>0</v>
      </c>
      <c r="EKA42" s="49"/>
      <c r="EKB42" s="49">
        <v>0</v>
      </c>
      <c r="EKC42" s="49"/>
      <c r="EKD42" s="64">
        <f t="shared" si="1400"/>
        <v>79</v>
      </c>
      <c r="EKE42" s="68">
        <f t="shared" si="1401"/>
        <v>13.166666666666666</v>
      </c>
      <c r="EKF42" s="48">
        <v>0</v>
      </c>
      <c r="EKG42" s="49">
        <v>0</v>
      </c>
      <c r="EKH42" s="49">
        <v>0</v>
      </c>
      <c r="EKI42" s="49"/>
      <c r="EKJ42" s="49">
        <v>0</v>
      </c>
      <c r="EKK42" s="49">
        <v>0</v>
      </c>
      <c r="EKL42" s="64">
        <f t="shared" si="1402"/>
        <v>0</v>
      </c>
      <c r="EKM42" s="68">
        <f t="shared" si="1403"/>
        <v>0</v>
      </c>
      <c r="EKN42" s="48">
        <v>0</v>
      </c>
      <c r="EKO42" s="49">
        <v>0</v>
      </c>
      <c r="EKP42" s="49">
        <v>79</v>
      </c>
      <c r="EKQ42" s="49">
        <v>516</v>
      </c>
      <c r="EKR42" s="49">
        <v>0</v>
      </c>
      <c r="EKS42" s="49">
        <v>0</v>
      </c>
      <c r="EKT42" s="64">
        <f t="shared" si="1404"/>
        <v>595</v>
      </c>
      <c r="EKU42" s="184">
        <f t="shared" si="1405"/>
        <v>99.166666666666671</v>
      </c>
      <c r="EKV42" s="665"/>
      <c r="EKW42" s="195">
        <v>0</v>
      </c>
      <c r="EKX42" s="49">
        <v>0</v>
      </c>
      <c r="EKY42" s="49">
        <v>0</v>
      </c>
      <c r="EKZ42" s="49">
        <v>0</v>
      </c>
      <c r="ELA42" s="49">
        <v>0</v>
      </c>
      <c r="ELB42" s="49">
        <v>0</v>
      </c>
      <c r="ELC42" s="64">
        <f t="shared" si="1406"/>
        <v>0</v>
      </c>
      <c r="ELD42" s="211">
        <f t="shared" si="1407"/>
        <v>0</v>
      </c>
      <c r="ELE42" s="195">
        <v>0</v>
      </c>
      <c r="ELF42" s="49">
        <v>0</v>
      </c>
      <c r="ELG42" s="49">
        <v>0</v>
      </c>
      <c r="ELH42" s="49">
        <v>0</v>
      </c>
      <c r="ELI42" s="49">
        <v>87</v>
      </c>
      <c r="ELJ42" s="49">
        <v>0</v>
      </c>
      <c r="ELK42" s="64">
        <f t="shared" si="1408"/>
        <v>87</v>
      </c>
      <c r="ELL42" s="211">
        <f t="shared" si="1409"/>
        <v>14.5</v>
      </c>
      <c r="ELM42" s="195">
        <v>0</v>
      </c>
      <c r="ELN42" s="49">
        <v>0</v>
      </c>
      <c r="ELO42" s="49">
        <v>0</v>
      </c>
      <c r="ELP42" s="49">
        <v>0</v>
      </c>
      <c r="ELQ42" s="49">
        <v>0</v>
      </c>
      <c r="ELR42" s="49">
        <v>0</v>
      </c>
      <c r="ELS42" s="64">
        <f t="shared" si="1410"/>
        <v>0</v>
      </c>
      <c r="ELT42" s="211">
        <f t="shared" si="1411"/>
        <v>0</v>
      </c>
      <c r="ELU42" s="195">
        <v>0</v>
      </c>
      <c r="ELV42" s="49">
        <v>0</v>
      </c>
      <c r="ELW42" s="49">
        <v>0</v>
      </c>
      <c r="ELX42" s="49">
        <v>0</v>
      </c>
      <c r="ELY42" s="49">
        <v>0</v>
      </c>
      <c r="ELZ42" s="49">
        <v>0</v>
      </c>
      <c r="EMA42" s="64">
        <f t="shared" si="1412"/>
        <v>0</v>
      </c>
      <c r="EMB42" s="211">
        <f t="shared" si="1413"/>
        <v>0</v>
      </c>
      <c r="EMC42" s="195">
        <v>0</v>
      </c>
      <c r="EMD42" s="49">
        <v>0</v>
      </c>
      <c r="EME42" s="49">
        <v>0</v>
      </c>
      <c r="EMF42" s="49">
        <v>0</v>
      </c>
      <c r="EMG42" s="49"/>
      <c r="EMH42" s="49">
        <v>0</v>
      </c>
      <c r="EMI42" s="64">
        <f t="shared" si="1414"/>
        <v>0</v>
      </c>
      <c r="EMJ42" s="211">
        <f t="shared" si="1415"/>
        <v>0</v>
      </c>
      <c r="EMK42" s="195">
        <v>0</v>
      </c>
      <c r="EML42" s="49">
        <v>0</v>
      </c>
      <c r="EMM42" s="49">
        <v>0</v>
      </c>
      <c r="EMN42" s="49">
        <v>0</v>
      </c>
      <c r="EMO42" s="49">
        <v>0</v>
      </c>
      <c r="EMP42" s="49">
        <v>40</v>
      </c>
      <c r="EMQ42" s="64">
        <f t="shared" si="1416"/>
        <v>40</v>
      </c>
      <c r="EMR42" s="211">
        <f t="shared" si="1417"/>
        <v>6.666666666666667</v>
      </c>
      <c r="EMS42" s="195">
        <v>0</v>
      </c>
      <c r="EMT42" s="49">
        <v>0</v>
      </c>
      <c r="EMU42" s="49">
        <v>0</v>
      </c>
      <c r="EMV42" s="49">
        <v>80</v>
      </c>
      <c r="EMW42" s="49">
        <v>0</v>
      </c>
      <c r="EMX42" s="49">
        <v>0</v>
      </c>
      <c r="EMY42" s="64">
        <f t="shared" si="1418"/>
        <v>80</v>
      </c>
      <c r="EMZ42" s="211">
        <f t="shared" si="1419"/>
        <v>13.333333333333334</v>
      </c>
      <c r="ENA42" s="195">
        <v>0</v>
      </c>
      <c r="ENB42" s="49">
        <v>0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20"/>
        <v>0</v>
      </c>
      <c r="ENH42" s="211">
        <f t="shared" si="1421"/>
        <v>0</v>
      </c>
      <c r="ENI42" s="195">
        <v>0</v>
      </c>
      <c r="ENJ42" s="49"/>
      <c r="ENK42" s="49">
        <v>0</v>
      </c>
      <c r="ENL42" s="49">
        <v>0</v>
      </c>
      <c r="ENM42" s="49">
        <v>0</v>
      </c>
      <c r="ENN42" s="49">
        <v>0</v>
      </c>
      <c r="ENO42" s="64">
        <f t="shared" si="1422"/>
        <v>0</v>
      </c>
      <c r="ENP42" s="211">
        <f t="shared" si="1423"/>
        <v>0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24"/>
        <v>0</v>
      </c>
      <c r="ENX42" s="211">
        <f t="shared" si="1425"/>
        <v>0</v>
      </c>
      <c r="ENY42" s="195">
        <v>0</v>
      </c>
      <c r="ENZ42" s="49"/>
      <c r="EOA42" s="49">
        <v>0</v>
      </c>
      <c r="EOB42" s="49">
        <v>0</v>
      </c>
      <c r="EOC42" s="49">
        <v>40</v>
      </c>
      <c r="EOD42" s="49">
        <v>0</v>
      </c>
      <c r="EOE42" s="64">
        <f t="shared" si="1426"/>
        <v>40</v>
      </c>
      <c r="EOF42" s="211">
        <f t="shared" si="1427"/>
        <v>6.666666666666667</v>
      </c>
      <c r="EOG42" s="1"/>
      <c r="EOH42" s="195"/>
      <c r="EOI42" s="49">
        <v>0</v>
      </c>
      <c r="EOJ42" s="49">
        <v>0</v>
      </c>
      <c r="EOK42" s="49">
        <v>0</v>
      </c>
      <c r="EOL42" s="49">
        <v>0</v>
      </c>
      <c r="EOM42" s="49">
        <v>0</v>
      </c>
      <c r="EON42" s="184">
        <f t="shared" si="1428"/>
        <v>0</v>
      </c>
      <c r="EOO42" s="244">
        <v>0</v>
      </c>
      <c r="EOP42" s="49">
        <v>0</v>
      </c>
      <c r="EOQ42" s="49">
        <v>0</v>
      </c>
      <c r="EOR42" s="49">
        <v>0</v>
      </c>
      <c r="EOS42" s="49">
        <v>0</v>
      </c>
      <c r="EOT42" s="49">
        <v>0</v>
      </c>
      <c r="EOU42" s="64">
        <f t="shared" si="1429"/>
        <v>0</v>
      </c>
      <c r="EOV42" s="211">
        <f t="shared" si="1430"/>
        <v>0</v>
      </c>
      <c r="EOW42" s="195">
        <v>0</v>
      </c>
      <c r="EOX42" s="49">
        <v>0</v>
      </c>
      <c r="EOY42" s="49">
        <v>0</v>
      </c>
      <c r="EOZ42" s="49"/>
      <c r="EPA42" s="49">
        <v>0</v>
      </c>
      <c r="EPB42" s="49">
        <v>0</v>
      </c>
      <c r="EPC42" s="64">
        <f t="shared" si="1431"/>
        <v>0</v>
      </c>
      <c r="EPD42" s="211">
        <f t="shared" si="1432"/>
        <v>0</v>
      </c>
      <c r="EPE42" s="195">
        <v>0</v>
      </c>
      <c r="EPF42" s="49">
        <v>0</v>
      </c>
      <c r="EPG42" s="49">
        <v>0</v>
      </c>
      <c r="EPH42" s="49">
        <v>40</v>
      </c>
      <c r="EPI42" s="49">
        <v>0</v>
      </c>
      <c r="EPJ42" s="49">
        <v>0</v>
      </c>
      <c r="EPK42" s="64">
        <f t="shared" si="1433"/>
        <v>40</v>
      </c>
      <c r="EPL42" s="211">
        <f t="shared" si="1434"/>
        <v>6.666666666666667</v>
      </c>
      <c r="EPM42" s="195">
        <v>0</v>
      </c>
      <c r="EPN42" s="49">
        <v>0</v>
      </c>
      <c r="EPO42" s="49">
        <v>0</v>
      </c>
      <c r="EPP42" s="49">
        <v>0</v>
      </c>
      <c r="EPQ42" s="49">
        <v>40</v>
      </c>
      <c r="EPR42" s="49">
        <v>0</v>
      </c>
      <c r="EPS42" s="64">
        <f t="shared" si="1435"/>
        <v>40</v>
      </c>
      <c r="EPT42" s="211">
        <f t="shared" si="1436"/>
        <v>6.666666666666667</v>
      </c>
      <c r="EPU42" s="195">
        <v>0</v>
      </c>
      <c r="EPV42" s="49">
        <v>0</v>
      </c>
      <c r="EPW42" s="49">
        <v>0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37"/>
        <v>0</v>
      </c>
      <c r="EQB42" s="211">
        <f t="shared" si="1438"/>
        <v>0</v>
      </c>
      <c r="EQC42" s="195">
        <v>0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39"/>
        <v>0</v>
      </c>
      <c r="EQJ42" s="211">
        <f t="shared" si="1440"/>
        <v>0</v>
      </c>
      <c r="EQK42" s="195">
        <v>0</v>
      </c>
      <c r="EQL42" s="49">
        <v>0</v>
      </c>
      <c r="EQM42" s="49">
        <v>0</v>
      </c>
      <c r="EQN42" s="49"/>
      <c r="EQO42" s="49">
        <v>0</v>
      </c>
      <c r="EQP42" s="49">
        <v>50</v>
      </c>
      <c r="EQQ42" s="64">
        <f t="shared" si="1441"/>
        <v>50</v>
      </c>
      <c r="EQR42" s="211">
        <f t="shared" si="1442"/>
        <v>8.3333333333333339</v>
      </c>
      <c r="EQS42" s="195">
        <v>0</v>
      </c>
      <c r="EQT42" s="49">
        <v>0</v>
      </c>
      <c r="EQU42" s="49">
        <v>0</v>
      </c>
      <c r="EQV42" s="49">
        <v>0</v>
      </c>
      <c r="EQW42" s="49"/>
      <c r="EQX42" s="49">
        <v>0</v>
      </c>
      <c r="EQY42" s="64">
        <f t="shared" si="1443"/>
        <v>0</v>
      </c>
      <c r="EQZ42" s="211">
        <f t="shared" si="1444"/>
        <v>0</v>
      </c>
      <c r="ERA42" s="195">
        <v>0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45"/>
        <v>0</v>
      </c>
      <c r="ERH42" s="211">
        <f t="shared" si="1446"/>
        <v>0</v>
      </c>
      <c r="ERI42" s="195"/>
      <c r="ERJ42" s="49">
        <v>0</v>
      </c>
      <c r="ERK42" s="49">
        <v>0</v>
      </c>
      <c r="ERL42" s="49">
        <v>0</v>
      </c>
      <c r="ERM42" s="49">
        <v>0</v>
      </c>
      <c r="ERN42" s="49"/>
      <c r="ERO42" s="64">
        <f t="shared" si="1447"/>
        <v>0</v>
      </c>
      <c r="ERP42" s="211">
        <f t="shared" si="1448"/>
        <v>0</v>
      </c>
      <c r="ERQ42" s="195"/>
      <c r="ERR42" s="49">
        <v>41</v>
      </c>
      <c r="ERS42" s="49"/>
      <c r="ERT42" s="49">
        <v>0</v>
      </c>
      <c r="ERU42" s="49">
        <v>0</v>
      </c>
      <c r="ERV42" s="49">
        <v>0</v>
      </c>
      <c r="ERW42" s="64">
        <f t="shared" si="1449"/>
        <v>41</v>
      </c>
      <c r="ERX42" s="211">
        <f t="shared" si="1450"/>
        <v>6.833333333333333</v>
      </c>
      <c r="ERY42" s="195">
        <v>0</v>
      </c>
      <c r="ERZ42" s="49">
        <v>0</v>
      </c>
      <c r="ESA42" s="49">
        <v>0</v>
      </c>
      <c r="ESB42" s="49">
        <v>0</v>
      </c>
      <c r="ESC42" s="49">
        <v>0</v>
      </c>
      <c r="ESD42" s="49">
        <v>0</v>
      </c>
      <c r="ESE42" s="64">
        <f t="shared" si="1451"/>
        <v>0</v>
      </c>
      <c r="ESF42" s="211">
        <f t="shared" si="1452"/>
        <v>0</v>
      </c>
      <c r="ESG42" s="195">
        <v>0</v>
      </c>
      <c r="ESH42" s="49">
        <v>40</v>
      </c>
      <c r="ESI42" s="49">
        <v>0</v>
      </c>
      <c r="ESJ42" s="49">
        <v>0</v>
      </c>
      <c r="ESK42" s="49"/>
      <c r="ESL42" s="49">
        <v>0</v>
      </c>
      <c r="ESM42" s="64">
        <f t="shared" si="1453"/>
        <v>40</v>
      </c>
      <c r="ESN42" s="211">
        <f t="shared" si="1454"/>
        <v>6.666666666666667</v>
      </c>
      <c r="ESO42" s="458">
        <v>0</v>
      </c>
      <c r="ESP42" s="83">
        <v>0</v>
      </c>
      <c r="ESQ42" s="83">
        <v>0</v>
      </c>
      <c r="ESR42" s="83">
        <v>0</v>
      </c>
      <c r="ESS42" s="83">
        <v>0</v>
      </c>
      <c r="EST42" s="83"/>
      <c r="ESU42" s="64">
        <f t="shared" si="1455"/>
        <v>0</v>
      </c>
      <c r="ESV42" s="211">
        <f t="shared" si="1456"/>
        <v>0</v>
      </c>
      <c r="ESW42" s="195"/>
      <c r="ESX42" s="49">
        <v>0</v>
      </c>
      <c r="ESY42" s="49">
        <v>0</v>
      </c>
      <c r="ESZ42" s="49">
        <v>0</v>
      </c>
      <c r="ETA42" s="49">
        <v>0</v>
      </c>
      <c r="ETB42" s="49">
        <v>0</v>
      </c>
      <c r="ETC42" s="808">
        <f t="shared" si="1457"/>
        <v>0</v>
      </c>
      <c r="ETD42" s="211">
        <f t="shared" si="1458"/>
        <v>0</v>
      </c>
      <c r="ETE42" s="195">
        <v>0</v>
      </c>
      <c r="ETF42" s="49">
        <v>40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59"/>
        <v>40</v>
      </c>
      <c r="ETL42" s="211">
        <f t="shared" si="1460"/>
        <v>6.666666666666667</v>
      </c>
      <c r="ETM42" s="814">
        <v>0</v>
      </c>
      <c r="ETN42" s="815">
        <v>0</v>
      </c>
      <c r="ETO42" s="815">
        <v>0</v>
      </c>
      <c r="ETP42" s="815">
        <v>0</v>
      </c>
      <c r="ETQ42" s="815">
        <v>0</v>
      </c>
      <c r="ETR42" s="815">
        <v>40</v>
      </c>
      <c r="ETS42" s="808">
        <f t="shared" si="1461"/>
        <v>40</v>
      </c>
      <c r="ETT42" s="211">
        <f t="shared" si="1462"/>
        <v>6.666666666666667</v>
      </c>
      <c r="ETU42" s="458">
        <v>0</v>
      </c>
      <c r="ETV42" s="83">
        <v>0</v>
      </c>
      <c r="ETW42" s="83">
        <v>0</v>
      </c>
      <c r="ETX42" s="83">
        <v>0</v>
      </c>
      <c r="ETY42" s="83">
        <v>0</v>
      </c>
      <c r="ETZ42" s="83">
        <v>0</v>
      </c>
      <c r="EUA42" s="808">
        <f t="shared" si="1463"/>
        <v>0</v>
      </c>
      <c r="EUB42" s="211">
        <f t="shared" si="1464"/>
        <v>0</v>
      </c>
      <c r="EUC42" s="458"/>
      <c r="EUD42" s="83">
        <v>0</v>
      </c>
      <c r="EUE42" s="83"/>
      <c r="EUF42" s="83">
        <v>0</v>
      </c>
      <c r="EUG42" s="83">
        <v>0</v>
      </c>
      <c r="EUH42" s="83">
        <v>0</v>
      </c>
      <c r="EUI42" s="808">
        <f t="shared" si="1465"/>
        <v>0</v>
      </c>
      <c r="EUJ42" s="211">
        <f t="shared" si="1466"/>
        <v>0</v>
      </c>
      <c r="EUK42" s="195"/>
      <c r="EUL42" s="49">
        <v>0</v>
      </c>
      <c r="EUM42" s="49">
        <v>0</v>
      </c>
      <c r="EUN42" s="49">
        <v>39</v>
      </c>
      <c r="EUO42" s="49">
        <v>0</v>
      </c>
      <c r="EUP42" s="49">
        <v>0</v>
      </c>
      <c r="EUQ42" s="808">
        <f t="shared" si="1467"/>
        <v>39</v>
      </c>
      <c r="EUR42" s="211">
        <f t="shared" si="1468"/>
        <v>6.5</v>
      </c>
      <c r="EUS42" s="195">
        <v>0</v>
      </c>
      <c r="EUT42" s="49">
        <v>0</v>
      </c>
      <c r="EUU42" s="49">
        <v>0</v>
      </c>
      <c r="EUV42" s="49">
        <v>20</v>
      </c>
      <c r="EUW42" s="49">
        <v>0</v>
      </c>
      <c r="EUX42" s="49"/>
      <c r="EUY42" s="808">
        <f t="shared" si="1469"/>
        <v>20</v>
      </c>
      <c r="EUZ42" s="211">
        <f t="shared" si="1470"/>
        <v>3.3333333333333335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71"/>
        <v>0</v>
      </c>
      <c r="EVH42" s="211">
        <f t="shared" si="1472"/>
        <v>0</v>
      </c>
      <c r="EVI42" s="195">
        <v>0</v>
      </c>
      <c r="EVJ42" s="49">
        <v>0</v>
      </c>
      <c r="EVK42" s="49">
        <f>SUMIF(SUMPK!$B:$B,$B:$B,SUMPK!$O:$O)</f>
        <v>0</v>
      </c>
      <c r="EVL42" s="49"/>
      <c r="EVM42" s="49"/>
      <c r="EVN42" s="49">
        <v>0</v>
      </c>
      <c r="EVO42" s="808">
        <f t="shared" si="1473"/>
        <v>0</v>
      </c>
      <c r="EVP42" s="211">
        <f t="shared" si="1474"/>
        <v>0</v>
      </c>
      <c r="EVQ42" s="195">
        <v>40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75"/>
        <v>40</v>
      </c>
      <c r="EVX42" s="211">
        <f t="shared" si="1476"/>
        <v>6.666666666666667</v>
      </c>
      <c r="EVY42" s="195">
        <v>40</v>
      </c>
      <c r="EVZ42" s="49">
        <v>0</v>
      </c>
      <c r="EWA42" s="49">
        <v>0</v>
      </c>
      <c r="EWB42" s="49">
        <v>0</v>
      </c>
      <c r="EWC42" s="49">
        <v>0</v>
      </c>
      <c r="EWD42" s="49"/>
      <c r="EWE42" s="808">
        <f t="shared" si="1477"/>
        <v>40</v>
      </c>
      <c r="EWF42" s="211">
        <f t="shared" si="1478"/>
        <v>6.666666666666667</v>
      </c>
      <c r="EWG42" s="195">
        <v>0</v>
      </c>
      <c r="EWH42" s="49">
        <v>0</v>
      </c>
      <c r="EWI42" s="49"/>
      <c r="EWJ42" s="49">
        <v>0</v>
      </c>
      <c r="EWK42" s="49"/>
      <c r="EWL42" s="49"/>
      <c r="EWM42" s="808">
        <f t="shared" si="1479"/>
        <v>0</v>
      </c>
      <c r="EWN42" s="211">
        <f t="shared" si="1480"/>
        <v>0</v>
      </c>
      <c r="EWO42" s="195">
        <v>0</v>
      </c>
      <c r="EWP42" s="49"/>
      <c r="EWQ42" s="49"/>
      <c r="EWR42" s="49">
        <v>0</v>
      </c>
      <c r="EWS42" s="49">
        <v>0</v>
      </c>
      <c r="EWT42" s="49">
        <v>40</v>
      </c>
      <c r="EWU42" s="808">
        <f t="shared" si="1481"/>
        <v>40</v>
      </c>
      <c r="EWV42" s="211">
        <f t="shared" si="1482"/>
        <v>6.666666666666667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83"/>
        <v>0</v>
      </c>
      <c r="EXD42" s="211">
        <f t="shared" si="1484"/>
        <v>0</v>
      </c>
      <c r="EXE42" s="195"/>
      <c r="EXF42" s="49">
        <v>0</v>
      </c>
      <c r="EXG42" s="49">
        <v>0</v>
      </c>
      <c r="EXH42" s="49"/>
      <c r="EXI42" s="49">
        <v>0</v>
      </c>
      <c r="EXJ42" s="49">
        <v>0</v>
      </c>
      <c r="EXK42" s="808">
        <f t="shared" si="1485"/>
        <v>0</v>
      </c>
      <c r="EXL42" s="211">
        <f t="shared" si="1486"/>
        <v>0</v>
      </c>
      <c r="EXM42" s="458">
        <v>0</v>
      </c>
      <c r="EXN42" s="83">
        <v>0</v>
      </c>
      <c r="EXO42" s="83">
        <v>0</v>
      </c>
      <c r="EXP42" s="83">
        <v>0</v>
      </c>
      <c r="EXQ42" s="83"/>
      <c r="EXR42" s="83">
        <v>0</v>
      </c>
      <c r="EXS42" s="808">
        <f t="shared" si="1487"/>
        <v>0</v>
      </c>
      <c r="EXT42" s="211">
        <f t="shared" si="1488"/>
        <v>0</v>
      </c>
      <c r="EXU42" s="195">
        <v>0</v>
      </c>
      <c r="EXV42" s="49">
        <v>0</v>
      </c>
      <c r="EXW42" s="49">
        <v>0</v>
      </c>
      <c r="EXX42" s="49">
        <v>0</v>
      </c>
      <c r="EXY42" s="49">
        <v>0</v>
      </c>
      <c r="EXZ42" s="49">
        <v>222</v>
      </c>
      <c r="EYA42" s="808">
        <f t="shared" si="1489"/>
        <v>222</v>
      </c>
      <c r="EYB42" s="211">
        <f t="shared" si="1490"/>
        <v>37</v>
      </c>
      <c r="EYC42" s="195">
        <v>0</v>
      </c>
      <c r="EYD42" s="49"/>
      <c r="EYE42" s="49">
        <v>0</v>
      </c>
      <c r="EYF42" s="49"/>
      <c r="EYG42" s="49">
        <v>0</v>
      </c>
      <c r="EYH42" s="49">
        <v>0</v>
      </c>
      <c r="EYI42" s="808">
        <f t="shared" si="1491"/>
        <v>0</v>
      </c>
      <c r="EYJ42" s="211">
        <f t="shared" si="1492"/>
        <v>0</v>
      </c>
      <c r="EYK42" s="195">
        <v>0</v>
      </c>
      <c r="EYL42" s="49">
        <v>0</v>
      </c>
      <c r="EYM42" s="49">
        <v>0</v>
      </c>
      <c r="EYN42" s="49">
        <v>0</v>
      </c>
      <c r="EYO42" s="49">
        <v>0</v>
      </c>
      <c r="EYP42" s="49">
        <v>0</v>
      </c>
      <c r="EYQ42" s="808">
        <f t="shared" si="1493"/>
        <v>0</v>
      </c>
      <c r="EYR42" s="211">
        <f t="shared" si="1494"/>
        <v>0</v>
      </c>
      <c r="EYS42" s="195">
        <v>0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495"/>
        <v>0</v>
      </c>
      <c r="EYZ42" s="873">
        <f t="shared" si="1496"/>
        <v>0</v>
      </c>
      <c r="EZA42" s="195">
        <v>0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497"/>
        <v>0</v>
      </c>
      <c r="EZH42" s="873">
        <f t="shared" si="1498"/>
        <v>0</v>
      </c>
      <c r="EZI42" s="195">
        <v>0</v>
      </c>
      <c r="EZJ42" s="49">
        <v>0</v>
      </c>
      <c r="EZK42" s="49"/>
      <c r="EZL42" s="49"/>
      <c r="EZM42" s="49"/>
      <c r="EZN42" s="49"/>
      <c r="EZO42" s="872">
        <f t="shared" si="1499"/>
        <v>0</v>
      </c>
      <c r="EZP42" s="873">
        <f t="shared" si="1500"/>
        <v>0</v>
      </c>
    </row>
    <row r="43" spans="1:4072" s="8" customFormat="1" ht="13.5" thickBot="1" x14ac:dyDescent="0.25">
      <c r="A43" s="21">
        <v>14</v>
      </c>
      <c r="B43" s="297" t="s">
        <v>45</v>
      </c>
      <c r="C43" s="725" t="s">
        <v>46</v>
      </c>
      <c r="D43" s="297">
        <v>25</v>
      </c>
      <c r="E43" s="24"/>
      <c r="F43" s="24">
        <v>1346</v>
      </c>
      <c r="G43" s="24"/>
      <c r="H43" s="24"/>
      <c r="I43" s="24"/>
      <c r="J43" s="360">
        <f>SUMIF(SUMPK!$B:$B,$B:$B,SUMPK!$O:$O)</f>
        <v>0</v>
      </c>
      <c r="K43" s="24">
        <f t="shared" si="1220"/>
        <v>0</v>
      </c>
      <c r="L43" s="24">
        <f t="shared" si="1505"/>
        <v>1346</v>
      </c>
      <c r="M43" s="15">
        <f t="shared" si="1627"/>
        <v>1346</v>
      </c>
      <c r="N43" s="15">
        <v>205.66666666666666</v>
      </c>
      <c r="O43" s="276">
        <f t="shared" si="1223"/>
        <v>6.5445705024311183</v>
      </c>
      <c r="P43" s="712">
        <v>97.833333333333329</v>
      </c>
      <c r="Q43" s="276">
        <f t="shared" si="1506"/>
        <v>82.54855195911415</v>
      </c>
      <c r="R43" s="277">
        <f t="shared" si="1507"/>
        <v>138.46153846153845</v>
      </c>
      <c r="S43" s="222">
        <v>3600</v>
      </c>
      <c r="T43" s="276">
        <f t="shared" si="1628"/>
        <v>9.7211111111111119</v>
      </c>
      <c r="U43" s="278"/>
      <c r="V43" s="276">
        <f t="shared" si="1227"/>
        <v>9.7211111111111119</v>
      </c>
      <c r="W43" s="279">
        <f t="shared" si="1228"/>
        <v>1</v>
      </c>
      <c r="X43" s="278"/>
      <c r="Y43" s="7"/>
      <c r="Z43" s="7"/>
      <c r="AA43" s="7"/>
      <c r="AB43" s="7"/>
      <c r="AC43" s="662">
        <v>17</v>
      </c>
      <c r="AD43" s="649"/>
      <c r="AE43" s="49"/>
      <c r="AF43" s="49"/>
      <c r="AG43" s="49"/>
      <c r="AH43" s="49"/>
      <c r="AI43" s="49"/>
      <c r="AJ43" s="42"/>
      <c r="AK43" s="43"/>
      <c r="AL43" s="48"/>
      <c r="AM43" s="49"/>
      <c r="AN43" s="49"/>
      <c r="AO43" s="49"/>
      <c r="AP43" s="49"/>
      <c r="AQ43" s="49"/>
      <c r="AR43" s="42"/>
      <c r="AS43" s="43"/>
      <c r="AT43" s="48"/>
      <c r="AU43" s="49"/>
      <c r="AV43" s="49"/>
      <c r="AW43" s="49"/>
      <c r="AX43" s="49"/>
      <c r="AY43" s="49"/>
      <c r="AZ43" s="42"/>
      <c r="BA43" s="43"/>
      <c r="BB43" s="48"/>
      <c r="BC43" s="49"/>
      <c r="BD43" s="49"/>
      <c r="BE43" s="49"/>
      <c r="BF43" s="49"/>
      <c r="BG43" s="49"/>
      <c r="BH43" s="42"/>
      <c r="BI43" s="43"/>
      <c r="BJ43" s="48"/>
      <c r="BK43" s="49"/>
      <c r="BL43" s="49"/>
      <c r="BM43" s="49"/>
      <c r="BN43" s="49"/>
      <c r="BO43" s="49"/>
      <c r="BP43" s="42"/>
      <c r="BQ43" s="43"/>
      <c r="BR43" s="48"/>
      <c r="BS43" s="49"/>
      <c r="BT43" s="49"/>
      <c r="BU43" s="49"/>
      <c r="BV43" s="49"/>
      <c r="BW43" s="49"/>
      <c r="BX43" s="42"/>
      <c r="BY43" s="43"/>
      <c r="BZ43" s="48"/>
      <c r="CA43" s="49"/>
      <c r="CB43" s="49"/>
      <c r="CC43" s="49"/>
      <c r="CD43" s="49"/>
      <c r="CE43" s="49"/>
      <c r="CF43" s="42"/>
      <c r="CG43" s="43"/>
      <c r="CH43" s="48"/>
      <c r="CI43" s="49"/>
      <c r="CJ43" s="49"/>
      <c r="CK43" s="49"/>
      <c r="CL43" s="49"/>
      <c r="CM43" s="49"/>
      <c r="CN43" s="42"/>
      <c r="CO43" s="43"/>
      <c r="CP43" s="48"/>
      <c r="CQ43" s="49"/>
      <c r="CR43" s="49"/>
      <c r="CS43" s="49"/>
      <c r="CT43" s="49"/>
      <c r="CU43" s="49"/>
      <c r="CV43" s="42"/>
      <c r="CW43" s="43"/>
      <c r="CX43" s="48"/>
      <c r="CY43" s="49"/>
      <c r="CZ43" s="49"/>
      <c r="DA43" s="49"/>
      <c r="DB43" s="49"/>
      <c r="DC43" s="49"/>
      <c r="DD43" s="42"/>
      <c r="DE43" s="43"/>
      <c r="DF43" s="48"/>
      <c r="DG43" s="49"/>
      <c r="DH43" s="49"/>
      <c r="DI43" s="49"/>
      <c r="DJ43" s="49"/>
      <c r="DK43" s="49"/>
      <c r="DL43" s="42"/>
      <c r="DM43" s="43"/>
      <c r="DN43" s="48"/>
      <c r="DO43" s="49"/>
      <c r="DP43" s="49"/>
      <c r="DQ43" s="49"/>
      <c r="DR43" s="49"/>
      <c r="DS43" s="49"/>
      <c r="DT43" s="42"/>
      <c r="DU43" s="43"/>
      <c r="DV43" s="48"/>
      <c r="DW43" s="49"/>
      <c r="DX43" s="49"/>
      <c r="DY43" s="49"/>
      <c r="DZ43" s="49"/>
      <c r="EA43" s="49"/>
      <c r="EB43" s="42"/>
      <c r="EC43" s="43"/>
      <c r="ED43" s="48"/>
      <c r="EE43" s="49"/>
      <c r="EF43" s="49"/>
      <c r="EG43" s="49"/>
      <c r="EH43" s="49"/>
      <c r="EI43" s="49"/>
      <c r="EJ43" s="42"/>
      <c r="EK43" s="43"/>
      <c r="EL43" s="48"/>
      <c r="EM43" s="49"/>
      <c r="EN43" s="49"/>
      <c r="EO43" s="49"/>
      <c r="EP43" s="49"/>
      <c r="EQ43" s="49"/>
      <c r="ER43" s="42"/>
      <c r="ES43" s="43"/>
      <c r="ET43" s="48"/>
      <c r="EU43" s="49"/>
      <c r="EV43" s="49"/>
      <c r="EW43" s="49"/>
      <c r="EX43" s="49"/>
      <c r="EY43" s="49"/>
      <c r="EZ43" s="42"/>
      <c r="FA43" s="43"/>
      <c r="FB43" s="48"/>
      <c r="FC43" s="49"/>
      <c r="FD43" s="49"/>
      <c r="FE43" s="49"/>
      <c r="FF43" s="49"/>
      <c r="FG43" s="49"/>
      <c r="FH43" s="42"/>
      <c r="FI43" s="43"/>
      <c r="FJ43" s="48"/>
      <c r="FK43" s="49"/>
      <c r="FL43" s="49"/>
      <c r="FM43" s="49"/>
      <c r="FN43" s="49"/>
      <c r="FO43" s="49"/>
      <c r="FP43" s="42"/>
      <c r="FQ43" s="43"/>
      <c r="FR43" s="48"/>
      <c r="FS43" s="49"/>
      <c r="FT43" s="49"/>
      <c r="FU43" s="49"/>
      <c r="FV43" s="49"/>
      <c r="FW43" s="49"/>
      <c r="FX43" s="42"/>
      <c r="FY43" s="43"/>
      <c r="FZ43" s="48"/>
      <c r="GA43" s="49"/>
      <c r="GB43" s="49"/>
      <c r="GC43" s="49"/>
      <c r="GD43" s="49"/>
      <c r="GE43" s="49"/>
      <c r="GF43" s="42"/>
      <c r="GG43" s="43"/>
      <c r="GH43" s="48"/>
      <c r="GI43" s="49"/>
      <c r="GJ43" s="49"/>
      <c r="GK43" s="49"/>
      <c r="GL43" s="49"/>
      <c r="GM43" s="49"/>
      <c r="GN43" s="42"/>
      <c r="GO43" s="43"/>
      <c r="GP43" s="48"/>
      <c r="GQ43" s="49"/>
      <c r="GR43" s="49"/>
      <c r="GS43" s="49"/>
      <c r="GT43" s="49"/>
      <c r="GU43" s="49"/>
      <c r="GV43" s="42"/>
      <c r="GW43" s="43"/>
      <c r="GX43" s="48"/>
      <c r="GY43" s="49"/>
      <c r="GZ43" s="49"/>
      <c r="HA43" s="49"/>
      <c r="HB43" s="49"/>
      <c r="HC43" s="49"/>
      <c r="HD43" s="42"/>
      <c r="HE43" s="43"/>
      <c r="HF43" s="48"/>
      <c r="HG43" s="49"/>
      <c r="HH43" s="49"/>
      <c r="HI43" s="49"/>
      <c r="HJ43" s="49"/>
      <c r="HK43" s="49"/>
      <c r="HL43" s="42"/>
      <c r="HM43" s="43"/>
      <c r="HN43" s="82"/>
      <c r="HO43" s="83"/>
      <c r="HP43" s="83"/>
      <c r="HQ43" s="83"/>
      <c r="HR43" s="83"/>
      <c r="HS43" s="83"/>
      <c r="HT43" s="42"/>
      <c r="HU43" s="43"/>
      <c r="HV43" s="48"/>
      <c r="HW43" s="49"/>
      <c r="HX43" s="49"/>
      <c r="HY43" s="49"/>
      <c r="HZ43" s="49"/>
      <c r="IA43" s="49"/>
      <c r="IB43" s="42"/>
      <c r="IC43" s="43"/>
      <c r="ID43" s="48"/>
      <c r="IE43" s="49"/>
      <c r="IF43" s="49"/>
      <c r="IG43" s="49"/>
      <c r="IH43" s="49"/>
      <c r="II43" s="49"/>
      <c r="IJ43" s="42"/>
      <c r="IK43" s="43"/>
      <c r="IL43" s="48"/>
      <c r="IM43" s="49"/>
      <c r="IN43" s="49"/>
      <c r="IO43" s="49"/>
      <c r="IP43" s="49"/>
      <c r="IQ43" s="49"/>
      <c r="IR43" s="67"/>
      <c r="IS43" s="68"/>
      <c r="IT43" s="48"/>
      <c r="IU43" s="49"/>
      <c r="IV43" s="49"/>
      <c r="IW43" s="49"/>
      <c r="IX43" s="49"/>
      <c r="IY43" s="49"/>
      <c r="IZ43" s="67"/>
      <c r="JA43" s="68"/>
      <c r="JB43" s="48"/>
      <c r="JC43" s="49"/>
      <c r="JD43" s="49"/>
      <c r="JE43" s="49"/>
      <c r="JF43" s="49"/>
      <c r="JG43" s="49"/>
      <c r="JH43" s="67"/>
      <c r="JI43" s="68"/>
      <c r="JJ43" s="48"/>
      <c r="JK43" s="49"/>
      <c r="JL43" s="49"/>
      <c r="JM43" s="49"/>
      <c r="JN43" s="49"/>
      <c r="JO43" s="49"/>
      <c r="JP43" s="42"/>
      <c r="JQ43" s="43"/>
      <c r="JR43" s="48"/>
      <c r="JS43" s="49"/>
      <c r="JT43" s="49"/>
      <c r="JU43" s="49"/>
      <c r="JV43" s="49"/>
      <c r="JW43" s="49"/>
      <c r="JX43" s="42"/>
      <c r="JY43" s="43"/>
      <c r="JZ43" s="48"/>
      <c r="KA43" s="49"/>
      <c r="KB43" s="49"/>
      <c r="KC43" s="49"/>
      <c r="KD43" s="49"/>
      <c r="KE43" s="49"/>
      <c r="KF43" s="42"/>
      <c r="KG43" s="43"/>
      <c r="KH43" s="48"/>
      <c r="KI43" s="49"/>
      <c r="KJ43" s="49"/>
      <c r="KK43" s="49"/>
      <c r="KL43" s="49"/>
      <c r="KM43" s="49"/>
      <c r="KN43" s="67"/>
      <c r="KO43" s="68"/>
      <c r="KP43" s="48"/>
      <c r="KQ43" s="49"/>
      <c r="KR43" s="49"/>
      <c r="KS43" s="49"/>
      <c r="KT43" s="49"/>
      <c r="KU43" s="49"/>
      <c r="KV43" s="67"/>
      <c r="KW43" s="68"/>
      <c r="KX43" s="48"/>
      <c r="KY43" s="49"/>
      <c r="KZ43" s="49"/>
      <c r="LA43" s="49"/>
      <c r="LB43" s="49"/>
      <c r="LC43" s="49"/>
      <c r="LD43" s="67"/>
      <c r="LE43" s="68"/>
      <c r="LF43" s="48"/>
      <c r="LG43" s="49"/>
      <c r="LH43" s="49"/>
      <c r="LI43" s="49"/>
      <c r="LJ43" s="49"/>
      <c r="LK43" s="49"/>
      <c r="LL43" s="67"/>
      <c r="LM43" s="68"/>
      <c r="LN43" s="48"/>
      <c r="LO43" s="49"/>
      <c r="LP43" s="49"/>
      <c r="LQ43" s="49"/>
      <c r="LR43" s="49"/>
      <c r="LS43" s="49"/>
      <c r="LT43" s="67"/>
      <c r="LU43" s="68"/>
      <c r="LV43" s="48"/>
      <c r="LW43" s="49"/>
      <c r="LX43" s="49"/>
      <c r="LY43" s="49"/>
      <c r="LZ43" s="49"/>
      <c r="MA43" s="49"/>
      <c r="MB43" s="67"/>
      <c r="MC43" s="68"/>
      <c r="MD43" s="48"/>
      <c r="ME43" s="49"/>
      <c r="MF43" s="49"/>
      <c r="MG43" s="49"/>
      <c r="MH43" s="49"/>
      <c r="MI43" s="49"/>
      <c r="MJ43" s="67"/>
      <c r="MK43" s="68"/>
      <c r="ML43" s="48"/>
      <c r="MM43" s="49"/>
      <c r="MN43" s="49"/>
      <c r="MO43" s="49"/>
      <c r="MP43" s="49"/>
      <c r="MQ43" s="49"/>
      <c r="MR43" s="67"/>
      <c r="MS43" s="68"/>
      <c r="MT43" s="48"/>
      <c r="MU43" s="49"/>
      <c r="MV43" s="49"/>
      <c r="MW43" s="49"/>
      <c r="MX43" s="49"/>
      <c r="MY43" s="49"/>
      <c r="MZ43" s="67"/>
      <c r="NA43" s="68"/>
      <c r="NB43" s="48"/>
      <c r="NC43" s="49"/>
      <c r="ND43" s="49"/>
      <c r="NE43" s="49"/>
      <c r="NF43" s="49"/>
      <c r="NG43" s="49"/>
      <c r="NH43" s="67"/>
      <c r="NI43" s="68"/>
      <c r="NJ43" s="48"/>
      <c r="NK43" s="49"/>
      <c r="NL43" s="49"/>
      <c r="NM43" s="49"/>
      <c r="NN43" s="49"/>
      <c r="NO43" s="49"/>
      <c r="NP43" s="67"/>
      <c r="NQ43" s="68"/>
      <c r="NR43" s="48"/>
      <c r="NS43" s="49"/>
      <c r="NT43" s="49"/>
      <c r="NU43" s="49"/>
      <c r="NV43" s="49"/>
      <c r="NW43" s="49"/>
      <c r="NX43" s="67"/>
      <c r="NY43" s="68"/>
      <c r="NZ43" s="48"/>
      <c r="OA43" s="49"/>
      <c r="OB43" s="49"/>
      <c r="OC43" s="49"/>
      <c r="OD43" s="49"/>
      <c r="OE43" s="49"/>
      <c r="OF43" s="67"/>
      <c r="OG43" s="68"/>
      <c r="OH43" s="48"/>
      <c r="OI43" s="49"/>
      <c r="OJ43" s="49"/>
      <c r="OK43" s="49"/>
      <c r="OL43" s="49"/>
      <c r="OM43" s="49"/>
      <c r="ON43" s="67"/>
      <c r="OO43" s="68"/>
      <c r="OP43" s="48"/>
      <c r="OQ43" s="49"/>
      <c r="OR43" s="49"/>
      <c r="OS43" s="49"/>
      <c r="OT43" s="49"/>
      <c r="OU43" s="49"/>
      <c r="OV43" s="67"/>
      <c r="OW43" s="68"/>
      <c r="OX43" s="48"/>
      <c r="OY43" s="49"/>
      <c r="OZ43" s="49"/>
      <c r="PA43" s="49"/>
      <c r="PB43" s="49"/>
      <c r="PC43" s="49"/>
      <c r="PD43" s="67"/>
      <c r="PE43" s="68"/>
      <c r="PF43" s="48"/>
      <c r="PG43" s="49"/>
      <c r="PH43" s="49"/>
      <c r="PI43" s="49"/>
      <c r="PJ43" s="49"/>
      <c r="PK43" s="49"/>
      <c r="PL43" s="67"/>
      <c r="PM43" s="68"/>
      <c r="PN43" s="48"/>
      <c r="PO43" s="49"/>
      <c r="PP43" s="49"/>
      <c r="PQ43" s="49"/>
      <c r="PR43" s="49"/>
      <c r="PS43" s="49"/>
      <c r="PT43" s="67"/>
      <c r="PU43" s="68"/>
      <c r="PV43" s="106"/>
      <c r="PW43" s="107"/>
      <c r="PX43" s="107"/>
      <c r="PY43" s="107"/>
      <c r="PZ43" s="107"/>
      <c r="QA43" s="107"/>
      <c r="QB43" s="104"/>
      <c r="QC43" s="105"/>
      <c r="QD43" s="106"/>
      <c r="QE43" s="107"/>
      <c r="QF43" s="107"/>
      <c r="QG43" s="107"/>
      <c r="QH43" s="107"/>
      <c r="QI43" s="107"/>
      <c r="QJ43" s="104"/>
      <c r="QK43" s="105"/>
      <c r="QL43" s="106"/>
      <c r="QM43" s="107"/>
      <c r="QN43" s="107"/>
      <c r="QO43" s="107"/>
      <c r="QP43" s="107"/>
      <c r="QQ43" s="107"/>
      <c r="QR43" s="104"/>
      <c r="QS43" s="105"/>
      <c r="QT43" s="106"/>
      <c r="QU43" s="107"/>
      <c r="QV43" s="107"/>
      <c r="QW43" s="107"/>
      <c r="QX43" s="107"/>
      <c r="QY43" s="107"/>
      <c r="QZ43" s="104"/>
      <c r="RA43" s="105"/>
      <c r="RB43" s="106"/>
      <c r="RC43" s="107"/>
      <c r="RD43" s="107"/>
      <c r="RE43" s="107"/>
      <c r="RF43" s="107"/>
      <c r="RG43" s="107"/>
      <c r="RH43" s="104"/>
      <c r="RI43" s="105"/>
      <c r="RJ43" s="106"/>
      <c r="RK43" s="107"/>
      <c r="RL43" s="107"/>
      <c r="RM43" s="107"/>
      <c r="RN43" s="107"/>
      <c r="RO43" s="107"/>
      <c r="RP43" s="104"/>
      <c r="RQ43" s="105"/>
      <c r="RR43" s="106"/>
      <c r="RS43" s="107"/>
      <c r="RT43" s="107"/>
      <c r="RU43" s="107"/>
      <c r="RV43" s="107"/>
      <c r="RW43" s="107"/>
      <c r="RX43" s="104"/>
      <c r="RY43" s="105"/>
      <c r="RZ43" s="106"/>
      <c r="SA43" s="107"/>
      <c r="SB43" s="107"/>
      <c r="SC43" s="107"/>
      <c r="SD43" s="107"/>
      <c r="SE43" s="107"/>
      <c r="SF43" s="104"/>
      <c r="SG43" s="105"/>
      <c r="SH43" s="106"/>
      <c r="SI43" s="107"/>
      <c r="SJ43" s="107"/>
      <c r="SK43" s="107"/>
      <c r="SL43" s="107"/>
      <c r="SM43" s="107"/>
      <c r="SN43" s="104"/>
      <c r="SO43" s="105"/>
      <c r="SP43" s="106"/>
      <c r="SQ43" s="107"/>
      <c r="SR43" s="107"/>
      <c r="SS43" s="107"/>
      <c r="ST43" s="107"/>
      <c r="SU43" s="107"/>
      <c r="SV43" s="104"/>
      <c r="SW43" s="105"/>
      <c r="SX43" s="106"/>
      <c r="SY43" s="107"/>
      <c r="SZ43" s="107"/>
      <c r="TA43" s="107"/>
      <c r="TB43" s="107"/>
      <c r="TC43" s="107"/>
      <c r="TD43" s="104"/>
      <c r="TE43" s="105"/>
      <c r="TF43" s="106"/>
      <c r="TG43" s="107"/>
      <c r="TH43" s="107"/>
      <c r="TI43" s="107"/>
      <c r="TJ43" s="107"/>
      <c r="TK43" s="107"/>
      <c r="TL43" s="104"/>
      <c r="TM43" s="105"/>
      <c r="TN43" s="130"/>
      <c r="TO43" s="107"/>
      <c r="TP43" s="107"/>
      <c r="TQ43" s="107"/>
      <c r="TR43" s="107"/>
      <c r="TS43" s="107"/>
      <c r="TT43" s="104"/>
      <c r="TU43" s="105"/>
      <c r="TV43" s="106"/>
      <c r="TW43" s="107"/>
      <c r="TX43" s="107"/>
      <c r="TY43" s="107"/>
      <c r="TZ43" s="107"/>
      <c r="UA43" s="107"/>
      <c r="UB43" s="104"/>
      <c r="UC43" s="105"/>
      <c r="UD43" s="106"/>
      <c r="UE43" s="107"/>
      <c r="UF43" s="107"/>
      <c r="UG43" s="107"/>
      <c r="UH43" s="107"/>
      <c r="UI43" s="107"/>
      <c r="UJ43" s="104"/>
      <c r="UK43" s="105"/>
      <c r="UL43" s="106"/>
      <c r="UM43" s="107"/>
      <c r="UN43" s="107"/>
      <c r="UO43" s="107"/>
      <c r="UP43" s="107"/>
      <c r="UQ43" s="107"/>
      <c r="UR43" s="107"/>
      <c r="US43" s="104"/>
      <c r="UT43" s="105"/>
      <c r="UU43" s="106"/>
      <c r="UV43" s="107"/>
      <c r="UW43" s="107"/>
      <c r="UX43" s="107"/>
      <c r="UY43" s="107"/>
      <c r="UZ43" s="107"/>
      <c r="VA43" s="104"/>
      <c r="VB43" s="105"/>
      <c r="VC43" s="106"/>
      <c r="VD43" s="107"/>
      <c r="VE43" s="107"/>
      <c r="VF43" s="107"/>
      <c r="VG43" s="107"/>
      <c r="VH43" s="107"/>
      <c r="VI43" s="104"/>
      <c r="VJ43" s="105"/>
      <c r="VK43" s="48"/>
      <c r="VL43" s="49"/>
      <c r="VM43" s="49"/>
      <c r="VN43" s="49"/>
      <c r="VO43" s="49"/>
      <c r="VP43" s="49"/>
      <c r="VQ43" s="67"/>
      <c r="VR43" s="68"/>
      <c r="VS43" s="106"/>
      <c r="VT43" s="107"/>
      <c r="VU43" s="107"/>
      <c r="VV43" s="107"/>
      <c r="VW43" s="107"/>
      <c r="VX43" s="107"/>
      <c r="VY43" s="104"/>
      <c r="VZ43" s="105"/>
      <c r="WA43" s="63"/>
      <c r="WB43" s="64"/>
      <c r="WC43" s="64"/>
      <c r="WD43" s="64"/>
      <c r="WE43" s="64"/>
      <c r="WF43" s="64"/>
      <c r="WG43" s="67"/>
      <c r="WH43" s="68"/>
      <c r="WI43" s="106"/>
      <c r="WJ43" s="107"/>
      <c r="WK43" s="107"/>
      <c r="WL43" s="107"/>
      <c r="WM43" s="107"/>
      <c r="WN43" s="107"/>
      <c r="WO43" s="104"/>
      <c r="WP43" s="105"/>
      <c r="WQ43" s="48"/>
      <c r="WR43" s="49"/>
      <c r="WS43" s="49"/>
      <c r="WT43" s="49"/>
      <c r="WU43" s="49"/>
      <c r="WV43" s="49"/>
      <c r="WW43" s="49"/>
      <c r="WX43" s="67"/>
      <c r="WY43" s="68"/>
      <c r="WZ43" s="48"/>
      <c r="XA43" s="49"/>
      <c r="XB43" s="49"/>
      <c r="XC43" s="49"/>
      <c r="XD43" s="49"/>
      <c r="XE43" s="49"/>
      <c r="XF43" s="49"/>
      <c r="XG43" s="67"/>
      <c r="XH43" s="68"/>
      <c r="XI43" s="48"/>
      <c r="XJ43" s="49"/>
      <c r="XK43" s="49"/>
      <c r="XL43" s="49"/>
      <c r="XM43" s="49"/>
      <c r="XN43" s="49"/>
      <c r="XO43" s="49"/>
      <c r="XP43" s="67"/>
      <c r="XQ43" s="68"/>
      <c r="XR43" s="48"/>
      <c r="XS43" s="49"/>
      <c r="XT43" s="49"/>
      <c r="XU43" s="49"/>
      <c r="XV43" s="49"/>
      <c r="XW43" s="49"/>
      <c r="XX43" s="49"/>
      <c r="XY43" s="67"/>
      <c r="XZ43" s="68"/>
      <c r="YA43" s="48"/>
      <c r="YB43" s="49"/>
      <c r="YC43" s="49"/>
      <c r="YD43" s="49"/>
      <c r="YE43" s="49"/>
      <c r="YF43" s="49"/>
      <c r="YG43" s="49"/>
      <c r="YH43" s="67"/>
      <c r="YI43" s="68"/>
      <c r="YJ43" s="48"/>
      <c r="YK43" s="49"/>
      <c r="YL43" s="49"/>
      <c r="YM43" s="49"/>
      <c r="YN43" s="49"/>
      <c r="YO43" s="49"/>
      <c r="YP43" s="49"/>
      <c r="YQ43" s="67"/>
      <c r="YR43" s="68"/>
      <c r="YS43" s="48"/>
      <c r="YT43" s="49"/>
      <c r="YU43" s="49"/>
      <c r="YV43" s="49"/>
      <c r="YW43" s="49"/>
      <c r="YX43" s="49"/>
      <c r="YY43" s="67"/>
      <c r="YZ43" s="68"/>
      <c r="ZA43" s="48"/>
      <c r="ZB43" s="49"/>
      <c r="ZC43" s="49"/>
      <c r="ZD43" s="49"/>
      <c r="ZE43" s="49"/>
      <c r="ZF43" s="49"/>
      <c r="ZG43" s="67"/>
      <c r="ZH43" s="68"/>
      <c r="ZI43" s="48"/>
      <c r="ZJ43" s="49"/>
      <c r="ZK43" s="49"/>
      <c r="ZL43" s="49"/>
      <c r="ZM43" s="49"/>
      <c r="ZN43" s="24"/>
      <c r="ZO43" s="67"/>
      <c r="ZP43" s="68"/>
      <c r="ZQ43" s="48"/>
      <c r="ZR43" s="49"/>
      <c r="ZS43" s="49"/>
      <c r="ZT43" s="49"/>
      <c r="ZU43" s="49"/>
      <c r="ZV43" s="49"/>
      <c r="ZW43" s="49"/>
      <c r="ZX43" s="67"/>
      <c r="ZY43" s="70"/>
      <c r="ZZ43" s="48"/>
      <c r="AAA43" s="49"/>
      <c r="AAB43" s="49"/>
      <c r="AAC43" s="49"/>
      <c r="AAD43" s="49"/>
      <c r="AAE43" s="49"/>
      <c r="AAF43" s="49"/>
      <c r="AAG43" s="67"/>
      <c r="AAH43" s="68"/>
      <c r="AAI43" s="48"/>
      <c r="AAJ43" s="49"/>
      <c r="AAK43" s="49"/>
      <c r="AAL43" s="49"/>
      <c r="AAM43" s="49"/>
      <c r="AAN43" s="49"/>
      <c r="AAO43" s="67"/>
      <c r="AAP43" s="68"/>
      <c r="AAQ43" s="48"/>
      <c r="AAR43" s="49"/>
      <c r="AAS43" s="49"/>
      <c r="AAT43" s="49"/>
      <c r="AAU43" s="49"/>
      <c r="AAV43" s="49"/>
      <c r="AAW43" s="67"/>
      <c r="AAX43" s="68"/>
      <c r="AAY43" s="48"/>
      <c r="AAZ43" s="49"/>
      <c r="ABA43" s="49"/>
      <c r="ABB43" s="49"/>
      <c r="ABC43" s="49"/>
      <c r="ABD43" s="49"/>
      <c r="ABE43" s="67"/>
      <c r="ABF43" s="68"/>
      <c r="ABG43" s="48"/>
      <c r="ABH43" s="49"/>
      <c r="ABI43" s="49"/>
      <c r="ABJ43" s="49"/>
      <c r="ABK43" s="49"/>
      <c r="ABL43" s="49"/>
      <c r="ABM43" s="67"/>
      <c r="ABN43" s="68"/>
      <c r="ABO43" s="48"/>
      <c r="ABP43" s="49"/>
      <c r="ABQ43" s="49"/>
      <c r="ABR43" s="49"/>
      <c r="ABS43" s="49"/>
      <c r="ABT43" s="49"/>
      <c r="ABU43" s="67"/>
      <c r="ABV43" s="68"/>
      <c r="ABW43" s="48"/>
      <c r="ABX43" s="49"/>
      <c r="ABY43" s="49"/>
      <c r="ABZ43" s="49"/>
      <c r="ACA43" s="49"/>
      <c r="ACB43" s="49"/>
      <c r="ACC43" s="67"/>
      <c r="ACD43" s="68"/>
      <c r="ACE43" s="48"/>
      <c r="ACF43" s="49"/>
      <c r="ACG43" s="49"/>
      <c r="ACH43" s="49"/>
      <c r="ACI43" s="49"/>
      <c r="ACJ43" s="49"/>
      <c r="ACK43" s="67"/>
      <c r="ACL43" s="68"/>
      <c r="ACM43" s="48"/>
      <c r="ACN43" s="49"/>
      <c r="ACO43" s="49"/>
      <c r="ACP43" s="49"/>
      <c r="ACQ43" s="49"/>
      <c r="ACR43" s="49"/>
      <c r="ACS43" s="67"/>
      <c r="ACT43" s="68"/>
      <c r="ACU43" s="48"/>
      <c r="ACV43" s="49"/>
      <c r="ACW43" s="49"/>
      <c r="ACX43" s="49"/>
      <c r="ACY43" s="49"/>
      <c r="ACZ43" s="49"/>
      <c r="ADA43" s="67"/>
      <c r="ADB43" s="68"/>
      <c r="ADC43" s="48"/>
      <c r="ADD43" s="49"/>
      <c r="ADE43" s="49"/>
      <c r="ADF43" s="49"/>
      <c r="ADG43" s="49"/>
      <c r="ADH43" s="49"/>
      <c r="ADI43" s="67"/>
      <c r="ADJ43" s="68"/>
      <c r="ADK43" s="48"/>
      <c r="ADL43" s="49"/>
      <c r="ADM43" s="49"/>
      <c r="ADN43" s="49"/>
      <c r="ADO43" s="49"/>
      <c r="ADP43" s="49"/>
      <c r="ADQ43" s="67"/>
      <c r="ADR43" s="68"/>
      <c r="ADS43" s="48"/>
      <c r="ADT43" s="49"/>
      <c r="ADU43" s="49"/>
      <c r="ADV43" s="49"/>
      <c r="ADW43" s="49"/>
      <c r="ADX43" s="49"/>
      <c r="ADY43" s="67"/>
      <c r="ADZ43" s="68"/>
      <c r="AEA43" s="48"/>
      <c r="AEB43" s="49"/>
      <c r="AEC43" s="49"/>
      <c r="AED43" s="49"/>
      <c r="AEE43" s="49"/>
      <c r="AEF43" s="49"/>
      <c r="AEG43" s="67"/>
      <c r="AEH43" s="68"/>
      <c r="AEI43" s="48"/>
      <c r="AEJ43" s="49"/>
      <c r="AEK43" s="49"/>
      <c r="AEL43" s="49"/>
      <c r="AEM43" s="49"/>
      <c r="AEN43" s="49"/>
      <c r="AEO43" s="67"/>
      <c r="AEP43" s="68"/>
      <c r="AEQ43" s="48"/>
      <c r="AER43" s="49"/>
      <c r="AES43" s="49"/>
      <c r="AET43" s="49"/>
      <c r="AEU43" s="49"/>
      <c r="AEV43" s="49"/>
      <c r="AEW43" s="67"/>
      <c r="AEX43" s="68"/>
      <c r="AEY43" s="48"/>
      <c r="AEZ43" s="49"/>
      <c r="AFA43" s="49"/>
      <c r="AFB43" s="49"/>
      <c r="AFC43" s="49"/>
      <c r="AFD43" s="49"/>
      <c r="AFE43" s="67"/>
      <c r="AFF43" s="68"/>
      <c r="AFG43" s="48"/>
      <c r="AFH43" s="49"/>
      <c r="AFI43" s="49"/>
      <c r="AFJ43" s="49"/>
      <c r="AFK43" s="49"/>
      <c r="AFL43" s="49"/>
      <c r="AFM43" s="67"/>
      <c r="AFN43" s="68"/>
      <c r="AFO43" s="48"/>
      <c r="AFP43" s="49"/>
      <c r="AFQ43" s="49"/>
      <c r="AFR43" s="49"/>
      <c r="AFS43" s="49"/>
      <c r="AFT43" s="49"/>
      <c r="AFU43" s="67"/>
      <c r="AFV43" s="68"/>
      <c r="AFW43" s="48"/>
      <c r="AFX43" s="49"/>
      <c r="AFY43" s="49"/>
      <c r="AFZ43" s="49"/>
      <c r="AGA43" s="49"/>
      <c r="AGB43" s="49"/>
      <c r="AGC43" s="67"/>
      <c r="AGD43" s="68"/>
      <c r="AGE43" s="48"/>
      <c r="AGF43" s="49"/>
      <c r="AGG43" s="49"/>
      <c r="AGH43" s="49"/>
      <c r="AGI43" s="49"/>
      <c r="AGJ43" s="49"/>
      <c r="AGK43" s="67"/>
      <c r="AGL43" s="68"/>
      <c r="AGM43" s="48"/>
      <c r="AGN43" s="49"/>
      <c r="AGO43" s="49"/>
      <c r="AGP43" s="49"/>
      <c r="AGQ43" s="49"/>
      <c r="AGR43" s="49"/>
      <c r="AGS43" s="49"/>
      <c r="AGT43" s="67"/>
      <c r="AGU43" s="68"/>
      <c r="AGV43" s="48"/>
      <c r="AGW43" s="49"/>
      <c r="AGX43" s="49"/>
      <c r="AGY43" s="49"/>
      <c r="AGZ43" s="49"/>
      <c r="AHA43" s="49"/>
      <c r="AHB43" s="67"/>
      <c r="AHC43" s="68"/>
      <c r="AHD43" s="48"/>
      <c r="AHE43" s="49"/>
      <c r="AHF43" s="49"/>
      <c r="AHG43" s="49"/>
      <c r="AHH43" s="49"/>
      <c r="AHI43" s="49"/>
      <c r="AHJ43" s="67"/>
      <c r="AHK43" s="68"/>
      <c r="AHL43" s="48"/>
      <c r="AHM43" s="49"/>
      <c r="AHN43" s="49"/>
      <c r="AHO43" s="49"/>
      <c r="AHP43" s="49"/>
      <c r="AHQ43" s="49"/>
      <c r="AHR43" s="67"/>
      <c r="AHS43" s="68"/>
      <c r="AHT43" s="48"/>
      <c r="AHU43" s="49"/>
      <c r="AHV43" s="49"/>
      <c r="AHW43" s="49"/>
      <c r="AHX43" s="49"/>
      <c r="AHY43" s="49"/>
      <c r="AHZ43" s="67"/>
      <c r="AIA43" s="68"/>
      <c r="AIB43" s="48"/>
      <c r="AIC43" s="49"/>
      <c r="AID43" s="49"/>
      <c r="AIE43" s="49"/>
      <c r="AIF43" s="49"/>
      <c r="AIG43" s="49"/>
      <c r="AIH43" s="67"/>
      <c r="AII43" s="68"/>
      <c r="AIJ43" s="48"/>
      <c r="AIK43" s="49"/>
      <c r="AIL43" s="49"/>
      <c r="AIM43" s="49"/>
      <c r="AIN43" s="49"/>
      <c r="AIO43" s="49"/>
      <c r="AIP43" s="67"/>
      <c r="AIQ43" s="68"/>
      <c r="AIR43" s="48"/>
      <c r="AIS43" s="49"/>
      <c r="AIT43" s="49"/>
      <c r="AIU43" s="49"/>
      <c r="AIV43" s="49"/>
      <c r="AIW43" s="49"/>
      <c r="AIX43" s="67"/>
      <c r="AIY43" s="68"/>
      <c r="AIZ43" s="48"/>
      <c r="AJA43" s="49"/>
      <c r="AJB43" s="49"/>
      <c r="AJC43" s="49"/>
      <c r="AJD43" s="49"/>
      <c r="AJE43" s="49"/>
      <c r="AJF43" s="67"/>
      <c r="AJG43" s="68"/>
      <c r="AJH43" s="48"/>
      <c r="AJI43" s="49"/>
      <c r="AJJ43" s="49"/>
      <c r="AJK43" s="49"/>
      <c r="AJL43" s="49"/>
      <c r="AJM43" s="49"/>
      <c r="AJN43" s="42"/>
      <c r="AJO43" s="43"/>
      <c r="AJP43" s="48"/>
      <c r="AJQ43" s="49"/>
      <c r="AJR43" s="49"/>
      <c r="AJS43" s="49"/>
      <c r="AJT43" s="49"/>
      <c r="AJU43" s="49"/>
      <c r="AJV43" s="42"/>
      <c r="AJW43" s="43"/>
      <c r="AJX43" s="48"/>
      <c r="AJY43" s="49"/>
      <c r="AJZ43" s="49"/>
      <c r="AKA43" s="49"/>
      <c r="AKB43" s="49"/>
      <c r="AKC43" s="49"/>
      <c r="AKD43" s="67"/>
      <c r="AKE43" s="68"/>
      <c r="AKF43" s="48"/>
      <c r="AKG43" s="49"/>
      <c r="AKH43" s="49"/>
      <c r="AKI43" s="49"/>
      <c r="AKJ43" s="49"/>
      <c r="AKK43" s="49"/>
      <c r="AKL43" s="67"/>
      <c r="AKM43" s="184"/>
      <c r="AKN43" s="195"/>
      <c r="AKO43" s="49"/>
      <c r="AKP43" s="49"/>
      <c r="AKQ43" s="49"/>
      <c r="AKR43" s="49"/>
      <c r="AKS43" s="49"/>
      <c r="AKT43" s="67"/>
      <c r="AKU43" s="184"/>
      <c r="AKV43" s="48"/>
      <c r="AKW43" s="49"/>
      <c r="AKX43" s="49"/>
      <c r="AKY43" s="49"/>
      <c r="AKZ43" s="49"/>
      <c r="ALA43" s="49"/>
      <c r="ALB43" s="67"/>
      <c r="ALC43" s="68"/>
      <c r="ALD43" s="48"/>
      <c r="ALE43" s="49"/>
      <c r="ALF43" s="49"/>
      <c r="ALG43" s="49"/>
      <c r="ALH43" s="49"/>
      <c r="ALI43" s="49"/>
      <c r="ALJ43" s="67"/>
      <c r="ALK43" s="68"/>
      <c r="ALL43" s="48"/>
      <c r="ALM43" s="49"/>
      <c r="ALN43" s="49"/>
      <c r="ALO43" s="49"/>
      <c r="ALP43" s="49"/>
      <c r="ALQ43" s="49"/>
      <c r="ALR43" s="67"/>
      <c r="ALS43" s="68"/>
      <c r="ALT43" s="48"/>
      <c r="ALU43" s="49"/>
      <c r="ALV43" s="49"/>
      <c r="ALW43" s="49"/>
      <c r="ALX43" s="49"/>
      <c r="ALY43" s="49"/>
      <c r="ALZ43" s="67"/>
      <c r="AMA43" s="68"/>
      <c r="AMB43" s="48"/>
      <c r="AMC43" s="49"/>
      <c r="AMD43" s="49"/>
      <c r="AME43" s="49"/>
      <c r="AMF43" s="49"/>
      <c r="AMG43" s="49"/>
      <c r="AMH43" s="67"/>
      <c r="AMI43" s="68"/>
      <c r="AMJ43" s="48"/>
      <c r="AMK43" s="49"/>
      <c r="AML43" s="49"/>
      <c r="AMM43" s="49"/>
      <c r="AMN43" s="49"/>
      <c r="AMO43" s="49"/>
      <c r="AMP43" s="67"/>
      <c r="AMQ43" s="68"/>
      <c r="AMR43" s="48"/>
      <c r="AMS43" s="49"/>
      <c r="AMT43" s="49"/>
      <c r="AMU43" s="49"/>
      <c r="AMV43" s="49"/>
      <c r="AMW43" s="49"/>
      <c r="AMX43" s="67"/>
      <c r="AMY43" s="68"/>
      <c r="AMZ43" s="48"/>
      <c r="ANA43" s="49"/>
      <c r="ANB43" s="49"/>
      <c r="ANC43" s="49"/>
      <c r="AND43" s="49"/>
      <c r="ANE43" s="49"/>
      <c r="ANF43" s="67"/>
      <c r="ANG43" s="68"/>
      <c r="ANH43" s="48"/>
      <c r="ANI43" s="49"/>
      <c r="ANJ43" s="49"/>
      <c r="ANK43" s="49"/>
      <c r="ANL43" s="49"/>
      <c r="ANM43" s="49"/>
      <c r="ANN43" s="67"/>
      <c r="ANO43" s="68"/>
      <c r="ANP43" s="48"/>
      <c r="ANQ43" s="49"/>
      <c r="ANR43" s="49"/>
      <c r="ANS43" s="49"/>
      <c r="ANT43" s="49"/>
      <c r="ANU43" s="49"/>
      <c r="ANV43" s="67"/>
      <c r="ANW43" s="68"/>
      <c r="ANX43" s="82"/>
      <c r="ANY43" s="83"/>
      <c r="ANZ43" s="83"/>
      <c r="AOA43" s="83"/>
      <c r="AOB43" s="83"/>
      <c r="AOC43" s="83"/>
      <c r="AOD43" s="67"/>
      <c r="AOE43" s="68"/>
      <c r="AOF43" s="48"/>
      <c r="AOG43" s="49"/>
      <c r="AOH43" s="49"/>
      <c r="AOI43" s="49"/>
      <c r="AOJ43" s="49"/>
      <c r="AOK43" s="49"/>
      <c r="AOL43" s="67"/>
      <c r="AOM43" s="68"/>
      <c r="AON43" s="48"/>
      <c r="AOO43" s="49"/>
      <c r="AOP43" s="49"/>
      <c r="AOQ43" s="49"/>
      <c r="AOR43" s="49"/>
      <c r="AOS43" s="49"/>
      <c r="AOT43" s="67"/>
      <c r="AOU43" s="68"/>
      <c r="AOV43" s="48"/>
      <c r="AOW43" s="49"/>
      <c r="AOX43" s="49"/>
      <c r="AOY43" s="49"/>
      <c r="AOZ43" s="49"/>
      <c r="APA43" s="49"/>
      <c r="APB43" s="67"/>
      <c r="APC43" s="68"/>
      <c r="APD43" s="48"/>
      <c r="APE43" s="49"/>
      <c r="APF43" s="49"/>
      <c r="APG43" s="49"/>
      <c r="APH43" s="49"/>
      <c r="API43" s="49"/>
      <c r="APJ43" s="67"/>
      <c r="APK43" s="68"/>
      <c r="APL43" s="48"/>
      <c r="APM43" s="49"/>
      <c r="APN43" s="49"/>
      <c r="APO43" s="49"/>
      <c r="APP43" s="49"/>
      <c r="APQ43" s="49"/>
      <c r="APR43" s="67"/>
      <c r="APS43" s="68"/>
      <c r="APT43" s="48"/>
      <c r="APU43" s="49"/>
      <c r="APV43" s="49"/>
      <c r="APW43" s="49"/>
      <c r="APX43" s="49"/>
      <c r="APY43" s="49"/>
      <c r="APZ43" s="67"/>
      <c r="AQA43" s="68"/>
      <c r="AQB43" s="48"/>
      <c r="AQC43" s="49"/>
      <c r="AQD43" s="49"/>
      <c r="AQE43" s="49"/>
      <c r="AQF43" s="49"/>
      <c r="AQG43" s="49"/>
      <c r="AQH43" s="67"/>
      <c r="AQI43" s="68"/>
      <c r="AQJ43" s="48"/>
      <c r="AQK43" s="49"/>
      <c r="AQL43" s="49"/>
      <c r="AQM43" s="49"/>
      <c r="AQN43" s="49"/>
      <c r="AQO43" s="49"/>
      <c r="AQP43" s="67"/>
      <c r="AQQ43" s="68"/>
      <c r="AQR43" s="48"/>
      <c r="AQS43" s="49"/>
      <c r="AQT43" s="49"/>
      <c r="AQU43" s="49"/>
      <c r="AQV43" s="49"/>
      <c r="AQW43" s="49"/>
      <c r="AQX43" s="67"/>
      <c r="AQY43" s="68"/>
      <c r="AQZ43" s="48"/>
      <c r="ARA43" s="49"/>
      <c r="ARB43" s="49"/>
      <c r="ARC43" s="49"/>
      <c r="ARD43" s="49"/>
      <c r="ARE43" s="49"/>
      <c r="ARF43" s="67"/>
      <c r="ARG43" s="68"/>
      <c r="ARH43" s="48"/>
      <c r="ARI43" s="49"/>
      <c r="ARJ43" s="49"/>
      <c r="ARK43" s="49"/>
      <c r="ARL43" s="49"/>
      <c r="ARM43" s="49"/>
      <c r="ARN43" s="67"/>
      <c r="ARO43" s="68"/>
      <c r="ARP43" s="48"/>
      <c r="ARQ43" s="49"/>
      <c r="ARR43" s="49"/>
      <c r="ARS43" s="49"/>
      <c r="ART43" s="49"/>
      <c r="ARU43" s="49"/>
      <c r="ARV43" s="67"/>
      <c r="ARW43" s="68"/>
      <c r="ARX43" s="48"/>
      <c r="ARY43" s="49"/>
      <c r="ARZ43" s="49"/>
      <c r="ASA43" s="49"/>
      <c r="ASB43" s="49"/>
      <c r="ASC43" s="49"/>
      <c r="ASD43" s="67"/>
      <c r="ASE43" s="68"/>
      <c r="ASF43" s="48"/>
      <c r="ASG43" s="49"/>
      <c r="ASH43" s="49"/>
      <c r="ASI43" s="49"/>
      <c r="ASJ43" s="49"/>
      <c r="ASK43" s="49"/>
      <c r="ASL43" s="67"/>
      <c r="ASM43" s="68"/>
      <c r="ASN43" s="48"/>
      <c r="ASO43" s="49"/>
      <c r="ASP43" s="49"/>
      <c r="ASQ43" s="49"/>
      <c r="ASR43" s="49"/>
      <c r="ASS43" s="49"/>
      <c r="AST43" s="67"/>
      <c r="ASU43" s="68"/>
      <c r="ASV43" s="48"/>
      <c r="ASW43" s="49"/>
      <c r="ASX43" s="49"/>
      <c r="ASY43" s="49"/>
      <c r="ASZ43" s="49"/>
      <c r="ATA43" s="49"/>
      <c r="ATB43" s="67"/>
      <c r="ATC43" s="68"/>
      <c r="ATD43" s="48"/>
      <c r="ATE43" s="49"/>
      <c r="ATF43" s="49"/>
      <c r="ATG43" s="49"/>
      <c r="ATH43" s="49"/>
      <c r="ATI43" s="49"/>
      <c r="ATJ43" s="67"/>
      <c r="ATK43" s="68"/>
      <c r="ATL43" s="48"/>
      <c r="ATM43" s="49"/>
      <c r="ATN43" s="49"/>
      <c r="ATO43" s="49"/>
      <c r="ATP43" s="49"/>
      <c r="ATQ43" s="49"/>
      <c r="ATR43" s="67"/>
      <c r="ATS43" s="68"/>
      <c r="ATT43" s="48"/>
      <c r="ATU43" s="49"/>
      <c r="ATV43" s="49"/>
      <c r="ATW43" s="49"/>
      <c r="ATX43" s="49"/>
      <c r="ATY43" s="49"/>
      <c r="ATZ43" s="67"/>
      <c r="AUA43" s="68"/>
      <c r="AUB43" s="48"/>
      <c r="AUC43" s="49"/>
      <c r="AUD43" s="49"/>
      <c r="AUE43" s="49"/>
      <c r="AUF43" s="49"/>
      <c r="AUG43" s="49"/>
      <c r="AUH43" s="67"/>
      <c r="AUI43" s="68"/>
      <c r="AUJ43" s="48"/>
      <c r="AUK43" s="49"/>
      <c r="AUL43" s="49"/>
      <c r="AUM43" s="49"/>
      <c r="AUN43" s="49"/>
      <c r="AUO43" s="49"/>
      <c r="AUP43" s="67"/>
      <c r="AUQ43" s="68"/>
      <c r="AUR43" s="48"/>
      <c r="AUS43" s="49"/>
      <c r="AUT43" s="49"/>
      <c r="AUU43" s="49"/>
      <c r="AUV43" s="49"/>
      <c r="AUW43" s="49"/>
      <c r="AUX43" s="67"/>
      <c r="AUY43" s="68"/>
      <c r="AUZ43" s="48"/>
      <c r="AVA43" s="49"/>
      <c r="AVB43" s="49"/>
      <c r="AVC43" s="49"/>
      <c r="AVD43" s="49"/>
      <c r="AVE43" s="49"/>
      <c r="AVF43" s="67"/>
      <c r="AVG43" s="68"/>
      <c r="AVH43" s="48"/>
      <c r="AVI43" s="49"/>
      <c r="AVJ43" s="49"/>
      <c r="AVK43" s="49"/>
      <c r="AVL43" s="49"/>
      <c r="AVM43" s="49"/>
      <c r="AVN43" s="67"/>
      <c r="AVO43" s="68"/>
      <c r="AVP43" s="48"/>
      <c r="AVQ43" s="49"/>
      <c r="AVR43" s="49"/>
      <c r="AVS43" s="49"/>
      <c r="AVT43" s="49"/>
      <c r="AVU43" s="49"/>
      <c r="AVV43" s="67"/>
      <c r="AVW43" s="68"/>
      <c r="AVX43" s="48"/>
      <c r="AVY43" s="49"/>
      <c r="AVZ43" s="49"/>
      <c r="AWA43" s="49"/>
      <c r="AWB43" s="49"/>
      <c r="AWC43" s="49"/>
      <c r="AWD43" s="67"/>
      <c r="AWE43" s="68"/>
      <c r="AWF43" s="48"/>
      <c r="AWG43" s="49"/>
      <c r="AWH43" s="49"/>
      <c r="AWI43" s="49"/>
      <c r="AWJ43" s="49"/>
      <c r="AWK43" s="49"/>
      <c r="AWL43" s="67"/>
      <c r="AWM43" s="184"/>
      <c r="AWN43" s="48"/>
      <c r="AWO43" s="49"/>
      <c r="AWP43" s="49"/>
      <c r="AWQ43" s="49"/>
      <c r="AWR43" s="49"/>
      <c r="AWS43" s="49"/>
      <c r="AWT43" s="42"/>
      <c r="AWU43" s="43"/>
      <c r="AWV43" s="48"/>
      <c r="AWW43" s="49"/>
      <c r="AWX43" s="49"/>
      <c r="AWY43" s="49"/>
      <c r="AWZ43" s="49"/>
      <c r="AXA43" s="49"/>
      <c r="AXB43" s="42"/>
      <c r="AXC43" s="43"/>
      <c r="AXD43" s="48"/>
      <c r="AXE43" s="49"/>
      <c r="AXF43" s="49"/>
      <c r="AXG43" s="49"/>
      <c r="AXH43" s="49"/>
      <c r="AXI43" s="49"/>
      <c r="AXJ43" s="42"/>
      <c r="AXK43" s="43"/>
      <c r="AXL43" s="48"/>
      <c r="AXM43" s="49"/>
      <c r="AXN43" s="49"/>
      <c r="AXO43" s="49"/>
      <c r="AXP43" s="49"/>
      <c r="AXQ43" s="49"/>
      <c r="AXR43" s="42"/>
      <c r="AXS43" s="43"/>
      <c r="AXT43" s="48"/>
      <c r="AXU43" s="49"/>
      <c r="AXV43" s="49"/>
      <c r="AXW43" s="49"/>
      <c r="AXX43" s="49"/>
      <c r="AXY43" s="49"/>
      <c r="AXZ43" s="42"/>
      <c r="AYA43" s="43"/>
      <c r="AYB43" s="48"/>
      <c r="AYC43" s="49"/>
      <c r="AYD43" s="49"/>
      <c r="AYE43" s="49"/>
      <c r="AYF43" s="49"/>
      <c r="AYG43" s="49"/>
      <c r="AYH43" s="42"/>
      <c r="AYI43" s="43"/>
      <c r="AYJ43" s="48"/>
      <c r="AYK43" s="49"/>
      <c r="AYL43" s="49"/>
      <c r="AYM43" s="49"/>
      <c r="AYN43" s="49"/>
      <c r="AYO43" s="49"/>
      <c r="AYP43" s="42"/>
      <c r="AYQ43" s="43"/>
      <c r="AYR43" s="48"/>
      <c r="AYS43" s="49"/>
      <c r="AYT43" s="49"/>
      <c r="AYU43" s="49"/>
      <c r="AYV43" s="49"/>
      <c r="AYW43" s="49"/>
      <c r="AYX43" s="42"/>
      <c r="AYY43" s="43"/>
      <c r="AYZ43" s="48"/>
      <c r="AZA43" s="49"/>
      <c r="AZB43" s="49"/>
      <c r="AZC43" s="49"/>
      <c r="AZD43" s="49"/>
      <c r="AZE43" s="49"/>
      <c r="AZF43" s="42"/>
      <c r="AZG43" s="43"/>
      <c r="AZH43" s="48"/>
      <c r="AZI43" s="49"/>
      <c r="AZJ43" s="49"/>
      <c r="AZK43" s="49"/>
      <c r="AZL43" s="49"/>
      <c r="AZM43" s="49"/>
      <c r="AZN43" s="42"/>
      <c r="AZO43" s="43"/>
      <c r="AZP43" s="48"/>
      <c r="AZQ43" s="49"/>
      <c r="AZR43" s="49"/>
      <c r="AZS43" s="49"/>
      <c r="AZT43" s="49"/>
      <c r="AZU43" s="49"/>
      <c r="AZV43" s="42"/>
      <c r="AZW43" s="43"/>
      <c r="AZX43" s="82"/>
      <c r="AZY43" s="83"/>
      <c r="AZZ43" s="83"/>
      <c r="BAA43" s="83"/>
      <c r="BAB43" s="83"/>
      <c r="BAC43" s="83"/>
      <c r="BAD43" s="42"/>
      <c r="BAE43" s="43"/>
      <c r="BAF43" s="48"/>
      <c r="BAG43" s="49"/>
      <c r="BAH43" s="49"/>
      <c r="BAI43" s="49"/>
      <c r="BAJ43" s="49"/>
      <c r="BAK43" s="49"/>
      <c r="BAL43" s="42"/>
      <c r="BAM43" s="43"/>
      <c r="BAN43" s="48"/>
      <c r="BAO43" s="49"/>
      <c r="BAP43" s="49"/>
      <c r="BAQ43" s="49"/>
      <c r="BAR43" s="49"/>
      <c r="BAS43" s="49"/>
      <c r="BAT43" s="42"/>
      <c r="BAU43" s="43"/>
      <c r="BAV43" s="48"/>
      <c r="BAW43" s="49"/>
      <c r="BAX43" s="49"/>
      <c r="BAY43" s="49"/>
      <c r="BAZ43" s="49"/>
      <c r="BBA43" s="49"/>
      <c r="BBB43" s="42"/>
      <c r="BBC43" s="43"/>
      <c r="BBD43" s="48"/>
      <c r="BBE43" s="49"/>
      <c r="BBF43" s="49"/>
      <c r="BBG43" s="49"/>
      <c r="BBH43" s="49"/>
      <c r="BBI43" s="49"/>
      <c r="BBJ43" s="42"/>
      <c r="BBK43" s="43"/>
      <c r="BBL43" s="48"/>
      <c r="BBM43" s="49"/>
      <c r="BBN43" s="49"/>
      <c r="BBO43" s="49"/>
      <c r="BBP43" s="49"/>
      <c r="BBQ43" s="49"/>
      <c r="BBR43" s="42"/>
      <c r="BBS43" s="43"/>
      <c r="BBT43" s="48"/>
      <c r="BBU43" s="49"/>
      <c r="BBV43" s="49"/>
      <c r="BBW43" s="49"/>
      <c r="BBX43" s="49"/>
      <c r="BBY43" s="49"/>
      <c r="BBZ43" s="42"/>
      <c r="BCA43" s="43"/>
      <c r="BCB43" s="48"/>
      <c r="BCC43" s="49"/>
      <c r="BCD43" s="49"/>
      <c r="BCE43" s="49"/>
      <c r="BCF43" s="49"/>
      <c r="BCG43" s="49"/>
      <c r="BCH43" s="42"/>
      <c r="BCI43" s="43"/>
      <c r="BCJ43" s="48"/>
      <c r="BCK43" s="49"/>
      <c r="BCL43" s="49"/>
      <c r="BCM43" s="49"/>
      <c r="BCN43" s="49"/>
      <c r="BCO43" s="49"/>
      <c r="BCP43" s="42"/>
      <c r="BCQ43" s="43"/>
      <c r="BCR43" s="48"/>
      <c r="BCS43" s="49"/>
      <c r="BCT43" s="49"/>
      <c r="BCU43" s="49"/>
      <c r="BCV43" s="49"/>
      <c r="BCW43" s="49"/>
      <c r="BCX43" s="42"/>
      <c r="BCY43" s="43"/>
      <c r="BCZ43" s="48"/>
      <c r="BDA43" s="49"/>
      <c r="BDB43" s="49"/>
      <c r="BDC43" s="49"/>
      <c r="BDD43" s="49"/>
      <c r="BDE43" s="49"/>
      <c r="BDF43" s="42"/>
      <c r="BDG43" s="43"/>
      <c r="BDH43" s="48"/>
      <c r="BDI43" s="49"/>
      <c r="BDJ43" s="49"/>
      <c r="BDK43" s="49"/>
      <c r="BDL43" s="49"/>
      <c r="BDM43" s="49"/>
      <c r="BDN43" s="42"/>
      <c r="BDO43" s="43"/>
      <c r="BDP43" s="48"/>
      <c r="BDQ43" s="49"/>
      <c r="BDR43" s="49"/>
      <c r="BDS43" s="49"/>
      <c r="BDT43" s="49"/>
      <c r="BDU43" s="49"/>
      <c r="BDV43" s="42"/>
      <c r="BDW43" s="43"/>
      <c r="BDX43" s="48"/>
      <c r="BDY43" s="49"/>
      <c r="BDZ43" s="49"/>
      <c r="BEA43" s="49"/>
      <c r="BEB43" s="49"/>
      <c r="BEC43" s="49"/>
      <c r="BED43" s="42"/>
      <c r="BEE43" s="43"/>
      <c r="BEF43" s="48"/>
      <c r="BEG43" s="49"/>
      <c r="BEH43" s="49"/>
      <c r="BEI43" s="49"/>
      <c r="BEJ43" s="49"/>
      <c r="BEK43" s="49"/>
      <c r="BEL43" s="42"/>
      <c r="BEM43" s="43"/>
      <c r="BEN43" s="48"/>
      <c r="BEO43" s="49"/>
      <c r="BEP43" s="49"/>
      <c r="BEQ43" s="49"/>
      <c r="BER43" s="49"/>
      <c r="BES43" s="49"/>
      <c r="BET43" s="42"/>
      <c r="BEU43" s="43"/>
      <c r="BEV43" s="82"/>
      <c r="BEW43" s="83"/>
      <c r="BEX43" s="83"/>
      <c r="BEY43" s="83"/>
      <c r="BEZ43" s="83"/>
      <c r="BFA43" s="83"/>
      <c r="BFB43" s="42"/>
      <c r="BFC43" s="43"/>
      <c r="BFD43" s="48"/>
      <c r="BFE43" s="49"/>
      <c r="BFF43" s="49"/>
      <c r="BFG43" s="49"/>
      <c r="BFH43" s="49"/>
      <c r="BFI43" s="49"/>
      <c r="BFJ43" s="42"/>
      <c r="BFK43" s="43"/>
      <c r="BFL43" s="48"/>
      <c r="BFM43" s="49"/>
      <c r="BFN43" s="49"/>
      <c r="BFO43" s="49"/>
      <c r="BFP43" s="49"/>
      <c r="BFQ43" s="49"/>
      <c r="BFR43" s="42"/>
      <c r="BFS43" s="43"/>
      <c r="BFT43" s="48"/>
      <c r="BFU43" s="49"/>
      <c r="BFV43" s="49"/>
      <c r="BFW43" s="49"/>
      <c r="BFX43" s="49"/>
      <c r="BFY43" s="49"/>
      <c r="BFZ43" s="42"/>
      <c r="BGA43" s="43"/>
      <c r="BGB43" s="48"/>
      <c r="BGC43" s="49"/>
      <c r="BGD43" s="49"/>
      <c r="BGE43" s="49"/>
      <c r="BGF43" s="49"/>
      <c r="BGG43" s="49"/>
      <c r="BGH43" s="42"/>
      <c r="BGI43" s="43"/>
      <c r="BGJ43" s="48"/>
      <c r="BGK43" s="49"/>
      <c r="BGL43" s="49"/>
      <c r="BGM43" s="49"/>
      <c r="BGN43" s="49"/>
      <c r="BGO43" s="49"/>
      <c r="BGP43" s="42"/>
      <c r="BGQ43" s="43"/>
      <c r="BGR43" s="48"/>
      <c r="BGS43" s="49"/>
      <c r="BGT43" s="49"/>
      <c r="BGU43" s="49"/>
      <c r="BGV43" s="49"/>
      <c r="BGW43" s="49"/>
      <c r="BGX43" s="42"/>
      <c r="BGY43" s="43"/>
      <c r="BGZ43" s="239"/>
      <c r="BHA43" s="1"/>
      <c r="BHB43" s="1"/>
      <c r="BHC43" s="1"/>
      <c r="BHD43" s="1"/>
      <c r="BHE43" s="1"/>
      <c r="BHF43" s="42"/>
      <c r="BHG43" s="43"/>
      <c r="BHH43" s="48"/>
      <c r="BHI43" s="49"/>
      <c r="BHJ43" s="49"/>
      <c r="BHK43" s="49"/>
      <c r="BHL43" s="49"/>
      <c r="BHM43" s="49"/>
      <c r="BHN43" s="42"/>
      <c r="BHO43" s="43"/>
      <c r="BHP43" s="48"/>
      <c r="BHQ43" s="49"/>
      <c r="BHR43" s="49"/>
      <c r="BHS43" s="49"/>
      <c r="BHT43" s="49"/>
      <c r="BHU43" s="49"/>
      <c r="BHV43" s="42"/>
      <c r="BHW43" s="43"/>
      <c r="BHX43" s="48"/>
      <c r="BHY43" s="49"/>
      <c r="BHZ43" s="49"/>
      <c r="BIA43" s="49"/>
      <c r="BIB43" s="49"/>
      <c r="BIC43" s="49"/>
      <c r="BID43" s="42"/>
      <c r="BIE43" s="43"/>
      <c r="BIF43" s="48"/>
      <c r="BIG43" s="49"/>
      <c r="BIH43" s="49"/>
      <c r="BII43" s="49"/>
      <c r="BIJ43" s="49"/>
      <c r="BIK43" s="49"/>
      <c r="BIL43" s="42"/>
      <c r="BIM43" s="43"/>
      <c r="BIN43" s="48"/>
      <c r="BIO43" s="49"/>
      <c r="BIP43" s="49"/>
      <c r="BIQ43" s="49"/>
      <c r="BIR43" s="49"/>
      <c r="BIS43" s="49"/>
      <c r="BIT43" s="42"/>
      <c r="BIU43" s="101"/>
      <c r="BIV43" s="195"/>
      <c r="BIW43" s="49"/>
      <c r="BIX43" s="49"/>
      <c r="BIY43" s="49"/>
      <c r="BIZ43" s="49"/>
      <c r="BJA43" s="49"/>
      <c r="BJB43" s="42"/>
      <c r="BJC43" s="101"/>
      <c r="BJD43" s="48"/>
      <c r="BJE43" s="49"/>
      <c r="BJF43" s="49"/>
      <c r="BJG43" s="49"/>
      <c r="BJH43" s="49"/>
      <c r="BJI43" s="49"/>
      <c r="BJJ43" s="42"/>
      <c r="BJK43" s="43"/>
      <c r="BJL43" s="48"/>
      <c r="BJM43" s="49"/>
      <c r="BJN43" s="49"/>
      <c r="BJO43" s="49"/>
      <c r="BJP43" s="49"/>
      <c r="BJQ43" s="49"/>
      <c r="BJR43" s="42"/>
      <c r="BJS43" s="43"/>
      <c r="BJT43" s="48"/>
      <c r="BJU43" s="49"/>
      <c r="BJV43" s="49"/>
      <c r="BJW43" s="49"/>
      <c r="BJX43" s="49"/>
      <c r="BJY43" s="49"/>
      <c r="BJZ43" s="42"/>
      <c r="BKA43" s="43"/>
      <c r="BKB43" s="48"/>
      <c r="BKC43" s="49"/>
      <c r="BKD43" s="49"/>
      <c r="BKE43" s="49"/>
      <c r="BKF43" s="49"/>
      <c r="BKG43" s="49"/>
      <c r="BKH43" s="67"/>
      <c r="BKI43" s="68"/>
      <c r="BKJ43" s="48"/>
      <c r="BKK43" s="49"/>
      <c r="BKL43" s="49"/>
      <c r="BKM43" s="49"/>
      <c r="BKN43" s="49"/>
      <c r="BKO43" s="49"/>
      <c r="BKP43" s="42"/>
      <c r="BKQ43" s="43"/>
      <c r="BKR43" s="48"/>
      <c r="BKS43" s="49"/>
      <c r="BKT43" s="49"/>
      <c r="BKU43" s="49"/>
      <c r="BKV43" s="49"/>
      <c r="BKW43" s="49"/>
      <c r="BKX43" s="42"/>
      <c r="BKY43" s="43"/>
      <c r="BKZ43" s="48"/>
      <c r="BLA43" s="49"/>
      <c r="BLB43" s="49"/>
      <c r="BLC43" s="49"/>
      <c r="BLD43" s="49"/>
      <c r="BLE43" s="49"/>
      <c r="BLF43" s="42"/>
      <c r="BLG43" s="43"/>
      <c r="BLH43" s="48"/>
      <c r="BLI43" s="49"/>
      <c r="BLJ43" s="49"/>
      <c r="BLK43" s="49"/>
      <c r="BLL43" s="49"/>
      <c r="BLM43" s="49"/>
      <c r="BLN43" s="42"/>
      <c r="BLO43" s="43"/>
      <c r="BLP43" s="48"/>
      <c r="BLQ43" s="49"/>
      <c r="BLR43" s="49"/>
      <c r="BLS43" s="49"/>
      <c r="BLT43" s="49"/>
      <c r="BLU43" s="49"/>
      <c r="BLV43" s="42"/>
      <c r="BLW43" s="43"/>
      <c r="BLX43" s="48"/>
      <c r="BLY43" s="49"/>
      <c r="BLZ43" s="49"/>
      <c r="BMA43" s="49"/>
      <c r="BMB43" s="49"/>
      <c r="BMC43" s="49"/>
      <c r="BMD43" s="42"/>
      <c r="BME43" s="43"/>
      <c r="BMF43" s="48"/>
      <c r="BMG43" s="49"/>
      <c r="BMH43" s="49"/>
      <c r="BMI43" s="49"/>
      <c r="BMJ43" s="49"/>
      <c r="BMK43" s="49"/>
      <c r="BML43" s="42"/>
      <c r="BMM43" s="43"/>
      <c r="BMN43" s="48"/>
      <c r="BMO43" s="49"/>
      <c r="BMP43" s="49"/>
      <c r="BMQ43" s="49"/>
      <c r="BMR43" s="49"/>
      <c r="BMS43" s="49"/>
      <c r="BMT43" s="42"/>
      <c r="BMU43" s="43"/>
      <c r="BMV43" s="48"/>
      <c r="BMW43" s="49"/>
      <c r="BMX43" s="49"/>
      <c r="BMY43" s="49"/>
      <c r="BMZ43" s="49"/>
      <c r="BNA43" s="49"/>
      <c r="BNB43" s="42"/>
      <c r="BNC43" s="43"/>
      <c r="BND43" s="48"/>
      <c r="BNE43" s="49"/>
      <c r="BNF43" s="49"/>
      <c r="BNG43" s="49"/>
      <c r="BNH43" s="49"/>
      <c r="BNI43" s="49"/>
      <c r="BNJ43" s="42"/>
      <c r="BNK43" s="43"/>
      <c r="BNL43" s="48"/>
      <c r="BNM43" s="49"/>
      <c r="BNN43" s="49"/>
      <c r="BNO43" s="49"/>
      <c r="BNP43" s="49"/>
      <c r="BNQ43" s="49"/>
      <c r="BNR43" s="42"/>
      <c r="BNS43" s="43"/>
      <c r="BNT43" s="48"/>
      <c r="BNU43" s="49"/>
      <c r="BNV43" s="49"/>
      <c r="BNW43" s="49"/>
      <c r="BNX43" s="49"/>
      <c r="BNY43" s="49"/>
      <c r="BNZ43" s="42"/>
      <c r="BOA43" s="43"/>
      <c r="BOB43" s="48"/>
      <c r="BOC43" s="49"/>
      <c r="BOD43" s="49"/>
      <c r="BOE43" s="49"/>
      <c r="BOF43" s="49"/>
      <c r="BOG43" s="49"/>
      <c r="BOH43" s="42"/>
      <c r="BOI43" s="43"/>
      <c r="BOJ43" s="48"/>
      <c r="BOK43" s="49"/>
      <c r="BOL43" s="49"/>
      <c r="BOM43" s="49"/>
      <c r="BON43" s="49"/>
      <c r="BOO43" s="49"/>
      <c r="BOP43" s="42"/>
      <c r="BOQ43" s="43"/>
      <c r="BOR43" s="48"/>
      <c r="BOS43" s="49"/>
      <c r="BOT43" s="49"/>
      <c r="BOU43" s="49"/>
      <c r="BOV43" s="49"/>
      <c r="BOW43" s="49"/>
      <c r="BOX43" s="42"/>
      <c r="BOY43" s="43"/>
      <c r="BOZ43" s="48"/>
      <c r="BPA43" s="49"/>
      <c r="BPB43" s="49"/>
      <c r="BPC43" s="49"/>
      <c r="BPD43" s="49"/>
      <c r="BPE43" s="49"/>
      <c r="BPF43" s="42"/>
      <c r="BPG43" s="43"/>
      <c r="BPH43" s="48"/>
      <c r="BPI43" s="49"/>
      <c r="BPJ43" s="49"/>
      <c r="BPK43" s="49"/>
      <c r="BPL43" s="49"/>
      <c r="BPM43" s="49"/>
      <c r="BPN43" s="42"/>
      <c r="BPO43" s="43"/>
      <c r="BPP43" s="48"/>
      <c r="BPQ43" s="49"/>
      <c r="BPR43" s="49"/>
      <c r="BPS43" s="49"/>
      <c r="BPT43" s="49"/>
      <c r="BPU43" s="49"/>
      <c r="BPV43" s="42"/>
      <c r="BPW43" s="43"/>
      <c r="BPX43" s="48"/>
      <c r="BPY43" s="49"/>
      <c r="BPZ43" s="49"/>
      <c r="BQA43" s="49"/>
      <c r="BQB43" s="49"/>
      <c r="BQC43" s="49"/>
      <c r="BQD43" s="67"/>
      <c r="BQE43" s="43"/>
      <c r="BQF43" s="48"/>
      <c r="BQG43" s="49"/>
      <c r="BQH43" s="49"/>
      <c r="BQI43" s="49"/>
      <c r="BQJ43" s="49"/>
      <c r="BQK43" s="49"/>
      <c r="BQL43" s="67"/>
      <c r="BQM43" s="43"/>
      <c r="BQN43" s="48"/>
      <c r="BQO43" s="49"/>
      <c r="BQP43" s="49"/>
      <c r="BQQ43" s="49"/>
      <c r="BQR43" s="49"/>
      <c r="BQS43" s="49"/>
      <c r="BQT43" s="67"/>
      <c r="BQU43" s="43"/>
      <c r="BQV43" s="48"/>
      <c r="BQW43" s="49"/>
      <c r="BQX43" s="49"/>
      <c r="BQY43" s="49"/>
      <c r="BQZ43" s="49"/>
      <c r="BRA43" s="49"/>
      <c r="BRB43" s="67"/>
      <c r="BRC43" s="43"/>
      <c r="BRD43" s="48"/>
      <c r="BRE43" s="49"/>
      <c r="BRF43" s="49"/>
      <c r="BRG43" s="49"/>
      <c r="BRH43" s="49"/>
      <c r="BRI43" s="49"/>
      <c r="BRJ43" s="67"/>
      <c r="BRK43" s="43"/>
      <c r="BRL43" s="48"/>
      <c r="BRM43" s="49"/>
      <c r="BRN43" s="49"/>
      <c r="BRO43" s="49"/>
      <c r="BRP43" s="49"/>
      <c r="BRQ43" s="49"/>
      <c r="BRR43" s="67"/>
      <c r="BRS43" s="68"/>
      <c r="BRT43" s="63"/>
      <c r="BRU43" s="64"/>
      <c r="BRV43" s="64"/>
      <c r="BRW43" s="64"/>
      <c r="BRX43" s="64"/>
      <c r="BRY43" s="64"/>
      <c r="BRZ43" s="67"/>
      <c r="BSA43" s="43"/>
      <c r="BSB43" s="48"/>
      <c r="BSC43" s="49"/>
      <c r="BSD43" s="49"/>
      <c r="BSE43" s="49"/>
      <c r="BSF43" s="49"/>
      <c r="BSG43" s="49"/>
      <c r="BSH43" s="67"/>
      <c r="BSI43" s="43"/>
      <c r="BSJ43" s="48"/>
      <c r="BSK43" s="49"/>
      <c r="BSL43" s="49"/>
      <c r="BSM43" s="49"/>
      <c r="BSN43" s="49"/>
      <c r="BSO43" s="49"/>
      <c r="BSP43" s="67"/>
      <c r="BSQ43" s="43"/>
      <c r="BSR43" s="48"/>
      <c r="BSS43" s="49"/>
      <c r="BST43" s="49"/>
      <c r="BSU43" s="49"/>
      <c r="BSV43" s="49"/>
      <c r="BSW43" s="49"/>
      <c r="BSX43" s="67"/>
      <c r="BSY43" s="43"/>
      <c r="BSZ43" s="48"/>
      <c r="BTA43" s="49"/>
      <c r="BTB43" s="49"/>
      <c r="BTC43" s="49"/>
      <c r="BTD43" s="49"/>
      <c r="BTE43" s="49"/>
      <c r="BTF43" s="67"/>
      <c r="BTG43" s="43"/>
      <c r="BTH43" s="48"/>
      <c r="BTI43" s="49"/>
      <c r="BTJ43" s="49"/>
      <c r="BTK43" s="49"/>
      <c r="BTL43" s="49"/>
      <c r="BTM43" s="49"/>
      <c r="BTN43" s="67"/>
      <c r="BTO43" s="68"/>
      <c r="BTP43" s="48"/>
      <c r="BTQ43" s="49"/>
      <c r="BTR43" s="49"/>
      <c r="BTS43" s="49"/>
      <c r="BTT43" s="49"/>
      <c r="BTU43" s="49"/>
      <c r="BTV43" s="67"/>
      <c r="BTW43" s="43"/>
      <c r="BTX43" s="48"/>
      <c r="BTY43" s="49"/>
      <c r="BTZ43" s="49"/>
      <c r="BUA43" s="49"/>
      <c r="BUB43" s="49"/>
      <c r="BUC43" s="49"/>
      <c r="BUD43" s="67"/>
      <c r="BUE43" s="68"/>
      <c r="BUF43" s="48"/>
      <c r="BUG43" s="49"/>
      <c r="BUH43" s="49"/>
      <c r="BUI43" s="49"/>
      <c r="BUJ43" s="49"/>
      <c r="BUK43" s="49"/>
      <c r="BUL43" s="67"/>
      <c r="BUM43" s="68"/>
      <c r="BUN43" s="48"/>
      <c r="BUO43" s="49"/>
      <c r="BUP43" s="49"/>
      <c r="BUQ43" s="49"/>
      <c r="BUR43" s="49"/>
      <c r="BUS43" s="49"/>
      <c r="BUT43" s="67"/>
      <c r="BUU43" s="68"/>
      <c r="BUV43" s="48"/>
      <c r="BUW43" s="49"/>
      <c r="BUX43" s="49"/>
      <c r="BUY43" s="49"/>
      <c r="BUZ43" s="49"/>
      <c r="BVA43" s="49"/>
      <c r="BVB43" s="67"/>
      <c r="BVC43" s="68"/>
      <c r="BVD43" s="48"/>
      <c r="BVE43" s="49"/>
      <c r="BVF43" s="49"/>
      <c r="BVG43" s="49"/>
      <c r="BVH43" s="49"/>
      <c r="BVI43" s="49"/>
      <c r="BVJ43" s="67"/>
      <c r="BVK43" s="68"/>
      <c r="BVL43" s="48"/>
      <c r="BVM43" s="49"/>
      <c r="BVN43" s="49"/>
      <c r="BVO43" s="49"/>
      <c r="BVP43" s="49"/>
      <c r="BVQ43" s="49"/>
      <c r="BVR43" s="67"/>
      <c r="BVS43" s="68"/>
      <c r="BVT43" s="48"/>
      <c r="BVU43" s="49"/>
      <c r="BVV43" s="49"/>
      <c r="BVW43" s="49"/>
      <c r="BVX43" s="49"/>
      <c r="BVY43" s="49"/>
      <c r="BVZ43" s="67"/>
      <c r="BWA43" s="68"/>
      <c r="BWB43" s="48"/>
      <c r="BWC43" s="49"/>
      <c r="BWD43" s="49"/>
      <c r="BWE43" s="49"/>
      <c r="BWF43" s="49"/>
      <c r="BWG43" s="49"/>
      <c r="BWH43" s="67"/>
      <c r="BWI43" s="68"/>
      <c r="BWJ43" s="48"/>
      <c r="BWK43" s="49"/>
      <c r="BWL43" s="49"/>
      <c r="BWM43" s="49"/>
      <c r="BWN43" s="49"/>
      <c r="BWO43" s="49"/>
      <c r="BWP43" s="67"/>
      <c r="BWQ43" s="68"/>
      <c r="BWR43" s="48"/>
      <c r="BWS43" s="49"/>
      <c r="BWT43" s="49"/>
      <c r="BWU43" s="49"/>
      <c r="BWV43" s="49"/>
      <c r="BWW43" s="49"/>
      <c r="BWX43" s="67"/>
      <c r="BWY43" s="68"/>
      <c r="BWZ43" s="48"/>
      <c r="BXA43" s="49"/>
      <c r="BXB43" s="49"/>
      <c r="BXC43" s="49"/>
      <c r="BXD43" s="49"/>
      <c r="BXE43" s="49"/>
      <c r="BXF43" s="67"/>
      <c r="BXG43" s="68"/>
      <c r="BXH43" s="48"/>
      <c r="BXI43" s="49"/>
      <c r="BXJ43" s="49"/>
      <c r="BXK43" s="49"/>
      <c r="BXL43" s="49"/>
      <c r="BXM43" s="49"/>
      <c r="BXN43" s="67"/>
      <c r="BXO43" s="68"/>
      <c r="BXP43" s="48"/>
      <c r="BXQ43" s="49"/>
      <c r="BXR43" s="49"/>
      <c r="BXS43" s="49"/>
      <c r="BXT43" s="49"/>
      <c r="BXU43" s="49"/>
      <c r="BXV43" s="67"/>
      <c r="BXW43" s="68"/>
      <c r="BXX43" s="48"/>
      <c r="BXY43" s="49"/>
      <c r="BXZ43" s="49"/>
      <c r="BYA43" s="49"/>
      <c r="BYB43" s="49"/>
      <c r="BYC43" s="49"/>
      <c r="BYD43" s="67"/>
      <c r="BYE43" s="68"/>
      <c r="BYF43" s="48"/>
      <c r="BYG43" s="49"/>
      <c r="BYH43" s="49"/>
      <c r="BYI43" s="49"/>
      <c r="BYJ43" s="49"/>
      <c r="BYK43" s="49"/>
      <c r="BYL43" s="67"/>
      <c r="BYM43" s="68"/>
      <c r="BYN43" s="48"/>
      <c r="BYO43" s="49"/>
      <c r="BYP43" s="49"/>
      <c r="BYQ43" s="49"/>
      <c r="BYR43" s="49"/>
      <c r="BYS43" s="49"/>
      <c r="BYT43" s="67"/>
      <c r="BYU43" s="68"/>
      <c r="BYV43" s="48"/>
      <c r="BYW43" s="49"/>
      <c r="BYX43" s="49"/>
      <c r="BYY43" s="49"/>
      <c r="BYZ43" s="49"/>
      <c r="BZA43" s="49"/>
      <c r="BZB43" s="67"/>
      <c r="BZC43" s="68"/>
      <c r="BZD43" s="48"/>
      <c r="BZE43" s="49"/>
      <c r="BZF43" s="49"/>
      <c r="BZG43" s="49"/>
      <c r="BZH43" s="49"/>
      <c r="BZI43" s="49"/>
      <c r="BZJ43" s="67"/>
      <c r="BZK43" s="68"/>
      <c r="BZL43" s="48"/>
      <c r="BZM43" s="49"/>
      <c r="BZN43" s="49"/>
      <c r="BZO43" s="49"/>
      <c r="BZP43" s="49"/>
      <c r="BZQ43" s="49"/>
      <c r="BZR43" s="67"/>
      <c r="BZS43" s="68"/>
      <c r="BZT43" s="48"/>
      <c r="BZU43" s="49"/>
      <c r="BZV43" s="49"/>
      <c r="BZW43" s="49"/>
      <c r="BZX43" s="49"/>
      <c r="BZY43" s="49"/>
      <c r="BZZ43" s="67"/>
      <c r="CAA43" s="68"/>
      <c r="CAB43" s="48"/>
      <c r="CAC43" s="49"/>
      <c r="CAD43" s="49"/>
      <c r="CAE43" s="49"/>
      <c r="CAF43" s="49"/>
      <c r="CAG43" s="49"/>
      <c r="CAH43" s="67"/>
      <c r="CAI43" s="68"/>
      <c r="CAJ43" s="48"/>
      <c r="CAK43" s="49"/>
      <c r="CAL43" s="49"/>
      <c r="CAM43" s="49"/>
      <c r="CAN43" s="49"/>
      <c r="CAO43" s="49"/>
      <c r="CAP43" s="67"/>
      <c r="CAQ43" s="68"/>
      <c r="CAR43" s="48"/>
      <c r="CAS43" s="49"/>
      <c r="CAT43" s="49"/>
      <c r="CAU43" s="49"/>
      <c r="CAV43" s="49"/>
      <c r="CAW43" s="49"/>
      <c r="CAX43" s="67"/>
      <c r="CAY43" s="68"/>
      <c r="CAZ43" s="48"/>
      <c r="CBA43" s="49"/>
      <c r="CBB43" s="49"/>
      <c r="CBC43" s="49"/>
      <c r="CBD43" s="49"/>
      <c r="CBE43" s="49"/>
      <c r="CBF43" s="67"/>
      <c r="CBG43" s="68"/>
      <c r="CBH43" s="48"/>
      <c r="CBI43" s="49"/>
      <c r="CBJ43" s="49"/>
      <c r="CBK43" s="49"/>
      <c r="CBL43" s="49"/>
      <c r="CBM43" s="49"/>
      <c r="CBN43" s="67"/>
      <c r="CBO43" s="68"/>
      <c r="CBP43" s="48"/>
      <c r="CBQ43" s="49"/>
      <c r="CBR43" s="49"/>
      <c r="CBS43" s="49"/>
      <c r="CBT43" s="49"/>
      <c r="CBU43" s="49"/>
      <c r="CBV43" s="67"/>
      <c r="CBW43" s="68"/>
      <c r="CBX43" s="48"/>
      <c r="CBY43" s="49"/>
      <c r="CBZ43" s="49"/>
      <c r="CCA43" s="49"/>
      <c r="CCB43" s="49"/>
      <c r="CCC43" s="49"/>
      <c r="CCD43" s="67"/>
      <c r="CCE43" s="68"/>
      <c r="CCF43" s="48"/>
      <c r="CCG43" s="49"/>
      <c r="CCH43" s="49"/>
      <c r="CCI43" s="49"/>
      <c r="CCJ43" s="49"/>
      <c r="CCK43" s="49"/>
      <c r="CCL43" s="67"/>
      <c r="CCM43" s="68"/>
      <c r="CCN43" s="48"/>
      <c r="CCO43" s="49"/>
      <c r="CCP43" s="49"/>
      <c r="CCQ43" s="49"/>
      <c r="CCR43" s="49"/>
      <c r="CCS43" s="49"/>
      <c r="CCT43" s="67"/>
      <c r="CCU43" s="68"/>
      <c r="CCV43" s="48"/>
      <c r="CCW43" s="49"/>
      <c r="CCX43" s="49"/>
      <c r="CCY43" s="49">
        <v>600</v>
      </c>
      <c r="CCZ43" s="49"/>
      <c r="CDA43" s="49"/>
      <c r="CDB43" s="67">
        <f t="shared" si="1629"/>
        <v>600</v>
      </c>
      <c r="CDC43" s="68">
        <f t="shared" si="1630"/>
        <v>100</v>
      </c>
      <c r="CDD43" s="48">
        <v>350</v>
      </c>
      <c r="CDE43" s="49"/>
      <c r="CDF43" s="49"/>
      <c r="CDG43" s="49"/>
      <c r="CDH43" s="49"/>
      <c r="CDI43" s="49"/>
      <c r="CDJ43" s="67">
        <f t="shared" si="1631"/>
        <v>350</v>
      </c>
      <c r="CDK43" s="68">
        <f t="shared" si="1632"/>
        <v>58.333333333333336</v>
      </c>
      <c r="CDL43" s="48"/>
      <c r="CDM43" s="49">
        <v>702</v>
      </c>
      <c r="CDN43" s="49"/>
      <c r="CDO43" s="49"/>
      <c r="CDP43" s="49"/>
      <c r="CDQ43" s="49"/>
      <c r="CDR43" s="67">
        <f t="shared" si="1633"/>
        <v>702</v>
      </c>
      <c r="CDS43" s="68">
        <f t="shared" si="1634"/>
        <v>117</v>
      </c>
      <c r="CDT43" s="48"/>
      <c r="CDU43" s="49">
        <v>1137</v>
      </c>
      <c r="CDV43" s="49"/>
      <c r="CDW43" s="49"/>
      <c r="CDX43" s="49"/>
      <c r="CDY43" s="49"/>
      <c r="CDZ43" s="67">
        <f t="shared" si="1635"/>
        <v>1137</v>
      </c>
      <c r="CEA43" s="68">
        <f t="shared" si="1636"/>
        <v>189.5</v>
      </c>
      <c r="CEB43" s="48">
        <v>976</v>
      </c>
      <c r="CEC43" s="49"/>
      <c r="CED43" s="49"/>
      <c r="CEE43" s="49"/>
      <c r="CEF43" s="49"/>
      <c r="CEG43" s="49">
        <v>150</v>
      </c>
      <c r="CEH43" s="67">
        <f t="shared" si="1637"/>
        <v>1126</v>
      </c>
      <c r="CEI43" s="68">
        <f t="shared" si="1638"/>
        <v>187.66666666666666</v>
      </c>
      <c r="CEJ43" s="48">
        <v>89</v>
      </c>
      <c r="CEK43" s="49"/>
      <c r="CEL43" s="49"/>
      <c r="CEM43" s="49"/>
      <c r="CEN43" s="49"/>
      <c r="CEO43" s="49">
        <v>903</v>
      </c>
      <c r="CEP43" s="67">
        <f t="shared" si="1639"/>
        <v>992</v>
      </c>
      <c r="CEQ43" s="68">
        <f t="shared" si="1640"/>
        <v>165.33333333333334</v>
      </c>
      <c r="CER43" s="48"/>
      <c r="CES43" s="49"/>
      <c r="CET43" s="49"/>
      <c r="CEU43" s="49"/>
      <c r="CEV43" s="49"/>
      <c r="CEW43" s="49"/>
      <c r="CEX43" s="67">
        <f>SUM(CER43:CEW43)+1000</f>
        <v>1000</v>
      </c>
      <c r="CEY43" s="68">
        <f t="shared" si="1642"/>
        <v>166.66666666666666</v>
      </c>
      <c r="CEZ43" s="48"/>
      <c r="CFA43" s="49"/>
      <c r="CFB43" s="49"/>
      <c r="CFC43" s="49"/>
      <c r="CFD43" s="49"/>
      <c r="CFE43" s="49">
        <v>814</v>
      </c>
      <c r="CFF43" s="67">
        <f t="shared" si="1643"/>
        <v>814</v>
      </c>
      <c r="CFG43" s="68">
        <f t="shared" si="1644"/>
        <v>135.66666666666666</v>
      </c>
      <c r="CFH43" s="48"/>
      <c r="CFI43" s="49"/>
      <c r="CFJ43" s="49">
        <v>440</v>
      </c>
      <c r="CFK43" s="49"/>
      <c r="CFL43" s="49"/>
      <c r="CFM43" s="49"/>
      <c r="CFN43" s="67">
        <f t="shared" si="1645"/>
        <v>440</v>
      </c>
      <c r="CFO43" s="68">
        <f t="shared" si="1646"/>
        <v>73.333333333333329</v>
      </c>
      <c r="CFP43" s="48"/>
      <c r="CFQ43" s="49"/>
      <c r="CFR43" s="49"/>
      <c r="CFS43" s="49"/>
      <c r="CFT43" s="49">
        <v>472</v>
      </c>
      <c r="CFU43" s="49"/>
      <c r="CFV43" s="67">
        <f t="shared" si="1647"/>
        <v>472</v>
      </c>
      <c r="CFW43" s="68">
        <f t="shared" si="1648"/>
        <v>78.666666666666671</v>
      </c>
      <c r="CFX43" s="48">
        <v>456</v>
      </c>
      <c r="CFY43" s="49"/>
      <c r="CFZ43" s="49">
        <v>440</v>
      </c>
      <c r="CGA43" s="49"/>
      <c r="CGB43" s="49"/>
      <c r="CGC43" s="49"/>
      <c r="CGD43" s="67">
        <f t="shared" si="1649"/>
        <v>896</v>
      </c>
      <c r="CGE43" s="68">
        <f t="shared" si="1650"/>
        <v>149.33333333333334</v>
      </c>
      <c r="CGF43" s="48">
        <v>218</v>
      </c>
      <c r="CGG43" s="49"/>
      <c r="CGH43" s="49">
        <v>986</v>
      </c>
      <c r="CGI43" s="49"/>
      <c r="CGJ43" s="49"/>
      <c r="CGK43" s="49"/>
      <c r="CGL43" s="67">
        <f t="shared" si="1651"/>
        <v>1204</v>
      </c>
      <c r="CGM43" s="68">
        <f t="shared" si="1652"/>
        <v>200.66666666666666</v>
      </c>
      <c r="CGN43" s="48">
        <v>221</v>
      </c>
      <c r="CGO43" s="49"/>
      <c r="CGP43" s="49"/>
      <c r="CGQ43" s="49"/>
      <c r="CGR43" s="49"/>
      <c r="CGS43" s="49"/>
      <c r="CGT43" s="67">
        <f t="shared" si="1653"/>
        <v>221</v>
      </c>
      <c r="CGU43" s="68">
        <f t="shared" si="1654"/>
        <v>36.833333333333336</v>
      </c>
      <c r="CGV43" s="48"/>
      <c r="CGW43" s="49">
        <v>72</v>
      </c>
      <c r="CGX43" s="49"/>
      <c r="CGY43" s="49"/>
      <c r="CGZ43" s="49"/>
      <c r="CHA43" s="49"/>
      <c r="CHB43" s="67">
        <f t="shared" si="1655"/>
        <v>72</v>
      </c>
      <c r="CHC43" s="68">
        <f t="shared" si="1656"/>
        <v>12</v>
      </c>
      <c r="CHD43" s="48">
        <v>880</v>
      </c>
      <c r="CHE43" s="49">
        <v>417</v>
      </c>
      <c r="CHF43" s="49"/>
      <c r="CHG43" s="49"/>
      <c r="CHH43" s="49">
        <v>110</v>
      </c>
      <c r="CHI43" s="49"/>
      <c r="CHJ43" s="67">
        <f t="shared" si="1657"/>
        <v>1407</v>
      </c>
      <c r="CHK43" s="68">
        <f t="shared" si="1658"/>
        <v>234.5</v>
      </c>
      <c r="CHL43" s="48"/>
      <c r="CHM43" s="49"/>
      <c r="CHN43" s="49">
        <v>651</v>
      </c>
      <c r="CHO43" s="49"/>
      <c r="CHP43" s="49"/>
      <c r="CHQ43" s="49"/>
      <c r="CHR43" s="67">
        <f t="shared" si="1659"/>
        <v>651</v>
      </c>
      <c r="CHS43" s="68">
        <f t="shared" si="1660"/>
        <v>108.5</v>
      </c>
      <c r="CHT43" s="48"/>
      <c r="CHU43" s="49"/>
      <c r="CHV43" s="49">
        <v>800</v>
      </c>
      <c r="CHW43" s="49"/>
      <c r="CHX43" s="49"/>
      <c r="CHY43" s="49"/>
      <c r="CHZ43" s="67">
        <f t="shared" si="1661"/>
        <v>800</v>
      </c>
      <c r="CIA43" s="68">
        <f t="shared" si="1662"/>
        <v>133.33333333333334</v>
      </c>
      <c r="CIB43" s="48"/>
      <c r="CIC43" s="49"/>
      <c r="CID43" s="49"/>
      <c r="CIE43" s="49">
        <v>466</v>
      </c>
      <c r="CIF43" s="49"/>
      <c r="CIG43" s="49">
        <v>967</v>
      </c>
      <c r="CIH43" s="67">
        <f t="shared" si="1663"/>
        <v>1433</v>
      </c>
      <c r="CII43" s="68">
        <f t="shared" si="1664"/>
        <v>238.83333333333334</v>
      </c>
      <c r="CIJ43" s="48"/>
      <c r="CIK43" s="49"/>
      <c r="CIL43" s="49"/>
      <c r="CIM43" s="49"/>
      <c r="CIN43" s="49"/>
      <c r="CIO43" s="49"/>
      <c r="CIP43" s="67">
        <f t="shared" si="1665"/>
        <v>0</v>
      </c>
      <c r="CIQ43" s="68">
        <f t="shared" si="1666"/>
        <v>0</v>
      </c>
      <c r="CIR43" s="48"/>
      <c r="CIS43" s="49"/>
      <c r="CIT43" s="49"/>
      <c r="CIU43" s="49"/>
      <c r="CIV43" s="49">
        <v>599</v>
      </c>
      <c r="CIW43" s="49"/>
      <c r="CIX43" s="67">
        <f t="shared" si="1667"/>
        <v>599</v>
      </c>
      <c r="CIY43" s="68">
        <f t="shared" si="1668"/>
        <v>99.833333333333329</v>
      </c>
      <c r="CIZ43" s="63">
        <v>263</v>
      </c>
      <c r="CJA43" s="64"/>
      <c r="CJB43" s="64">
        <v>430</v>
      </c>
      <c r="CJC43" s="64"/>
      <c r="CJD43" s="64"/>
      <c r="CJE43" s="64"/>
      <c r="CJF43" s="67">
        <f t="shared" si="1669"/>
        <v>693</v>
      </c>
      <c r="CJG43" s="68">
        <f t="shared" si="1670"/>
        <v>115.5</v>
      </c>
      <c r="CJH43" s="48"/>
      <c r="CJI43" s="49"/>
      <c r="CJJ43" s="49">
        <v>806</v>
      </c>
      <c r="CJK43" s="49"/>
      <c r="CJL43" s="49"/>
      <c r="CJM43" s="49"/>
      <c r="CJN43" s="67">
        <f t="shared" si="1671"/>
        <v>806</v>
      </c>
      <c r="CJO43" s="184">
        <f t="shared" si="1672"/>
        <v>134.33333333333334</v>
      </c>
      <c r="CJP43" s="48"/>
      <c r="CJQ43" s="49">
        <v>602</v>
      </c>
      <c r="CJR43" s="49">
        <v>77</v>
      </c>
      <c r="CJS43" s="49"/>
      <c r="CJT43" s="49"/>
      <c r="CJU43" s="49"/>
      <c r="CJV43" s="67">
        <f t="shared" si="1673"/>
        <v>679</v>
      </c>
      <c r="CJW43" s="68">
        <f t="shared" si="1674"/>
        <v>113.16666666666667</v>
      </c>
      <c r="CJX43" s="48">
        <v>402</v>
      </c>
      <c r="CJY43" s="49"/>
      <c r="CJZ43" s="49">
        <v>644</v>
      </c>
      <c r="CKA43" s="49"/>
      <c r="CKB43" s="49"/>
      <c r="CKC43" s="49"/>
      <c r="CKD43" s="67">
        <f t="shared" si="2412"/>
        <v>1046</v>
      </c>
      <c r="CKE43" s="68">
        <f t="shared" si="1675"/>
        <v>174.33333333333334</v>
      </c>
      <c r="CKF43" s="48"/>
      <c r="CKG43" s="49"/>
      <c r="CKH43" s="49">
        <v>327</v>
      </c>
      <c r="CKI43" s="49">
        <v>413</v>
      </c>
      <c r="CKJ43" s="49"/>
      <c r="CKK43" s="49"/>
      <c r="CKL43" s="67">
        <f t="shared" si="1676"/>
        <v>740</v>
      </c>
      <c r="CKM43" s="68">
        <f t="shared" si="1677"/>
        <v>123.33333333333333</v>
      </c>
      <c r="CKN43" s="48">
        <v>439</v>
      </c>
      <c r="CKO43" s="49"/>
      <c r="CKP43" s="49"/>
      <c r="CKQ43" s="49"/>
      <c r="CKR43" s="49">
        <v>330</v>
      </c>
      <c r="CKS43" s="47">
        <v>219</v>
      </c>
      <c r="CKT43" s="67">
        <f t="shared" si="1678"/>
        <v>988</v>
      </c>
      <c r="CKU43" s="68">
        <f t="shared" si="1679"/>
        <v>164.66666666666666</v>
      </c>
      <c r="CKV43" s="48">
        <v>1</v>
      </c>
      <c r="CKW43" s="49"/>
      <c r="CKX43" s="49"/>
      <c r="CKY43" s="49">
        <v>652</v>
      </c>
      <c r="CKZ43" s="49"/>
      <c r="CLA43" s="49">
        <v>330</v>
      </c>
      <c r="CLB43" s="67">
        <f t="shared" si="1680"/>
        <v>983</v>
      </c>
      <c r="CLC43" s="68">
        <f t="shared" si="1681"/>
        <v>163.83333333333334</v>
      </c>
      <c r="CLD43" s="48"/>
      <c r="CLE43" s="49"/>
      <c r="CLF43" s="49"/>
      <c r="CLG43" s="49"/>
      <c r="CLH43" s="49"/>
      <c r="CLI43" s="49"/>
      <c r="CLJ43" s="67">
        <f t="shared" si="1682"/>
        <v>0</v>
      </c>
      <c r="CLK43" s="68">
        <f t="shared" si="1683"/>
        <v>0</v>
      </c>
      <c r="CLL43" s="48"/>
      <c r="CLM43" s="49"/>
      <c r="CLN43" s="49"/>
      <c r="CLO43" s="49"/>
      <c r="CLP43" s="49"/>
      <c r="CLQ43" s="49"/>
      <c r="CLR43" s="67">
        <f t="shared" si="1684"/>
        <v>0</v>
      </c>
      <c r="CLS43" s="68">
        <f t="shared" si="1685"/>
        <v>0</v>
      </c>
      <c r="CLT43" s="48"/>
      <c r="CLU43" s="49">
        <v>550</v>
      </c>
      <c r="CLV43" s="49"/>
      <c r="CLW43" s="49"/>
      <c r="CLX43" s="49">
        <v>663</v>
      </c>
      <c r="CLY43" s="49"/>
      <c r="CLZ43" s="67">
        <f t="shared" si="1686"/>
        <v>1213</v>
      </c>
      <c r="CMA43" s="68">
        <f t="shared" si="1687"/>
        <v>202.16666666666666</v>
      </c>
      <c r="CMB43" s="48"/>
      <c r="CMC43" s="49">
        <v>644</v>
      </c>
      <c r="CMD43" s="49"/>
      <c r="CME43" s="49"/>
      <c r="CMF43" s="49"/>
      <c r="CMG43" s="49"/>
      <c r="CMH43" s="67">
        <f t="shared" si="1688"/>
        <v>644</v>
      </c>
      <c r="CMI43" s="68">
        <f t="shared" si="1689"/>
        <v>107.33333333333333</v>
      </c>
      <c r="CMJ43" s="48">
        <v>218</v>
      </c>
      <c r="CMK43" s="49"/>
      <c r="CML43" s="49"/>
      <c r="CMM43" s="49">
        <v>111</v>
      </c>
      <c r="CMN43" s="49"/>
      <c r="CMO43" s="49"/>
      <c r="CMP43" s="67">
        <f t="shared" si="1690"/>
        <v>329</v>
      </c>
      <c r="CMQ43" s="68">
        <f t="shared" si="1691"/>
        <v>54.833333333333336</v>
      </c>
      <c r="CMR43" s="48"/>
      <c r="CMS43" s="49">
        <v>400</v>
      </c>
      <c r="CMT43" s="49"/>
      <c r="CMU43" s="49"/>
      <c r="CMV43" s="49">
        <v>600</v>
      </c>
      <c r="CMW43" s="49"/>
      <c r="CMX43" s="67">
        <f t="shared" si="1692"/>
        <v>1000</v>
      </c>
      <c r="CMY43" s="68">
        <f t="shared" si="1693"/>
        <v>166.66666666666666</v>
      </c>
      <c r="CMZ43" s="48"/>
      <c r="CNA43" s="49"/>
      <c r="CNB43" s="49">
        <v>678</v>
      </c>
      <c r="CNC43" s="49"/>
      <c r="CND43" s="49"/>
      <c r="CNE43" s="49"/>
      <c r="CNF43" s="67">
        <f t="shared" si="1694"/>
        <v>678</v>
      </c>
      <c r="CNG43" s="68">
        <f t="shared" si="1695"/>
        <v>113</v>
      </c>
      <c r="CNH43" s="48"/>
      <c r="CNI43" s="49"/>
      <c r="CNJ43" s="49">
        <v>434</v>
      </c>
      <c r="CNK43" s="49"/>
      <c r="CNL43" s="49"/>
      <c r="CNM43" s="49">
        <v>331</v>
      </c>
      <c r="CNN43" s="67">
        <f t="shared" si="1696"/>
        <v>765</v>
      </c>
      <c r="CNO43" s="68">
        <f t="shared" si="1697"/>
        <v>127.5</v>
      </c>
      <c r="CNP43" s="48"/>
      <c r="CNQ43" s="49"/>
      <c r="CNR43" s="49"/>
      <c r="CNS43" s="49">
        <v>111</v>
      </c>
      <c r="CNT43" s="49"/>
      <c r="CNU43" s="49">
        <v>390</v>
      </c>
      <c r="CNV43" s="67">
        <f t="shared" si="1698"/>
        <v>501</v>
      </c>
      <c r="CNW43" s="68">
        <f t="shared" si="1699"/>
        <v>83.5</v>
      </c>
      <c r="CNX43" s="48"/>
      <c r="CNY43" s="49"/>
      <c r="CNZ43" s="49"/>
      <c r="COA43" s="49">
        <v>549</v>
      </c>
      <c r="COB43" s="49">
        <v>218</v>
      </c>
      <c r="COC43" s="49"/>
      <c r="COD43" s="67">
        <f t="shared" si="1700"/>
        <v>767</v>
      </c>
      <c r="COE43" s="68">
        <f t="shared" si="1701"/>
        <v>127.83333333333333</v>
      </c>
      <c r="COF43" s="48"/>
      <c r="COG43" s="49"/>
      <c r="COH43" s="49"/>
      <c r="COI43" s="49">
        <v>1068</v>
      </c>
      <c r="COJ43" s="49"/>
      <c r="COK43" s="49"/>
      <c r="COL43" s="67">
        <f t="shared" si="1702"/>
        <v>1068</v>
      </c>
      <c r="COM43" s="68">
        <f t="shared" si="1703"/>
        <v>178</v>
      </c>
      <c r="CON43" s="48"/>
      <c r="COO43" s="49">
        <v>331</v>
      </c>
      <c r="COP43" s="49"/>
      <c r="COQ43" s="49"/>
      <c r="COR43" s="49">
        <v>550</v>
      </c>
      <c r="COS43" s="49"/>
      <c r="COT43" s="67">
        <f t="shared" si="1704"/>
        <v>881</v>
      </c>
      <c r="COU43" s="68">
        <f t="shared" si="1705"/>
        <v>146.83333333333334</v>
      </c>
      <c r="COV43" s="48"/>
      <c r="COW43" s="49"/>
      <c r="COX43" s="49"/>
      <c r="COY43" s="49"/>
      <c r="COZ43" s="49"/>
      <c r="CPA43" s="49">
        <v>0</v>
      </c>
      <c r="CPB43" s="67">
        <f t="shared" si="1706"/>
        <v>0</v>
      </c>
      <c r="CPC43" s="68">
        <f t="shared" si="1707"/>
        <v>0</v>
      </c>
      <c r="CPD43" s="48"/>
      <c r="CPE43" s="49">
        <v>664</v>
      </c>
      <c r="CPF43" s="49">
        <v>0</v>
      </c>
      <c r="CPG43" s="49">
        <v>0</v>
      </c>
      <c r="CPH43" s="49">
        <v>0</v>
      </c>
      <c r="CPI43" s="49">
        <v>220</v>
      </c>
      <c r="CPJ43" s="67">
        <f t="shared" si="1708"/>
        <v>884</v>
      </c>
      <c r="CPK43" s="68">
        <f t="shared" si="1709"/>
        <v>147.33333333333334</v>
      </c>
      <c r="CPL43" s="48"/>
      <c r="CPM43" s="49">
        <v>0</v>
      </c>
      <c r="CPN43" s="49">
        <v>0</v>
      </c>
      <c r="CPO43" s="49"/>
      <c r="CPP43" s="49">
        <v>0</v>
      </c>
      <c r="CPQ43" s="49"/>
      <c r="CPR43" s="67">
        <f t="shared" si="1710"/>
        <v>0</v>
      </c>
      <c r="CPS43" s="68">
        <f t="shared" si="1711"/>
        <v>0</v>
      </c>
      <c r="CPT43" s="48">
        <v>0</v>
      </c>
      <c r="CPU43" s="49">
        <v>899</v>
      </c>
      <c r="CPV43" s="49">
        <v>0</v>
      </c>
      <c r="CPW43" s="49"/>
      <c r="CPX43" s="49">
        <v>399</v>
      </c>
      <c r="CPY43" s="49">
        <v>0</v>
      </c>
      <c r="CPZ43" s="67">
        <f t="shared" si="1712"/>
        <v>1298</v>
      </c>
      <c r="CQA43" s="68">
        <f t="shared" si="1713"/>
        <v>216.33333333333334</v>
      </c>
      <c r="CQB43" s="48">
        <v>640</v>
      </c>
      <c r="CQC43" s="49">
        <v>0</v>
      </c>
      <c r="CQD43" s="49">
        <v>0</v>
      </c>
      <c r="CQE43" s="49">
        <v>0</v>
      </c>
      <c r="CQF43" s="49">
        <v>330</v>
      </c>
      <c r="CQG43" s="49">
        <v>330</v>
      </c>
      <c r="CQH43" s="67">
        <f t="shared" si="1714"/>
        <v>1300</v>
      </c>
      <c r="CQI43" s="68">
        <f t="shared" si="1715"/>
        <v>216.66666666666666</v>
      </c>
      <c r="CQJ43" s="82">
        <v>0</v>
      </c>
      <c r="CQK43" s="83">
        <v>330</v>
      </c>
      <c r="CQL43" s="83">
        <v>0</v>
      </c>
      <c r="CQM43" s="83">
        <v>0</v>
      </c>
      <c r="CQN43" s="83"/>
      <c r="CQO43" s="83"/>
      <c r="CQP43" s="67">
        <f t="shared" si="1716"/>
        <v>330</v>
      </c>
      <c r="CQQ43" s="68">
        <f t="shared" si="1717"/>
        <v>55</v>
      </c>
      <c r="CQR43" s="239"/>
      <c r="CQS43" s="1">
        <v>0</v>
      </c>
      <c r="CQT43" s="1">
        <v>698</v>
      </c>
      <c r="CQU43" s="1">
        <v>0</v>
      </c>
      <c r="CQV43" s="1">
        <v>0</v>
      </c>
      <c r="CQW43" s="1"/>
      <c r="CQX43" s="67">
        <f t="shared" si="1718"/>
        <v>698</v>
      </c>
      <c r="CQY43" s="68">
        <f t="shared" si="1719"/>
        <v>116.33333333333333</v>
      </c>
      <c r="CQZ43" s="48">
        <v>0</v>
      </c>
      <c r="CRA43" s="49"/>
      <c r="CRB43" s="49">
        <v>333</v>
      </c>
      <c r="CRC43" s="49">
        <v>0</v>
      </c>
      <c r="CRD43" s="49">
        <v>221</v>
      </c>
      <c r="CRE43" s="49">
        <v>0</v>
      </c>
      <c r="CRF43" s="67">
        <f t="shared" si="1720"/>
        <v>554</v>
      </c>
      <c r="CRG43" s="68">
        <f t="shared" si="1721"/>
        <v>92.333333333333329</v>
      </c>
      <c r="CRH43" s="48">
        <v>0</v>
      </c>
      <c r="CRI43" s="49">
        <v>0</v>
      </c>
      <c r="CRJ43" s="49">
        <v>0</v>
      </c>
      <c r="CRK43" s="49">
        <v>660</v>
      </c>
      <c r="CRL43" s="49">
        <v>0</v>
      </c>
      <c r="CRM43" s="49">
        <v>0</v>
      </c>
      <c r="CRN43" s="67">
        <f t="shared" si="1722"/>
        <v>660</v>
      </c>
      <c r="CRO43" s="68">
        <f t="shared" si="1723"/>
        <v>110</v>
      </c>
      <c r="CRP43" s="48"/>
      <c r="CRQ43" s="49">
        <v>0</v>
      </c>
      <c r="CRR43" s="49">
        <v>0</v>
      </c>
      <c r="CRS43" s="49">
        <v>549</v>
      </c>
      <c r="CRT43" s="49">
        <v>0</v>
      </c>
      <c r="CRU43" s="49">
        <v>0</v>
      </c>
      <c r="CRV43" s="47">
        <f t="shared" si="1724"/>
        <v>549</v>
      </c>
      <c r="CRW43" s="68">
        <f t="shared" si="1725"/>
        <v>91.5</v>
      </c>
      <c r="CRX43" s="48">
        <v>0</v>
      </c>
      <c r="CRY43" s="49">
        <v>0</v>
      </c>
      <c r="CRZ43" s="49">
        <v>0</v>
      </c>
      <c r="CSA43" s="49">
        <v>0</v>
      </c>
      <c r="CSB43" s="49">
        <v>679</v>
      </c>
      <c r="CSC43" s="49">
        <v>0</v>
      </c>
      <c r="CSD43" s="67">
        <f t="shared" si="1726"/>
        <v>679</v>
      </c>
      <c r="CSE43" s="68">
        <f t="shared" si="1727"/>
        <v>113.16666666666667</v>
      </c>
      <c r="CSF43" s="48">
        <v>0</v>
      </c>
      <c r="CSG43" s="49">
        <v>0</v>
      </c>
      <c r="CSH43" s="49">
        <v>0</v>
      </c>
      <c r="CSI43" s="49">
        <v>0</v>
      </c>
      <c r="CSJ43" s="49">
        <v>0</v>
      </c>
      <c r="CSK43" s="360">
        <f>SUMIF(SUMPK!$B:$B,$B:$B,SUMPK!$O:$O)</f>
        <v>0</v>
      </c>
      <c r="CSL43" s="64">
        <f t="shared" si="1728"/>
        <v>0</v>
      </c>
      <c r="CSM43" s="68">
        <f t="shared" si="1729"/>
        <v>0</v>
      </c>
      <c r="CSN43" s="48">
        <v>213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30"/>
        <v>213</v>
      </c>
      <c r="CSU43" s="68">
        <f t="shared" si="1731"/>
        <v>35.5</v>
      </c>
      <c r="CSV43" s="48">
        <v>442</v>
      </c>
      <c r="CSW43" s="49">
        <v>0</v>
      </c>
      <c r="CSX43" s="49">
        <v>0</v>
      </c>
      <c r="CSY43" s="49">
        <v>440</v>
      </c>
      <c r="CSZ43" s="49">
        <v>0</v>
      </c>
      <c r="CTA43" s="49">
        <v>0</v>
      </c>
      <c r="CTB43" s="64">
        <f t="shared" si="1732"/>
        <v>882</v>
      </c>
      <c r="CTC43" s="68">
        <f t="shared" si="1733"/>
        <v>147</v>
      </c>
      <c r="CTD43" s="48">
        <v>0</v>
      </c>
      <c r="CTE43" s="49">
        <v>0</v>
      </c>
      <c r="CTF43" s="49">
        <v>0</v>
      </c>
      <c r="CTG43" s="49">
        <v>0</v>
      </c>
      <c r="CTH43" s="49"/>
      <c r="CTI43" s="49">
        <v>437</v>
      </c>
      <c r="CTJ43" s="64">
        <f t="shared" si="1734"/>
        <v>437</v>
      </c>
      <c r="CTK43" s="68">
        <f t="shared" si="1735"/>
        <v>72.833333333333329</v>
      </c>
      <c r="CTL43" s="48">
        <v>0</v>
      </c>
      <c r="CTM43" s="49">
        <v>0</v>
      </c>
      <c r="CTN43" s="49">
        <v>0</v>
      </c>
      <c r="CTO43" s="49">
        <v>0</v>
      </c>
      <c r="CTP43" s="49">
        <v>618</v>
      </c>
      <c r="CTQ43" s="49">
        <v>603</v>
      </c>
      <c r="CTR43" s="64">
        <f t="shared" si="1736"/>
        <v>1221</v>
      </c>
      <c r="CTS43" s="68">
        <f t="shared" si="1737"/>
        <v>203.5</v>
      </c>
      <c r="CTT43" s="48">
        <v>0</v>
      </c>
      <c r="CTU43" s="49"/>
      <c r="CTV43" s="49">
        <v>0</v>
      </c>
      <c r="CTW43" s="49"/>
      <c r="CTX43" s="49">
        <v>0</v>
      </c>
      <c r="CTY43" s="49">
        <v>331</v>
      </c>
      <c r="CTZ43" s="64">
        <f t="shared" si="1738"/>
        <v>331</v>
      </c>
      <c r="CUA43" s="68">
        <f t="shared" si="1739"/>
        <v>55.166666666666664</v>
      </c>
      <c r="CUB43" s="48">
        <v>0</v>
      </c>
      <c r="CUC43" s="49">
        <v>0</v>
      </c>
      <c r="CUD43" s="49"/>
      <c r="CUE43" s="49"/>
      <c r="CUF43" s="49">
        <v>211</v>
      </c>
      <c r="CUG43" s="49">
        <v>0</v>
      </c>
      <c r="CUH43" s="64">
        <f t="shared" si="1740"/>
        <v>211</v>
      </c>
      <c r="CUI43" s="68">
        <f t="shared" si="1741"/>
        <v>35.166666666666664</v>
      </c>
      <c r="CUJ43" s="48">
        <v>0</v>
      </c>
      <c r="CUK43" s="49">
        <v>0</v>
      </c>
      <c r="CUL43" s="49">
        <v>0</v>
      </c>
      <c r="CUM43" s="49">
        <v>330</v>
      </c>
      <c r="CUN43" s="49">
        <v>263</v>
      </c>
      <c r="CUO43" s="49">
        <v>0</v>
      </c>
      <c r="CUP43" s="64">
        <f t="shared" si="1742"/>
        <v>593</v>
      </c>
      <c r="CUQ43" s="68">
        <f t="shared" si="1743"/>
        <v>98.833333333333329</v>
      </c>
      <c r="CUR43" s="48">
        <v>685</v>
      </c>
      <c r="CUS43" s="49"/>
      <c r="CUT43" s="49"/>
      <c r="CUU43" s="49">
        <v>0</v>
      </c>
      <c r="CUV43" s="49">
        <v>0</v>
      </c>
      <c r="CUW43" s="49">
        <v>0</v>
      </c>
      <c r="CUX43" s="64">
        <f t="shared" si="1744"/>
        <v>685</v>
      </c>
      <c r="CUY43" s="68">
        <f t="shared" si="1745"/>
        <v>114.16666666666667</v>
      </c>
      <c r="CUZ43" s="48">
        <v>110</v>
      </c>
      <c r="CVA43" s="49">
        <v>651</v>
      </c>
      <c r="CVB43" s="49"/>
      <c r="CVC43" s="49">
        <v>0</v>
      </c>
      <c r="CVD43" s="49">
        <v>0</v>
      </c>
      <c r="CVE43" s="49"/>
      <c r="CVF43" s="64">
        <f t="shared" si="1746"/>
        <v>761</v>
      </c>
      <c r="CVG43" s="68">
        <f t="shared" si="1747"/>
        <v>126.83333333333333</v>
      </c>
      <c r="CVH43" s="48">
        <v>0</v>
      </c>
      <c r="CVI43" s="49">
        <v>0</v>
      </c>
      <c r="CVJ43" s="49">
        <v>0</v>
      </c>
      <c r="CVK43" s="49">
        <v>0</v>
      </c>
      <c r="CVL43" s="49">
        <v>661</v>
      </c>
      <c r="CVM43" s="49"/>
      <c r="CVN43" s="64">
        <f t="shared" si="1748"/>
        <v>661</v>
      </c>
      <c r="CVO43" s="68">
        <f t="shared" si="1749"/>
        <v>110.16666666666667</v>
      </c>
      <c r="CVP43" s="48">
        <v>0</v>
      </c>
      <c r="CVQ43" s="49">
        <v>0</v>
      </c>
      <c r="CVR43" s="49">
        <v>479</v>
      </c>
      <c r="CVS43" s="49">
        <v>0</v>
      </c>
      <c r="CVT43" s="49">
        <v>0</v>
      </c>
      <c r="CVU43" s="49">
        <v>0</v>
      </c>
      <c r="CVV43" s="64">
        <f t="shared" si="1750"/>
        <v>479</v>
      </c>
      <c r="CVW43" s="68">
        <f t="shared" si="1751"/>
        <v>79.833333333333329</v>
      </c>
      <c r="CVX43" s="48">
        <v>331</v>
      </c>
      <c r="CVY43" s="49">
        <v>0</v>
      </c>
      <c r="CVZ43" s="49">
        <v>0</v>
      </c>
      <c r="CWA43" s="49">
        <v>0</v>
      </c>
      <c r="CWB43" s="49">
        <v>458</v>
      </c>
      <c r="CWC43" s="49">
        <v>221</v>
      </c>
      <c r="CWD43" s="64">
        <f t="shared" si="1752"/>
        <v>1010</v>
      </c>
      <c r="CWE43" s="68">
        <f t="shared" si="1753"/>
        <v>168.33333333333334</v>
      </c>
      <c r="CWF43" s="48">
        <v>0</v>
      </c>
      <c r="CWG43" s="49">
        <v>0</v>
      </c>
      <c r="CWH43" s="49">
        <v>1111</v>
      </c>
      <c r="CWI43" s="49">
        <v>0</v>
      </c>
      <c r="CWJ43" s="49">
        <v>0</v>
      </c>
      <c r="CWK43" s="49"/>
      <c r="CWL43" s="64">
        <f t="shared" si="1754"/>
        <v>1111</v>
      </c>
      <c r="CWM43" s="68">
        <f t="shared" si="1755"/>
        <v>185.16666666666666</v>
      </c>
      <c r="CWN43" s="48">
        <v>0</v>
      </c>
      <c r="CWO43" s="49">
        <v>250</v>
      </c>
      <c r="CWP43" s="49">
        <v>0</v>
      </c>
      <c r="CWQ43" s="49">
        <v>551</v>
      </c>
      <c r="CWR43" s="49">
        <v>0</v>
      </c>
      <c r="CWS43" s="49">
        <v>0</v>
      </c>
      <c r="CWT43" s="64">
        <f t="shared" si="1756"/>
        <v>801</v>
      </c>
      <c r="CWU43" s="68">
        <f t="shared" si="1757"/>
        <v>133.5</v>
      </c>
      <c r="CWV43" s="48">
        <v>0</v>
      </c>
      <c r="CWW43" s="49">
        <v>0</v>
      </c>
      <c r="CWX43" s="49">
        <v>718</v>
      </c>
      <c r="CWY43" s="49"/>
      <c r="CWZ43" s="49">
        <v>0</v>
      </c>
      <c r="CXA43" s="49">
        <v>0</v>
      </c>
      <c r="CXB43" s="127">
        <f t="shared" si="1758"/>
        <v>718</v>
      </c>
      <c r="CXC43" s="43">
        <f t="shared" si="1759"/>
        <v>119.66666666666667</v>
      </c>
      <c r="CXD43" s="48">
        <v>418</v>
      </c>
      <c r="CXE43" s="49">
        <v>0</v>
      </c>
      <c r="CXF43" s="49">
        <v>0</v>
      </c>
      <c r="CXG43" s="49">
        <v>299</v>
      </c>
      <c r="CXH43" s="49">
        <v>0</v>
      </c>
      <c r="CXI43" s="49">
        <v>221</v>
      </c>
      <c r="CXJ43" s="127">
        <f t="shared" si="1760"/>
        <v>938</v>
      </c>
      <c r="CXK43" s="43">
        <f t="shared" si="1761"/>
        <v>156.33333333333334</v>
      </c>
      <c r="CXL43" s="48">
        <v>0</v>
      </c>
      <c r="CXM43" s="49">
        <v>600</v>
      </c>
      <c r="CXN43" s="49">
        <v>0</v>
      </c>
      <c r="CXO43" s="49">
        <v>402</v>
      </c>
      <c r="CXP43" s="49">
        <v>0</v>
      </c>
      <c r="CXQ43" s="49">
        <v>476</v>
      </c>
      <c r="CXR43" s="127">
        <f t="shared" si="1762"/>
        <v>1478</v>
      </c>
      <c r="CXS43" s="43">
        <f t="shared" si="1763"/>
        <v>246.33333333333334</v>
      </c>
      <c r="CXT43" s="48">
        <v>0</v>
      </c>
      <c r="CXU43" s="49">
        <v>0</v>
      </c>
      <c r="CXV43" s="49">
        <v>822</v>
      </c>
      <c r="CXW43" s="49"/>
      <c r="CXX43" s="49">
        <v>598</v>
      </c>
      <c r="CXY43" s="49">
        <v>0</v>
      </c>
      <c r="CXZ43" s="127">
        <f t="shared" si="1764"/>
        <v>1420</v>
      </c>
      <c r="CYA43" s="43">
        <f t="shared" si="1765"/>
        <v>236.66666666666666</v>
      </c>
      <c r="CYB43" s="48">
        <v>0</v>
      </c>
      <c r="CYC43" s="49">
        <v>1154</v>
      </c>
      <c r="CYD43" s="49">
        <v>0</v>
      </c>
      <c r="CYE43" s="49">
        <v>0</v>
      </c>
      <c r="CYF43" s="49">
        <v>0</v>
      </c>
      <c r="CYG43" s="49">
        <v>0</v>
      </c>
      <c r="CYH43" s="127">
        <f t="shared" si="1766"/>
        <v>1154</v>
      </c>
      <c r="CYI43" s="43">
        <f t="shared" si="1767"/>
        <v>192.33333333333334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330</v>
      </c>
      <c r="CYP43" s="127">
        <f t="shared" si="1768"/>
        <v>330</v>
      </c>
      <c r="CYQ43" s="43">
        <f t="shared" si="1769"/>
        <v>55</v>
      </c>
      <c r="CYR43" s="48">
        <v>269</v>
      </c>
      <c r="CYS43" s="49">
        <v>0</v>
      </c>
      <c r="CYT43" s="49">
        <v>0</v>
      </c>
      <c r="CYU43" s="49">
        <v>0</v>
      </c>
      <c r="CYV43" s="49">
        <v>1039</v>
      </c>
      <c r="CYW43" s="49">
        <v>0</v>
      </c>
      <c r="CYX43" s="127">
        <f t="shared" si="1770"/>
        <v>1308</v>
      </c>
      <c r="CYY43" s="43">
        <f t="shared" si="1771"/>
        <v>218</v>
      </c>
      <c r="CYZ43" s="48"/>
      <c r="CZA43" s="49">
        <v>211</v>
      </c>
      <c r="CZB43" s="49">
        <v>0</v>
      </c>
      <c r="CZC43" s="49">
        <v>664</v>
      </c>
      <c r="CZD43" s="49">
        <v>0</v>
      </c>
      <c r="CZE43" s="49">
        <v>0</v>
      </c>
      <c r="CZF43" s="127">
        <f t="shared" si="1772"/>
        <v>875</v>
      </c>
      <c r="CZG43" s="43">
        <f t="shared" si="1773"/>
        <v>175</v>
      </c>
      <c r="CZH43" s="48">
        <v>0</v>
      </c>
      <c r="CZI43" s="49">
        <v>657</v>
      </c>
      <c r="CZJ43" s="49">
        <v>1</v>
      </c>
      <c r="CZK43" s="49">
        <v>0</v>
      </c>
      <c r="CZL43" s="49">
        <v>960</v>
      </c>
      <c r="CZM43" s="49">
        <v>0</v>
      </c>
      <c r="CZN43" s="127">
        <f t="shared" si="1774"/>
        <v>1618</v>
      </c>
      <c r="CZO43" s="43">
        <f t="shared" si="1775"/>
        <v>269.66666666666669</v>
      </c>
      <c r="CZP43" s="48"/>
      <c r="CZQ43" s="49">
        <v>0</v>
      </c>
      <c r="CZR43" s="49"/>
      <c r="CZS43" s="49">
        <v>0</v>
      </c>
      <c r="CZT43" s="49">
        <v>819</v>
      </c>
      <c r="CZU43" s="49">
        <v>0</v>
      </c>
      <c r="CZV43" s="127">
        <f t="shared" si="1776"/>
        <v>819</v>
      </c>
      <c r="CZW43" s="43">
        <f t="shared" si="1777"/>
        <v>136.5</v>
      </c>
      <c r="CZX43" s="48">
        <v>0</v>
      </c>
      <c r="CZY43" s="49">
        <v>220</v>
      </c>
      <c r="CZZ43" s="49">
        <v>0</v>
      </c>
      <c r="DAA43" s="49">
        <v>0</v>
      </c>
      <c r="DAB43" s="49"/>
      <c r="DAC43" s="49">
        <v>660</v>
      </c>
      <c r="DAD43" s="64">
        <f t="shared" si="1778"/>
        <v>880</v>
      </c>
      <c r="DAE43" s="68">
        <f t="shared" si="1779"/>
        <v>146.66666666666666</v>
      </c>
      <c r="DAF43" s="48">
        <v>0</v>
      </c>
      <c r="DAG43" s="49">
        <v>0</v>
      </c>
      <c r="DAH43" s="49">
        <v>0</v>
      </c>
      <c r="DAI43" s="49">
        <v>0</v>
      </c>
      <c r="DAJ43" s="49">
        <v>0</v>
      </c>
      <c r="DAK43" s="49">
        <v>0</v>
      </c>
      <c r="DAL43" s="64">
        <f t="shared" si="1780"/>
        <v>0</v>
      </c>
      <c r="DAM43" s="68">
        <f t="shared" si="1781"/>
        <v>0</v>
      </c>
      <c r="DAN43" s="48">
        <v>0</v>
      </c>
      <c r="DAO43" s="49">
        <v>0</v>
      </c>
      <c r="DAP43" s="49">
        <v>659</v>
      </c>
      <c r="DAQ43" s="49">
        <v>0</v>
      </c>
      <c r="DAR43" s="49">
        <v>0</v>
      </c>
      <c r="DAS43" s="49">
        <v>0</v>
      </c>
      <c r="DAT43" s="64">
        <f t="shared" si="1782"/>
        <v>659</v>
      </c>
      <c r="DAU43" s="68">
        <f t="shared" si="1783"/>
        <v>109.83333333333333</v>
      </c>
      <c r="DAV43" s="48"/>
      <c r="DAW43" s="49">
        <v>0</v>
      </c>
      <c r="DAX43" s="49">
        <v>439</v>
      </c>
      <c r="DAY43" s="49">
        <v>0</v>
      </c>
      <c r="DAZ43" s="49">
        <v>0</v>
      </c>
      <c r="DBA43" s="49">
        <v>0</v>
      </c>
      <c r="DBB43" s="64">
        <f t="shared" si="1784"/>
        <v>439</v>
      </c>
      <c r="DBC43" s="68">
        <f t="shared" si="1785"/>
        <v>73.166666666666671</v>
      </c>
      <c r="DBD43" s="48">
        <v>881</v>
      </c>
      <c r="DBE43" s="49">
        <v>0</v>
      </c>
      <c r="DBF43" s="49">
        <v>20</v>
      </c>
      <c r="DBG43" s="49">
        <v>0</v>
      </c>
      <c r="DBH43" s="49">
        <v>0</v>
      </c>
      <c r="DBI43" s="49">
        <v>661</v>
      </c>
      <c r="DBJ43" s="64">
        <f t="shared" si="1786"/>
        <v>1562</v>
      </c>
      <c r="DBK43" s="68">
        <f t="shared" si="1787"/>
        <v>260.33333333333331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788"/>
        <v>0</v>
      </c>
      <c r="DBS43" s="68">
        <f t="shared" si="1789"/>
        <v>0</v>
      </c>
      <c r="DBT43" s="48">
        <v>0</v>
      </c>
      <c r="DBU43" s="49"/>
      <c r="DBV43" s="49"/>
      <c r="DBW43" s="49">
        <v>662</v>
      </c>
      <c r="DBX43" s="49"/>
      <c r="DBY43" s="49">
        <v>0</v>
      </c>
      <c r="DBZ43" s="64">
        <f t="shared" si="1790"/>
        <v>662</v>
      </c>
      <c r="DCA43" s="68">
        <f t="shared" si="1791"/>
        <v>132.4</v>
      </c>
      <c r="DCB43" s="48">
        <v>574</v>
      </c>
      <c r="DCC43" s="49">
        <v>0</v>
      </c>
      <c r="DCD43" s="49"/>
      <c r="DCE43" s="49">
        <v>222</v>
      </c>
      <c r="DCF43" s="49">
        <v>0</v>
      </c>
      <c r="DCG43" s="49">
        <v>0</v>
      </c>
      <c r="DCH43" s="64">
        <f t="shared" si="1792"/>
        <v>796</v>
      </c>
      <c r="DCI43" s="68">
        <f t="shared" si="1793"/>
        <v>132.66666666666666</v>
      </c>
      <c r="DCJ43" s="48"/>
      <c r="DCK43" s="49">
        <v>400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794"/>
        <v>400</v>
      </c>
      <c r="DCQ43" s="68">
        <f t="shared" si="1795"/>
        <v>66.666666666666671</v>
      </c>
      <c r="DCR43" s="48">
        <v>0</v>
      </c>
      <c r="DCS43" s="49">
        <v>821</v>
      </c>
      <c r="DCT43" s="49">
        <v>0</v>
      </c>
      <c r="DCU43" s="49">
        <v>228</v>
      </c>
      <c r="DCV43" s="49">
        <v>0</v>
      </c>
      <c r="DCW43" s="49">
        <v>0</v>
      </c>
      <c r="DCX43" s="64">
        <f t="shared" si="1796"/>
        <v>1049</v>
      </c>
      <c r="DCY43" s="68">
        <f t="shared" si="1797"/>
        <v>174.83333333333334</v>
      </c>
      <c r="DCZ43" s="48">
        <v>0</v>
      </c>
      <c r="DDA43" s="49">
        <v>507</v>
      </c>
      <c r="DDB43" s="49">
        <v>0</v>
      </c>
      <c r="DDC43" s="49">
        <v>0</v>
      </c>
      <c r="DDD43" s="49">
        <v>113</v>
      </c>
      <c r="DDE43" s="49">
        <v>0</v>
      </c>
      <c r="DDF43" s="64">
        <f t="shared" si="1798"/>
        <v>620</v>
      </c>
      <c r="DDG43" s="68">
        <f t="shared" si="1799"/>
        <v>103.33333333333333</v>
      </c>
      <c r="DDH43" s="48">
        <v>0</v>
      </c>
      <c r="DDI43" s="49"/>
      <c r="DDJ43" s="49">
        <v>0</v>
      </c>
      <c r="DDK43" s="49">
        <v>901</v>
      </c>
      <c r="DDL43" s="49">
        <v>0</v>
      </c>
      <c r="DDM43" s="49">
        <v>0</v>
      </c>
      <c r="DDN43" s="127">
        <f t="shared" si="1800"/>
        <v>901</v>
      </c>
      <c r="DDO43" s="43">
        <f t="shared" si="1801"/>
        <v>150.16666666666666</v>
      </c>
      <c r="DDP43" s="48">
        <v>0</v>
      </c>
      <c r="DDQ43" s="49">
        <v>1000</v>
      </c>
      <c r="DDR43" s="49">
        <v>0</v>
      </c>
      <c r="DDS43" s="49">
        <v>0</v>
      </c>
      <c r="DDT43" s="49">
        <v>0</v>
      </c>
      <c r="DDU43" s="49"/>
      <c r="DDV43" s="127">
        <f t="shared" si="1802"/>
        <v>1000</v>
      </c>
      <c r="DDW43" s="43">
        <f t="shared" si="1803"/>
        <v>166.66666666666666</v>
      </c>
      <c r="DDX43" s="48">
        <v>0</v>
      </c>
      <c r="DDY43" s="49">
        <v>50</v>
      </c>
      <c r="DDZ43" s="49">
        <v>745</v>
      </c>
      <c r="DEA43" s="49">
        <v>0</v>
      </c>
      <c r="DEB43" s="49">
        <v>460</v>
      </c>
      <c r="DEC43" s="49">
        <v>0</v>
      </c>
      <c r="DED43" s="127">
        <f t="shared" si="1804"/>
        <v>1255</v>
      </c>
      <c r="DEE43" s="43">
        <f t="shared" si="1805"/>
        <v>209.16666666666666</v>
      </c>
      <c r="DEF43" s="48">
        <v>0</v>
      </c>
      <c r="DEG43" s="49"/>
      <c r="DEH43" s="49">
        <v>0</v>
      </c>
      <c r="DEI43" s="49">
        <v>0</v>
      </c>
      <c r="DEJ43" s="49">
        <v>688</v>
      </c>
      <c r="DEK43" s="49"/>
      <c r="DEL43" s="127">
        <f t="shared" si="1806"/>
        <v>688</v>
      </c>
      <c r="DEM43" s="43">
        <f t="shared" si="1807"/>
        <v>114.66666666666667</v>
      </c>
      <c r="DEN43" s="48">
        <v>0</v>
      </c>
      <c r="DEO43" s="49">
        <v>0</v>
      </c>
      <c r="DEP43" s="49">
        <v>0</v>
      </c>
      <c r="DEQ43" s="49">
        <v>620</v>
      </c>
      <c r="DER43" s="49"/>
      <c r="DES43" s="49"/>
      <c r="DET43" s="127">
        <f t="shared" si="1808"/>
        <v>620</v>
      </c>
      <c r="DEU43" s="43">
        <f t="shared" si="1809"/>
        <v>103.33333333333333</v>
      </c>
      <c r="DEV43" s="48">
        <v>221</v>
      </c>
      <c r="DEW43" s="49">
        <v>966</v>
      </c>
      <c r="DEX43" s="49">
        <v>0</v>
      </c>
      <c r="DEY43" s="49">
        <v>0</v>
      </c>
      <c r="DEZ43" s="49">
        <v>0</v>
      </c>
      <c r="DFA43" s="49">
        <v>418</v>
      </c>
      <c r="DFB43" s="127">
        <f t="shared" si="1810"/>
        <v>1605</v>
      </c>
      <c r="DFC43" s="43">
        <f t="shared" si="1811"/>
        <v>267.5</v>
      </c>
      <c r="DFD43" s="48"/>
      <c r="DFE43" s="49">
        <v>0</v>
      </c>
      <c r="DFF43" s="49">
        <v>0</v>
      </c>
      <c r="DFG43" s="49">
        <v>1011</v>
      </c>
      <c r="DFH43" s="49">
        <v>0</v>
      </c>
      <c r="DFI43" s="49">
        <v>0</v>
      </c>
      <c r="DFJ43" s="127">
        <f t="shared" si="1812"/>
        <v>1011</v>
      </c>
      <c r="DFK43" s="43">
        <f t="shared" si="1813"/>
        <v>168.5</v>
      </c>
      <c r="DFL43" s="63">
        <v>359</v>
      </c>
      <c r="DFM43" s="64">
        <v>337</v>
      </c>
      <c r="DFN43" s="64">
        <v>0</v>
      </c>
      <c r="DFO43" s="64">
        <v>0</v>
      </c>
      <c r="DFP43" s="64">
        <v>0</v>
      </c>
      <c r="DFQ43" s="64">
        <v>0</v>
      </c>
      <c r="DFR43" s="64">
        <f t="shared" si="1814"/>
        <v>696</v>
      </c>
      <c r="DFS43" s="68">
        <f t="shared" si="1815"/>
        <v>116</v>
      </c>
      <c r="DFT43" s="48">
        <v>0</v>
      </c>
      <c r="DFU43" s="49">
        <v>0</v>
      </c>
      <c r="DFV43" s="49">
        <v>802</v>
      </c>
      <c r="DFW43" s="49">
        <v>0</v>
      </c>
      <c r="DFX43" s="49"/>
      <c r="DFY43" s="49">
        <v>0</v>
      </c>
      <c r="DFZ43" s="127">
        <f t="shared" si="1816"/>
        <v>802</v>
      </c>
      <c r="DGA43" s="43">
        <f t="shared" si="1817"/>
        <v>133.66666666666666</v>
      </c>
      <c r="DGB43" s="48">
        <v>660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18"/>
        <v>660</v>
      </c>
      <c r="DGI43" s="43">
        <f t="shared" si="1819"/>
        <v>110</v>
      </c>
      <c r="DGJ43" s="48">
        <v>859</v>
      </c>
      <c r="DGK43" s="49">
        <v>0</v>
      </c>
      <c r="DGL43" s="49">
        <v>0</v>
      </c>
      <c r="DGM43" s="49">
        <v>0</v>
      </c>
      <c r="DGN43" s="49">
        <v>0</v>
      </c>
      <c r="DGO43" s="49">
        <v>0</v>
      </c>
      <c r="DGP43" s="64">
        <f t="shared" si="1820"/>
        <v>859</v>
      </c>
      <c r="DGQ43" s="68">
        <f t="shared" si="1821"/>
        <v>143.16666666666666</v>
      </c>
      <c r="DGR43" s="48">
        <v>606</v>
      </c>
      <c r="DGS43" s="49">
        <v>0</v>
      </c>
      <c r="DGT43" s="49">
        <v>102</v>
      </c>
      <c r="DGU43" s="49"/>
      <c r="DGV43" s="49">
        <v>0</v>
      </c>
      <c r="DGW43" s="49">
        <v>0</v>
      </c>
      <c r="DGX43" s="64">
        <f t="shared" si="1822"/>
        <v>708</v>
      </c>
      <c r="DGY43" s="68">
        <f t="shared" si="1823"/>
        <v>118</v>
      </c>
      <c r="DGZ43" s="48">
        <v>990</v>
      </c>
      <c r="DHA43" s="49">
        <v>494</v>
      </c>
      <c r="DHB43" s="49"/>
      <c r="DHC43" s="49"/>
      <c r="DHD43" s="49">
        <v>220</v>
      </c>
      <c r="DHE43" s="49">
        <v>0</v>
      </c>
      <c r="DHF43" s="64">
        <f t="shared" si="1824"/>
        <v>1704</v>
      </c>
      <c r="DHG43" s="68">
        <f t="shared" si="1825"/>
        <v>284</v>
      </c>
      <c r="DHH43" s="63">
        <v>0</v>
      </c>
      <c r="DHI43" s="64">
        <v>0</v>
      </c>
      <c r="DHJ43" s="64">
        <v>600</v>
      </c>
      <c r="DHK43" s="64">
        <v>0</v>
      </c>
      <c r="DHL43" s="64">
        <v>0</v>
      </c>
      <c r="DHM43" s="64">
        <v>0</v>
      </c>
      <c r="DHN43" s="64">
        <f t="shared" si="1826"/>
        <v>600</v>
      </c>
      <c r="DHO43" s="68">
        <f t="shared" si="1827"/>
        <v>100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0</v>
      </c>
      <c r="DHV43" s="64">
        <f t="shared" si="1828"/>
        <v>0</v>
      </c>
      <c r="DHW43" s="68">
        <f t="shared" si="1829"/>
        <v>0</v>
      </c>
      <c r="DHX43" s="48">
        <v>0</v>
      </c>
      <c r="DHY43" s="49"/>
      <c r="DHZ43" s="49">
        <v>480</v>
      </c>
      <c r="DIA43" s="49">
        <v>0</v>
      </c>
      <c r="DIB43" s="49">
        <v>0</v>
      </c>
      <c r="DIC43" s="49">
        <v>0</v>
      </c>
      <c r="DID43" s="64">
        <f t="shared" si="1830"/>
        <v>480</v>
      </c>
      <c r="DIE43" s="68">
        <f t="shared" si="1831"/>
        <v>80</v>
      </c>
      <c r="DIF43" s="48">
        <v>441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32"/>
        <v>441</v>
      </c>
      <c r="DIM43" s="68">
        <f t="shared" si="1833"/>
        <v>73.5</v>
      </c>
      <c r="DIN43" s="48">
        <v>0</v>
      </c>
      <c r="DIO43" s="49"/>
      <c r="DIP43" s="49">
        <v>700</v>
      </c>
      <c r="DIQ43" s="49"/>
      <c r="DIR43" s="49">
        <v>0</v>
      </c>
      <c r="DIS43" s="49">
        <v>0</v>
      </c>
      <c r="DIT43" s="64">
        <f t="shared" si="1834"/>
        <v>700</v>
      </c>
      <c r="DIU43" s="68">
        <f t="shared" si="1835"/>
        <v>116.66666666666667</v>
      </c>
      <c r="DIV43" s="48">
        <v>300</v>
      </c>
      <c r="DIW43" s="49">
        <v>0</v>
      </c>
      <c r="DIX43" s="49">
        <v>298</v>
      </c>
      <c r="DIY43" s="49">
        <v>0</v>
      </c>
      <c r="DIZ43" s="49">
        <v>0</v>
      </c>
      <c r="DJA43" s="49">
        <v>567</v>
      </c>
      <c r="DJB43" s="64">
        <f t="shared" si="1836"/>
        <v>1165</v>
      </c>
      <c r="DJC43" s="68">
        <f t="shared" si="1837"/>
        <v>194.16666666666666</v>
      </c>
      <c r="DJD43" s="48">
        <v>803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38"/>
        <v>803</v>
      </c>
      <c r="DJK43" s="68">
        <f t="shared" si="1839"/>
        <v>133.83333333333334</v>
      </c>
      <c r="DJL43" s="48">
        <v>397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40"/>
        <v>397</v>
      </c>
      <c r="DJS43" s="68">
        <f t="shared" si="1841"/>
        <v>66.166666666666671</v>
      </c>
      <c r="DJT43" s="48">
        <v>856</v>
      </c>
      <c r="DJU43" s="49">
        <v>0</v>
      </c>
      <c r="DJV43" s="49">
        <v>0</v>
      </c>
      <c r="DJW43" s="49">
        <v>0</v>
      </c>
      <c r="DJX43" s="49">
        <v>0</v>
      </c>
      <c r="DJY43" s="49">
        <v>229</v>
      </c>
      <c r="DJZ43" s="64">
        <f t="shared" si="1842"/>
        <v>1085</v>
      </c>
      <c r="DKA43" s="68">
        <f t="shared" si="1843"/>
        <v>180.83333333333334</v>
      </c>
      <c r="DKB43" s="48">
        <v>0</v>
      </c>
      <c r="DKC43" s="49">
        <v>482</v>
      </c>
      <c r="DKD43" s="49">
        <v>0</v>
      </c>
      <c r="DKE43" s="49">
        <v>0</v>
      </c>
      <c r="DKF43" s="49">
        <v>540</v>
      </c>
      <c r="DKG43" s="49">
        <v>0</v>
      </c>
      <c r="DKH43" s="64">
        <f t="shared" si="1844"/>
        <v>1022</v>
      </c>
      <c r="DKI43" s="68">
        <f t="shared" si="1845"/>
        <v>170.33333333333334</v>
      </c>
      <c r="DKJ43" s="48">
        <v>546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46"/>
        <v>546</v>
      </c>
      <c r="DKQ43" s="68">
        <f t="shared" si="1847"/>
        <v>91</v>
      </c>
      <c r="DKR43" s="48">
        <v>0</v>
      </c>
      <c r="DKS43" s="49">
        <v>482</v>
      </c>
      <c r="DKT43" s="49"/>
      <c r="DKU43" s="49">
        <v>0</v>
      </c>
      <c r="DKV43" s="49">
        <v>0</v>
      </c>
      <c r="DKW43" s="49">
        <v>654</v>
      </c>
      <c r="DKX43" s="64">
        <f t="shared" si="1848"/>
        <v>1136</v>
      </c>
      <c r="DKY43" s="68">
        <f t="shared" si="1849"/>
        <v>189.33333333333334</v>
      </c>
      <c r="DKZ43" s="48"/>
      <c r="DLA43" s="49">
        <v>606</v>
      </c>
      <c r="DLB43" s="49">
        <v>0</v>
      </c>
      <c r="DLC43" s="49">
        <v>0</v>
      </c>
      <c r="DLD43" s="49"/>
      <c r="DLE43" s="49">
        <v>557</v>
      </c>
      <c r="DLF43" s="64">
        <f t="shared" si="1850"/>
        <v>1163</v>
      </c>
      <c r="DLG43" s="68">
        <f t="shared" si="1851"/>
        <v>193.83333333333334</v>
      </c>
      <c r="DLH43" s="48"/>
      <c r="DLI43" s="49">
        <v>0</v>
      </c>
      <c r="DLJ43" s="49">
        <v>0</v>
      </c>
      <c r="DLK43" s="49">
        <v>390</v>
      </c>
      <c r="DLL43" s="49"/>
      <c r="DLM43" s="49"/>
      <c r="DLN43" s="64">
        <f t="shared" si="1852"/>
        <v>390</v>
      </c>
      <c r="DLO43" s="68">
        <f t="shared" si="1853"/>
        <v>65</v>
      </c>
      <c r="DLP43" s="48">
        <v>1204</v>
      </c>
      <c r="DLQ43" s="49"/>
      <c r="DLR43" s="49">
        <v>0</v>
      </c>
      <c r="DLS43" s="49">
        <v>0</v>
      </c>
      <c r="DLT43" s="49">
        <v>644</v>
      </c>
      <c r="DLU43" s="49">
        <v>0</v>
      </c>
      <c r="DLV43" s="64">
        <f t="shared" si="1854"/>
        <v>1848</v>
      </c>
      <c r="DLW43" s="68">
        <f t="shared" si="1855"/>
        <v>308</v>
      </c>
      <c r="DLX43" s="48">
        <v>645</v>
      </c>
      <c r="DLY43" s="49"/>
      <c r="DLZ43" s="49"/>
      <c r="DMA43" s="49">
        <v>1582</v>
      </c>
      <c r="DMB43" s="49"/>
      <c r="DMC43" s="49">
        <v>0</v>
      </c>
      <c r="DMD43" s="64">
        <f t="shared" si="1856"/>
        <v>2227</v>
      </c>
      <c r="DME43" s="68">
        <f t="shared" si="1857"/>
        <v>371.16666666666669</v>
      </c>
      <c r="DMF43" s="48"/>
      <c r="DMG43" s="49">
        <v>0</v>
      </c>
      <c r="DMH43" s="49"/>
      <c r="DMI43" s="49">
        <v>109</v>
      </c>
      <c r="DMJ43" s="49">
        <v>0</v>
      </c>
      <c r="DMK43" s="49">
        <v>0</v>
      </c>
      <c r="DML43" s="64">
        <f t="shared" si="1858"/>
        <v>109</v>
      </c>
      <c r="DMM43" s="68">
        <f t="shared" si="1859"/>
        <v>18.166666666666668</v>
      </c>
      <c r="DMN43" s="48">
        <v>0</v>
      </c>
      <c r="DMO43" s="49">
        <v>596</v>
      </c>
      <c r="DMP43" s="49">
        <v>0</v>
      </c>
      <c r="DMQ43" s="49">
        <v>500</v>
      </c>
      <c r="DMR43" s="49">
        <v>0</v>
      </c>
      <c r="DMS43" s="49">
        <v>0</v>
      </c>
      <c r="DMT43" s="64">
        <f t="shared" si="1860"/>
        <v>1096</v>
      </c>
      <c r="DMU43" s="68">
        <f t="shared" si="1861"/>
        <v>182.66666666666666</v>
      </c>
      <c r="DMV43" s="48">
        <v>0</v>
      </c>
      <c r="DMW43" s="49">
        <v>330</v>
      </c>
      <c r="DMX43" s="49">
        <v>885</v>
      </c>
      <c r="DMY43" s="49">
        <v>0</v>
      </c>
      <c r="DMZ43" s="49">
        <v>0</v>
      </c>
      <c r="DNA43" s="49">
        <v>0</v>
      </c>
      <c r="DNB43" s="64">
        <f t="shared" si="1862"/>
        <v>1215</v>
      </c>
      <c r="DNC43" s="68">
        <f t="shared" si="1863"/>
        <v>202.5</v>
      </c>
      <c r="DND43" s="48"/>
      <c r="DNE43" s="49">
        <v>0</v>
      </c>
      <c r="DNF43" s="49">
        <v>0</v>
      </c>
      <c r="DNG43" s="49"/>
      <c r="DNH43" s="49">
        <v>896</v>
      </c>
      <c r="DNI43" s="49"/>
      <c r="DNJ43" s="64">
        <f t="shared" si="1864"/>
        <v>896</v>
      </c>
      <c r="DNK43" s="68">
        <f t="shared" si="1865"/>
        <v>149.33333333333334</v>
      </c>
      <c r="DNL43" s="48"/>
      <c r="DNM43" s="49"/>
      <c r="DNN43" s="49">
        <v>0</v>
      </c>
      <c r="DNO43" s="49">
        <v>799</v>
      </c>
      <c r="DNP43" s="49">
        <v>0</v>
      </c>
      <c r="DNQ43" s="49">
        <v>0</v>
      </c>
      <c r="DNR43" s="64">
        <f t="shared" si="1866"/>
        <v>799</v>
      </c>
      <c r="DNS43" s="68">
        <f t="shared" si="1867"/>
        <v>133.16666666666666</v>
      </c>
      <c r="DNT43" s="48">
        <v>0</v>
      </c>
      <c r="DNU43" s="49">
        <v>0</v>
      </c>
      <c r="DNV43" s="49">
        <v>720</v>
      </c>
      <c r="DNW43" s="49">
        <v>0</v>
      </c>
      <c r="DNX43" s="49">
        <v>0</v>
      </c>
      <c r="DNY43" s="49">
        <v>0</v>
      </c>
      <c r="DNZ43" s="64">
        <f t="shared" si="1868"/>
        <v>720</v>
      </c>
      <c r="DOA43" s="68">
        <f t="shared" si="1869"/>
        <v>120</v>
      </c>
      <c r="DOB43" s="48">
        <v>721</v>
      </c>
      <c r="DOC43" s="49"/>
      <c r="DOD43" s="49">
        <v>0</v>
      </c>
      <c r="DOE43" s="49">
        <v>0</v>
      </c>
      <c r="DOF43" s="49">
        <v>0</v>
      </c>
      <c r="DOG43" s="49">
        <v>0</v>
      </c>
      <c r="DOH43" s="64">
        <f t="shared" si="1870"/>
        <v>721</v>
      </c>
      <c r="DOI43" s="68">
        <f t="shared" si="1871"/>
        <v>120.16666666666667</v>
      </c>
      <c r="DOJ43" s="48">
        <v>0</v>
      </c>
      <c r="DOK43" s="49">
        <v>0</v>
      </c>
      <c r="DOL43" s="49">
        <v>658</v>
      </c>
      <c r="DOM43" s="49"/>
      <c r="DON43" s="49">
        <v>0</v>
      </c>
      <c r="DOO43" s="49">
        <v>660</v>
      </c>
      <c r="DOP43" s="64">
        <f t="shared" si="1872"/>
        <v>1318</v>
      </c>
      <c r="DOQ43" s="68">
        <f t="shared" si="1873"/>
        <v>219.66666666666666</v>
      </c>
      <c r="DOR43" s="48">
        <v>0</v>
      </c>
      <c r="DOS43" s="49">
        <v>0</v>
      </c>
      <c r="DOT43" s="49">
        <v>593</v>
      </c>
      <c r="DOU43" s="49">
        <v>0</v>
      </c>
      <c r="DOV43" s="49"/>
      <c r="DOW43" s="49">
        <v>620</v>
      </c>
      <c r="DOX43" s="64">
        <f t="shared" si="1874"/>
        <v>1213</v>
      </c>
      <c r="DOY43" s="68">
        <f t="shared" si="1875"/>
        <v>202.16666666666666</v>
      </c>
      <c r="DOZ43" s="48"/>
      <c r="DPA43" s="49">
        <v>0</v>
      </c>
      <c r="DPB43" s="49"/>
      <c r="DPC43" s="49">
        <v>0</v>
      </c>
      <c r="DPD43" s="49"/>
      <c r="DPE43" s="49">
        <v>499</v>
      </c>
      <c r="DPF43" s="64">
        <f t="shared" si="1876"/>
        <v>499</v>
      </c>
      <c r="DPG43" s="68">
        <f t="shared" si="1877"/>
        <v>83.166666666666671</v>
      </c>
      <c r="DPH43" s="48">
        <v>0</v>
      </c>
      <c r="DPI43" s="49">
        <v>524</v>
      </c>
      <c r="DPJ43" s="49">
        <v>0</v>
      </c>
      <c r="DPK43" s="49">
        <v>0</v>
      </c>
      <c r="DPL43" s="49">
        <v>690</v>
      </c>
      <c r="DPM43" s="49"/>
      <c r="DPN43" s="64">
        <f t="shared" si="1878"/>
        <v>1214</v>
      </c>
      <c r="DPO43" s="68">
        <f t="shared" si="1879"/>
        <v>202.33333333333334</v>
      </c>
      <c r="DPP43" s="48">
        <v>0</v>
      </c>
      <c r="DPQ43" s="49">
        <v>0</v>
      </c>
      <c r="DPR43" s="49">
        <v>443</v>
      </c>
      <c r="DPS43" s="49"/>
      <c r="DPT43" s="49"/>
      <c r="DPU43" s="49">
        <v>0</v>
      </c>
      <c r="DPV43" s="491">
        <f t="shared" si="1880"/>
        <v>443</v>
      </c>
      <c r="DPW43" s="492">
        <f t="shared" si="1881"/>
        <v>73.833333333333329</v>
      </c>
      <c r="DPX43" s="48">
        <v>0</v>
      </c>
      <c r="DPY43" s="49">
        <v>640</v>
      </c>
      <c r="DPZ43" s="49">
        <v>0</v>
      </c>
      <c r="DQA43" s="49">
        <v>293</v>
      </c>
      <c r="DQB43" s="49">
        <v>329</v>
      </c>
      <c r="DQC43" s="49">
        <v>0</v>
      </c>
      <c r="DQD43" s="491">
        <f t="shared" si="1882"/>
        <v>1262</v>
      </c>
      <c r="DQE43" s="492">
        <f t="shared" si="1883"/>
        <v>210.33333333333334</v>
      </c>
      <c r="DQF43" s="48">
        <v>1110</v>
      </c>
      <c r="DQG43" s="49">
        <v>0</v>
      </c>
      <c r="DQH43" s="49">
        <v>0</v>
      </c>
      <c r="DQI43" s="49"/>
      <c r="DQJ43" s="49">
        <v>0</v>
      </c>
      <c r="DQK43" s="49">
        <v>0</v>
      </c>
      <c r="DQL43" s="489">
        <f t="shared" si="1884"/>
        <v>1110</v>
      </c>
      <c r="DQM43" s="492">
        <f t="shared" si="1885"/>
        <v>185</v>
      </c>
      <c r="DQN43" s="48">
        <v>438</v>
      </c>
      <c r="DQO43" s="49">
        <v>0</v>
      </c>
      <c r="DQP43" s="49">
        <v>431</v>
      </c>
      <c r="DQQ43" s="49">
        <v>0</v>
      </c>
      <c r="DQR43" s="49">
        <v>0</v>
      </c>
      <c r="DQS43" s="49">
        <v>0</v>
      </c>
      <c r="DQT43" s="64">
        <f t="shared" si="1886"/>
        <v>869</v>
      </c>
      <c r="DQU43" s="68">
        <f t="shared" si="1887"/>
        <v>144.83333333333334</v>
      </c>
      <c r="DQV43" s="48">
        <v>0</v>
      </c>
      <c r="DQW43" s="49">
        <v>0</v>
      </c>
      <c r="DQX43" s="49"/>
      <c r="DQY43" s="49">
        <v>0</v>
      </c>
      <c r="DQZ43" s="49">
        <v>551</v>
      </c>
      <c r="DRA43" s="49">
        <v>0</v>
      </c>
      <c r="DRB43" s="491">
        <f t="shared" si="1888"/>
        <v>551</v>
      </c>
      <c r="DRC43" s="492">
        <f t="shared" si="1889"/>
        <v>91.833333333333329</v>
      </c>
      <c r="DRD43" s="48">
        <v>0</v>
      </c>
      <c r="DRE43" s="49">
        <v>0</v>
      </c>
      <c r="DRF43" s="49">
        <v>528</v>
      </c>
      <c r="DRG43" s="49">
        <v>0</v>
      </c>
      <c r="DRH43" s="49">
        <v>0</v>
      </c>
      <c r="DRI43" s="49"/>
      <c r="DRJ43" s="491">
        <f t="shared" si="1890"/>
        <v>528</v>
      </c>
      <c r="DRK43" s="492">
        <f t="shared" si="1891"/>
        <v>88</v>
      </c>
      <c r="DRL43" s="48">
        <v>0</v>
      </c>
      <c r="DRM43" s="49">
        <v>660</v>
      </c>
      <c r="DRN43" s="49">
        <v>101</v>
      </c>
      <c r="DRO43" s="49">
        <v>332</v>
      </c>
      <c r="DRP43" s="49">
        <v>0</v>
      </c>
      <c r="DRQ43" s="49"/>
      <c r="DRR43" s="64">
        <f t="shared" si="1587"/>
        <v>1093</v>
      </c>
      <c r="DRS43" s="68">
        <f t="shared" si="1588"/>
        <v>182.16666666666666</v>
      </c>
      <c r="DRT43" s="48">
        <v>498</v>
      </c>
      <c r="DRU43" s="49">
        <v>0</v>
      </c>
      <c r="DRV43" s="49">
        <v>0</v>
      </c>
      <c r="DRW43" s="49">
        <v>0</v>
      </c>
      <c r="DRX43" s="49">
        <v>1000</v>
      </c>
      <c r="DRY43" s="49"/>
      <c r="DRZ43" s="491">
        <f t="shared" si="1589"/>
        <v>1498</v>
      </c>
      <c r="DSA43" s="68">
        <f t="shared" si="1590"/>
        <v>249.66666666666666</v>
      </c>
      <c r="DSB43" s="82"/>
      <c r="DSC43" s="83">
        <v>0</v>
      </c>
      <c r="DSD43" s="83">
        <v>0</v>
      </c>
      <c r="DSE43" s="83"/>
      <c r="DSF43" s="83">
        <v>0</v>
      </c>
      <c r="DSG43" s="83">
        <v>0</v>
      </c>
      <c r="DSH43" s="64">
        <f t="shared" si="1591"/>
        <v>0</v>
      </c>
      <c r="DSI43" s="68">
        <f t="shared" si="1592"/>
        <v>0</v>
      </c>
      <c r="DSJ43" s="48">
        <v>323</v>
      </c>
      <c r="DSK43" s="49">
        <v>0</v>
      </c>
      <c r="DSL43" s="49">
        <v>0</v>
      </c>
      <c r="DSM43" s="49">
        <v>442</v>
      </c>
      <c r="DSN43" s="49">
        <v>0</v>
      </c>
      <c r="DSO43" s="49">
        <v>690</v>
      </c>
      <c r="DSP43" s="64">
        <f t="shared" si="1593"/>
        <v>1455</v>
      </c>
      <c r="DSQ43" s="68">
        <f t="shared" si="1594"/>
        <v>242.5</v>
      </c>
      <c r="DSR43" s="48"/>
      <c r="DSS43" s="49">
        <v>0</v>
      </c>
      <c r="DST43" s="49">
        <v>0</v>
      </c>
      <c r="DSU43" s="49">
        <v>405</v>
      </c>
      <c r="DSV43" s="49">
        <v>0</v>
      </c>
      <c r="DSW43" s="49"/>
      <c r="DSX43" s="64">
        <f t="shared" si="1595"/>
        <v>405</v>
      </c>
      <c r="DSY43" s="68">
        <f t="shared" si="1596"/>
        <v>67.5</v>
      </c>
      <c r="DSZ43" s="48">
        <v>0</v>
      </c>
      <c r="DTA43" s="49">
        <v>123</v>
      </c>
      <c r="DTB43" s="49">
        <v>0</v>
      </c>
      <c r="DTC43" s="49">
        <v>639</v>
      </c>
      <c r="DTD43" s="49"/>
      <c r="DTE43" s="49">
        <v>397</v>
      </c>
      <c r="DTF43" s="64">
        <f t="shared" si="1597"/>
        <v>1159</v>
      </c>
      <c r="DTG43" s="68">
        <f t="shared" si="1598"/>
        <v>193.16666666666666</v>
      </c>
      <c r="DTH43" s="48">
        <v>795</v>
      </c>
      <c r="DTI43" s="49">
        <v>0</v>
      </c>
      <c r="DTJ43" s="49">
        <v>0</v>
      </c>
      <c r="DTK43" s="49">
        <v>0</v>
      </c>
      <c r="DTL43" s="49">
        <v>0</v>
      </c>
      <c r="DTM43" s="49">
        <v>0</v>
      </c>
      <c r="DTN43" s="64">
        <f t="shared" si="1599"/>
        <v>795</v>
      </c>
      <c r="DTO43" s="68">
        <f t="shared" si="1600"/>
        <v>132.5</v>
      </c>
      <c r="DTP43" s="48">
        <v>660</v>
      </c>
      <c r="DTQ43" s="49"/>
      <c r="DTR43" s="49"/>
      <c r="DTS43" s="49">
        <v>0</v>
      </c>
      <c r="DTT43" s="49">
        <v>221</v>
      </c>
      <c r="DTU43" s="49">
        <v>0</v>
      </c>
      <c r="DTV43" s="64">
        <f t="shared" si="1601"/>
        <v>881</v>
      </c>
      <c r="DTW43" s="68">
        <f t="shared" si="1602"/>
        <v>146.83333333333334</v>
      </c>
      <c r="DTX43" s="48">
        <v>0</v>
      </c>
      <c r="DTY43" s="49">
        <v>0</v>
      </c>
      <c r="DTZ43" s="49">
        <v>0</v>
      </c>
      <c r="DUA43" s="49">
        <v>0</v>
      </c>
      <c r="DUB43" s="49">
        <v>0</v>
      </c>
      <c r="DUC43" s="49">
        <v>0</v>
      </c>
      <c r="DUD43" s="64">
        <f t="shared" si="1603"/>
        <v>0</v>
      </c>
      <c r="DUE43" s="68">
        <f t="shared" si="1604"/>
        <v>0</v>
      </c>
      <c r="DUF43" s="48">
        <v>869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05"/>
        <v>869</v>
      </c>
      <c r="DUM43" s="68">
        <f t="shared" si="1606"/>
        <v>144.83333333333334</v>
      </c>
      <c r="DUN43" s="48"/>
      <c r="DUO43" s="49">
        <v>0</v>
      </c>
      <c r="DUP43" s="49">
        <v>0</v>
      </c>
      <c r="DUQ43" s="49">
        <v>370</v>
      </c>
      <c r="DUR43" s="49"/>
      <c r="DUS43" s="49">
        <v>0</v>
      </c>
      <c r="DUT43" s="64">
        <f t="shared" si="1607"/>
        <v>370</v>
      </c>
      <c r="DUU43" s="68">
        <f t="shared" si="1608"/>
        <v>61.666666666666664</v>
      </c>
      <c r="DUV43" s="48"/>
      <c r="DUW43" s="49">
        <v>0</v>
      </c>
      <c r="DUX43" s="49">
        <v>800</v>
      </c>
      <c r="DUY43" s="49">
        <v>0</v>
      </c>
      <c r="DUZ43" s="49">
        <v>0</v>
      </c>
      <c r="DVA43" s="49">
        <v>0</v>
      </c>
      <c r="DVB43" s="64">
        <f t="shared" si="1609"/>
        <v>800</v>
      </c>
      <c r="DVC43" s="68">
        <f t="shared" si="1610"/>
        <v>133.33333333333334</v>
      </c>
      <c r="DVD43" s="48"/>
      <c r="DVE43" s="49">
        <v>0</v>
      </c>
      <c r="DVF43" s="49">
        <v>0</v>
      </c>
      <c r="DVG43" s="49">
        <v>604</v>
      </c>
      <c r="DVH43" s="49">
        <v>550</v>
      </c>
      <c r="DVI43" s="49">
        <v>50</v>
      </c>
      <c r="DVJ43" s="64">
        <f t="shared" si="1611"/>
        <v>1204</v>
      </c>
      <c r="DVK43" s="68">
        <f t="shared" si="1612"/>
        <v>200.66666666666666</v>
      </c>
      <c r="DVL43" s="48">
        <v>0</v>
      </c>
      <c r="DVM43" s="49">
        <v>0</v>
      </c>
      <c r="DVN43" s="49">
        <v>441</v>
      </c>
      <c r="DVO43" s="49">
        <v>0</v>
      </c>
      <c r="DVP43" s="49">
        <v>0</v>
      </c>
      <c r="DVQ43" s="49">
        <v>0</v>
      </c>
      <c r="DVR43" s="64">
        <f t="shared" si="1613"/>
        <v>441</v>
      </c>
      <c r="DVS43" s="68">
        <f t="shared" si="1614"/>
        <v>73.5</v>
      </c>
      <c r="DVT43" s="48"/>
      <c r="DVU43" s="49">
        <v>0</v>
      </c>
      <c r="DVV43" s="49">
        <v>0</v>
      </c>
      <c r="DVW43" s="49">
        <v>0</v>
      </c>
      <c r="DVX43" s="49">
        <v>584</v>
      </c>
      <c r="DVY43" s="49">
        <v>0</v>
      </c>
      <c r="DVZ43" s="64">
        <f t="shared" si="1615"/>
        <v>584</v>
      </c>
      <c r="DWA43" s="68">
        <f t="shared" si="1616"/>
        <v>97.333333333333329</v>
      </c>
      <c r="DWB43" s="48">
        <v>0</v>
      </c>
      <c r="DWC43" s="49">
        <v>110</v>
      </c>
      <c r="DWD43" s="49">
        <v>0</v>
      </c>
      <c r="DWE43" s="49">
        <v>0</v>
      </c>
      <c r="DWF43" s="49">
        <v>793</v>
      </c>
      <c r="DWG43" s="49"/>
      <c r="DWH43" s="64">
        <f t="shared" si="1617"/>
        <v>903</v>
      </c>
      <c r="DWI43" s="68">
        <f t="shared" si="1618"/>
        <v>150.5</v>
      </c>
      <c r="DWJ43" s="48">
        <v>440</v>
      </c>
      <c r="DWK43" s="49">
        <v>0</v>
      </c>
      <c r="DWL43" s="49">
        <v>0</v>
      </c>
      <c r="DWM43" s="49">
        <v>0</v>
      </c>
      <c r="DWN43" s="49">
        <v>221</v>
      </c>
      <c r="DWO43" s="49">
        <v>0</v>
      </c>
      <c r="DWP43" s="64">
        <f t="shared" si="1619"/>
        <v>661</v>
      </c>
      <c r="DWQ43" s="68">
        <f t="shared" si="1620"/>
        <v>110.16666666666667</v>
      </c>
      <c r="DWR43" s="48">
        <v>0</v>
      </c>
      <c r="DWS43" s="49">
        <v>587</v>
      </c>
      <c r="DWT43" s="49">
        <v>0</v>
      </c>
      <c r="DWU43" s="49">
        <v>0</v>
      </c>
      <c r="DWV43" s="49">
        <v>0</v>
      </c>
      <c r="DWW43" s="49">
        <v>0</v>
      </c>
      <c r="DWX43" s="64">
        <f t="shared" si="1621"/>
        <v>587</v>
      </c>
      <c r="DWY43" s="68">
        <f t="shared" si="1622"/>
        <v>97.833333333333329</v>
      </c>
      <c r="DWZ43" s="48">
        <v>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23"/>
        <v>0</v>
      </c>
      <c r="DXG43" s="68">
        <f t="shared" si="1624"/>
        <v>0</v>
      </c>
      <c r="DXH43" s="48">
        <v>0</v>
      </c>
      <c r="DXI43" s="49">
        <v>0</v>
      </c>
      <c r="DXJ43" s="49">
        <v>700</v>
      </c>
      <c r="DXK43" s="49">
        <v>0</v>
      </c>
      <c r="DXL43" s="49">
        <v>0</v>
      </c>
      <c r="DXM43" s="49">
        <v>0</v>
      </c>
      <c r="DXN43" s="64">
        <f t="shared" si="1625"/>
        <v>700</v>
      </c>
      <c r="DXO43" s="68">
        <f t="shared" si="1626"/>
        <v>116.66666666666667</v>
      </c>
      <c r="DXP43" s="48">
        <v>0</v>
      </c>
      <c r="DXQ43" s="49">
        <v>0</v>
      </c>
      <c r="DXR43" s="49">
        <v>0</v>
      </c>
      <c r="DXS43" s="49">
        <v>0</v>
      </c>
      <c r="DXT43" s="49">
        <v>611</v>
      </c>
      <c r="DXU43" s="49">
        <v>0</v>
      </c>
      <c r="DXV43" s="64">
        <f t="shared" si="1320"/>
        <v>611</v>
      </c>
      <c r="DXW43" s="68">
        <f t="shared" si="1321"/>
        <v>101.83333333333333</v>
      </c>
      <c r="DXX43" s="48">
        <v>0</v>
      </c>
      <c r="DXY43" s="49">
        <v>220</v>
      </c>
      <c r="DXZ43" s="49">
        <v>0</v>
      </c>
      <c r="DYA43" s="49">
        <v>662</v>
      </c>
      <c r="DYB43" s="49">
        <v>0</v>
      </c>
      <c r="DYC43" s="49">
        <v>0</v>
      </c>
      <c r="DYD43" s="64">
        <f t="shared" si="1322"/>
        <v>882</v>
      </c>
      <c r="DYE43" s="68">
        <f t="shared" si="1323"/>
        <v>147</v>
      </c>
      <c r="DYF43" s="48">
        <v>0</v>
      </c>
      <c r="DYG43" s="49">
        <v>0</v>
      </c>
      <c r="DYH43" s="49">
        <v>0</v>
      </c>
      <c r="DYI43" s="49">
        <v>0</v>
      </c>
      <c r="DYJ43" s="49">
        <v>500</v>
      </c>
      <c r="DYK43" s="49"/>
      <c r="DYL43" s="64">
        <f t="shared" si="1324"/>
        <v>500</v>
      </c>
      <c r="DYM43" s="68">
        <f t="shared" si="1325"/>
        <v>83.333333333333329</v>
      </c>
      <c r="DYN43" s="48">
        <v>0</v>
      </c>
      <c r="DYO43" s="49">
        <v>0</v>
      </c>
      <c r="DYP43" s="49">
        <v>540</v>
      </c>
      <c r="DYQ43" s="49">
        <v>0</v>
      </c>
      <c r="DYR43" s="49"/>
      <c r="DYS43" s="49"/>
      <c r="DYT43" s="64">
        <f t="shared" si="1326"/>
        <v>540</v>
      </c>
      <c r="DYU43" s="68">
        <f t="shared" si="1327"/>
        <v>90</v>
      </c>
      <c r="DYV43" s="48">
        <v>400</v>
      </c>
      <c r="DYW43" s="49">
        <v>0</v>
      </c>
      <c r="DYX43" s="49">
        <v>200</v>
      </c>
      <c r="DYY43" s="49">
        <v>0</v>
      </c>
      <c r="DYZ43" s="49">
        <v>0</v>
      </c>
      <c r="DZA43" s="49">
        <v>201</v>
      </c>
      <c r="DZB43" s="64">
        <f t="shared" si="1328"/>
        <v>801</v>
      </c>
      <c r="DZC43" s="68">
        <f t="shared" si="1329"/>
        <v>133.5</v>
      </c>
      <c r="DZD43" s="48">
        <v>98</v>
      </c>
      <c r="DZE43" s="49">
        <v>298</v>
      </c>
      <c r="DZF43" s="49">
        <v>0</v>
      </c>
      <c r="DZG43" s="49">
        <v>0</v>
      </c>
      <c r="DZH43" s="49">
        <v>620</v>
      </c>
      <c r="DZI43" s="49">
        <v>0</v>
      </c>
      <c r="DZJ43" s="64">
        <f t="shared" si="1330"/>
        <v>1016</v>
      </c>
      <c r="DZK43" s="68">
        <f t="shared" si="1331"/>
        <v>169.33333333333334</v>
      </c>
      <c r="DZL43" s="48">
        <v>100</v>
      </c>
      <c r="DZM43" s="49">
        <v>0</v>
      </c>
      <c r="DZN43" s="49"/>
      <c r="DZO43" s="49">
        <v>0</v>
      </c>
      <c r="DZP43" s="49">
        <v>880</v>
      </c>
      <c r="DZQ43" s="49">
        <v>0</v>
      </c>
      <c r="DZR43" s="64">
        <f t="shared" si="1332"/>
        <v>980</v>
      </c>
      <c r="DZS43" s="68">
        <f t="shared" si="1333"/>
        <v>163.33333333333334</v>
      </c>
      <c r="DZT43" s="48">
        <v>300</v>
      </c>
      <c r="DZU43" s="49">
        <v>0</v>
      </c>
      <c r="DZV43" s="49"/>
      <c r="DZW43" s="49">
        <v>0</v>
      </c>
      <c r="DZX43" s="49">
        <v>0</v>
      </c>
      <c r="DZY43" s="49">
        <v>0</v>
      </c>
      <c r="DZZ43" s="64">
        <f t="shared" si="1334"/>
        <v>300</v>
      </c>
      <c r="EAA43" s="68">
        <f t="shared" si="1335"/>
        <v>50</v>
      </c>
      <c r="EAB43" s="48"/>
      <c r="EAC43" s="49">
        <v>200</v>
      </c>
      <c r="EAD43" s="49">
        <v>0</v>
      </c>
      <c r="EAE43" s="49"/>
      <c r="EAF43" s="49">
        <v>0</v>
      </c>
      <c r="EAG43" s="49">
        <v>0</v>
      </c>
      <c r="EAH43" s="64">
        <f t="shared" si="1336"/>
        <v>200</v>
      </c>
      <c r="EAI43" s="68">
        <f t="shared" si="1337"/>
        <v>33.333333333333336</v>
      </c>
      <c r="EAJ43" s="48">
        <v>0</v>
      </c>
      <c r="EAK43" s="49"/>
      <c r="EAL43" s="49">
        <v>0</v>
      </c>
      <c r="EAM43" s="49">
        <v>0</v>
      </c>
      <c r="EAN43" s="49">
        <v>700</v>
      </c>
      <c r="EAO43" s="49">
        <v>0</v>
      </c>
      <c r="EAP43" s="64">
        <f t="shared" si="1338"/>
        <v>700</v>
      </c>
      <c r="EAQ43" s="68">
        <f t="shared" si="1339"/>
        <v>116.66666666666667</v>
      </c>
      <c r="EAR43" s="48">
        <v>120</v>
      </c>
      <c r="EAS43" s="49">
        <v>0</v>
      </c>
      <c r="EAT43" s="49">
        <v>800</v>
      </c>
      <c r="EAU43" s="49">
        <v>0</v>
      </c>
      <c r="EAV43" s="49">
        <v>0</v>
      </c>
      <c r="EAW43" s="49"/>
      <c r="EAX43" s="64">
        <f t="shared" si="1340"/>
        <v>920</v>
      </c>
      <c r="EAY43" s="68">
        <f t="shared" si="1341"/>
        <v>153.33333333333334</v>
      </c>
      <c r="EAZ43" s="48">
        <v>0</v>
      </c>
      <c r="EBA43" s="49"/>
      <c r="EBB43" s="49">
        <v>0</v>
      </c>
      <c r="EBC43" s="49">
        <v>0</v>
      </c>
      <c r="EBD43" s="49">
        <v>880</v>
      </c>
      <c r="EBE43" s="49">
        <v>0</v>
      </c>
      <c r="EBF43" s="64">
        <f t="shared" si="1342"/>
        <v>880</v>
      </c>
      <c r="EBG43" s="68">
        <f t="shared" si="1343"/>
        <v>146.66666666666666</v>
      </c>
      <c r="EBH43" s="48">
        <v>0</v>
      </c>
      <c r="EBI43" s="49">
        <v>0</v>
      </c>
      <c r="EBJ43" s="49">
        <v>611</v>
      </c>
      <c r="EBK43" s="49">
        <v>0</v>
      </c>
      <c r="EBL43" s="49">
        <v>0</v>
      </c>
      <c r="EBM43" s="49">
        <v>0</v>
      </c>
      <c r="EBN43" s="64">
        <f t="shared" si="1344"/>
        <v>611</v>
      </c>
      <c r="EBO43" s="68">
        <f t="shared" si="1345"/>
        <v>101.83333333333333</v>
      </c>
      <c r="EBP43" s="48">
        <v>0</v>
      </c>
      <c r="EBQ43" s="49">
        <v>0</v>
      </c>
      <c r="EBR43" s="49"/>
      <c r="EBS43" s="49">
        <v>296</v>
      </c>
      <c r="EBT43" s="49"/>
      <c r="EBU43" s="49"/>
      <c r="EBV43" s="64">
        <f t="shared" si="1346"/>
        <v>296</v>
      </c>
      <c r="EBW43" s="68">
        <f t="shared" si="1347"/>
        <v>49.333333333333336</v>
      </c>
      <c r="EBX43" s="48">
        <v>0</v>
      </c>
      <c r="EBY43" s="49">
        <v>660</v>
      </c>
      <c r="EBZ43" s="49">
        <v>0</v>
      </c>
      <c r="ECA43" s="49"/>
      <c r="ECB43" s="49">
        <v>220</v>
      </c>
      <c r="ECC43" s="49">
        <v>0</v>
      </c>
      <c r="ECD43" s="64">
        <f t="shared" si="1348"/>
        <v>880</v>
      </c>
      <c r="ECE43" s="68">
        <f t="shared" si="1349"/>
        <v>146.66666666666666</v>
      </c>
      <c r="ECF43" s="48">
        <v>0</v>
      </c>
      <c r="ECG43" s="49">
        <v>620</v>
      </c>
      <c r="ECH43" s="49">
        <v>0</v>
      </c>
      <c r="ECI43" s="49">
        <v>0</v>
      </c>
      <c r="ECJ43" s="49">
        <v>0</v>
      </c>
      <c r="ECK43" s="49"/>
      <c r="ECL43" s="64">
        <f t="shared" si="1350"/>
        <v>620</v>
      </c>
      <c r="ECM43" s="68">
        <f t="shared" si="1351"/>
        <v>103.33333333333333</v>
      </c>
      <c r="ECN43" s="48">
        <v>770</v>
      </c>
      <c r="ECO43" s="49">
        <v>0</v>
      </c>
      <c r="ECP43" s="49">
        <v>59</v>
      </c>
      <c r="ECQ43" s="49"/>
      <c r="ECR43" s="49">
        <v>0</v>
      </c>
      <c r="ECS43" s="49">
        <v>294</v>
      </c>
      <c r="ECT43" s="64">
        <f t="shared" si="1352"/>
        <v>1123</v>
      </c>
      <c r="ECU43" s="68">
        <f t="shared" si="1353"/>
        <v>187.16666666666666</v>
      </c>
      <c r="ECV43" s="48">
        <v>0</v>
      </c>
      <c r="ECW43" s="49">
        <v>0</v>
      </c>
      <c r="ECX43" s="49">
        <v>725</v>
      </c>
      <c r="ECY43" s="49">
        <v>0</v>
      </c>
      <c r="ECZ43" s="49"/>
      <c r="EDA43" s="49"/>
      <c r="EDB43" s="64">
        <f t="shared" si="1354"/>
        <v>725</v>
      </c>
      <c r="EDC43" s="68">
        <f t="shared" si="1355"/>
        <v>120.83333333333333</v>
      </c>
      <c r="EDD43" s="48"/>
      <c r="EDE43" s="49">
        <v>0</v>
      </c>
      <c r="EDF43" s="49">
        <v>441</v>
      </c>
      <c r="EDG43" s="49">
        <v>0</v>
      </c>
      <c r="EDH43" s="49"/>
      <c r="EDI43" s="49"/>
      <c r="EDJ43" s="64">
        <f t="shared" si="1356"/>
        <v>441</v>
      </c>
      <c r="EDK43" s="68">
        <f t="shared" si="1357"/>
        <v>73.5</v>
      </c>
      <c r="EDL43" s="48">
        <v>0</v>
      </c>
      <c r="EDM43" s="49">
        <v>0</v>
      </c>
      <c r="EDN43" s="49"/>
      <c r="EDO43" s="49">
        <v>600</v>
      </c>
      <c r="EDP43" s="49">
        <v>0</v>
      </c>
      <c r="EDQ43" s="49">
        <v>0</v>
      </c>
      <c r="EDR43" s="64">
        <f t="shared" si="1358"/>
        <v>600</v>
      </c>
      <c r="EDS43" s="68">
        <f t="shared" si="1359"/>
        <v>100</v>
      </c>
      <c r="EDT43" s="48">
        <v>0</v>
      </c>
      <c r="EDU43" s="49">
        <v>575</v>
      </c>
      <c r="EDV43" s="49"/>
      <c r="EDW43" s="49">
        <v>0</v>
      </c>
      <c r="EDX43" s="49">
        <v>563</v>
      </c>
      <c r="EDY43" s="49"/>
      <c r="EDZ43" s="64">
        <f t="shared" si="1360"/>
        <v>1138</v>
      </c>
      <c r="EEA43" s="68">
        <f t="shared" si="1361"/>
        <v>189.66666666666666</v>
      </c>
      <c r="EEB43" s="48">
        <v>0</v>
      </c>
      <c r="EEC43" s="49">
        <v>0</v>
      </c>
      <c r="EED43" s="49">
        <v>116</v>
      </c>
      <c r="EEE43" s="49">
        <v>0</v>
      </c>
      <c r="EEF43" s="49">
        <v>0</v>
      </c>
      <c r="EEG43" s="49"/>
      <c r="EEH43" s="64">
        <f t="shared" si="1362"/>
        <v>116</v>
      </c>
      <c r="EEI43" s="68">
        <f t="shared" si="1363"/>
        <v>19.333333333333332</v>
      </c>
      <c r="EEJ43" s="48">
        <v>0</v>
      </c>
      <c r="EEK43" s="49">
        <v>0</v>
      </c>
      <c r="EEL43" s="49">
        <v>554</v>
      </c>
      <c r="EEM43" s="49">
        <v>0</v>
      </c>
      <c r="EEN43" s="49">
        <v>0</v>
      </c>
      <c r="EEO43" s="49">
        <v>0</v>
      </c>
      <c r="EEP43" s="64">
        <f t="shared" si="1364"/>
        <v>554</v>
      </c>
      <c r="EEQ43" s="68">
        <f t="shared" si="1365"/>
        <v>92.333333333333329</v>
      </c>
      <c r="EER43" s="48">
        <v>0</v>
      </c>
      <c r="EES43" s="49">
        <v>0</v>
      </c>
      <c r="EET43" s="49">
        <v>569</v>
      </c>
      <c r="EEU43" s="49">
        <v>0</v>
      </c>
      <c r="EEV43" s="49">
        <v>0</v>
      </c>
      <c r="EEW43" s="49"/>
      <c r="EEX43" s="64">
        <f t="shared" si="1366"/>
        <v>569</v>
      </c>
      <c r="EEY43" s="68">
        <f t="shared" si="1367"/>
        <v>94.833333333333329</v>
      </c>
      <c r="EEZ43" s="48">
        <v>0</v>
      </c>
      <c r="EFA43" s="49">
        <v>277</v>
      </c>
      <c r="EFB43" s="49">
        <v>359</v>
      </c>
      <c r="EFC43" s="49">
        <v>442</v>
      </c>
      <c r="EFD43" s="49">
        <v>0</v>
      </c>
      <c r="EFE43" s="49">
        <v>0</v>
      </c>
      <c r="EFF43" s="64">
        <f t="shared" si="1368"/>
        <v>1078</v>
      </c>
      <c r="EFG43" s="68">
        <f t="shared" si="1369"/>
        <v>179.66666666666666</v>
      </c>
      <c r="EFH43" s="48">
        <v>0</v>
      </c>
      <c r="EFI43" s="49">
        <v>0</v>
      </c>
      <c r="EFJ43" s="49">
        <v>0</v>
      </c>
      <c r="EFK43" s="49">
        <v>495</v>
      </c>
      <c r="EFL43" s="49">
        <v>0</v>
      </c>
      <c r="EFM43" s="49">
        <v>688</v>
      </c>
      <c r="EFN43" s="64">
        <f t="shared" si="1370"/>
        <v>1183</v>
      </c>
      <c r="EFO43" s="68">
        <f t="shared" si="1371"/>
        <v>197.16666666666666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72"/>
        <v>0</v>
      </c>
      <c r="EFW43" s="68">
        <f t="shared" si="1373"/>
        <v>0</v>
      </c>
      <c r="EFX43" s="48">
        <v>392</v>
      </c>
      <c r="EFY43" s="49">
        <v>129</v>
      </c>
      <c r="EFZ43" s="49"/>
      <c r="EGA43" s="49">
        <v>0</v>
      </c>
      <c r="EGB43" s="49">
        <v>485</v>
      </c>
      <c r="EGC43" s="49">
        <v>235</v>
      </c>
      <c r="EGD43" s="64">
        <f t="shared" si="1374"/>
        <v>1241</v>
      </c>
      <c r="EGE43" s="68">
        <f t="shared" si="1375"/>
        <v>206.83333333333334</v>
      </c>
      <c r="EGF43" s="48">
        <v>0</v>
      </c>
      <c r="EGG43" s="49">
        <v>0</v>
      </c>
      <c r="EGH43" s="49"/>
      <c r="EGI43" s="49">
        <v>0</v>
      </c>
      <c r="EGJ43" s="49">
        <v>0</v>
      </c>
      <c r="EGK43" s="49">
        <v>399</v>
      </c>
      <c r="EGL43" s="64">
        <f t="shared" si="1376"/>
        <v>399</v>
      </c>
      <c r="EGM43" s="68">
        <f t="shared" si="1377"/>
        <v>66.5</v>
      </c>
      <c r="EGN43" s="48">
        <v>0</v>
      </c>
      <c r="EGO43" s="49">
        <v>0</v>
      </c>
      <c r="EGP43" s="49"/>
      <c r="EGQ43" s="49">
        <v>0</v>
      </c>
      <c r="EGR43" s="49">
        <v>220</v>
      </c>
      <c r="EGS43" s="49">
        <v>200</v>
      </c>
      <c r="EGT43" s="64">
        <f t="shared" si="1378"/>
        <v>420</v>
      </c>
      <c r="EGU43" s="68">
        <f t="shared" si="1379"/>
        <v>70</v>
      </c>
      <c r="EGV43" s="48">
        <v>0</v>
      </c>
      <c r="EGW43" s="49">
        <v>0</v>
      </c>
      <c r="EGX43" s="49">
        <v>463</v>
      </c>
      <c r="EGY43" s="49">
        <v>48</v>
      </c>
      <c r="EGZ43" s="49">
        <v>0</v>
      </c>
      <c r="EHA43" s="49">
        <v>0</v>
      </c>
      <c r="EHB43" s="64">
        <f t="shared" si="1380"/>
        <v>511</v>
      </c>
      <c r="EHC43" s="68">
        <f t="shared" si="1381"/>
        <v>85.166666666666671</v>
      </c>
      <c r="EHD43" s="48">
        <v>0</v>
      </c>
      <c r="EHE43" s="49">
        <v>0</v>
      </c>
      <c r="EHF43" s="49"/>
      <c r="EHG43" s="49">
        <v>110</v>
      </c>
      <c r="EHH43" s="49">
        <v>0</v>
      </c>
      <c r="EHI43" s="49">
        <v>502</v>
      </c>
      <c r="EHJ43" s="64">
        <f t="shared" si="1382"/>
        <v>612</v>
      </c>
      <c r="EHK43" s="68">
        <f t="shared" si="1383"/>
        <v>102</v>
      </c>
      <c r="EHL43" s="48">
        <v>0</v>
      </c>
      <c r="EHM43" s="49">
        <v>0</v>
      </c>
      <c r="EHN43" s="49"/>
      <c r="EHO43" s="49">
        <v>160</v>
      </c>
      <c r="EHP43" s="49"/>
      <c r="EHQ43" s="49">
        <v>0</v>
      </c>
      <c r="EHR43" s="64">
        <f t="shared" si="1384"/>
        <v>160</v>
      </c>
      <c r="EHS43" s="68">
        <f t="shared" si="1385"/>
        <v>26.666666666666668</v>
      </c>
      <c r="EHT43" s="48">
        <v>0</v>
      </c>
      <c r="EHU43" s="49">
        <v>599</v>
      </c>
      <c r="EHV43" s="49"/>
      <c r="EHW43" s="49">
        <v>0</v>
      </c>
      <c r="EHX43" s="49">
        <v>0</v>
      </c>
      <c r="EHY43" s="49">
        <v>0</v>
      </c>
      <c r="EHZ43" s="64">
        <f t="shared" si="1386"/>
        <v>599</v>
      </c>
      <c r="EIA43" s="68">
        <f t="shared" si="1387"/>
        <v>99.833333333333329</v>
      </c>
      <c r="EIB43" s="48">
        <v>0</v>
      </c>
      <c r="EIC43" s="49">
        <v>701</v>
      </c>
      <c r="EID43" s="49">
        <v>110</v>
      </c>
      <c r="EIE43" s="49">
        <v>0</v>
      </c>
      <c r="EIF43" s="49">
        <v>0</v>
      </c>
      <c r="EIG43" s="49">
        <v>610</v>
      </c>
      <c r="EIH43" s="64">
        <f t="shared" si="1388"/>
        <v>1421</v>
      </c>
      <c r="EII43" s="68">
        <f t="shared" si="1389"/>
        <v>236.83333333333334</v>
      </c>
      <c r="EIJ43" s="48">
        <v>0</v>
      </c>
      <c r="EIK43" s="49">
        <v>0</v>
      </c>
      <c r="EIL43" s="49">
        <v>0</v>
      </c>
      <c r="EIM43" s="49">
        <v>996</v>
      </c>
      <c r="EIN43" s="49">
        <v>0</v>
      </c>
      <c r="EIO43" s="49">
        <v>0</v>
      </c>
      <c r="EIP43" s="64">
        <f t="shared" si="1390"/>
        <v>996</v>
      </c>
      <c r="EIQ43" s="68">
        <f t="shared" si="1391"/>
        <v>166</v>
      </c>
      <c r="EIR43" s="48">
        <v>0</v>
      </c>
      <c r="EIS43" s="49">
        <v>0</v>
      </c>
      <c r="EIT43" s="49">
        <v>346</v>
      </c>
      <c r="EIU43" s="49">
        <v>652</v>
      </c>
      <c r="EIV43" s="49">
        <v>0</v>
      </c>
      <c r="EIW43" s="49">
        <v>0</v>
      </c>
      <c r="EIX43" s="64">
        <f t="shared" si="1392"/>
        <v>998</v>
      </c>
      <c r="EIY43" s="68">
        <f t="shared" si="1393"/>
        <v>166.33333333333334</v>
      </c>
      <c r="EIZ43" s="48">
        <v>0</v>
      </c>
      <c r="EJA43" s="49">
        <v>0</v>
      </c>
      <c r="EJB43" s="49">
        <v>0</v>
      </c>
      <c r="EJC43" s="49">
        <v>550</v>
      </c>
      <c r="EJD43" s="49">
        <v>113</v>
      </c>
      <c r="EJE43" s="49">
        <v>0</v>
      </c>
      <c r="EJF43" s="64">
        <f t="shared" si="1394"/>
        <v>663</v>
      </c>
      <c r="EJG43" s="68">
        <f t="shared" si="1395"/>
        <v>110.5</v>
      </c>
      <c r="EJH43" s="48">
        <v>0</v>
      </c>
      <c r="EJI43" s="49">
        <v>0</v>
      </c>
      <c r="EJJ43" s="49"/>
      <c r="EJK43" s="49">
        <v>458</v>
      </c>
      <c r="EJL43" s="49"/>
      <c r="EJM43" s="49"/>
      <c r="EJN43" s="64">
        <f t="shared" si="1396"/>
        <v>458</v>
      </c>
      <c r="EJO43" s="68">
        <f t="shared" si="1397"/>
        <v>76.333333333333329</v>
      </c>
      <c r="EJP43" s="48">
        <v>275</v>
      </c>
      <c r="EJQ43" s="49">
        <v>343</v>
      </c>
      <c r="EJR43" s="49">
        <v>0</v>
      </c>
      <c r="EJS43" s="49">
        <v>0</v>
      </c>
      <c r="EJT43" s="49">
        <v>0</v>
      </c>
      <c r="EJU43" s="49">
        <v>0</v>
      </c>
      <c r="EJV43" s="64">
        <f t="shared" si="1398"/>
        <v>618</v>
      </c>
      <c r="EJW43" s="68">
        <f t="shared" si="1399"/>
        <v>103</v>
      </c>
      <c r="EJX43" s="48">
        <v>0</v>
      </c>
      <c r="EJY43" s="49">
        <v>1010</v>
      </c>
      <c r="EJZ43" s="49">
        <v>0</v>
      </c>
      <c r="EKA43" s="49"/>
      <c r="EKB43" s="49">
        <v>0</v>
      </c>
      <c r="EKC43" s="49"/>
      <c r="EKD43" s="64">
        <f t="shared" si="1400"/>
        <v>1010</v>
      </c>
      <c r="EKE43" s="68">
        <f t="shared" si="1401"/>
        <v>168.33333333333334</v>
      </c>
      <c r="EKF43" s="48">
        <v>0</v>
      </c>
      <c r="EKG43" s="49">
        <v>522</v>
      </c>
      <c r="EKH43" s="49">
        <v>201</v>
      </c>
      <c r="EKI43" s="49"/>
      <c r="EKJ43" s="49">
        <v>0</v>
      </c>
      <c r="EKK43" s="49">
        <v>0</v>
      </c>
      <c r="EKL43" s="64">
        <f t="shared" si="1402"/>
        <v>723</v>
      </c>
      <c r="EKM43" s="68">
        <f t="shared" si="1403"/>
        <v>120.5</v>
      </c>
      <c r="EKN43" s="48">
        <v>0</v>
      </c>
      <c r="EKO43" s="49">
        <v>637</v>
      </c>
      <c r="EKP43" s="49">
        <v>0</v>
      </c>
      <c r="EKQ43" s="49">
        <v>0</v>
      </c>
      <c r="EKR43" s="49">
        <v>0</v>
      </c>
      <c r="EKS43" s="49">
        <v>566</v>
      </c>
      <c r="EKT43" s="64">
        <f t="shared" si="1404"/>
        <v>1203</v>
      </c>
      <c r="EKU43" s="184">
        <f t="shared" si="1405"/>
        <v>200.5</v>
      </c>
      <c r="EKV43" s="665"/>
      <c r="EKW43" s="195">
        <v>0</v>
      </c>
      <c r="EKX43" s="49">
        <v>221</v>
      </c>
      <c r="EKY43" s="49">
        <v>0</v>
      </c>
      <c r="EKZ43" s="49">
        <v>0</v>
      </c>
      <c r="ELA43" s="49">
        <v>0</v>
      </c>
      <c r="ELB43" s="49">
        <v>619</v>
      </c>
      <c r="ELC43" s="64">
        <f t="shared" si="1406"/>
        <v>840</v>
      </c>
      <c r="ELD43" s="211">
        <f t="shared" si="1407"/>
        <v>140</v>
      </c>
      <c r="ELE43" s="195">
        <v>0</v>
      </c>
      <c r="ELF43" s="49">
        <v>0</v>
      </c>
      <c r="ELG43" s="49">
        <v>150</v>
      </c>
      <c r="ELH43" s="49">
        <v>0</v>
      </c>
      <c r="ELI43" s="49">
        <v>629</v>
      </c>
      <c r="ELJ43" s="49">
        <v>0</v>
      </c>
      <c r="ELK43" s="64">
        <f t="shared" si="1408"/>
        <v>779</v>
      </c>
      <c r="ELL43" s="211">
        <f t="shared" si="1409"/>
        <v>129.83333333333334</v>
      </c>
      <c r="ELM43" s="195">
        <v>0</v>
      </c>
      <c r="ELN43" s="49">
        <v>0</v>
      </c>
      <c r="ELO43" s="49">
        <v>0</v>
      </c>
      <c r="ELP43" s="49">
        <v>0</v>
      </c>
      <c r="ELQ43" s="49">
        <v>110</v>
      </c>
      <c r="ELR43" s="49">
        <v>0</v>
      </c>
      <c r="ELS43" s="64">
        <f t="shared" si="1410"/>
        <v>110</v>
      </c>
      <c r="ELT43" s="211">
        <f t="shared" si="1411"/>
        <v>18.333333333333332</v>
      </c>
      <c r="ELU43" s="195">
        <v>601</v>
      </c>
      <c r="ELV43" s="49">
        <v>0</v>
      </c>
      <c r="ELW43" s="49">
        <v>0</v>
      </c>
      <c r="ELX43" s="49">
        <v>728</v>
      </c>
      <c r="ELY43" s="49">
        <v>0</v>
      </c>
      <c r="ELZ43" s="49">
        <v>0</v>
      </c>
      <c r="EMA43" s="64">
        <f t="shared" si="1412"/>
        <v>1329</v>
      </c>
      <c r="EMB43" s="211">
        <f t="shared" si="1413"/>
        <v>221.5</v>
      </c>
      <c r="EMC43" s="195">
        <v>0</v>
      </c>
      <c r="EMD43" s="49">
        <v>112</v>
      </c>
      <c r="EME43" s="49">
        <v>0</v>
      </c>
      <c r="EMF43" s="49">
        <v>601</v>
      </c>
      <c r="EMG43" s="49"/>
      <c r="EMH43" s="49">
        <v>0</v>
      </c>
      <c r="EMI43" s="64">
        <f t="shared" si="1414"/>
        <v>713</v>
      </c>
      <c r="EMJ43" s="211">
        <f t="shared" si="1415"/>
        <v>118.83333333333333</v>
      </c>
      <c r="EMK43" s="195">
        <v>0</v>
      </c>
      <c r="EML43" s="49">
        <v>0</v>
      </c>
      <c r="EMM43" s="49">
        <v>886</v>
      </c>
      <c r="EMN43" s="49">
        <v>0</v>
      </c>
      <c r="EMO43" s="49">
        <v>0</v>
      </c>
      <c r="EMP43" s="49">
        <v>0</v>
      </c>
      <c r="EMQ43" s="64">
        <f t="shared" si="1416"/>
        <v>886</v>
      </c>
      <c r="EMR43" s="211">
        <f t="shared" si="1417"/>
        <v>147.66666666666666</v>
      </c>
      <c r="EMS43" s="195">
        <v>617</v>
      </c>
      <c r="EMT43" s="49">
        <v>0</v>
      </c>
      <c r="EMU43" s="49">
        <v>0</v>
      </c>
      <c r="EMV43" s="49">
        <v>0</v>
      </c>
      <c r="EMW43" s="49">
        <v>0</v>
      </c>
      <c r="EMX43" s="49">
        <v>281</v>
      </c>
      <c r="EMY43" s="64">
        <f t="shared" si="1418"/>
        <v>898</v>
      </c>
      <c r="EMZ43" s="211">
        <f t="shared" si="1419"/>
        <v>149.66666666666666</v>
      </c>
      <c r="ENA43" s="195">
        <v>271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20"/>
        <v>271</v>
      </c>
      <c r="ENH43" s="211">
        <f t="shared" si="1421"/>
        <v>45.166666666666664</v>
      </c>
      <c r="ENI43" s="195">
        <v>0</v>
      </c>
      <c r="ENJ43" s="49"/>
      <c r="ENK43" s="49">
        <v>0</v>
      </c>
      <c r="ENL43" s="49">
        <v>0</v>
      </c>
      <c r="ENM43" s="49">
        <v>524</v>
      </c>
      <c r="ENN43" s="49">
        <v>112</v>
      </c>
      <c r="ENO43" s="64">
        <f t="shared" si="1422"/>
        <v>636</v>
      </c>
      <c r="ENP43" s="211">
        <f t="shared" si="1423"/>
        <v>106</v>
      </c>
      <c r="ENQ43" s="195">
        <v>0</v>
      </c>
      <c r="ENR43" s="49"/>
      <c r="ENS43" s="49">
        <v>116</v>
      </c>
      <c r="ENT43" s="49">
        <v>0</v>
      </c>
      <c r="ENU43" s="49">
        <v>0</v>
      </c>
      <c r="ENV43" s="49">
        <v>0</v>
      </c>
      <c r="ENW43" s="64">
        <f t="shared" si="1424"/>
        <v>116</v>
      </c>
      <c r="ENX43" s="211">
        <f t="shared" si="1425"/>
        <v>19.333333333333332</v>
      </c>
      <c r="ENY43" s="195">
        <v>0</v>
      </c>
      <c r="ENZ43" s="49"/>
      <c r="EOA43" s="49">
        <v>0</v>
      </c>
      <c r="EOB43" s="49">
        <v>545</v>
      </c>
      <c r="EOC43" s="49">
        <v>0</v>
      </c>
      <c r="EOD43" s="49">
        <v>0</v>
      </c>
      <c r="EOE43" s="64">
        <f t="shared" si="1426"/>
        <v>545</v>
      </c>
      <c r="EOF43" s="211">
        <f t="shared" si="1427"/>
        <v>90.833333333333329</v>
      </c>
      <c r="EOG43" s="1"/>
      <c r="EOH43" s="195">
        <v>112</v>
      </c>
      <c r="EOI43" s="49">
        <v>103</v>
      </c>
      <c r="EOJ43" s="49">
        <v>0</v>
      </c>
      <c r="EOK43" s="49">
        <v>0</v>
      </c>
      <c r="EOL43" s="49">
        <v>621</v>
      </c>
      <c r="EOM43" s="49">
        <v>0</v>
      </c>
      <c r="EON43" s="184">
        <f t="shared" si="1428"/>
        <v>836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724</v>
      </c>
      <c r="EOU43" s="64">
        <f t="shared" si="1429"/>
        <v>724</v>
      </c>
      <c r="EOV43" s="211">
        <f t="shared" si="1430"/>
        <v>120.66666666666667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31"/>
        <v>0</v>
      </c>
      <c r="EPD43" s="211">
        <f t="shared" si="1432"/>
        <v>0</v>
      </c>
      <c r="EPE43" s="195">
        <v>802</v>
      </c>
      <c r="EPF43" s="49">
        <v>0</v>
      </c>
      <c r="EPG43" s="49">
        <v>0</v>
      </c>
      <c r="EPH43" s="49">
        <v>0</v>
      </c>
      <c r="EPI43" s="49">
        <v>0</v>
      </c>
      <c r="EPJ43" s="49">
        <v>569</v>
      </c>
      <c r="EPK43" s="64">
        <f t="shared" si="1433"/>
        <v>1371</v>
      </c>
      <c r="EPL43" s="211">
        <f t="shared" si="1434"/>
        <v>228.5</v>
      </c>
      <c r="EPM43" s="195">
        <v>0</v>
      </c>
      <c r="EPN43" s="49">
        <v>0</v>
      </c>
      <c r="EPO43" s="49">
        <v>0</v>
      </c>
      <c r="EPP43" s="49">
        <v>0</v>
      </c>
      <c r="EPQ43" s="49">
        <v>112</v>
      </c>
      <c r="EPR43" s="49">
        <v>0</v>
      </c>
      <c r="EPS43" s="64">
        <f t="shared" si="1435"/>
        <v>112</v>
      </c>
      <c r="EPT43" s="211">
        <f t="shared" si="1436"/>
        <v>18.666666666666668</v>
      </c>
      <c r="EPU43" s="195">
        <v>0</v>
      </c>
      <c r="EPV43" s="49">
        <v>820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37"/>
        <v>820</v>
      </c>
      <c r="EQB43" s="211">
        <f t="shared" si="1438"/>
        <v>136.66666666666666</v>
      </c>
      <c r="EQC43" s="195">
        <v>0</v>
      </c>
      <c r="EQD43" s="49">
        <v>659</v>
      </c>
      <c r="EQE43" s="49">
        <v>0</v>
      </c>
      <c r="EQF43" s="49">
        <v>0</v>
      </c>
      <c r="EQG43" s="49">
        <v>0</v>
      </c>
      <c r="EQH43" s="49">
        <v>1399</v>
      </c>
      <c r="EQI43" s="64">
        <f t="shared" si="1439"/>
        <v>2058</v>
      </c>
      <c r="EQJ43" s="211">
        <f t="shared" si="1440"/>
        <v>343</v>
      </c>
      <c r="EQK43" s="195">
        <v>0</v>
      </c>
      <c r="EQL43" s="49">
        <v>0</v>
      </c>
      <c r="EQM43" s="49">
        <v>0</v>
      </c>
      <c r="EQN43" s="49"/>
      <c r="EQO43" s="49">
        <v>110</v>
      </c>
      <c r="EQP43" s="49">
        <v>0</v>
      </c>
      <c r="EQQ43" s="64">
        <f t="shared" si="1441"/>
        <v>110</v>
      </c>
      <c r="EQR43" s="211">
        <f t="shared" si="1442"/>
        <v>18.333333333333332</v>
      </c>
      <c r="EQS43" s="195">
        <v>579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43"/>
        <v>579</v>
      </c>
      <c r="EQZ43" s="211">
        <f t="shared" si="1444"/>
        <v>96.5</v>
      </c>
      <c r="ERA43" s="195">
        <v>0</v>
      </c>
      <c r="ERB43" s="49">
        <v>0</v>
      </c>
      <c r="ERC43" s="49">
        <v>220</v>
      </c>
      <c r="ERD43" s="49">
        <v>0</v>
      </c>
      <c r="ERE43" s="49">
        <v>0</v>
      </c>
      <c r="ERF43" s="49"/>
      <c r="ERG43" s="64">
        <f t="shared" si="1445"/>
        <v>220</v>
      </c>
      <c r="ERH43" s="211">
        <f t="shared" si="1446"/>
        <v>36.666666666666664</v>
      </c>
      <c r="ERI43" s="195"/>
      <c r="ERJ43" s="49">
        <v>0</v>
      </c>
      <c r="ERK43" s="49">
        <v>656</v>
      </c>
      <c r="ERL43" s="49">
        <v>0</v>
      </c>
      <c r="ERM43" s="49">
        <v>0</v>
      </c>
      <c r="ERN43" s="49"/>
      <c r="ERO43" s="64">
        <f t="shared" si="1447"/>
        <v>656</v>
      </c>
      <c r="ERP43" s="211">
        <f t="shared" si="1448"/>
        <v>109.33333333333333</v>
      </c>
      <c r="ERQ43" s="195"/>
      <c r="ERR43" s="49">
        <v>0</v>
      </c>
      <c r="ERS43" s="49"/>
      <c r="ERT43" s="49">
        <v>973</v>
      </c>
      <c r="ERU43" s="49">
        <v>0</v>
      </c>
      <c r="ERV43" s="49">
        <v>0</v>
      </c>
      <c r="ERW43" s="64">
        <f t="shared" si="1449"/>
        <v>973</v>
      </c>
      <c r="ERX43" s="211">
        <f t="shared" si="1450"/>
        <v>162.16666666666666</v>
      </c>
      <c r="ERY43" s="195">
        <v>0</v>
      </c>
      <c r="ERZ43" s="49">
        <v>0</v>
      </c>
      <c r="ESA43" s="49">
        <v>0</v>
      </c>
      <c r="ESB43" s="49">
        <v>0</v>
      </c>
      <c r="ESC43" s="49">
        <v>744</v>
      </c>
      <c r="ESD43" s="49">
        <v>0</v>
      </c>
      <c r="ESE43" s="64">
        <f t="shared" si="1451"/>
        <v>744</v>
      </c>
      <c r="ESF43" s="211">
        <f t="shared" si="1452"/>
        <v>124</v>
      </c>
      <c r="ESG43" s="195">
        <v>0</v>
      </c>
      <c r="ESH43" s="49">
        <v>0</v>
      </c>
      <c r="ESI43" s="49">
        <v>230</v>
      </c>
      <c r="ESJ43" s="49">
        <v>0</v>
      </c>
      <c r="ESK43" s="49"/>
      <c r="ESL43" s="49">
        <v>0</v>
      </c>
      <c r="ESM43" s="64">
        <f t="shared" si="1453"/>
        <v>230</v>
      </c>
      <c r="ESN43" s="211">
        <f t="shared" si="1454"/>
        <v>38.333333333333336</v>
      </c>
      <c r="ESO43" s="458">
        <v>0</v>
      </c>
      <c r="ESP43" s="83">
        <v>752</v>
      </c>
      <c r="ESQ43" s="83">
        <v>458</v>
      </c>
      <c r="ESR43" s="83">
        <v>0</v>
      </c>
      <c r="ESS43" s="83">
        <v>0</v>
      </c>
      <c r="EST43" s="83"/>
      <c r="ESU43" s="64">
        <f t="shared" si="1455"/>
        <v>1210</v>
      </c>
      <c r="ESV43" s="211">
        <f t="shared" si="1456"/>
        <v>201.66666666666666</v>
      </c>
      <c r="ESW43" s="195"/>
      <c r="ESX43" s="49">
        <v>0</v>
      </c>
      <c r="ESY43" s="49">
        <v>0</v>
      </c>
      <c r="ESZ43" s="49">
        <v>0</v>
      </c>
      <c r="ETA43" s="49">
        <v>13</v>
      </c>
      <c r="ETB43" s="49">
        <v>219</v>
      </c>
      <c r="ETC43" s="808">
        <f t="shared" si="1457"/>
        <v>232</v>
      </c>
      <c r="ETD43" s="211">
        <f t="shared" si="1458"/>
        <v>38.666666666666664</v>
      </c>
      <c r="ETE43" s="195">
        <v>0</v>
      </c>
      <c r="ETF43" s="49">
        <v>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59"/>
        <v>0</v>
      </c>
      <c r="ETL43" s="211">
        <f t="shared" si="1460"/>
        <v>0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0</v>
      </c>
      <c r="ETS43" s="808">
        <f t="shared" si="1461"/>
        <v>0</v>
      </c>
      <c r="ETT43" s="211">
        <f t="shared" si="1462"/>
        <v>0</v>
      </c>
      <c r="ETU43" s="458">
        <v>229</v>
      </c>
      <c r="ETV43" s="83">
        <v>0</v>
      </c>
      <c r="ETW43" s="83">
        <v>0</v>
      </c>
      <c r="ETX43" s="83">
        <v>0</v>
      </c>
      <c r="ETY43" s="83">
        <v>700</v>
      </c>
      <c r="ETZ43" s="83">
        <v>0</v>
      </c>
      <c r="EUA43" s="808">
        <f t="shared" si="1463"/>
        <v>929</v>
      </c>
      <c r="EUB43" s="211">
        <f t="shared" si="1464"/>
        <v>154.83333333333334</v>
      </c>
      <c r="EUC43" s="458"/>
      <c r="EUD43" s="83">
        <v>0</v>
      </c>
      <c r="EUE43" s="83"/>
      <c r="EUF43" s="83">
        <v>0</v>
      </c>
      <c r="EUG43" s="83">
        <v>860</v>
      </c>
      <c r="EUH43" s="83">
        <v>0</v>
      </c>
      <c r="EUI43" s="808">
        <f t="shared" si="1465"/>
        <v>860</v>
      </c>
      <c r="EUJ43" s="211">
        <f t="shared" si="1466"/>
        <v>143.33333333333334</v>
      </c>
      <c r="EUK43" s="195"/>
      <c r="EUL43" s="49">
        <v>220</v>
      </c>
      <c r="EUM43" s="49">
        <v>0</v>
      </c>
      <c r="EUN43" s="49">
        <v>0</v>
      </c>
      <c r="EUO43" s="49">
        <v>0</v>
      </c>
      <c r="EUP43" s="49">
        <v>399</v>
      </c>
      <c r="EUQ43" s="808">
        <f t="shared" si="1467"/>
        <v>619</v>
      </c>
      <c r="EUR43" s="211">
        <f t="shared" si="1468"/>
        <v>103.16666666666667</v>
      </c>
      <c r="EUS43" s="195">
        <v>0</v>
      </c>
      <c r="EUT43" s="49">
        <v>0</v>
      </c>
      <c r="EUU43" s="49">
        <v>240</v>
      </c>
      <c r="EUV43" s="49">
        <v>240</v>
      </c>
      <c r="EUW43" s="49">
        <v>0</v>
      </c>
      <c r="EUX43" s="49"/>
      <c r="EUY43" s="808">
        <f t="shared" si="1469"/>
        <v>480</v>
      </c>
      <c r="EUZ43" s="211">
        <f t="shared" si="1470"/>
        <v>80</v>
      </c>
      <c r="EVA43" s="195">
        <v>0</v>
      </c>
      <c r="EVB43" s="49">
        <v>844</v>
      </c>
      <c r="EVC43" s="49">
        <v>0</v>
      </c>
      <c r="EVD43" s="49"/>
      <c r="EVE43" s="49">
        <v>0</v>
      </c>
      <c r="EVF43" s="49"/>
      <c r="EVG43" s="808">
        <f t="shared" si="1471"/>
        <v>844</v>
      </c>
      <c r="EVH43" s="211">
        <f t="shared" si="1472"/>
        <v>140.66666666666666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1061</v>
      </c>
      <c r="EVO43" s="808">
        <f t="shared" si="1473"/>
        <v>1061</v>
      </c>
      <c r="EVP43" s="211">
        <f t="shared" si="1474"/>
        <v>176.83333333333334</v>
      </c>
      <c r="EVQ43" s="195">
        <v>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75"/>
        <v>0</v>
      </c>
      <c r="EVX43" s="211">
        <f t="shared" si="1476"/>
        <v>0</v>
      </c>
      <c r="EVY43" s="195">
        <v>111</v>
      </c>
      <c r="EVZ43" s="49">
        <v>0</v>
      </c>
      <c r="EWA43" s="49">
        <v>0</v>
      </c>
      <c r="EWB43" s="49">
        <v>80</v>
      </c>
      <c r="EWC43" s="49">
        <v>0</v>
      </c>
      <c r="EWD43" s="49"/>
      <c r="EWE43" s="808">
        <f t="shared" si="1477"/>
        <v>191</v>
      </c>
      <c r="EWF43" s="211">
        <f t="shared" si="1478"/>
        <v>31.833333333333332</v>
      </c>
      <c r="EWG43" s="195">
        <v>0</v>
      </c>
      <c r="EWH43" s="49">
        <v>319</v>
      </c>
      <c r="EWI43" s="49"/>
      <c r="EWJ43" s="49">
        <v>0</v>
      </c>
      <c r="EWK43" s="49"/>
      <c r="EWL43" s="49"/>
      <c r="EWM43" s="808">
        <f t="shared" si="1479"/>
        <v>319</v>
      </c>
      <c r="EWN43" s="211">
        <f t="shared" si="1480"/>
        <v>53.166666666666664</v>
      </c>
      <c r="EWO43" s="195">
        <v>0</v>
      </c>
      <c r="EWP43" s="49"/>
      <c r="EWQ43" s="49"/>
      <c r="EWR43" s="49">
        <v>99</v>
      </c>
      <c r="EWS43" s="49">
        <v>0</v>
      </c>
      <c r="EWT43" s="49">
        <v>0</v>
      </c>
      <c r="EWU43" s="808">
        <f t="shared" si="1481"/>
        <v>99</v>
      </c>
      <c r="EWV43" s="211">
        <f t="shared" si="1482"/>
        <v>16.5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83"/>
        <v>0</v>
      </c>
      <c r="EXD43" s="211">
        <f t="shared" si="1484"/>
        <v>0</v>
      </c>
      <c r="EXE43" s="195"/>
      <c r="EXF43" s="49">
        <v>150</v>
      </c>
      <c r="EXG43" s="49">
        <v>0</v>
      </c>
      <c r="EXH43" s="49"/>
      <c r="EXI43" s="49">
        <v>0</v>
      </c>
      <c r="EXJ43" s="49">
        <v>0</v>
      </c>
      <c r="EXK43" s="808">
        <f t="shared" si="1485"/>
        <v>150</v>
      </c>
      <c r="EXL43" s="211">
        <f t="shared" si="1486"/>
        <v>25</v>
      </c>
      <c r="EXM43" s="458">
        <v>299</v>
      </c>
      <c r="EXN43" s="83">
        <v>0</v>
      </c>
      <c r="EXO43" s="83">
        <v>0</v>
      </c>
      <c r="EXP43" s="83">
        <v>319</v>
      </c>
      <c r="EXQ43" s="83"/>
      <c r="EXR43" s="83">
        <v>0</v>
      </c>
      <c r="EXS43" s="808">
        <f t="shared" si="1487"/>
        <v>618</v>
      </c>
      <c r="EXT43" s="211">
        <f t="shared" si="1488"/>
        <v>103</v>
      </c>
      <c r="EXU43" s="195">
        <v>0</v>
      </c>
      <c r="EXV43" s="49">
        <v>480</v>
      </c>
      <c r="EXW43" s="49">
        <v>0</v>
      </c>
      <c r="EXX43" s="49">
        <v>320</v>
      </c>
      <c r="EXY43" s="49">
        <v>0</v>
      </c>
      <c r="EXZ43" s="49">
        <v>0</v>
      </c>
      <c r="EYA43" s="808">
        <f t="shared" si="1489"/>
        <v>800</v>
      </c>
      <c r="EYB43" s="211">
        <f t="shared" si="1490"/>
        <v>133.33333333333334</v>
      </c>
      <c r="EYC43" s="195">
        <v>320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491"/>
        <v>320</v>
      </c>
      <c r="EYJ43" s="211">
        <f t="shared" si="1492"/>
        <v>53.333333333333336</v>
      </c>
      <c r="EYK43" s="195">
        <v>0</v>
      </c>
      <c r="EYL43" s="49">
        <v>0</v>
      </c>
      <c r="EYM43" s="49">
        <v>0</v>
      </c>
      <c r="EYN43" s="49">
        <v>110</v>
      </c>
      <c r="EYO43" s="49">
        <v>0</v>
      </c>
      <c r="EYP43" s="49">
        <v>0</v>
      </c>
      <c r="EYQ43" s="808">
        <f t="shared" si="1493"/>
        <v>110</v>
      </c>
      <c r="EYR43" s="211">
        <f t="shared" si="1494"/>
        <v>18.333333333333332</v>
      </c>
      <c r="EYS43" s="195">
        <v>0</v>
      </c>
      <c r="EYT43" s="49">
        <v>159</v>
      </c>
      <c r="EYU43" s="49">
        <v>0</v>
      </c>
      <c r="EYV43" s="49">
        <v>200</v>
      </c>
      <c r="EYW43" s="49"/>
      <c r="EYX43" s="49"/>
      <c r="EYY43" s="872">
        <f t="shared" si="1495"/>
        <v>359</v>
      </c>
      <c r="EYZ43" s="873">
        <f t="shared" si="1496"/>
        <v>59.833333333333336</v>
      </c>
      <c r="EZA43" s="195">
        <v>681</v>
      </c>
      <c r="EZB43" s="49">
        <v>0</v>
      </c>
      <c r="EZC43" s="49">
        <v>0</v>
      </c>
      <c r="EZD43" s="49"/>
      <c r="EZE43" s="49">
        <v>0</v>
      </c>
      <c r="EZF43" s="49">
        <v>553</v>
      </c>
      <c r="EZG43" s="872">
        <f t="shared" si="1497"/>
        <v>1234</v>
      </c>
      <c r="EZH43" s="873">
        <f t="shared" si="1498"/>
        <v>205.66666666666666</v>
      </c>
      <c r="EZI43" s="195">
        <v>0</v>
      </c>
      <c r="EZJ43" s="49">
        <v>498</v>
      </c>
      <c r="EZK43" s="49"/>
      <c r="EZL43" s="49"/>
      <c r="EZM43" s="49"/>
      <c r="EZN43" s="49"/>
      <c r="EZO43" s="872">
        <f t="shared" si="1499"/>
        <v>498</v>
      </c>
      <c r="EZP43" s="873">
        <f t="shared" si="1500"/>
        <v>83</v>
      </c>
    </row>
    <row r="44" spans="1:4072" s="8" customFormat="1" ht="13.5" thickBot="1" x14ac:dyDescent="0.25">
      <c r="A44" s="21">
        <v>15</v>
      </c>
      <c r="B44" s="297" t="s">
        <v>29</v>
      </c>
      <c r="C44" s="730" t="s">
        <v>30</v>
      </c>
      <c r="D44" s="297">
        <v>25</v>
      </c>
      <c r="E44" s="24"/>
      <c r="F44" s="24">
        <v>3545</v>
      </c>
      <c r="G44" s="24"/>
      <c r="H44" s="24"/>
      <c r="I44" s="360"/>
      <c r="J44" s="360">
        <f>SUMIF(SUMPK!$B:$B,$B:$B,SUMPK!$O:$O)</f>
        <v>0</v>
      </c>
      <c r="K44" s="24">
        <f t="shared" si="1220"/>
        <v>0</v>
      </c>
      <c r="L44" s="24">
        <f t="shared" si="1505"/>
        <v>3545</v>
      </c>
      <c r="M44" s="15">
        <f t="shared" si="1627"/>
        <v>3545</v>
      </c>
      <c r="N44" s="15">
        <v>141</v>
      </c>
      <c r="O44" s="276">
        <f t="shared" si="1223"/>
        <v>25.141843971631207</v>
      </c>
      <c r="P44" s="712">
        <v>18.5</v>
      </c>
      <c r="Q44" s="276">
        <f t="shared" si="1506"/>
        <v>1149.7297297297296</v>
      </c>
      <c r="R44" s="277">
        <f t="shared" si="1507"/>
        <v>86.15384615384616</v>
      </c>
      <c r="S44" s="222">
        <v>2240</v>
      </c>
      <c r="T44" s="276">
        <f t="shared" si="1628"/>
        <v>41.147321428571423</v>
      </c>
      <c r="U44" s="278"/>
      <c r="V44" s="276">
        <f t="shared" si="1227"/>
        <v>41.147321428571423</v>
      </c>
      <c r="W44" s="279">
        <f t="shared" si="1228"/>
        <v>1</v>
      </c>
      <c r="X44" s="278"/>
      <c r="Y44" s="7"/>
      <c r="Z44" s="7"/>
      <c r="AA44" s="7"/>
      <c r="AB44" s="7"/>
      <c r="AC44" s="662">
        <v>19</v>
      </c>
      <c r="AD44" s="649"/>
      <c r="AE44" s="49"/>
      <c r="AF44" s="49"/>
      <c r="AG44" s="49"/>
      <c r="AH44" s="49"/>
      <c r="AI44" s="49"/>
      <c r="AJ44" s="42">
        <f t="shared" si="1892"/>
        <v>0</v>
      </c>
      <c r="AK44" s="43">
        <f t="shared" si="1893"/>
        <v>0</v>
      </c>
      <c r="AL44" s="48"/>
      <c r="AM44" s="49"/>
      <c r="AN44" s="49"/>
      <c r="AO44" s="49"/>
      <c r="AP44" s="49"/>
      <c r="AQ44" s="49"/>
      <c r="AR44" s="42">
        <f t="shared" si="1894"/>
        <v>0</v>
      </c>
      <c r="AS44" s="43">
        <f t="shared" si="1895"/>
        <v>0</v>
      </c>
      <c r="AT44" s="48"/>
      <c r="AU44" s="49"/>
      <c r="AV44" s="49"/>
      <c r="AW44" s="49"/>
      <c r="AX44" s="49"/>
      <c r="AY44" s="49"/>
      <c r="AZ44" s="42">
        <f t="shared" si="1896"/>
        <v>0</v>
      </c>
      <c r="BA44" s="43">
        <f t="shared" si="1897"/>
        <v>0</v>
      </c>
      <c r="BB44" s="48"/>
      <c r="BC44" s="49"/>
      <c r="BD44" s="49"/>
      <c r="BE44" s="49"/>
      <c r="BF44" s="49"/>
      <c r="BG44" s="49"/>
      <c r="BH44" s="42">
        <f t="shared" si="1898"/>
        <v>0</v>
      </c>
      <c r="BI44" s="43">
        <f t="shared" si="1899"/>
        <v>0</v>
      </c>
      <c r="BJ44" s="48"/>
      <c r="BK44" s="49"/>
      <c r="BL44" s="49"/>
      <c r="BM44" s="49"/>
      <c r="BN44" s="49"/>
      <c r="BO44" s="49"/>
      <c r="BP44" s="42">
        <f t="shared" si="1900"/>
        <v>0</v>
      </c>
      <c r="BQ44" s="43">
        <f t="shared" si="1901"/>
        <v>0</v>
      </c>
      <c r="BR44" s="48"/>
      <c r="BS44" s="49"/>
      <c r="BT44" s="49"/>
      <c r="BU44" s="49"/>
      <c r="BV44" s="49"/>
      <c r="BW44" s="49"/>
      <c r="BX44" s="42">
        <f t="shared" si="1902"/>
        <v>0</v>
      </c>
      <c r="BY44" s="43">
        <f t="shared" si="1903"/>
        <v>0</v>
      </c>
      <c r="BZ44" s="48"/>
      <c r="CA44" s="49"/>
      <c r="CB44" s="49"/>
      <c r="CC44" s="49">
        <v>210</v>
      </c>
      <c r="CD44" s="49"/>
      <c r="CE44" s="49"/>
      <c r="CF44" s="42">
        <f t="shared" si="1904"/>
        <v>210</v>
      </c>
      <c r="CG44" s="43">
        <f t="shared" si="1905"/>
        <v>35</v>
      </c>
      <c r="CH44" s="48"/>
      <c r="CI44" s="49"/>
      <c r="CJ44" s="49"/>
      <c r="CK44" s="49">
        <v>199</v>
      </c>
      <c r="CL44" s="49"/>
      <c r="CM44" s="49"/>
      <c r="CN44" s="42">
        <f t="shared" si="1906"/>
        <v>199</v>
      </c>
      <c r="CO44" s="43">
        <f t="shared" si="1907"/>
        <v>33.166666666666664</v>
      </c>
      <c r="CP44" s="48"/>
      <c r="CQ44" s="49"/>
      <c r="CR44" s="49"/>
      <c r="CS44" s="49"/>
      <c r="CT44" s="49"/>
      <c r="CU44" s="49"/>
      <c r="CV44" s="42">
        <f t="shared" si="1908"/>
        <v>0</v>
      </c>
      <c r="CW44" s="43">
        <f t="shared" si="1909"/>
        <v>0</v>
      </c>
      <c r="CX44" s="48"/>
      <c r="CY44" s="49"/>
      <c r="CZ44" s="49"/>
      <c r="DA44" s="49"/>
      <c r="DB44" s="49"/>
      <c r="DC44" s="49"/>
      <c r="DD44" s="42">
        <f t="shared" si="1910"/>
        <v>0</v>
      </c>
      <c r="DE44" s="43">
        <f t="shared" si="1911"/>
        <v>0</v>
      </c>
      <c r="DF44" s="48"/>
      <c r="DG44" s="49"/>
      <c r="DH44" s="49"/>
      <c r="DI44" s="49"/>
      <c r="DJ44" s="49"/>
      <c r="DK44" s="49">
        <v>181</v>
      </c>
      <c r="DL44" s="42">
        <f t="shared" si="1912"/>
        <v>181</v>
      </c>
      <c r="DM44" s="43">
        <f t="shared" si="1913"/>
        <v>30.166666666666668</v>
      </c>
      <c r="DN44" s="48"/>
      <c r="DO44" s="49"/>
      <c r="DP44" s="49"/>
      <c r="DQ44" s="49"/>
      <c r="DR44" s="49"/>
      <c r="DS44" s="49"/>
      <c r="DT44" s="42">
        <f t="shared" si="1914"/>
        <v>0</v>
      </c>
      <c r="DU44" s="43">
        <f t="shared" si="1915"/>
        <v>0</v>
      </c>
      <c r="DV44" s="48"/>
      <c r="DW44" s="49"/>
      <c r="DX44" s="49"/>
      <c r="DY44" s="49"/>
      <c r="DZ44" s="49"/>
      <c r="EA44" s="49">
        <v>412</v>
      </c>
      <c r="EB44" s="42">
        <f t="shared" si="1916"/>
        <v>412</v>
      </c>
      <c r="EC44" s="43">
        <f t="shared" si="1917"/>
        <v>68.666666666666671</v>
      </c>
      <c r="ED44" s="48"/>
      <c r="EE44" s="49"/>
      <c r="EF44" s="49"/>
      <c r="EG44" s="49"/>
      <c r="EH44" s="49"/>
      <c r="EI44" s="49">
        <v>963</v>
      </c>
      <c r="EJ44" s="42">
        <f t="shared" si="1918"/>
        <v>963</v>
      </c>
      <c r="EK44" s="43">
        <f t="shared" si="1919"/>
        <v>160.5</v>
      </c>
      <c r="EL44" s="48"/>
      <c r="EM44" s="49"/>
      <c r="EN44" s="49"/>
      <c r="EO44" s="49"/>
      <c r="EP44" s="49"/>
      <c r="EQ44" s="49"/>
      <c r="ER44" s="42">
        <f t="shared" si="1920"/>
        <v>0</v>
      </c>
      <c r="ES44" s="43">
        <f t="shared" si="1921"/>
        <v>0</v>
      </c>
      <c r="ET44" s="48"/>
      <c r="EU44" s="49"/>
      <c r="EV44" s="49"/>
      <c r="EW44" s="49"/>
      <c r="EX44" s="49"/>
      <c r="EY44" s="49"/>
      <c r="EZ44" s="42">
        <f t="shared" si="1922"/>
        <v>0</v>
      </c>
      <c r="FA44" s="43">
        <f t="shared" si="1923"/>
        <v>0</v>
      </c>
      <c r="FB44" s="48"/>
      <c r="FC44" s="49"/>
      <c r="FD44" s="49"/>
      <c r="FE44" s="49"/>
      <c r="FF44" s="49"/>
      <c r="FG44" s="49"/>
      <c r="FH44" s="42">
        <f t="shared" si="1924"/>
        <v>0</v>
      </c>
      <c r="FI44" s="43">
        <f t="shared" si="1925"/>
        <v>0</v>
      </c>
      <c r="FJ44" s="48"/>
      <c r="FK44" s="49"/>
      <c r="FL44" s="49"/>
      <c r="FM44" s="49"/>
      <c r="FN44" s="49"/>
      <c r="FO44" s="49"/>
      <c r="FP44" s="42">
        <f t="shared" si="1926"/>
        <v>0</v>
      </c>
      <c r="FQ44" s="43">
        <f t="shared" si="1927"/>
        <v>0</v>
      </c>
      <c r="FR44" s="48"/>
      <c r="FS44" s="49"/>
      <c r="FT44" s="49"/>
      <c r="FU44" s="49"/>
      <c r="FV44" s="49"/>
      <c r="FW44" s="49"/>
      <c r="FX44" s="42">
        <f t="shared" si="1928"/>
        <v>0</v>
      </c>
      <c r="FY44" s="43">
        <f t="shared" si="1929"/>
        <v>0</v>
      </c>
      <c r="FZ44" s="48"/>
      <c r="GA44" s="49">
        <v>300</v>
      </c>
      <c r="GB44" s="49"/>
      <c r="GC44" s="49"/>
      <c r="GD44" s="49"/>
      <c r="GE44" s="49"/>
      <c r="GF44" s="42">
        <f t="shared" si="1930"/>
        <v>300</v>
      </c>
      <c r="GG44" s="43">
        <f t="shared" si="1931"/>
        <v>50</v>
      </c>
      <c r="GH44" s="48"/>
      <c r="GI44" s="49"/>
      <c r="GJ44" s="49"/>
      <c r="GK44" s="49"/>
      <c r="GL44" s="49"/>
      <c r="GM44" s="49"/>
      <c r="GN44" s="42">
        <f t="shared" si="1932"/>
        <v>0</v>
      </c>
      <c r="GO44" s="43">
        <f t="shared" si="1933"/>
        <v>0</v>
      </c>
      <c r="GP44" s="48"/>
      <c r="GQ44" s="49"/>
      <c r="GR44" s="49"/>
      <c r="GS44" s="49">
        <v>400</v>
      </c>
      <c r="GT44" s="49"/>
      <c r="GU44" s="49"/>
      <c r="GV44" s="42">
        <f t="shared" si="1934"/>
        <v>400</v>
      </c>
      <c r="GW44" s="43">
        <f t="shared" si="1935"/>
        <v>66.666666666666671</v>
      </c>
      <c r="GX44" s="48"/>
      <c r="GY44" s="49"/>
      <c r="GZ44" s="49"/>
      <c r="HA44" s="49"/>
      <c r="HB44" s="49"/>
      <c r="HC44" s="49"/>
      <c r="HD44" s="42">
        <f t="shared" si="1936"/>
        <v>0</v>
      </c>
      <c r="HE44" s="43">
        <f t="shared" si="1937"/>
        <v>0</v>
      </c>
      <c r="HF44" s="48"/>
      <c r="HG44" s="49"/>
      <c r="HH44" s="49"/>
      <c r="HI44" s="49"/>
      <c r="HJ44" s="49"/>
      <c r="HK44" s="49"/>
      <c r="HL44" s="42">
        <f t="shared" si="1938"/>
        <v>0</v>
      </c>
      <c r="HM44" s="43">
        <f t="shared" si="1939"/>
        <v>0</v>
      </c>
      <c r="HN44" s="82"/>
      <c r="HO44" s="83"/>
      <c r="HP44" s="83"/>
      <c r="HQ44" s="83"/>
      <c r="HR44" s="83">
        <v>204</v>
      </c>
      <c r="HS44" s="83"/>
      <c r="HT44" s="42">
        <f t="shared" si="1940"/>
        <v>204</v>
      </c>
      <c r="HU44" s="43">
        <f t="shared" si="1941"/>
        <v>34</v>
      </c>
      <c r="HV44" s="48"/>
      <c r="HW44" s="49"/>
      <c r="HX44" s="49"/>
      <c r="HY44" s="49"/>
      <c r="HZ44" s="49"/>
      <c r="IA44" s="49"/>
      <c r="IB44" s="42">
        <f t="shared" si="1942"/>
        <v>0</v>
      </c>
      <c r="IC44" s="43">
        <f t="shared" si="1943"/>
        <v>0</v>
      </c>
      <c r="ID44" s="48"/>
      <c r="IE44" s="49"/>
      <c r="IF44" s="49"/>
      <c r="IG44" s="49"/>
      <c r="IH44" s="49"/>
      <c r="II44" s="49"/>
      <c r="IJ44" s="42">
        <f t="shared" si="1944"/>
        <v>0</v>
      </c>
      <c r="IK44" s="43">
        <f t="shared" si="1945"/>
        <v>0</v>
      </c>
      <c r="IL44" s="48">
        <v>197</v>
      </c>
      <c r="IM44" s="49"/>
      <c r="IN44" s="49"/>
      <c r="IO44" s="49"/>
      <c r="IP44" s="49"/>
      <c r="IQ44" s="49"/>
      <c r="IR44" s="67">
        <f t="shared" si="1946"/>
        <v>197</v>
      </c>
      <c r="IS44" s="68">
        <f t="shared" si="1947"/>
        <v>32.833333333333336</v>
      </c>
      <c r="IT44" s="48"/>
      <c r="IU44" s="49"/>
      <c r="IV44" s="49"/>
      <c r="IW44" s="49">
        <v>211</v>
      </c>
      <c r="IX44" s="49"/>
      <c r="IY44" s="49"/>
      <c r="IZ44" s="67">
        <f t="shared" si="1948"/>
        <v>211</v>
      </c>
      <c r="JA44" s="68">
        <f t="shared" si="1949"/>
        <v>35.166666666666664</v>
      </c>
      <c r="JB44" s="48"/>
      <c r="JC44" s="49">
        <v>200</v>
      </c>
      <c r="JD44" s="49"/>
      <c r="JE44" s="49"/>
      <c r="JF44" s="49"/>
      <c r="JG44" s="49"/>
      <c r="JH44" s="67">
        <f t="shared" si="1950"/>
        <v>200</v>
      </c>
      <c r="JI44" s="68">
        <f t="shared" si="1951"/>
        <v>33.333333333333336</v>
      </c>
      <c r="JJ44" s="48"/>
      <c r="JK44" s="49"/>
      <c r="JL44" s="49"/>
      <c r="JM44" s="49"/>
      <c r="JN44" s="49"/>
      <c r="JO44" s="49"/>
      <c r="JP44" s="42">
        <f t="shared" si="1952"/>
        <v>0</v>
      </c>
      <c r="JQ44" s="43">
        <f t="shared" si="1953"/>
        <v>0</v>
      </c>
      <c r="JR44" s="48"/>
      <c r="JS44" s="49"/>
      <c r="JT44" s="49"/>
      <c r="JU44" s="49"/>
      <c r="JV44" s="49"/>
      <c r="JW44" s="49"/>
      <c r="JX44" s="42">
        <f t="shared" si="1954"/>
        <v>0</v>
      </c>
      <c r="JY44" s="43">
        <f t="shared" si="1955"/>
        <v>0</v>
      </c>
      <c r="JZ44" s="48"/>
      <c r="KA44" s="49"/>
      <c r="KB44" s="49"/>
      <c r="KC44" s="49"/>
      <c r="KD44" s="49"/>
      <c r="KE44" s="49"/>
      <c r="KF44" s="42">
        <f t="shared" si="1956"/>
        <v>0</v>
      </c>
      <c r="KG44" s="43">
        <f t="shared" si="1957"/>
        <v>0</v>
      </c>
      <c r="KH44" s="48"/>
      <c r="KI44" s="49"/>
      <c r="KJ44" s="49"/>
      <c r="KK44" s="49"/>
      <c r="KL44" s="49"/>
      <c r="KM44" s="49"/>
      <c r="KN44" s="67">
        <f t="shared" si="1958"/>
        <v>0</v>
      </c>
      <c r="KO44" s="68">
        <f t="shared" si="1959"/>
        <v>0</v>
      </c>
      <c r="KP44" s="48"/>
      <c r="KQ44" s="49"/>
      <c r="KR44" s="49"/>
      <c r="KS44" s="49">
        <v>210</v>
      </c>
      <c r="KT44" s="49"/>
      <c r="KU44" s="49"/>
      <c r="KV44" s="67">
        <f t="shared" si="1960"/>
        <v>210</v>
      </c>
      <c r="KW44" s="68">
        <f t="shared" si="1961"/>
        <v>35</v>
      </c>
      <c r="KX44" s="48"/>
      <c r="KY44" s="49"/>
      <c r="KZ44" s="49"/>
      <c r="LA44" s="49"/>
      <c r="LB44" s="49"/>
      <c r="LC44" s="49"/>
      <c r="LD44" s="67">
        <f t="shared" si="1962"/>
        <v>0</v>
      </c>
      <c r="LE44" s="68">
        <f t="shared" si="1963"/>
        <v>0</v>
      </c>
      <c r="LF44" s="48"/>
      <c r="LG44" s="49"/>
      <c r="LH44" s="49"/>
      <c r="LI44" s="49"/>
      <c r="LJ44" s="49"/>
      <c r="LK44" s="49"/>
      <c r="LL44" s="67">
        <f t="shared" si="1964"/>
        <v>0</v>
      </c>
      <c r="LM44" s="68">
        <f t="shared" si="1965"/>
        <v>0</v>
      </c>
      <c r="LN44" s="48"/>
      <c r="LO44" s="49"/>
      <c r="LP44" s="49"/>
      <c r="LQ44" s="49"/>
      <c r="LR44" s="49"/>
      <c r="LS44" s="49"/>
      <c r="LT44" s="67">
        <f t="shared" si="1966"/>
        <v>0</v>
      </c>
      <c r="LU44" s="68">
        <f t="shared" si="1967"/>
        <v>0</v>
      </c>
      <c r="LV44" s="48"/>
      <c r="LW44" s="49"/>
      <c r="LX44" s="49"/>
      <c r="LY44" s="49"/>
      <c r="LZ44" s="49"/>
      <c r="MA44" s="49"/>
      <c r="MB44" s="67">
        <f t="shared" si="1968"/>
        <v>0</v>
      </c>
      <c r="MC44" s="68">
        <f t="shared" si="1969"/>
        <v>0</v>
      </c>
      <c r="MD44" s="48"/>
      <c r="ME44" s="49"/>
      <c r="MF44" s="49"/>
      <c r="MG44" s="49"/>
      <c r="MH44" s="49">
        <v>200</v>
      </c>
      <c r="MI44" s="49"/>
      <c r="MJ44" s="67">
        <f t="shared" si="1970"/>
        <v>200</v>
      </c>
      <c r="MK44" s="68">
        <f t="shared" si="1971"/>
        <v>33.333333333333336</v>
      </c>
      <c r="ML44" s="48"/>
      <c r="MM44" s="49"/>
      <c r="MN44" s="49"/>
      <c r="MO44" s="49"/>
      <c r="MP44" s="49"/>
      <c r="MQ44" s="49"/>
      <c r="MR44" s="67">
        <f t="shared" si="1972"/>
        <v>0</v>
      </c>
      <c r="MS44" s="68">
        <f t="shared" si="1973"/>
        <v>0</v>
      </c>
      <c r="MT44" s="48"/>
      <c r="MU44" s="49"/>
      <c r="MV44" s="49"/>
      <c r="MW44" s="49"/>
      <c r="MX44" s="49"/>
      <c r="MY44" s="49"/>
      <c r="MZ44" s="67">
        <f t="shared" si="1974"/>
        <v>0</v>
      </c>
      <c r="NA44" s="68">
        <f t="shared" si="1975"/>
        <v>0</v>
      </c>
      <c r="NB44" s="48"/>
      <c r="NC44" s="49"/>
      <c r="ND44" s="49"/>
      <c r="NE44" s="49"/>
      <c r="NF44" s="49">
        <v>212</v>
      </c>
      <c r="NG44" s="49"/>
      <c r="NH44" s="67">
        <f t="shared" si="1976"/>
        <v>212</v>
      </c>
      <c r="NI44" s="68">
        <f t="shared" si="1977"/>
        <v>35.333333333333336</v>
      </c>
      <c r="NJ44" s="48"/>
      <c r="NK44" s="49"/>
      <c r="NL44" s="49"/>
      <c r="NM44" s="49"/>
      <c r="NN44" s="49"/>
      <c r="NO44" s="49"/>
      <c r="NP44" s="67">
        <f t="shared" si="1978"/>
        <v>0</v>
      </c>
      <c r="NQ44" s="68">
        <f t="shared" si="1979"/>
        <v>0</v>
      </c>
      <c r="NR44" s="48"/>
      <c r="NS44" s="49"/>
      <c r="NT44" s="49"/>
      <c r="NU44" s="49"/>
      <c r="NV44" s="49"/>
      <c r="NW44" s="49"/>
      <c r="NX44" s="67">
        <f t="shared" si="1980"/>
        <v>0</v>
      </c>
      <c r="NY44" s="68">
        <f t="shared" si="1981"/>
        <v>0</v>
      </c>
      <c r="NZ44" s="48"/>
      <c r="OA44" s="49"/>
      <c r="OB44" s="49"/>
      <c r="OC44" s="49"/>
      <c r="OD44" s="49"/>
      <c r="OE44" s="49"/>
      <c r="OF44" s="67">
        <f t="shared" si="1982"/>
        <v>0</v>
      </c>
      <c r="OG44" s="68">
        <f t="shared" si="1983"/>
        <v>0</v>
      </c>
      <c r="OH44" s="48"/>
      <c r="OI44" s="49"/>
      <c r="OJ44" s="49"/>
      <c r="OK44" s="49"/>
      <c r="OL44" s="49"/>
      <c r="OM44" s="49">
        <v>200</v>
      </c>
      <c r="ON44" s="67">
        <f t="shared" si="1984"/>
        <v>200</v>
      </c>
      <c r="OO44" s="68">
        <f t="shared" si="1985"/>
        <v>33.333333333333336</v>
      </c>
      <c r="OP44" s="48"/>
      <c r="OQ44" s="49"/>
      <c r="OR44" s="49"/>
      <c r="OS44" s="49"/>
      <c r="OT44" s="49"/>
      <c r="OU44" s="49"/>
      <c r="OV44" s="67">
        <f t="shared" si="1986"/>
        <v>0</v>
      </c>
      <c r="OW44" s="68">
        <f t="shared" si="1987"/>
        <v>0</v>
      </c>
      <c r="OX44" s="48"/>
      <c r="OY44" s="49"/>
      <c r="OZ44" s="49"/>
      <c r="PA44" s="49"/>
      <c r="PB44" s="49"/>
      <c r="PC44" s="49"/>
      <c r="PD44" s="67">
        <f t="shared" si="1988"/>
        <v>0</v>
      </c>
      <c r="PE44" s="68">
        <f t="shared" si="1989"/>
        <v>0</v>
      </c>
      <c r="PF44" s="48"/>
      <c r="PG44" s="49"/>
      <c r="PH44" s="49"/>
      <c r="PI44" s="49"/>
      <c r="PJ44" s="49"/>
      <c r="PK44" s="49"/>
      <c r="PL44" s="67">
        <f t="shared" si="1990"/>
        <v>0</v>
      </c>
      <c r="PM44" s="68">
        <f t="shared" si="1991"/>
        <v>0</v>
      </c>
      <c r="PN44" s="48"/>
      <c r="PO44" s="49"/>
      <c r="PP44" s="49"/>
      <c r="PQ44" s="49"/>
      <c r="PR44" s="49"/>
      <c r="PS44" s="49"/>
      <c r="PT44" s="67">
        <f t="shared" si="1992"/>
        <v>0</v>
      </c>
      <c r="PU44" s="68">
        <f t="shared" si="1993"/>
        <v>0</v>
      </c>
      <c r="PV44" s="106"/>
      <c r="PW44" s="107"/>
      <c r="PX44" s="107"/>
      <c r="PY44" s="107"/>
      <c r="PZ44" s="107"/>
      <c r="QA44" s="107"/>
      <c r="QB44" s="104">
        <f t="shared" si="1994"/>
        <v>0</v>
      </c>
      <c r="QC44" s="105">
        <f t="shared" si="1995"/>
        <v>0</v>
      </c>
      <c r="QD44" s="106"/>
      <c r="QE44" s="107"/>
      <c r="QF44" s="107"/>
      <c r="QG44" s="107"/>
      <c r="QH44" s="107"/>
      <c r="QI44" s="107"/>
      <c r="QJ44" s="104">
        <f t="shared" si="1996"/>
        <v>0</v>
      </c>
      <c r="QK44" s="105">
        <f t="shared" si="1997"/>
        <v>0</v>
      </c>
      <c r="QL44" s="106"/>
      <c r="QM44" s="107"/>
      <c r="QN44" s="107"/>
      <c r="QO44" s="107"/>
      <c r="QP44" s="107"/>
      <c r="QQ44" s="107"/>
      <c r="QR44" s="104">
        <f t="shared" si="1998"/>
        <v>0</v>
      </c>
      <c r="QS44" s="105">
        <f t="shared" si="1999"/>
        <v>0</v>
      </c>
      <c r="QT44" s="106"/>
      <c r="QU44" s="107"/>
      <c r="QV44" s="107">
        <v>187</v>
      </c>
      <c r="QW44" s="107"/>
      <c r="QX44" s="107"/>
      <c r="QY44" s="107"/>
      <c r="QZ44" s="104">
        <f t="shared" si="2000"/>
        <v>187</v>
      </c>
      <c r="RA44" s="105">
        <f t="shared" si="2001"/>
        <v>31.166666666666668</v>
      </c>
      <c r="RB44" s="106"/>
      <c r="RC44" s="107"/>
      <c r="RD44" s="107"/>
      <c r="RE44" s="107"/>
      <c r="RF44" s="107"/>
      <c r="RG44" s="107"/>
      <c r="RH44" s="104">
        <f t="shared" si="2002"/>
        <v>0</v>
      </c>
      <c r="RI44" s="105">
        <f t="shared" si="2003"/>
        <v>0</v>
      </c>
      <c r="RJ44" s="106"/>
      <c r="RK44" s="107"/>
      <c r="RL44" s="107"/>
      <c r="RM44" s="107"/>
      <c r="RN44" s="107"/>
      <c r="RO44" s="107"/>
      <c r="RP44" s="104">
        <f t="shared" si="2004"/>
        <v>0</v>
      </c>
      <c r="RQ44" s="105">
        <f t="shared" si="2005"/>
        <v>0</v>
      </c>
      <c r="RR44" s="106"/>
      <c r="RS44" s="107"/>
      <c r="RT44" s="107"/>
      <c r="RU44" s="107"/>
      <c r="RV44" s="107"/>
      <c r="RW44" s="107"/>
      <c r="RX44" s="104">
        <f t="shared" si="2006"/>
        <v>0</v>
      </c>
      <c r="RY44" s="105">
        <f t="shared" si="2007"/>
        <v>0</v>
      </c>
      <c r="RZ44" s="106"/>
      <c r="SA44" s="107"/>
      <c r="SB44" s="107"/>
      <c r="SC44" s="107"/>
      <c r="SD44" s="107"/>
      <c r="SE44" s="107"/>
      <c r="SF44" s="104">
        <f t="shared" si="2008"/>
        <v>0</v>
      </c>
      <c r="SG44" s="105">
        <f t="shared" si="2009"/>
        <v>0</v>
      </c>
      <c r="SH44" s="106"/>
      <c r="SI44" s="107"/>
      <c r="SJ44" s="107"/>
      <c r="SK44" s="107"/>
      <c r="SL44" s="107"/>
      <c r="SM44" s="107"/>
      <c r="SN44" s="104">
        <f t="shared" si="2010"/>
        <v>0</v>
      </c>
      <c r="SO44" s="105">
        <f t="shared" si="2011"/>
        <v>0</v>
      </c>
      <c r="SP44" s="106"/>
      <c r="SQ44" s="107"/>
      <c r="SR44" s="107"/>
      <c r="SS44" s="107"/>
      <c r="ST44" s="107"/>
      <c r="SU44" s="107"/>
      <c r="SV44" s="104">
        <f t="shared" si="2012"/>
        <v>0</v>
      </c>
      <c r="SW44" s="105">
        <f t="shared" si="2013"/>
        <v>0</v>
      </c>
      <c r="SX44" s="106"/>
      <c r="SY44" s="107"/>
      <c r="SZ44" s="107"/>
      <c r="TA44" s="107"/>
      <c r="TB44" s="107"/>
      <c r="TC44" s="107"/>
      <c r="TD44" s="104">
        <f t="shared" si="2014"/>
        <v>0</v>
      </c>
      <c r="TE44" s="105">
        <f t="shared" si="2015"/>
        <v>0</v>
      </c>
      <c r="TF44" s="106"/>
      <c r="TG44" s="107"/>
      <c r="TH44" s="107"/>
      <c r="TI44" s="107"/>
      <c r="TJ44" s="107"/>
      <c r="TK44" s="107"/>
      <c r="TL44" s="104">
        <f t="shared" si="2016"/>
        <v>0</v>
      </c>
      <c r="TM44" s="105">
        <f t="shared" si="2017"/>
        <v>0</v>
      </c>
      <c r="TN44" s="130"/>
      <c r="TO44" s="107"/>
      <c r="TP44" s="107"/>
      <c r="TQ44" s="107"/>
      <c r="TR44" s="107"/>
      <c r="TS44" s="107"/>
      <c r="TT44" s="104">
        <f t="shared" si="2018"/>
        <v>0</v>
      </c>
      <c r="TU44" s="105">
        <f t="shared" si="2019"/>
        <v>0</v>
      </c>
      <c r="TV44" s="106"/>
      <c r="TW44" s="107"/>
      <c r="TX44" s="107"/>
      <c r="TY44" s="107">
        <v>200</v>
      </c>
      <c r="TZ44" s="107"/>
      <c r="UA44" s="107"/>
      <c r="UB44" s="104">
        <f t="shared" si="2020"/>
        <v>200</v>
      </c>
      <c r="UC44" s="105">
        <f t="shared" si="2021"/>
        <v>33.333333333333336</v>
      </c>
      <c r="UD44" s="106"/>
      <c r="UE44" s="107"/>
      <c r="UF44" s="107"/>
      <c r="UG44" s="107"/>
      <c r="UH44" s="107">
        <v>204</v>
      </c>
      <c r="UI44" s="107"/>
      <c r="UJ44" s="104">
        <f t="shared" si="2022"/>
        <v>204</v>
      </c>
      <c r="UK44" s="105">
        <f t="shared" si="2023"/>
        <v>34</v>
      </c>
      <c r="UL44" s="106"/>
      <c r="UM44" s="107"/>
      <c r="UN44" s="107"/>
      <c r="UO44" s="107"/>
      <c r="UP44" s="107"/>
      <c r="UQ44" s="107"/>
      <c r="UR44" s="107">
        <v>199</v>
      </c>
      <c r="US44" s="104">
        <f t="shared" si="1579"/>
        <v>199</v>
      </c>
      <c r="UT44" s="105">
        <f t="shared" si="2024"/>
        <v>33.166666666666664</v>
      </c>
      <c r="UU44" s="106"/>
      <c r="UV44" s="107"/>
      <c r="UW44" s="107"/>
      <c r="UX44" s="107"/>
      <c r="UY44" s="107"/>
      <c r="UZ44" s="107"/>
      <c r="VA44" s="104">
        <f t="shared" si="2025"/>
        <v>0</v>
      </c>
      <c r="VB44" s="105">
        <f t="shared" si="2026"/>
        <v>0</v>
      </c>
      <c r="VC44" s="106"/>
      <c r="VD44" s="107"/>
      <c r="VE44" s="107"/>
      <c r="VF44" s="107"/>
      <c r="VG44" s="107">
        <v>197</v>
      </c>
      <c r="VH44" s="107"/>
      <c r="VI44" s="104">
        <f t="shared" si="2027"/>
        <v>197</v>
      </c>
      <c r="VJ44" s="105">
        <f t="shared" si="2028"/>
        <v>32.833333333333336</v>
      </c>
      <c r="VK44" s="48"/>
      <c r="VL44" s="49"/>
      <c r="VM44" s="49"/>
      <c r="VN44" s="49"/>
      <c r="VO44" s="49">
        <v>199</v>
      </c>
      <c r="VP44" s="49"/>
      <c r="VQ44" s="67">
        <f t="shared" si="2029"/>
        <v>199</v>
      </c>
      <c r="VR44" s="68">
        <f t="shared" si="2030"/>
        <v>33.166666666666664</v>
      </c>
      <c r="VS44" s="106"/>
      <c r="VT44" s="107"/>
      <c r="VU44" s="107"/>
      <c r="VV44" s="107"/>
      <c r="VW44" s="107"/>
      <c r="VX44" s="107"/>
      <c r="VY44" s="104">
        <f t="shared" si="2031"/>
        <v>0</v>
      </c>
      <c r="VZ44" s="105">
        <f t="shared" si="2032"/>
        <v>0</v>
      </c>
      <c r="WA44" s="63"/>
      <c r="WB44" s="64"/>
      <c r="WC44" s="64"/>
      <c r="WD44" s="64"/>
      <c r="WE44" s="64"/>
      <c r="WF44" s="64"/>
      <c r="WG44" s="67">
        <f t="shared" si="2033"/>
        <v>0</v>
      </c>
      <c r="WH44" s="68">
        <f t="shared" si="2034"/>
        <v>0</v>
      </c>
      <c r="WI44" s="106"/>
      <c r="WJ44" s="107"/>
      <c r="WK44" s="107"/>
      <c r="WL44" s="107"/>
      <c r="WM44" s="107"/>
      <c r="WN44" s="107"/>
      <c r="WO44" s="104">
        <f t="shared" si="2035"/>
        <v>0</v>
      </c>
      <c r="WP44" s="105">
        <f t="shared" si="2036"/>
        <v>0</v>
      </c>
      <c r="WQ44" s="48"/>
      <c r="WR44" s="49"/>
      <c r="WS44" s="49"/>
      <c r="WT44" s="49"/>
      <c r="WU44" s="49"/>
      <c r="WV44" s="49"/>
      <c r="WW44" s="49"/>
      <c r="WX44" s="67">
        <f t="shared" si="2037"/>
        <v>0</v>
      </c>
      <c r="WY44" s="68">
        <f t="shared" si="2038"/>
        <v>0</v>
      </c>
      <c r="WZ44" s="48"/>
      <c r="XA44" s="49"/>
      <c r="XB44" s="49"/>
      <c r="XC44" s="49"/>
      <c r="XD44" s="49"/>
      <c r="XE44" s="49"/>
      <c r="XF44" s="49"/>
      <c r="XG44" s="67">
        <f t="shared" si="2039"/>
        <v>0</v>
      </c>
      <c r="XH44" s="68">
        <f t="shared" si="2040"/>
        <v>0</v>
      </c>
      <c r="XI44" s="48">
        <v>190</v>
      </c>
      <c r="XJ44" s="49"/>
      <c r="XK44" s="49"/>
      <c r="XL44" s="49"/>
      <c r="XM44" s="49"/>
      <c r="XN44" s="49"/>
      <c r="XO44" s="49"/>
      <c r="XP44" s="67">
        <f t="shared" si="2041"/>
        <v>0</v>
      </c>
      <c r="XQ44" s="68">
        <f t="shared" si="2042"/>
        <v>0</v>
      </c>
      <c r="XR44" s="48"/>
      <c r="XS44" s="49"/>
      <c r="XT44" s="49"/>
      <c r="XU44" s="49"/>
      <c r="XV44" s="49"/>
      <c r="XW44" s="49"/>
      <c r="XX44" s="49"/>
      <c r="XY44" s="67">
        <f t="shared" si="2043"/>
        <v>0</v>
      </c>
      <c r="XZ44" s="68">
        <f t="shared" si="2044"/>
        <v>0</v>
      </c>
      <c r="YA44" s="48"/>
      <c r="YB44" s="49"/>
      <c r="YC44" s="49"/>
      <c r="YD44" s="49"/>
      <c r="YE44" s="49"/>
      <c r="YF44" s="49"/>
      <c r="YG44" s="49">
        <v>200</v>
      </c>
      <c r="YH44" s="67">
        <f t="shared" si="2045"/>
        <v>200</v>
      </c>
      <c r="YI44" s="68">
        <f t="shared" si="2046"/>
        <v>33.333333333333336</v>
      </c>
      <c r="YJ44" s="48"/>
      <c r="YK44" s="49"/>
      <c r="YL44" s="49"/>
      <c r="YM44" s="49"/>
      <c r="YN44" s="49"/>
      <c r="YO44" s="49"/>
      <c r="YP44" s="49"/>
      <c r="YQ44" s="67">
        <f t="shared" si="2047"/>
        <v>0</v>
      </c>
      <c r="YR44" s="68">
        <f t="shared" si="2048"/>
        <v>0</v>
      </c>
      <c r="YS44" s="48"/>
      <c r="YT44" s="49"/>
      <c r="YU44" s="49"/>
      <c r="YV44" s="49"/>
      <c r="YW44" s="49"/>
      <c r="YX44" s="49"/>
      <c r="YY44" s="67">
        <f t="shared" si="2049"/>
        <v>0</v>
      </c>
      <c r="YZ44" s="68">
        <f t="shared" si="2050"/>
        <v>0</v>
      </c>
      <c r="ZA44" s="48"/>
      <c r="ZB44" s="49"/>
      <c r="ZC44" s="49"/>
      <c r="ZD44" s="49"/>
      <c r="ZE44" s="49"/>
      <c r="ZF44" s="49"/>
      <c r="ZG44" s="67">
        <f t="shared" si="2051"/>
        <v>0</v>
      </c>
      <c r="ZH44" s="68">
        <f t="shared" si="2052"/>
        <v>0</v>
      </c>
      <c r="ZI44" s="48"/>
      <c r="ZJ44" s="49"/>
      <c r="ZK44" s="49"/>
      <c r="ZL44" s="49"/>
      <c r="ZM44" s="49"/>
      <c r="ZN44" s="24"/>
      <c r="ZO44" s="67">
        <f t="shared" si="2053"/>
        <v>0</v>
      </c>
      <c r="ZP44" s="68">
        <f t="shared" si="2054"/>
        <v>0</v>
      </c>
      <c r="ZQ44" s="48"/>
      <c r="ZR44" s="49"/>
      <c r="ZS44" s="49"/>
      <c r="ZT44" s="49">
        <v>160</v>
      </c>
      <c r="ZU44" s="49"/>
      <c r="ZV44" s="49"/>
      <c r="ZW44" s="49"/>
      <c r="ZX44" s="67">
        <f t="shared" si="2055"/>
        <v>160</v>
      </c>
      <c r="ZY44" s="70">
        <f t="shared" si="2056"/>
        <v>26.666666666666668</v>
      </c>
      <c r="ZZ44" s="48"/>
      <c r="AAA44" s="49"/>
      <c r="AAB44" s="49"/>
      <c r="AAC44" s="49"/>
      <c r="AAD44" s="49"/>
      <c r="AAE44" s="49"/>
      <c r="AAF44" s="49"/>
      <c r="AAG44" s="67">
        <f t="shared" si="2057"/>
        <v>0</v>
      </c>
      <c r="AAH44" s="68">
        <f t="shared" si="2058"/>
        <v>0</v>
      </c>
      <c r="AAI44" s="48"/>
      <c r="AAJ44" s="49"/>
      <c r="AAK44" s="49"/>
      <c r="AAL44" s="49"/>
      <c r="AAM44" s="49"/>
      <c r="AAN44" s="49">
        <v>200</v>
      </c>
      <c r="AAO44" s="67">
        <f t="shared" si="2059"/>
        <v>200</v>
      </c>
      <c r="AAP44" s="68">
        <f t="shared" si="2060"/>
        <v>33.333333333333336</v>
      </c>
      <c r="AAQ44" s="48"/>
      <c r="AAR44" s="49"/>
      <c r="AAS44" s="49"/>
      <c r="AAT44" s="49"/>
      <c r="AAU44" s="49"/>
      <c r="AAV44" s="49"/>
      <c r="AAW44" s="67">
        <f t="shared" si="2061"/>
        <v>0</v>
      </c>
      <c r="AAX44" s="68">
        <f t="shared" si="2062"/>
        <v>0</v>
      </c>
      <c r="AAY44" s="48"/>
      <c r="AAZ44" s="49"/>
      <c r="ABA44" s="49"/>
      <c r="ABB44" s="49"/>
      <c r="ABC44" s="49"/>
      <c r="ABD44" s="49"/>
      <c r="ABE44" s="67">
        <f t="shared" si="2063"/>
        <v>0</v>
      </c>
      <c r="ABF44" s="68">
        <f t="shared" si="2064"/>
        <v>0</v>
      </c>
      <c r="ABG44" s="48"/>
      <c r="ABH44" s="49"/>
      <c r="ABI44" s="49"/>
      <c r="ABJ44" s="49"/>
      <c r="ABK44" s="49"/>
      <c r="ABL44" s="49"/>
      <c r="ABM44" s="67">
        <f t="shared" si="2065"/>
        <v>0</v>
      </c>
      <c r="ABN44" s="68">
        <f t="shared" si="2066"/>
        <v>0</v>
      </c>
      <c r="ABO44" s="48"/>
      <c r="ABP44" s="49"/>
      <c r="ABQ44" s="49"/>
      <c r="ABR44" s="49"/>
      <c r="ABS44" s="49"/>
      <c r="ABT44" s="49"/>
      <c r="ABU44" s="67">
        <f t="shared" si="2067"/>
        <v>0</v>
      </c>
      <c r="ABV44" s="68">
        <f t="shared" si="2068"/>
        <v>0</v>
      </c>
      <c r="ABW44" s="48"/>
      <c r="ABX44" s="49"/>
      <c r="ABY44" s="49"/>
      <c r="ABZ44" s="49"/>
      <c r="ACA44" s="49"/>
      <c r="ACB44" s="49"/>
      <c r="ACC44" s="67">
        <f t="shared" si="2069"/>
        <v>0</v>
      </c>
      <c r="ACD44" s="68">
        <f t="shared" si="2070"/>
        <v>0</v>
      </c>
      <c r="ACE44" s="48"/>
      <c r="ACF44" s="49"/>
      <c r="ACG44" s="49"/>
      <c r="ACH44" s="49"/>
      <c r="ACI44" s="49"/>
      <c r="ACJ44" s="49"/>
      <c r="ACK44" s="67">
        <f t="shared" si="2071"/>
        <v>0</v>
      </c>
      <c r="ACL44" s="68">
        <f t="shared" si="2072"/>
        <v>0</v>
      </c>
      <c r="ACM44" s="48"/>
      <c r="ACN44" s="49"/>
      <c r="ACO44" s="49"/>
      <c r="ACP44" s="49">
        <v>194</v>
      </c>
      <c r="ACQ44" s="49"/>
      <c r="ACR44" s="49"/>
      <c r="ACS44" s="67">
        <f t="shared" si="2073"/>
        <v>194</v>
      </c>
      <c r="ACT44" s="68">
        <f t="shared" si="2074"/>
        <v>32.333333333333336</v>
      </c>
      <c r="ACU44" s="48"/>
      <c r="ACV44" s="49"/>
      <c r="ACW44" s="49"/>
      <c r="ACX44" s="49"/>
      <c r="ACY44" s="49"/>
      <c r="ACZ44" s="49"/>
      <c r="ADA44" s="67">
        <f t="shared" si="2075"/>
        <v>0</v>
      </c>
      <c r="ADB44" s="68">
        <f t="shared" si="2076"/>
        <v>0</v>
      </c>
      <c r="ADC44" s="48"/>
      <c r="ADD44" s="49"/>
      <c r="ADE44" s="49"/>
      <c r="ADF44" s="49"/>
      <c r="ADG44" s="49"/>
      <c r="ADH44" s="49"/>
      <c r="ADI44" s="67">
        <f t="shared" si="2077"/>
        <v>0</v>
      </c>
      <c r="ADJ44" s="68">
        <f t="shared" si="2078"/>
        <v>0</v>
      </c>
      <c r="ADK44" s="48"/>
      <c r="ADL44" s="49"/>
      <c r="ADM44" s="49"/>
      <c r="ADN44" s="49"/>
      <c r="ADO44" s="49"/>
      <c r="ADP44" s="49"/>
      <c r="ADQ44" s="67">
        <f t="shared" si="2079"/>
        <v>0</v>
      </c>
      <c r="ADR44" s="68">
        <f t="shared" si="2080"/>
        <v>0</v>
      </c>
      <c r="ADS44" s="48"/>
      <c r="ADT44" s="49"/>
      <c r="ADU44" s="49"/>
      <c r="ADV44" s="49"/>
      <c r="ADW44" s="49"/>
      <c r="ADX44" s="49"/>
      <c r="ADY44" s="67">
        <f t="shared" si="2081"/>
        <v>0</v>
      </c>
      <c r="ADZ44" s="68">
        <f t="shared" si="2082"/>
        <v>0</v>
      </c>
      <c r="AEA44" s="48"/>
      <c r="AEB44" s="49"/>
      <c r="AEC44" s="49"/>
      <c r="AED44" s="49"/>
      <c r="AEE44" s="49"/>
      <c r="AEF44" s="49"/>
      <c r="AEG44" s="67">
        <f t="shared" si="2083"/>
        <v>0</v>
      </c>
      <c r="AEH44" s="68">
        <f t="shared" si="2084"/>
        <v>0</v>
      </c>
      <c r="AEI44" s="48"/>
      <c r="AEJ44" s="49"/>
      <c r="AEK44" s="49"/>
      <c r="AEL44" s="49"/>
      <c r="AEM44" s="49"/>
      <c r="AEN44" s="49"/>
      <c r="AEO44" s="67">
        <f t="shared" si="2085"/>
        <v>0</v>
      </c>
      <c r="AEP44" s="68">
        <f t="shared" si="2086"/>
        <v>0</v>
      </c>
      <c r="AEQ44" s="48"/>
      <c r="AER44" s="49"/>
      <c r="AES44" s="49"/>
      <c r="AET44" s="49"/>
      <c r="AEU44" s="49"/>
      <c r="AEV44" s="49"/>
      <c r="AEW44" s="67">
        <f t="shared" si="2087"/>
        <v>0</v>
      </c>
      <c r="AEX44" s="68">
        <f t="shared" si="2088"/>
        <v>0</v>
      </c>
      <c r="AEY44" s="48"/>
      <c r="AEZ44" s="49"/>
      <c r="AFA44" s="49"/>
      <c r="AFB44" s="49"/>
      <c r="AFC44" s="49"/>
      <c r="AFD44" s="49"/>
      <c r="AFE44" s="67">
        <f t="shared" si="2089"/>
        <v>0</v>
      </c>
      <c r="AFF44" s="68">
        <f t="shared" si="2090"/>
        <v>0</v>
      </c>
      <c r="AFG44" s="48"/>
      <c r="AFH44" s="49"/>
      <c r="AFI44" s="49"/>
      <c r="AFJ44" s="49"/>
      <c r="AFK44" s="49"/>
      <c r="AFL44" s="49">
        <v>110</v>
      </c>
      <c r="AFM44" s="67">
        <f t="shared" si="2091"/>
        <v>110</v>
      </c>
      <c r="AFN44" s="68">
        <f t="shared" si="2092"/>
        <v>18.333333333333332</v>
      </c>
      <c r="AFO44" s="48"/>
      <c r="AFP44" s="49"/>
      <c r="AFQ44" s="49"/>
      <c r="AFR44" s="49"/>
      <c r="AFS44" s="49"/>
      <c r="AFT44" s="49"/>
      <c r="AFU44" s="67">
        <f t="shared" si="2093"/>
        <v>0</v>
      </c>
      <c r="AFV44" s="68">
        <f t="shared" si="2094"/>
        <v>0</v>
      </c>
      <c r="AFW44" s="48"/>
      <c r="AFX44" s="49"/>
      <c r="AFY44" s="49"/>
      <c r="AFZ44" s="49"/>
      <c r="AGA44" s="49"/>
      <c r="AGB44" s="49"/>
      <c r="AGC44" s="67">
        <f t="shared" si="2095"/>
        <v>0</v>
      </c>
      <c r="AGD44" s="68">
        <f t="shared" si="2096"/>
        <v>0</v>
      </c>
      <c r="AGE44" s="48"/>
      <c r="AGF44" s="49"/>
      <c r="AGG44" s="49"/>
      <c r="AGH44" s="49"/>
      <c r="AGI44" s="49"/>
      <c r="AGJ44" s="49"/>
      <c r="AGK44" s="67">
        <f t="shared" si="2097"/>
        <v>0</v>
      </c>
      <c r="AGL44" s="68">
        <f t="shared" si="2098"/>
        <v>0</v>
      </c>
      <c r="AGM44" s="48"/>
      <c r="AGN44" s="49"/>
      <c r="AGO44" s="49"/>
      <c r="AGP44" s="49"/>
      <c r="AGQ44" s="49"/>
      <c r="AGR44" s="49"/>
      <c r="AGS44" s="49"/>
      <c r="AGT44" s="67">
        <f t="shared" si="2099"/>
        <v>0</v>
      </c>
      <c r="AGU44" s="68">
        <f t="shared" si="2100"/>
        <v>0</v>
      </c>
      <c r="AGV44" s="48"/>
      <c r="AGW44" s="49"/>
      <c r="AGX44" s="49"/>
      <c r="AGY44" s="49"/>
      <c r="AGZ44" s="49"/>
      <c r="AHA44" s="49"/>
      <c r="AHB44" s="67">
        <f t="shared" si="2101"/>
        <v>0</v>
      </c>
      <c r="AHC44" s="68">
        <f t="shared" si="2102"/>
        <v>0</v>
      </c>
      <c r="AHD44" s="48"/>
      <c r="AHE44" s="49"/>
      <c r="AHF44" s="49"/>
      <c r="AHG44" s="49"/>
      <c r="AHH44" s="49"/>
      <c r="AHI44" s="49"/>
      <c r="AHJ44" s="67">
        <f t="shared" si="2103"/>
        <v>0</v>
      </c>
      <c r="AHK44" s="68">
        <f t="shared" si="2104"/>
        <v>0</v>
      </c>
      <c r="AHL44" s="48"/>
      <c r="AHM44" s="49"/>
      <c r="AHN44" s="49"/>
      <c r="AHO44" s="49"/>
      <c r="AHP44" s="49"/>
      <c r="AHQ44" s="49"/>
      <c r="AHR44" s="67">
        <f t="shared" si="2105"/>
        <v>0</v>
      </c>
      <c r="AHS44" s="68">
        <f t="shared" si="2106"/>
        <v>0</v>
      </c>
      <c r="AHT44" s="48"/>
      <c r="AHU44" s="49"/>
      <c r="AHV44" s="49"/>
      <c r="AHW44" s="49"/>
      <c r="AHX44" s="49"/>
      <c r="AHY44" s="49"/>
      <c r="AHZ44" s="67">
        <f t="shared" si="2107"/>
        <v>0</v>
      </c>
      <c r="AIA44" s="68">
        <f t="shared" si="2108"/>
        <v>0</v>
      </c>
      <c r="AIB44" s="48"/>
      <c r="AIC44" s="49"/>
      <c r="AID44" s="49"/>
      <c r="AIE44" s="49"/>
      <c r="AIF44" s="49"/>
      <c r="AIG44" s="49"/>
      <c r="AIH44" s="67">
        <f t="shared" si="2109"/>
        <v>0</v>
      </c>
      <c r="AII44" s="68">
        <f t="shared" si="2110"/>
        <v>0</v>
      </c>
      <c r="AIJ44" s="48"/>
      <c r="AIK44" s="49"/>
      <c r="AIL44" s="49"/>
      <c r="AIM44" s="49"/>
      <c r="AIN44" s="49"/>
      <c r="AIO44" s="49"/>
      <c r="AIP44" s="67">
        <f t="shared" si="2111"/>
        <v>0</v>
      </c>
      <c r="AIQ44" s="68">
        <f t="shared" si="2112"/>
        <v>0</v>
      </c>
      <c r="AIR44" s="48"/>
      <c r="AIS44" s="49"/>
      <c r="AIT44" s="49"/>
      <c r="AIU44" s="49"/>
      <c r="AIV44" s="49"/>
      <c r="AIW44" s="49"/>
      <c r="AIX44" s="67">
        <f t="shared" si="2113"/>
        <v>0</v>
      </c>
      <c r="AIY44" s="68">
        <f t="shared" si="2114"/>
        <v>0</v>
      </c>
      <c r="AIZ44" s="48"/>
      <c r="AJA44" s="49"/>
      <c r="AJB44" s="49"/>
      <c r="AJC44" s="49"/>
      <c r="AJD44" s="49"/>
      <c r="AJE44" s="49"/>
      <c r="AJF44" s="67">
        <f t="shared" si="2115"/>
        <v>0</v>
      </c>
      <c r="AJG44" s="68">
        <f t="shared" si="2116"/>
        <v>0</v>
      </c>
      <c r="AJH44" s="48"/>
      <c r="AJI44" s="49"/>
      <c r="AJJ44" s="49"/>
      <c r="AJK44" s="49"/>
      <c r="AJL44" s="49"/>
      <c r="AJM44" s="49"/>
      <c r="AJN44" s="42">
        <f t="shared" si="2117"/>
        <v>0</v>
      </c>
      <c r="AJO44" s="43">
        <f t="shared" si="2118"/>
        <v>0</v>
      </c>
      <c r="AJP44" s="48"/>
      <c r="AJQ44" s="49"/>
      <c r="AJR44" s="49"/>
      <c r="AJS44" s="49"/>
      <c r="AJT44" s="49"/>
      <c r="AJU44" s="49"/>
      <c r="AJV44" s="42">
        <f t="shared" si="2119"/>
        <v>0</v>
      </c>
      <c r="AJW44" s="43">
        <f t="shared" si="2120"/>
        <v>0</v>
      </c>
      <c r="AJX44" s="48"/>
      <c r="AJY44" s="49"/>
      <c r="AJZ44" s="49"/>
      <c r="AKA44" s="49"/>
      <c r="AKB44" s="49"/>
      <c r="AKC44" s="49"/>
      <c r="AKD44" s="67">
        <f t="shared" si="2121"/>
        <v>0</v>
      </c>
      <c r="AKE44" s="68">
        <f t="shared" si="2122"/>
        <v>0</v>
      </c>
      <c r="AKF44" s="48"/>
      <c r="AKG44" s="49"/>
      <c r="AKH44" s="49"/>
      <c r="AKI44" s="49"/>
      <c r="AKJ44" s="49"/>
      <c r="AKK44" s="49">
        <v>100</v>
      </c>
      <c r="AKL44" s="67">
        <f t="shared" si="2123"/>
        <v>100</v>
      </c>
      <c r="AKM44" s="184">
        <f t="shared" si="2124"/>
        <v>16.666666666666668</v>
      </c>
      <c r="AKN44" s="195"/>
      <c r="AKO44" s="49"/>
      <c r="AKP44" s="49"/>
      <c r="AKQ44" s="49"/>
      <c r="AKR44" s="49"/>
      <c r="AKS44" s="49"/>
      <c r="AKT44" s="67">
        <f t="shared" si="2125"/>
        <v>0</v>
      </c>
      <c r="AKU44" s="184">
        <f t="shared" si="2126"/>
        <v>0</v>
      </c>
      <c r="AKV44" s="48"/>
      <c r="AKW44" s="49"/>
      <c r="AKX44" s="49">
        <v>96</v>
      </c>
      <c r="AKY44" s="49"/>
      <c r="AKZ44" s="49"/>
      <c r="ALA44" s="49"/>
      <c r="ALB44" s="67">
        <f t="shared" si="2127"/>
        <v>96</v>
      </c>
      <c r="ALC44" s="68">
        <f t="shared" si="2128"/>
        <v>16</v>
      </c>
      <c r="ALD44" s="48"/>
      <c r="ALE44" s="49"/>
      <c r="ALF44" s="49"/>
      <c r="ALG44" s="49"/>
      <c r="ALH44" s="49"/>
      <c r="ALI44" s="49"/>
      <c r="ALJ44" s="67">
        <f t="shared" si="2129"/>
        <v>0</v>
      </c>
      <c r="ALK44" s="68">
        <f t="shared" si="2130"/>
        <v>0</v>
      </c>
      <c r="ALL44" s="48"/>
      <c r="ALM44" s="49"/>
      <c r="ALN44" s="49"/>
      <c r="ALO44" s="49"/>
      <c r="ALP44" s="49"/>
      <c r="ALQ44" s="49"/>
      <c r="ALR44" s="67">
        <f t="shared" si="2131"/>
        <v>0</v>
      </c>
      <c r="ALS44" s="68">
        <f t="shared" si="2132"/>
        <v>0</v>
      </c>
      <c r="ALT44" s="48"/>
      <c r="ALU44" s="49"/>
      <c r="ALV44" s="49"/>
      <c r="ALW44" s="49"/>
      <c r="ALX44" s="49"/>
      <c r="ALY44" s="49"/>
      <c r="ALZ44" s="67">
        <f t="shared" si="2133"/>
        <v>0</v>
      </c>
      <c r="AMA44" s="68">
        <f t="shared" si="2134"/>
        <v>0</v>
      </c>
      <c r="AMB44" s="48"/>
      <c r="AMC44" s="49"/>
      <c r="AMD44" s="49"/>
      <c r="AME44" s="49"/>
      <c r="AMF44" s="49"/>
      <c r="AMG44" s="49"/>
      <c r="AMH44" s="67">
        <f t="shared" si="2135"/>
        <v>0</v>
      </c>
      <c r="AMI44" s="68">
        <f t="shared" si="2136"/>
        <v>0</v>
      </c>
      <c r="AMJ44" s="48"/>
      <c r="AMK44" s="49"/>
      <c r="AML44" s="49"/>
      <c r="AMM44" s="49"/>
      <c r="AMN44" s="49"/>
      <c r="AMO44" s="49"/>
      <c r="AMP44" s="67">
        <f t="shared" si="2137"/>
        <v>0</v>
      </c>
      <c r="AMQ44" s="68">
        <f t="shared" si="2138"/>
        <v>0</v>
      </c>
      <c r="AMR44" s="48"/>
      <c r="AMS44" s="49"/>
      <c r="AMT44" s="49"/>
      <c r="AMU44" s="49"/>
      <c r="AMV44" s="49"/>
      <c r="AMW44" s="49"/>
      <c r="AMX44" s="67">
        <f t="shared" si="2139"/>
        <v>0</v>
      </c>
      <c r="AMY44" s="68">
        <f t="shared" si="2140"/>
        <v>0</v>
      </c>
      <c r="AMZ44" s="48"/>
      <c r="ANA44" s="49"/>
      <c r="ANB44" s="49"/>
      <c r="ANC44" s="49"/>
      <c r="AND44" s="49"/>
      <c r="ANE44" s="49"/>
      <c r="ANF44" s="67">
        <f t="shared" si="2141"/>
        <v>0</v>
      </c>
      <c r="ANG44" s="68">
        <f t="shared" si="2142"/>
        <v>0</v>
      </c>
      <c r="ANH44" s="48"/>
      <c r="ANI44" s="49"/>
      <c r="ANJ44" s="49"/>
      <c r="ANK44" s="49"/>
      <c r="ANL44" s="49"/>
      <c r="ANM44" s="49"/>
      <c r="ANN44" s="67">
        <f t="shared" si="2143"/>
        <v>0</v>
      </c>
      <c r="ANO44" s="68">
        <f t="shared" si="2144"/>
        <v>0</v>
      </c>
      <c r="ANP44" s="48"/>
      <c r="ANQ44" s="49"/>
      <c r="ANR44" s="49"/>
      <c r="ANS44" s="49"/>
      <c r="ANT44" s="49"/>
      <c r="ANU44" s="49"/>
      <c r="ANV44" s="67">
        <f t="shared" si="2145"/>
        <v>0</v>
      </c>
      <c r="ANW44" s="68">
        <f t="shared" si="2146"/>
        <v>0</v>
      </c>
      <c r="ANX44" s="82"/>
      <c r="ANY44" s="83"/>
      <c r="ANZ44" s="83"/>
      <c r="AOA44" s="83">
        <v>95</v>
      </c>
      <c r="AOB44" s="83"/>
      <c r="AOC44" s="83"/>
      <c r="AOD44" s="67">
        <f t="shared" si="2147"/>
        <v>95</v>
      </c>
      <c r="AOE44" s="68">
        <f t="shared" si="2148"/>
        <v>15.833333333333334</v>
      </c>
      <c r="AOF44" s="48"/>
      <c r="AOG44" s="49"/>
      <c r="AOH44" s="49"/>
      <c r="AOI44" s="49"/>
      <c r="AOJ44" s="49"/>
      <c r="AOK44" s="49"/>
      <c r="AOL44" s="67">
        <f t="shared" si="2149"/>
        <v>0</v>
      </c>
      <c r="AOM44" s="68">
        <f t="shared" si="2150"/>
        <v>0</v>
      </c>
      <c r="AON44" s="48"/>
      <c r="AOO44" s="49"/>
      <c r="AOP44" s="49"/>
      <c r="AOQ44" s="49"/>
      <c r="AOR44" s="49"/>
      <c r="AOS44" s="49"/>
      <c r="AOT44" s="67">
        <f t="shared" si="2151"/>
        <v>0</v>
      </c>
      <c r="AOU44" s="68">
        <f t="shared" si="2152"/>
        <v>0</v>
      </c>
      <c r="AOV44" s="48"/>
      <c r="AOW44" s="49"/>
      <c r="AOX44" s="49"/>
      <c r="AOY44" s="49"/>
      <c r="AOZ44" s="49"/>
      <c r="APA44" s="49"/>
      <c r="APB44" s="67">
        <f t="shared" si="2153"/>
        <v>0</v>
      </c>
      <c r="APC44" s="68">
        <f t="shared" si="2154"/>
        <v>0</v>
      </c>
      <c r="APD44" s="48"/>
      <c r="APE44" s="49"/>
      <c r="APF44" s="49"/>
      <c r="APG44" s="49"/>
      <c r="APH44" s="49"/>
      <c r="API44" s="49"/>
      <c r="APJ44" s="67">
        <f t="shared" si="2155"/>
        <v>0</v>
      </c>
      <c r="APK44" s="68">
        <f t="shared" si="2156"/>
        <v>0</v>
      </c>
      <c r="APL44" s="48"/>
      <c r="APM44" s="49"/>
      <c r="APN44" s="49"/>
      <c r="APO44" s="49"/>
      <c r="APP44" s="49"/>
      <c r="APQ44" s="49"/>
      <c r="APR44" s="67">
        <f t="shared" si="2157"/>
        <v>0</v>
      </c>
      <c r="APS44" s="68">
        <f t="shared" si="2158"/>
        <v>0</v>
      </c>
      <c r="APT44" s="48"/>
      <c r="APU44" s="49"/>
      <c r="APV44" s="49"/>
      <c r="APW44" s="49">
        <v>102</v>
      </c>
      <c r="APX44" s="49"/>
      <c r="APY44" s="49"/>
      <c r="APZ44" s="67">
        <f t="shared" si="2159"/>
        <v>102</v>
      </c>
      <c r="AQA44" s="68">
        <f t="shared" si="2160"/>
        <v>17</v>
      </c>
      <c r="AQB44" s="48"/>
      <c r="AQC44" s="49"/>
      <c r="AQD44" s="49"/>
      <c r="AQE44" s="49"/>
      <c r="AQF44" s="49"/>
      <c r="AQG44" s="49"/>
      <c r="AQH44" s="67">
        <f t="shared" si="2161"/>
        <v>0</v>
      </c>
      <c r="AQI44" s="68">
        <f t="shared" si="2162"/>
        <v>0</v>
      </c>
      <c r="AQJ44" s="48"/>
      <c r="AQK44" s="49"/>
      <c r="AQL44" s="49"/>
      <c r="AQM44" s="49"/>
      <c r="AQN44" s="49"/>
      <c r="AQO44" s="49"/>
      <c r="AQP44" s="67">
        <f t="shared" si="2163"/>
        <v>0</v>
      </c>
      <c r="AQQ44" s="68">
        <f t="shared" si="2164"/>
        <v>0</v>
      </c>
      <c r="AQR44" s="48"/>
      <c r="AQS44" s="49"/>
      <c r="AQT44" s="49"/>
      <c r="AQU44" s="49"/>
      <c r="AQV44" s="49"/>
      <c r="AQW44" s="49"/>
      <c r="AQX44" s="67">
        <f t="shared" si="2165"/>
        <v>0</v>
      </c>
      <c r="AQY44" s="68">
        <f t="shared" si="2166"/>
        <v>0</v>
      </c>
      <c r="AQZ44" s="48"/>
      <c r="ARA44" s="49"/>
      <c r="ARB44" s="49"/>
      <c r="ARC44" s="49"/>
      <c r="ARD44" s="49"/>
      <c r="ARE44" s="49"/>
      <c r="ARF44" s="67">
        <f t="shared" si="2167"/>
        <v>0</v>
      </c>
      <c r="ARG44" s="68">
        <f t="shared" si="2168"/>
        <v>0</v>
      </c>
      <c r="ARH44" s="48"/>
      <c r="ARI44" s="49"/>
      <c r="ARJ44" s="49"/>
      <c r="ARK44" s="49"/>
      <c r="ARL44" s="49"/>
      <c r="ARM44" s="49"/>
      <c r="ARN44" s="67">
        <f t="shared" si="2169"/>
        <v>0</v>
      </c>
      <c r="ARO44" s="68">
        <f t="shared" si="2170"/>
        <v>0</v>
      </c>
      <c r="ARP44" s="48"/>
      <c r="ARQ44" s="49"/>
      <c r="ARR44" s="49"/>
      <c r="ARS44" s="49"/>
      <c r="ART44" s="49"/>
      <c r="ARU44" s="49"/>
      <c r="ARV44" s="67">
        <f t="shared" si="2171"/>
        <v>0</v>
      </c>
      <c r="ARW44" s="68">
        <f t="shared" si="2172"/>
        <v>0</v>
      </c>
      <c r="ARX44" s="48"/>
      <c r="ARY44" s="49"/>
      <c r="ARZ44" s="49"/>
      <c r="ASA44" s="49"/>
      <c r="ASB44" s="49"/>
      <c r="ASC44" s="49"/>
      <c r="ASD44" s="67">
        <f t="shared" si="2173"/>
        <v>0</v>
      </c>
      <c r="ASE44" s="68">
        <f t="shared" si="2174"/>
        <v>0</v>
      </c>
      <c r="ASF44" s="48"/>
      <c r="ASG44" s="49"/>
      <c r="ASH44" s="49"/>
      <c r="ASI44" s="49"/>
      <c r="ASJ44" s="49"/>
      <c r="ASK44" s="49"/>
      <c r="ASL44" s="67">
        <f t="shared" si="2175"/>
        <v>0</v>
      </c>
      <c r="ASM44" s="68">
        <f t="shared" si="2176"/>
        <v>0</v>
      </c>
      <c r="ASN44" s="48"/>
      <c r="ASO44" s="49"/>
      <c r="ASP44" s="49"/>
      <c r="ASQ44" s="49"/>
      <c r="ASR44" s="49"/>
      <c r="ASS44" s="49"/>
      <c r="AST44" s="67">
        <f t="shared" si="2177"/>
        <v>0</v>
      </c>
      <c r="ASU44" s="68">
        <f t="shared" si="2178"/>
        <v>0</v>
      </c>
      <c r="ASV44" s="48"/>
      <c r="ASW44" s="49"/>
      <c r="ASX44" s="49"/>
      <c r="ASY44" s="49"/>
      <c r="ASZ44" s="49"/>
      <c r="ATA44" s="49"/>
      <c r="ATB44" s="67">
        <f t="shared" si="2179"/>
        <v>0</v>
      </c>
      <c r="ATC44" s="68">
        <f t="shared" si="2180"/>
        <v>0</v>
      </c>
      <c r="ATD44" s="48"/>
      <c r="ATE44" s="49"/>
      <c r="ATF44" s="49"/>
      <c r="ATG44" s="49"/>
      <c r="ATH44" s="49"/>
      <c r="ATI44" s="49"/>
      <c r="ATJ44" s="67">
        <f t="shared" si="2181"/>
        <v>0</v>
      </c>
      <c r="ATK44" s="68">
        <f t="shared" si="2182"/>
        <v>0</v>
      </c>
      <c r="ATL44" s="48"/>
      <c r="ATM44" s="49"/>
      <c r="ATN44" s="49"/>
      <c r="ATO44" s="49"/>
      <c r="ATP44" s="49"/>
      <c r="ATQ44" s="49"/>
      <c r="ATR44" s="67">
        <f t="shared" si="2183"/>
        <v>0</v>
      </c>
      <c r="ATS44" s="68">
        <f t="shared" si="2184"/>
        <v>0</v>
      </c>
      <c r="ATT44" s="48"/>
      <c r="ATU44" s="49"/>
      <c r="ATV44" s="49"/>
      <c r="ATW44" s="49"/>
      <c r="ATX44" s="49"/>
      <c r="ATY44" s="49"/>
      <c r="ATZ44" s="67">
        <f t="shared" si="2185"/>
        <v>0</v>
      </c>
      <c r="AUA44" s="68">
        <f t="shared" si="2186"/>
        <v>0</v>
      </c>
      <c r="AUB44" s="48"/>
      <c r="AUC44" s="49"/>
      <c r="AUD44" s="49"/>
      <c r="AUE44" s="49"/>
      <c r="AUF44" s="49"/>
      <c r="AUG44" s="49"/>
      <c r="AUH44" s="67">
        <f t="shared" si="2187"/>
        <v>0</v>
      </c>
      <c r="AUI44" s="68">
        <f t="shared" si="2188"/>
        <v>0</v>
      </c>
      <c r="AUJ44" s="48"/>
      <c r="AUK44" s="49"/>
      <c r="AUL44" s="49">
        <v>396</v>
      </c>
      <c r="AUM44" s="49"/>
      <c r="AUN44" s="49"/>
      <c r="AUO44" s="49"/>
      <c r="AUP44" s="67">
        <f t="shared" si="2189"/>
        <v>396</v>
      </c>
      <c r="AUQ44" s="68">
        <f t="shared" si="2190"/>
        <v>66</v>
      </c>
      <c r="AUR44" s="48"/>
      <c r="AUS44" s="49"/>
      <c r="AUT44" s="49"/>
      <c r="AUU44" s="49"/>
      <c r="AUV44" s="49"/>
      <c r="AUW44" s="49"/>
      <c r="AUX44" s="67">
        <f t="shared" si="2191"/>
        <v>0</v>
      </c>
      <c r="AUY44" s="68">
        <f t="shared" si="2192"/>
        <v>0</v>
      </c>
      <c r="AUZ44" s="48"/>
      <c r="AVA44" s="49"/>
      <c r="AVB44" s="49"/>
      <c r="AVC44" s="49"/>
      <c r="AVD44" s="49"/>
      <c r="AVE44" s="49"/>
      <c r="AVF44" s="67">
        <f t="shared" si="2193"/>
        <v>0</v>
      </c>
      <c r="AVG44" s="68">
        <f t="shared" si="2194"/>
        <v>0</v>
      </c>
      <c r="AVH44" s="48"/>
      <c r="AVI44" s="49"/>
      <c r="AVJ44" s="49"/>
      <c r="AVK44" s="49"/>
      <c r="AVL44" s="49"/>
      <c r="AVM44" s="49"/>
      <c r="AVN44" s="67">
        <f t="shared" si="2195"/>
        <v>0</v>
      </c>
      <c r="AVO44" s="68">
        <f t="shared" si="2196"/>
        <v>0</v>
      </c>
      <c r="AVP44" s="48"/>
      <c r="AVQ44" s="49"/>
      <c r="AVR44" s="49"/>
      <c r="AVS44" s="49"/>
      <c r="AVT44" s="49"/>
      <c r="AVU44" s="49"/>
      <c r="AVV44" s="67">
        <f t="shared" si="2197"/>
        <v>0</v>
      </c>
      <c r="AVW44" s="68">
        <f t="shared" si="2198"/>
        <v>0</v>
      </c>
      <c r="AVX44" s="48">
        <v>328</v>
      </c>
      <c r="AVY44" s="49">
        <v>197</v>
      </c>
      <c r="AVZ44" s="49"/>
      <c r="AWA44" s="49"/>
      <c r="AWB44" s="49"/>
      <c r="AWC44" s="49"/>
      <c r="AWD44" s="67">
        <f t="shared" si="2199"/>
        <v>525</v>
      </c>
      <c r="AWE44" s="68">
        <f t="shared" si="2200"/>
        <v>87.5</v>
      </c>
      <c r="AWF44" s="48"/>
      <c r="AWG44" s="49"/>
      <c r="AWH44" s="49"/>
      <c r="AWI44" s="49"/>
      <c r="AWJ44" s="49"/>
      <c r="AWK44" s="49"/>
      <c r="AWL44" s="67">
        <f t="shared" si="2201"/>
        <v>0</v>
      </c>
      <c r="AWM44" s="184">
        <f t="shared" si="2202"/>
        <v>0</v>
      </c>
      <c r="AWN44" s="48"/>
      <c r="AWO44" s="49"/>
      <c r="AWP44" s="49"/>
      <c r="AWQ44" s="49"/>
      <c r="AWR44" s="49"/>
      <c r="AWS44" s="49"/>
      <c r="AWT44" s="42">
        <f t="shared" si="2203"/>
        <v>0</v>
      </c>
      <c r="AWU44" s="43">
        <f t="shared" si="2204"/>
        <v>0</v>
      </c>
      <c r="AWV44" s="48"/>
      <c r="AWW44" s="49"/>
      <c r="AWX44" s="49"/>
      <c r="AWY44" s="49"/>
      <c r="AWZ44" s="49"/>
      <c r="AXA44" s="49"/>
      <c r="AXB44" s="42">
        <f t="shared" si="2205"/>
        <v>0</v>
      </c>
      <c r="AXC44" s="43">
        <f t="shared" si="2206"/>
        <v>0</v>
      </c>
      <c r="AXD44" s="48"/>
      <c r="AXE44" s="49"/>
      <c r="AXF44" s="49">
        <v>199</v>
      </c>
      <c r="AXG44" s="49"/>
      <c r="AXH44" s="49"/>
      <c r="AXI44" s="49"/>
      <c r="AXJ44" s="42">
        <f t="shared" si="2207"/>
        <v>199</v>
      </c>
      <c r="AXK44" s="43">
        <f t="shared" si="2208"/>
        <v>33.166666666666664</v>
      </c>
      <c r="AXL44" s="48"/>
      <c r="AXM44" s="49"/>
      <c r="AXN44" s="49"/>
      <c r="AXO44" s="49"/>
      <c r="AXP44" s="49"/>
      <c r="AXQ44" s="49"/>
      <c r="AXR44" s="42">
        <f t="shared" si="2209"/>
        <v>0</v>
      </c>
      <c r="AXS44" s="43">
        <f t="shared" si="2210"/>
        <v>0</v>
      </c>
      <c r="AXT44" s="48"/>
      <c r="AXU44" s="49"/>
      <c r="AXV44" s="49"/>
      <c r="AXW44" s="49"/>
      <c r="AXX44" s="49"/>
      <c r="AXY44" s="49"/>
      <c r="AXZ44" s="42">
        <f t="shared" si="2211"/>
        <v>0</v>
      </c>
      <c r="AYA44" s="43">
        <f t="shared" si="2212"/>
        <v>0</v>
      </c>
      <c r="AYB44" s="48"/>
      <c r="AYC44" s="49"/>
      <c r="AYD44" s="49"/>
      <c r="AYE44" s="49"/>
      <c r="AYF44" s="49"/>
      <c r="AYG44" s="49"/>
      <c r="AYH44" s="42">
        <f t="shared" si="2213"/>
        <v>0</v>
      </c>
      <c r="AYI44" s="43">
        <f t="shared" si="2214"/>
        <v>0</v>
      </c>
      <c r="AYJ44" s="48"/>
      <c r="AYK44" s="49"/>
      <c r="AYL44" s="49"/>
      <c r="AYM44" s="49"/>
      <c r="AYN44" s="49"/>
      <c r="AYO44" s="49"/>
      <c r="AYP44" s="42">
        <f t="shared" si="2215"/>
        <v>0</v>
      </c>
      <c r="AYQ44" s="43">
        <f t="shared" si="2216"/>
        <v>0</v>
      </c>
      <c r="AYR44" s="48"/>
      <c r="AYS44" s="49"/>
      <c r="AYT44" s="49"/>
      <c r="AYU44" s="49"/>
      <c r="AYV44" s="49"/>
      <c r="AYW44" s="49"/>
      <c r="AYX44" s="42">
        <f t="shared" si="2217"/>
        <v>0</v>
      </c>
      <c r="AYY44" s="43">
        <f t="shared" si="2218"/>
        <v>0</v>
      </c>
      <c r="AYZ44" s="48"/>
      <c r="AZA44" s="49"/>
      <c r="AZB44" s="49"/>
      <c r="AZC44" s="49"/>
      <c r="AZD44" s="49"/>
      <c r="AZE44" s="49"/>
      <c r="AZF44" s="42">
        <f t="shared" si="2219"/>
        <v>0</v>
      </c>
      <c r="AZG44" s="43">
        <f t="shared" si="2220"/>
        <v>0</v>
      </c>
      <c r="AZH44" s="48"/>
      <c r="AZI44" s="49"/>
      <c r="AZJ44" s="49"/>
      <c r="AZK44" s="49"/>
      <c r="AZL44" s="49"/>
      <c r="AZM44" s="49"/>
      <c r="AZN44" s="42">
        <f t="shared" si="2221"/>
        <v>0</v>
      </c>
      <c r="AZO44" s="43">
        <f t="shared" si="2222"/>
        <v>0</v>
      </c>
      <c r="AZP44" s="48"/>
      <c r="AZQ44" s="49"/>
      <c r="AZR44" s="49"/>
      <c r="AZS44" s="49"/>
      <c r="AZT44" s="49"/>
      <c r="AZU44" s="49"/>
      <c r="AZV44" s="42">
        <f t="shared" si="2223"/>
        <v>0</v>
      </c>
      <c r="AZW44" s="43">
        <f t="shared" si="2224"/>
        <v>0</v>
      </c>
      <c r="AZX44" s="82"/>
      <c r="AZY44" s="83"/>
      <c r="AZZ44" s="83"/>
      <c r="BAA44" s="83"/>
      <c r="BAB44" s="83"/>
      <c r="BAC44" s="83"/>
      <c r="BAD44" s="42">
        <f t="shared" si="2225"/>
        <v>0</v>
      </c>
      <c r="BAE44" s="43">
        <f t="shared" si="2226"/>
        <v>0</v>
      </c>
      <c r="BAF44" s="48"/>
      <c r="BAG44" s="49"/>
      <c r="BAH44" s="49"/>
      <c r="BAI44" s="49"/>
      <c r="BAJ44" s="49"/>
      <c r="BAK44" s="49"/>
      <c r="BAL44" s="42">
        <f t="shared" si="2227"/>
        <v>0</v>
      </c>
      <c r="BAM44" s="43">
        <f t="shared" si="2228"/>
        <v>0</v>
      </c>
      <c r="BAN44" s="48"/>
      <c r="BAO44" s="49"/>
      <c r="BAP44" s="49"/>
      <c r="BAQ44" s="49"/>
      <c r="BAR44" s="49"/>
      <c r="BAS44" s="49"/>
      <c r="BAT44" s="42">
        <f t="shared" si="2229"/>
        <v>0</v>
      </c>
      <c r="BAU44" s="43">
        <f t="shared" si="2230"/>
        <v>0</v>
      </c>
      <c r="BAV44" s="48"/>
      <c r="BAW44" s="49"/>
      <c r="BAX44" s="49"/>
      <c r="BAY44" s="49"/>
      <c r="BAZ44" s="49"/>
      <c r="BBA44" s="49"/>
      <c r="BBB44" s="42">
        <f t="shared" si="2231"/>
        <v>0</v>
      </c>
      <c r="BBC44" s="43">
        <f t="shared" si="2232"/>
        <v>0</v>
      </c>
      <c r="BBD44" s="48"/>
      <c r="BBE44" s="49"/>
      <c r="BBF44" s="49"/>
      <c r="BBG44" s="49"/>
      <c r="BBH44" s="49"/>
      <c r="BBI44" s="49"/>
      <c r="BBJ44" s="42">
        <f t="shared" si="2233"/>
        <v>0</v>
      </c>
      <c r="BBK44" s="43">
        <f t="shared" si="2234"/>
        <v>0</v>
      </c>
      <c r="BBL44" s="48"/>
      <c r="BBM44" s="49"/>
      <c r="BBN44" s="49"/>
      <c r="BBO44" s="49"/>
      <c r="BBP44" s="49"/>
      <c r="BBQ44" s="49"/>
      <c r="BBR44" s="42">
        <f t="shared" si="2235"/>
        <v>0</v>
      </c>
      <c r="BBS44" s="43">
        <f t="shared" si="2236"/>
        <v>0</v>
      </c>
      <c r="BBT44" s="48"/>
      <c r="BBU44" s="49"/>
      <c r="BBV44" s="49"/>
      <c r="BBW44" s="49"/>
      <c r="BBX44" s="49">
        <v>10</v>
      </c>
      <c r="BBY44" s="49"/>
      <c r="BBZ44" s="42">
        <f t="shared" si="2237"/>
        <v>10</v>
      </c>
      <c r="BCA44" s="43">
        <f t="shared" si="2238"/>
        <v>1.6666666666666667</v>
      </c>
      <c r="BCB44" s="48"/>
      <c r="BCC44" s="49"/>
      <c r="BCD44" s="49">
        <v>195</v>
      </c>
      <c r="BCE44" s="49"/>
      <c r="BCF44" s="49"/>
      <c r="BCG44" s="49"/>
      <c r="BCH44" s="42">
        <f t="shared" si="2239"/>
        <v>195</v>
      </c>
      <c r="BCI44" s="43">
        <f t="shared" si="2240"/>
        <v>32.5</v>
      </c>
      <c r="BCJ44" s="48"/>
      <c r="BCK44" s="49"/>
      <c r="BCL44" s="49"/>
      <c r="BCM44" s="49"/>
      <c r="BCN44" s="49"/>
      <c r="BCO44" s="49"/>
      <c r="BCP44" s="42">
        <f t="shared" si="2241"/>
        <v>0</v>
      </c>
      <c r="BCQ44" s="43">
        <f t="shared" si="2242"/>
        <v>0</v>
      </c>
      <c r="BCR44" s="48"/>
      <c r="BCS44" s="49"/>
      <c r="BCT44" s="49"/>
      <c r="BCU44" s="49"/>
      <c r="BCV44" s="49"/>
      <c r="BCW44" s="49"/>
      <c r="BCX44" s="42">
        <f t="shared" si="2243"/>
        <v>0</v>
      </c>
      <c r="BCY44" s="43">
        <f t="shared" si="2244"/>
        <v>0</v>
      </c>
      <c r="BCZ44" s="48"/>
      <c r="BDA44" s="49"/>
      <c r="BDB44" s="49"/>
      <c r="BDC44" s="49"/>
      <c r="BDD44" s="49"/>
      <c r="BDE44" s="49"/>
      <c r="BDF44" s="42">
        <f t="shared" si="2245"/>
        <v>0</v>
      </c>
      <c r="BDG44" s="43">
        <f t="shared" si="2246"/>
        <v>0</v>
      </c>
      <c r="BDH44" s="48"/>
      <c r="BDI44" s="49"/>
      <c r="BDJ44" s="49"/>
      <c r="BDK44" s="49"/>
      <c r="BDL44" s="49"/>
      <c r="BDM44" s="49"/>
      <c r="BDN44" s="42">
        <f t="shared" si="2247"/>
        <v>0</v>
      </c>
      <c r="BDO44" s="43">
        <f t="shared" si="2248"/>
        <v>0</v>
      </c>
      <c r="BDP44" s="48">
        <v>203</v>
      </c>
      <c r="BDQ44" s="49"/>
      <c r="BDR44" s="49"/>
      <c r="BDS44" s="49"/>
      <c r="BDT44" s="49"/>
      <c r="BDU44" s="49"/>
      <c r="BDV44" s="42">
        <f t="shared" si="2249"/>
        <v>203</v>
      </c>
      <c r="BDW44" s="43">
        <f t="shared" si="2250"/>
        <v>33.833333333333336</v>
      </c>
      <c r="BDX44" s="48"/>
      <c r="BDY44" s="49"/>
      <c r="BDZ44" s="49"/>
      <c r="BEA44" s="49"/>
      <c r="BEB44" s="49"/>
      <c r="BEC44" s="49"/>
      <c r="BED44" s="42">
        <f t="shared" si="2251"/>
        <v>0</v>
      </c>
      <c r="BEE44" s="43">
        <f t="shared" si="2252"/>
        <v>0</v>
      </c>
      <c r="BEF44" s="48"/>
      <c r="BEG44" s="49"/>
      <c r="BEH44" s="49"/>
      <c r="BEI44" s="49"/>
      <c r="BEJ44" s="49"/>
      <c r="BEK44" s="49"/>
      <c r="BEL44" s="42">
        <f t="shared" si="2253"/>
        <v>0</v>
      </c>
      <c r="BEM44" s="43">
        <f t="shared" si="2254"/>
        <v>0</v>
      </c>
      <c r="BEN44" s="48"/>
      <c r="BEO44" s="49"/>
      <c r="BEP44" s="49"/>
      <c r="BEQ44" s="49"/>
      <c r="BER44" s="49"/>
      <c r="BES44" s="49"/>
      <c r="BET44" s="42">
        <f t="shared" si="2255"/>
        <v>0</v>
      </c>
      <c r="BEU44" s="43">
        <f t="shared" si="2256"/>
        <v>0</v>
      </c>
      <c r="BEV44" s="82"/>
      <c r="BEW44" s="83"/>
      <c r="BEX44" s="83"/>
      <c r="BEY44" s="83"/>
      <c r="BEZ44" s="83"/>
      <c r="BFA44" s="83"/>
      <c r="BFB44" s="42">
        <f t="shared" si="2257"/>
        <v>0</v>
      </c>
      <c r="BFC44" s="43">
        <f t="shared" si="2258"/>
        <v>0</v>
      </c>
      <c r="BFD44" s="48"/>
      <c r="BFE44" s="49"/>
      <c r="BFF44" s="49"/>
      <c r="BFG44" s="49"/>
      <c r="BFH44" s="49"/>
      <c r="BFI44" s="49"/>
      <c r="BFJ44" s="42">
        <f t="shared" si="2259"/>
        <v>0</v>
      </c>
      <c r="BFK44" s="43">
        <f t="shared" si="2260"/>
        <v>0</v>
      </c>
      <c r="BFL44" s="48"/>
      <c r="BFM44" s="49"/>
      <c r="BFN44" s="49"/>
      <c r="BFO44" s="49"/>
      <c r="BFP44" s="49"/>
      <c r="BFQ44" s="49"/>
      <c r="BFR44" s="42">
        <f t="shared" si="2261"/>
        <v>0</v>
      </c>
      <c r="BFS44" s="43">
        <f t="shared" si="2262"/>
        <v>0</v>
      </c>
      <c r="BFT44" s="48"/>
      <c r="BFU44" s="49">
        <v>220</v>
      </c>
      <c r="BFV44" s="49"/>
      <c r="BFW44" s="49"/>
      <c r="BFX44" s="49"/>
      <c r="BFY44" s="49"/>
      <c r="BFZ44" s="42">
        <f t="shared" si="2263"/>
        <v>220</v>
      </c>
      <c r="BGA44" s="43">
        <f t="shared" si="2264"/>
        <v>36.666666666666664</v>
      </c>
      <c r="BGB44" s="48"/>
      <c r="BGC44" s="49"/>
      <c r="BGD44" s="49"/>
      <c r="BGE44" s="49"/>
      <c r="BGF44" s="49"/>
      <c r="BGG44" s="49"/>
      <c r="BGH44" s="42">
        <f t="shared" si="2265"/>
        <v>0</v>
      </c>
      <c r="BGI44" s="43">
        <f t="shared" si="2266"/>
        <v>0</v>
      </c>
      <c r="BGJ44" s="48"/>
      <c r="BGK44" s="49"/>
      <c r="BGL44" s="49"/>
      <c r="BGM44" s="49"/>
      <c r="BGN44" s="49"/>
      <c r="BGO44" s="49"/>
      <c r="BGP44" s="42">
        <f t="shared" si="2267"/>
        <v>0</v>
      </c>
      <c r="BGQ44" s="43">
        <f t="shared" si="2268"/>
        <v>0</v>
      </c>
      <c r="BGR44" s="48"/>
      <c r="BGS44" s="49"/>
      <c r="BGT44" s="49"/>
      <c r="BGU44" s="49"/>
      <c r="BGV44" s="49"/>
      <c r="BGW44" s="49"/>
      <c r="BGX44" s="42">
        <f t="shared" si="2269"/>
        <v>0</v>
      </c>
      <c r="BGY44" s="43">
        <f t="shared" si="2270"/>
        <v>0</v>
      </c>
      <c r="BGZ44" s="239"/>
      <c r="BHA44" s="1"/>
      <c r="BHB44" s="1"/>
      <c r="BHC44" s="1"/>
      <c r="BHD44" s="1"/>
      <c r="BHE44" s="1"/>
      <c r="BHF44" s="42">
        <f t="shared" si="2271"/>
        <v>0</v>
      </c>
      <c r="BHG44" s="43">
        <f t="shared" si="2272"/>
        <v>0</v>
      </c>
      <c r="BHH44" s="48"/>
      <c r="BHI44" s="49"/>
      <c r="BHJ44" s="49"/>
      <c r="BHK44" s="49"/>
      <c r="BHL44" s="49">
        <v>245</v>
      </c>
      <c r="BHM44" s="49"/>
      <c r="BHN44" s="42">
        <f t="shared" si="2273"/>
        <v>245</v>
      </c>
      <c r="BHO44" s="43">
        <f t="shared" si="2274"/>
        <v>40.833333333333336</v>
      </c>
      <c r="BHP44" s="48"/>
      <c r="BHQ44" s="49"/>
      <c r="BHR44" s="49"/>
      <c r="BHS44" s="49"/>
      <c r="BHT44" s="49"/>
      <c r="BHU44" s="49"/>
      <c r="BHV44" s="42">
        <f t="shared" si="2275"/>
        <v>0</v>
      </c>
      <c r="BHW44" s="43">
        <f t="shared" si="2276"/>
        <v>0</v>
      </c>
      <c r="BHX44" s="48"/>
      <c r="BHY44" s="49"/>
      <c r="BHZ44" s="49"/>
      <c r="BIA44" s="49"/>
      <c r="BIB44" s="49"/>
      <c r="BIC44" s="49"/>
      <c r="BID44" s="42">
        <f t="shared" si="2277"/>
        <v>0</v>
      </c>
      <c r="BIE44" s="43">
        <f t="shared" si="2278"/>
        <v>0</v>
      </c>
      <c r="BIF44" s="48"/>
      <c r="BIG44" s="49"/>
      <c r="BIH44" s="49"/>
      <c r="BII44" s="49"/>
      <c r="BIJ44" s="49"/>
      <c r="BIK44" s="49"/>
      <c r="BIL44" s="42">
        <f t="shared" si="2279"/>
        <v>0</v>
      </c>
      <c r="BIM44" s="43">
        <f t="shared" si="2280"/>
        <v>0</v>
      </c>
      <c r="BIN44" s="48"/>
      <c r="BIO44" s="49"/>
      <c r="BIP44" s="49"/>
      <c r="BIQ44" s="49"/>
      <c r="BIR44" s="49"/>
      <c r="BIS44" s="49"/>
      <c r="BIT44" s="42">
        <f t="shared" si="2281"/>
        <v>0</v>
      </c>
      <c r="BIU44" s="101">
        <f t="shared" si="2282"/>
        <v>0</v>
      </c>
      <c r="BIV44" s="195"/>
      <c r="BIW44" s="49"/>
      <c r="BIX44" s="49"/>
      <c r="BIY44" s="49"/>
      <c r="BIZ44" s="49"/>
      <c r="BJA44" s="49"/>
      <c r="BJB44" s="42">
        <f t="shared" si="2283"/>
        <v>0</v>
      </c>
      <c r="BJC44" s="101">
        <f t="shared" si="2284"/>
        <v>0</v>
      </c>
      <c r="BJD44" s="48"/>
      <c r="BJE44" s="49"/>
      <c r="BJF44" s="49"/>
      <c r="BJG44" s="49"/>
      <c r="BJH44" s="49"/>
      <c r="BJI44" s="49"/>
      <c r="BJJ44" s="42">
        <f t="shared" si="2285"/>
        <v>0</v>
      </c>
      <c r="BJK44" s="43">
        <f t="shared" si="2286"/>
        <v>0</v>
      </c>
      <c r="BJL44" s="48"/>
      <c r="BJM44" s="49"/>
      <c r="BJN44" s="49"/>
      <c r="BJO44" s="49"/>
      <c r="BJP44" s="49"/>
      <c r="BJQ44" s="49"/>
      <c r="BJR44" s="42">
        <f t="shared" si="2287"/>
        <v>0</v>
      </c>
      <c r="BJS44" s="43">
        <f t="shared" si="2288"/>
        <v>0</v>
      </c>
      <c r="BJT44" s="48"/>
      <c r="BJU44" s="49"/>
      <c r="BJV44" s="49"/>
      <c r="BJW44" s="49"/>
      <c r="BJX44" s="49"/>
      <c r="BJY44" s="49"/>
      <c r="BJZ44" s="42">
        <f t="shared" si="2289"/>
        <v>0</v>
      </c>
      <c r="BKA44" s="43">
        <f t="shared" si="2290"/>
        <v>0</v>
      </c>
      <c r="BKB44" s="48"/>
      <c r="BKC44" s="49"/>
      <c r="BKD44" s="49"/>
      <c r="BKE44" s="49"/>
      <c r="BKF44" s="49"/>
      <c r="BKG44" s="49"/>
      <c r="BKH44" s="67">
        <f t="shared" si="2291"/>
        <v>0</v>
      </c>
      <c r="BKI44" s="68">
        <f t="shared" si="2292"/>
        <v>0</v>
      </c>
      <c r="BKJ44" s="48"/>
      <c r="BKK44" s="49">
        <v>100</v>
      </c>
      <c r="BKL44" s="49"/>
      <c r="BKM44" s="49"/>
      <c r="BKN44" s="49"/>
      <c r="BKO44" s="49"/>
      <c r="BKP44" s="42">
        <f t="shared" si="2293"/>
        <v>100</v>
      </c>
      <c r="BKQ44" s="43">
        <f t="shared" si="2294"/>
        <v>16.666666666666668</v>
      </c>
      <c r="BKR44" s="48"/>
      <c r="BKS44" s="49"/>
      <c r="BKT44" s="49"/>
      <c r="BKU44" s="49"/>
      <c r="BKV44" s="49"/>
      <c r="BKW44" s="49"/>
      <c r="BKX44" s="42">
        <f t="shared" si="2295"/>
        <v>0</v>
      </c>
      <c r="BKY44" s="43">
        <f t="shared" si="2296"/>
        <v>0</v>
      </c>
      <c r="BKZ44" s="48"/>
      <c r="BLA44" s="49"/>
      <c r="BLB44" s="49"/>
      <c r="BLC44" s="49"/>
      <c r="BLD44" s="49"/>
      <c r="BLE44" s="49"/>
      <c r="BLF44" s="42">
        <f t="shared" si="2297"/>
        <v>0</v>
      </c>
      <c r="BLG44" s="43">
        <f t="shared" si="2298"/>
        <v>0</v>
      </c>
      <c r="BLH44" s="48"/>
      <c r="BLI44" s="49"/>
      <c r="BLJ44" s="49"/>
      <c r="BLK44" s="49"/>
      <c r="BLL44" s="49"/>
      <c r="BLM44" s="49"/>
      <c r="BLN44" s="42">
        <f t="shared" si="2299"/>
        <v>0</v>
      </c>
      <c r="BLO44" s="43">
        <f t="shared" si="2300"/>
        <v>0</v>
      </c>
      <c r="BLP44" s="48"/>
      <c r="BLQ44" s="49"/>
      <c r="BLR44" s="49"/>
      <c r="BLS44" s="49"/>
      <c r="BLT44" s="49"/>
      <c r="BLU44" s="49"/>
      <c r="BLV44" s="42">
        <f t="shared" si="2301"/>
        <v>0</v>
      </c>
      <c r="BLW44" s="43">
        <f t="shared" si="2302"/>
        <v>0</v>
      </c>
      <c r="BLX44" s="48"/>
      <c r="BLY44" s="49"/>
      <c r="BLZ44" s="49"/>
      <c r="BMA44" s="49"/>
      <c r="BMB44" s="49"/>
      <c r="BMC44" s="49"/>
      <c r="BMD44" s="42">
        <f t="shared" si="2303"/>
        <v>0</v>
      </c>
      <c r="BME44" s="43">
        <f t="shared" si="2304"/>
        <v>0</v>
      </c>
      <c r="BMF44" s="48"/>
      <c r="BMG44" s="49"/>
      <c r="BMH44" s="49"/>
      <c r="BMI44" s="49"/>
      <c r="BMJ44" s="49"/>
      <c r="BMK44" s="49"/>
      <c r="BML44" s="42">
        <f t="shared" si="2305"/>
        <v>0</v>
      </c>
      <c r="BMM44" s="43">
        <f t="shared" si="2306"/>
        <v>0</v>
      </c>
      <c r="BMN44" s="48"/>
      <c r="BMO44" s="49"/>
      <c r="BMP44" s="49"/>
      <c r="BMQ44" s="49"/>
      <c r="BMR44" s="49"/>
      <c r="BMS44" s="49"/>
      <c r="BMT44" s="42">
        <f t="shared" si="2307"/>
        <v>0</v>
      </c>
      <c r="BMU44" s="43">
        <f t="shared" si="2308"/>
        <v>0</v>
      </c>
      <c r="BMV44" s="48"/>
      <c r="BMW44" s="49"/>
      <c r="BMX44" s="49"/>
      <c r="BMY44" s="49"/>
      <c r="BMZ44" s="49"/>
      <c r="BNA44" s="49"/>
      <c r="BNB44" s="42">
        <f t="shared" si="2309"/>
        <v>0</v>
      </c>
      <c r="BNC44" s="43">
        <f t="shared" si="2310"/>
        <v>0</v>
      </c>
      <c r="BND44" s="48"/>
      <c r="BNE44" s="49"/>
      <c r="BNF44" s="49"/>
      <c r="BNG44" s="49"/>
      <c r="BNH44" s="49"/>
      <c r="BNI44" s="49"/>
      <c r="BNJ44" s="42">
        <f t="shared" si="2311"/>
        <v>0</v>
      </c>
      <c r="BNK44" s="43">
        <f t="shared" si="2312"/>
        <v>0</v>
      </c>
      <c r="BNL44" s="48"/>
      <c r="BNM44" s="49"/>
      <c r="BNN44" s="49"/>
      <c r="BNO44" s="49"/>
      <c r="BNP44" s="49"/>
      <c r="BNQ44" s="49"/>
      <c r="BNR44" s="42">
        <f t="shared" si="2313"/>
        <v>0</v>
      </c>
      <c r="BNS44" s="43">
        <f t="shared" si="2314"/>
        <v>0</v>
      </c>
      <c r="BNT44" s="48"/>
      <c r="BNU44" s="49">
        <v>597</v>
      </c>
      <c r="BNV44" s="49"/>
      <c r="BNW44" s="49"/>
      <c r="BNX44" s="49"/>
      <c r="BNY44" s="49"/>
      <c r="BNZ44" s="42">
        <f t="shared" si="2315"/>
        <v>597</v>
      </c>
      <c r="BOA44" s="43">
        <f t="shared" si="2316"/>
        <v>99.5</v>
      </c>
      <c r="BOB44" s="48"/>
      <c r="BOC44" s="49"/>
      <c r="BOD44" s="49"/>
      <c r="BOE44" s="49"/>
      <c r="BOF44" s="49"/>
      <c r="BOG44" s="49"/>
      <c r="BOH44" s="42">
        <f t="shared" si="2317"/>
        <v>0</v>
      </c>
      <c r="BOI44" s="43">
        <f t="shared" si="2318"/>
        <v>0</v>
      </c>
      <c r="BOJ44" s="48"/>
      <c r="BOK44" s="49"/>
      <c r="BOL44" s="49"/>
      <c r="BOM44" s="49"/>
      <c r="BON44" s="49"/>
      <c r="BOO44" s="49"/>
      <c r="BOP44" s="42">
        <f t="shared" si="2319"/>
        <v>0</v>
      </c>
      <c r="BOQ44" s="43">
        <f t="shared" si="2320"/>
        <v>0</v>
      </c>
      <c r="BOR44" s="48"/>
      <c r="BOS44" s="49"/>
      <c r="BOT44" s="49"/>
      <c r="BOU44" s="49"/>
      <c r="BOV44" s="49"/>
      <c r="BOW44" s="49"/>
      <c r="BOX44" s="42">
        <f t="shared" si="2321"/>
        <v>0</v>
      </c>
      <c r="BOY44" s="43">
        <f t="shared" si="2322"/>
        <v>0</v>
      </c>
      <c r="BOZ44" s="48"/>
      <c r="BPA44" s="49"/>
      <c r="BPB44" s="49"/>
      <c r="BPC44" s="49"/>
      <c r="BPD44" s="49"/>
      <c r="BPE44" s="49"/>
      <c r="BPF44" s="42">
        <f t="shared" si="2323"/>
        <v>0</v>
      </c>
      <c r="BPG44" s="43">
        <f t="shared" si="2324"/>
        <v>0</v>
      </c>
      <c r="BPH44" s="48"/>
      <c r="BPI44" s="49"/>
      <c r="BPJ44" s="49"/>
      <c r="BPK44" s="49"/>
      <c r="BPL44" s="49"/>
      <c r="BPM44" s="49"/>
      <c r="BPN44" s="42">
        <f t="shared" si="2325"/>
        <v>0</v>
      </c>
      <c r="BPO44" s="43">
        <f t="shared" si="2326"/>
        <v>0</v>
      </c>
      <c r="BPP44" s="48"/>
      <c r="BPQ44" s="49"/>
      <c r="BPR44" s="49"/>
      <c r="BPS44" s="49"/>
      <c r="BPT44" s="49"/>
      <c r="BPU44" s="49"/>
      <c r="BPV44" s="42">
        <f t="shared" si="2327"/>
        <v>0</v>
      </c>
      <c r="BPW44" s="43">
        <f t="shared" si="2328"/>
        <v>0</v>
      </c>
      <c r="BPX44" s="48"/>
      <c r="BPY44" s="49"/>
      <c r="BPZ44" s="49"/>
      <c r="BQA44" s="49"/>
      <c r="BQB44" s="49"/>
      <c r="BQC44" s="49"/>
      <c r="BQD44" s="67">
        <f t="shared" si="2329"/>
        <v>0</v>
      </c>
      <c r="BQE44" s="43">
        <f t="shared" si="2330"/>
        <v>0</v>
      </c>
      <c r="BQF44" s="48"/>
      <c r="BQG44" s="49"/>
      <c r="BQH44" s="49"/>
      <c r="BQI44" s="49"/>
      <c r="BQJ44" s="49"/>
      <c r="BQK44" s="49"/>
      <c r="BQL44" s="67">
        <f t="shared" si="2331"/>
        <v>0</v>
      </c>
      <c r="BQM44" s="43">
        <f t="shared" si="2332"/>
        <v>0</v>
      </c>
      <c r="BQN44" s="48"/>
      <c r="BQO44" s="49"/>
      <c r="BQP44" s="49"/>
      <c r="BQQ44" s="49"/>
      <c r="BQR44" s="49"/>
      <c r="BQS44" s="49"/>
      <c r="BQT44" s="67">
        <f t="shared" si="2333"/>
        <v>0</v>
      </c>
      <c r="BQU44" s="43">
        <f t="shared" si="2334"/>
        <v>0</v>
      </c>
      <c r="BQV44" s="48"/>
      <c r="BQW44" s="49"/>
      <c r="BQX44" s="49"/>
      <c r="BQY44" s="49"/>
      <c r="BQZ44" s="49"/>
      <c r="BRA44" s="49"/>
      <c r="BRB44" s="67">
        <f t="shared" si="2335"/>
        <v>0</v>
      </c>
      <c r="BRC44" s="43">
        <f t="shared" si="2336"/>
        <v>0</v>
      </c>
      <c r="BRD44" s="48"/>
      <c r="BRE44" s="49"/>
      <c r="BRF44" s="49"/>
      <c r="BRG44" s="49"/>
      <c r="BRH44" s="49"/>
      <c r="BRI44" s="49"/>
      <c r="BRJ44" s="67">
        <f t="shared" si="2337"/>
        <v>0</v>
      </c>
      <c r="BRK44" s="43">
        <f t="shared" si="2338"/>
        <v>0</v>
      </c>
      <c r="BRL44" s="48"/>
      <c r="BRM44" s="49"/>
      <c r="BRN44" s="49"/>
      <c r="BRO44" s="49"/>
      <c r="BRP44" s="49"/>
      <c r="BRQ44" s="49"/>
      <c r="BRR44" s="67">
        <f t="shared" si="2339"/>
        <v>0</v>
      </c>
      <c r="BRS44" s="68">
        <f t="shared" si="2340"/>
        <v>0</v>
      </c>
      <c r="BRT44" s="63"/>
      <c r="BRU44" s="64"/>
      <c r="BRV44" s="64"/>
      <c r="BRW44" s="64"/>
      <c r="BRX44" s="64"/>
      <c r="BRY44" s="64"/>
      <c r="BRZ44" s="67">
        <f t="shared" si="2341"/>
        <v>0</v>
      </c>
      <c r="BSA44" s="43">
        <f t="shared" si="2342"/>
        <v>0</v>
      </c>
      <c r="BSB44" s="48"/>
      <c r="BSC44" s="49"/>
      <c r="BSD44" s="49"/>
      <c r="BSE44" s="49"/>
      <c r="BSF44" s="49"/>
      <c r="BSG44" s="49"/>
      <c r="BSH44" s="67">
        <f t="shared" si="2343"/>
        <v>0</v>
      </c>
      <c r="BSI44" s="43">
        <f t="shared" si="2344"/>
        <v>0</v>
      </c>
      <c r="BSJ44" s="48"/>
      <c r="BSK44" s="49"/>
      <c r="BSL44" s="49"/>
      <c r="BSM44" s="49"/>
      <c r="BSN44" s="49"/>
      <c r="BSO44" s="49"/>
      <c r="BSP44" s="67">
        <f t="shared" si="2345"/>
        <v>0</v>
      </c>
      <c r="BSQ44" s="43">
        <f t="shared" si="2346"/>
        <v>0</v>
      </c>
      <c r="BSR44" s="48"/>
      <c r="BSS44" s="49"/>
      <c r="BST44" s="49"/>
      <c r="BSU44" s="49"/>
      <c r="BSV44" s="49"/>
      <c r="BSW44" s="49"/>
      <c r="BSX44" s="67">
        <f t="shared" si="2347"/>
        <v>0</v>
      </c>
      <c r="BSY44" s="43">
        <f t="shared" si="2348"/>
        <v>0</v>
      </c>
      <c r="BSZ44" s="48"/>
      <c r="BTA44" s="49"/>
      <c r="BTB44" s="49"/>
      <c r="BTC44" s="49"/>
      <c r="BTD44" s="49"/>
      <c r="BTE44" s="49"/>
      <c r="BTF44" s="67">
        <f t="shared" si="2349"/>
        <v>0</v>
      </c>
      <c r="BTG44" s="43">
        <f t="shared" si="2350"/>
        <v>0</v>
      </c>
      <c r="BTH44" s="48"/>
      <c r="BTI44" s="49"/>
      <c r="BTJ44" s="49"/>
      <c r="BTK44" s="49"/>
      <c r="BTL44" s="49"/>
      <c r="BTM44" s="49"/>
      <c r="BTN44" s="67">
        <f t="shared" si="2351"/>
        <v>0</v>
      </c>
      <c r="BTO44" s="68">
        <f t="shared" si="2352"/>
        <v>0</v>
      </c>
      <c r="BTP44" s="48"/>
      <c r="BTQ44" s="49"/>
      <c r="BTR44" s="49"/>
      <c r="BTS44" s="49"/>
      <c r="BTT44" s="49"/>
      <c r="BTU44" s="49"/>
      <c r="BTV44" s="67">
        <f t="shared" si="2353"/>
        <v>0</v>
      </c>
      <c r="BTW44" s="43">
        <f t="shared" si="2354"/>
        <v>0</v>
      </c>
      <c r="BTX44" s="48"/>
      <c r="BTY44" s="49"/>
      <c r="BTZ44" s="49"/>
      <c r="BUA44" s="49"/>
      <c r="BUB44" s="49"/>
      <c r="BUC44" s="49"/>
      <c r="BUD44" s="67">
        <f t="shared" si="2355"/>
        <v>0</v>
      </c>
      <c r="BUE44" s="68">
        <f t="shared" si="2356"/>
        <v>0</v>
      </c>
      <c r="BUF44" s="48"/>
      <c r="BUG44" s="49"/>
      <c r="BUH44" s="49"/>
      <c r="BUI44" s="49"/>
      <c r="BUJ44" s="49"/>
      <c r="BUK44" s="49"/>
      <c r="BUL44" s="67">
        <f t="shared" si="2357"/>
        <v>0</v>
      </c>
      <c r="BUM44" s="68">
        <f t="shared" si="2358"/>
        <v>0</v>
      </c>
      <c r="BUN44" s="48"/>
      <c r="BUO44" s="49"/>
      <c r="BUP44" s="49"/>
      <c r="BUQ44" s="49"/>
      <c r="BUR44" s="49"/>
      <c r="BUS44" s="49"/>
      <c r="BUT44" s="67">
        <f t="shared" si="2359"/>
        <v>0</v>
      </c>
      <c r="BUU44" s="68">
        <f t="shared" si="2360"/>
        <v>0</v>
      </c>
      <c r="BUV44" s="48"/>
      <c r="BUW44" s="49"/>
      <c r="BUX44" s="49"/>
      <c r="BUY44" s="49"/>
      <c r="BUZ44" s="49"/>
      <c r="BVA44" s="49"/>
      <c r="BVB44" s="67">
        <f t="shared" si="2361"/>
        <v>0</v>
      </c>
      <c r="BVC44" s="68">
        <f t="shared" si="2362"/>
        <v>0</v>
      </c>
      <c r="BVD44" s="48"/>
      <c r="BVE44" s="49"/>
      <c r="BVF44" s="49"/>
      <c r="BVG44" s="49"/>
      <c r="BVH44" s="49"/>
      <c r="BVI44" s="49"/>
      <c r="BVJ44" s="67">
        <f t="shared" si="2363"/>
        <v>0</v>
      </c>
      <c r="BVK44" s="68">
        <f t="shared" si="2364"/>
        <v>0</v>
      </c>
      <c r="BVL44" s="48"/>
      <c r="BVM44" s="49"/>
      <c r="BVN44" s="49"/>
      <c r="BVO44" s="49"/>
      <c r="BVP44" s="49"/>
      <c r="BVQ44" s="49"/>
      <c r="BVR44" s="67">
        <f t="shared" si="2365"/>
        <v>0</v>
      </c>
      <c r="BVS44" s="68">
        <f t="shared" si="2366"/>
        <v>0</v>
      </c>
      <c r="BVT44" s="48"/>
      <c r="BVU44" s="49"/>
      <c r="BVV44" s="49"/>
      <c r="BVW44" s="49">
        <v>270</v>
      </c>
      <c r="BVX44" s="49"/>
      <c r="BVY44" s="49"/>
      <c r="BVZ44" s="67">
        <f t="shared" si="2367"/>
        <v>270</v>
      </c>
      <c r="BWA44" s="68">
        <f t="shared" si="2368"/>
        <v>45</v>
      </c>
      <c r="BWB44" s="48"/>
      <c r="BWC44" s="49"/>
      <c r="BWD44" s="49"/>
      <c r="BWE44" s="49"/>
      <c r="BWF44" s="49"/>
      <c r="BWG44" s="49"/>
      <c r="BWH44" s="67">
        <f t="shared" si="2369"/>
        <v>0</v>
      </c>
      <c r="BWI44" s="68">
        <f t="shared" si="2370"/>
        <v>0</v>
      </c>
      <c r="BWJ44" s="48"/>
      <c r="BWK44" s="49"/>
      <c r="BWL44" s="49"/>
      <c r="BWM44" s="49"/>
      <c r="BWN44" s="49"/>
      <c r="BWO44" s="49"/>
      <c r="BWP44" s="67">
        <f t="shared" si="2371"/>
        <v>0</v>
      </c>
      <c r="BWQ44" s="68">
        <f t="shared" si="2372"/>
        <v>0</v>
      </c>
      <c r="BWR44" s="48"/>
      <c r="BWS44" s="49"/>
      <c r="BWT44" s="49"/>
      <c r="BWU44" s="49"/>
      <c r="BWV44" s="49"/>
      <c r="BWW44" s="49"/>
      <c r="BWX44" s="67">
        <f t="shared" si="2373"/>
        <v>0</v>
      </c>
      <c r="BWY44" s="68">
        <f t="shared" si="2374"/>
        <v>0</v>
      </c>
      <c r="BWZ44" s="48"/>
      <c r="BXA44" s="49"/>
      <c r="BXB44" s="49"/>
      <c r="BXC44" s="49"/>
      <c r="BXD44" s="49"/>
      <c r="BXE44" s="49">
        <v>100</v>
      </c>
      <c r="BXF44" s="67">
        <f t="shared" si="2375"/>
        <v>100</v>
      </c>
      <c r="BXG44" s="68">
        <f t="shared" si="2376"/>
        <v>16.666666666666668</v>
      </c>
      <c r="BXH44" s="48"/>
      <c r="BXI44" s="49"/>
      <c r="BXJ44" s="49"/>
      <c r="BXK44" s="49"/>
      <c r="BXL44" s="49"/>
      <c r="BXM44" s="49"/>
      <c r="BXN44" s="67">
        <f t="shared" si="2377"/>
        <v>0</v>
      </c>
      <c r="BXO44" s="68">
        <f t="shared" si="2378"/>
        <v>0</v>
      </c>
      <c r="BXP44" s="48"/>
      <c r="BXQ44" s="49"/>
      <c r="BXR44" s="49"/>
      <c r="BXS44" s="49"/>
      <c r="BXT44" s="49"/>
      <c r="BXU44" s="49"/>
      <c r="BXV44" s="67">
        <f t="shared" si="2379"/>
        <v>0</v>
      </c>
      <c r="BXW44" s="68">
        <f t="shared" si="1584"/>
        <v>0</v>
      </c>
      <c r="BXX44" s="48"/>
      <c r="BXY44" s="49"/>
      <c r="BXZ44" s="49"/>
      <c r="BYA44" s="49">
        <v>50</v>
      </c>
      <c r="BYB44" s="49"/>
      <c r="BYC44" s="49"/>
      <c r="BYD44" s="67">
        <f t="shared" si="2380"/>
        <v>50</v>
      </c>
      <c r="BYE44" s="68">
        <f t="shared" si="2381"/>
        <v>8.3333333333333339</v>
      </c>
      <c r="BYF44" s="48"/>
      <c r="BYG44" s="49"/>
      <c r="BYH44" s="49"/>
      <c r="BYI44" s="49"/>
      <c r="BYJ44" s="49"/>
      <c r="BYK44" s="49"/>
      <c r="BYL44" s="67">
        <f t="shared" si="2382"/>
        <v>0</v>
      </c>
      <c r="BYM44" s="68">
        <f t="shared" si="2383"/>
        <v>0</v>
      </c>
      <c r="BYN44" s="48"/>
      <c r="BYO44" s="49"/>
      <c r="BYP44" s="49"/>
      <c r="BYQ44" s="49"/>
      <c r="BYR44" s="49"/>
      <c r="BYS44" s="49"/>
      <c r="BYT44" s="67">
        <f t="shared" si="2384"/>
        <v>0</v>
      </c>
      <c r="BYU44" s="68">
        <f t="shared" si="2385"/>
        <v>0</v>
      </c>
      <c r="BYV44" s="48"/>
      <c r="BYW44" s="49"/>
      <c r="BYX44" s="49"/>
      <c r="BYY44" s="49"/>
      <c r="BYZ44" s="49"/>
      <c r="BZA44" s="49"/>
      <c r="BZB44" s="67">
        <f t="shared" si="2386"/>
        <v>0</v>
      </c>
      <c r="BZC44" s="68">
        <f t="shared" si="2387"/>
        <v>0</v>
      </c>
      <c r="BZD44" s="48"/>
      <c r="BZE44" s="49"/>
      <c r="BZF44" s="49"/>
      <c r="BZG44" s="49"/>
      <c r="BZH44" s="49"/>
      <c r="BZI44" s="49"/>
      <c r="BZJ44" s="67">
        <f t="shared" si="2388"/>
        <v>0</v>
      </c>
      <c r="BZK44" s="68">
        <f t="shared" si="2389"/>
        <v>0</v>
      </c>
      <c r="BZL44" s="48"/>
      <c r="BZM44" s="49"/>
      <c r="BZN44" s="49"/>
      <c r="BZO44" s="49"/>
      <c r="BZP44" s="49"/>
      <c r="BZQ44" s="49"/>
      <c r="BZR44" s="67">
        <f t="shared" si="2390"/>
        <v>0</v>
      </c>
      <c r="BZS44" s="68">
        <f t="shared" si="2391"/>
        <v>0</v>
      </c>
      <c r="BZT44" s="48"/>
      <c r="BZU44" s="49"/>
      <c r="BZV44" s="49"/>
      <c r="BZW44" s="49"/>
      <c r="BZX44" s="49"/>
      <c r="BZY44" s="49"/>
      <c r="BZZ44" s="67">
        <f t="shared" si="2392"/>
        <v>0</v>
      </c>
      <c r="CAA44" s="68">
        <f t="shared" si="2393"/>
        <v>0</v>
      </c>
      <c r="CAB44" s="48"/>
      <c r="CAC44" s="49">
        <v>150</v>
      </c>
      <c r="CAD44" s="49"/>
      <c r="CAE44" s="49"/>
      <c r="CAF44" s="49"/>
      <c r="CAG44" s="49"/>
      <c r="CAH44" s="67">
        <f t="shared" si="2394"/>
        <v>150</v>
      </c>
      <c r="CAI44" s="68">
        <f t="shared" si="2395"/>
        <v>25</v>
      </c>
      <c r="CAJ44" s="48">
        <v>110</v>
      </c>
      <c r="CAK44" s="49"/>
      <c r="CAL44" s="49"/>
      <c r="CAM44" s="49"/>
      <c r="CAN44" s="49"/>
      <c r="CAO44" s="49"/>
      <c r="CAP44" s="67">
        <f t="shared" si="2396"/>
        <v>110</v>
      </c>
      <c r="CAQ44" s="68">
        <f t="shared" si="2397"/>
        <v>18.333333333333332</v>
      </c>
      <c r="CAR44" s="48"/>
      <c r="CAS44" s="49"/>
      <c r="CAT44" s="49"/>
      <c r="CAU44" s="49"/>
      <c r="CAV44" s="49"/>
      <c r="CAW44" s="49"/>
      <c r="CAX44" s="67">
        <f t="shared" si="2398"/>
        <v>0</v>
      </c>
      <c r="CAY44" s="68">
        <f t="shared" si="2399"/>
        <v>0</v>
      </c>
      <c r="CAZ44" s="48"/>
      <c r="CBA44" s="49"/>
      <c r="CBB44" s="49"/>
      <c r="CBC44" s="49"/>
      <c r="CBD44" s="49"/>
      <c r="CBE44" s="49"/>
      <c r="CBF44" s="67">
        <f t="shared" si="2400"/>
        <v>0</v>
      </c>
      <c r="CBG44" s="68">
        <f t="shared" si="2401"/>
        <v>0</v>
      </c>
      <c r="CBH44" s="48"/>
      <c r="CBI44" s="49"/>
      <c r="CBJ44" s="49"/>
      <c r="CBK44" s="49"/>
      <c r="CBL44" s="49"/>
      <c r="CBM44" s="49"/>
      <c r="CBN44" s="67">
        <f t="shared" si="2402"/>
        <v>0</v>
      </c>
      <c r="CBO44" s="68">
        <f t="shared" si="2403"/>
        <v>0</v>
      </c>
      <c r="CBP44" s="48"/>
      <c r="CBQ44" s="49"/>
      <c r="CBR44" s="49"/>
      <c r="CBS44" s="49"/>
      <c r="CBT44" s="49"/>
      <c r="CBU44" s="49"/>
      <c r="CBV44" s="67">
        <f t="shared" si="2404"/>
        <v>0</v>
      </c>
      <c r="CBW44" s="68">
        <f t="shared" si="2405"/>
        <v>0</v>
      </c>
      <c r="CBX44" s="48"/>
      <c r="CBY44" s="49"/>
      <c r="CBZ44" s="49"/>
      <c r="CCA44" s="49"/>
      <c r="CCB44" s="49"/>
      <c r="CCC44" s="49"/>
      <c r="CCD44" s="67">
        <f t="shared" si="2406"/>
        <v>0</v>
      </c>
      <c r="CCE44" s="68">
        <f t="shared" si="2407"/>
        <v>0</v>
      </c>
      <c r="CCF44" s="48"/>
      <c r="CCG44" s="49"/>
      <c r="CCH44" s="49"/>
      <c r="CCI44" s="49">
        <v>243</v>
      </c>
      <c r="CCJ44" s="49"/>
      <c r="CCK44" s="49"/>
      <c r="CCL44" s="67">
        <f t="shared" si="2408"/>
        <v>243</v>
      </c>
      <c r="CCM44" s="68">
        <f t="shared" si="2409"/>
        <v>40.5</v>
      </c>
      <c r="CCN44" s="48"/>
      <c r="CCO44" s="49"/>
      <c r="CCP44" s="49"/>
      <c r="CCQ44" s="49"/>
      <c r="CCR44" s="49"/>
      <c r="CCS44" s="49"/>
      <c r="CCT44" s="67">
        <f t="shared" si="2410"/>
        <v>0</v>
      </c>
      <c r="CCU44" s="68">
        <f t="shared" si="2411"/>
        <v>0</v>
      </c>
      <c r="CCV44" s="48"/>
      <c r="CCW44" s="49"/>
      <c r="CCX44" s="49"/>
      <c r="CCY44" s="49"/>
      <c r="CCZ44" s="49"/>
      <c r="CDA44" s="49"/>
      <c r="CDB44" s="67">
        <f t="shared" si="1629"/>
        <v>0</v>
      </c>
      <c r="CDC44" s="68">
        <f t="shared" si="1630"/>
        <v>0</v>
      </c>
      <c r="CDD44" s="48"/>
      <c r="CDE44" s="49"/>
      <c r="CDF44" s="49"/>
      <c r="CDG44" s="49"/>
      <c r="CDH44" s="49"/>
      <c r="CDI44" s="49"/>
      <c r="CDJ44" s="67">
        <f t="shared" si="1631"/>
        <v>0</v>
      </c>
      <c r="CDK44" s="68">
        <f t="shared" si="1632"/>
        <v>0</v>
      </c>
      <c r="CDL44" s="48"/>
      <c r="CDM44" s="49"/>
      <c r="CDN44" s="49"/>
      <c r="CDO44" s="49"/>
      <c r="CDP44" s="49"/>
      <c r="CDQ44" s="49"/>
      <c r="CDR44" s="67">
        <f t="shared" si="1633"/>
        <v>0</v>
      </c>
      <c r="CDS44" s="68">
        <f t="shared" si="1634"/>
        <v>0</v>
      </c>
      <c r="CDT44" s="48"/>
      <c r="CDU44" s="49"/>
      <c r="CDV44" s="49"/>
      <c r="CDW44" s="49"/>
      <c r="CDX44" s="49"/>
      <c r="CDY44" s="49"/>
      <c r="CDZ44" s="67">
        <f t="shared" si="1635"/>
        <v>0</v>
      </c>
      <c r="CEA44" s="68">
        <f t="shared" si="1636"/>
        <v>0</v>
      </c>
      <c r="CEB44" s="48"/>
      <c r="CEC44" s="49"/>
      <c r="CED44" s="49"/>
      <c r="CEE44" s="49"/>
      <c r="CEF44" s="49"/>
      <c r="CEG44" s="49"/>
      <c r="CEH44" s="67">
        <f t="shared" si="1637"/>
        <v>0</v>
      </c>
      <c r="CEI44" s="68">
        <f t="shared" si="1638"/>
        <v>0</v>
      </c>
      <c r="CEJ44" s="48"/>
      <c r="CEK44" s="49"/>
      <c r="CEL44" s="49"/>
      <c r="CEM44" s="49"/>
      <c r="CEN44" s="49"/>
      <c r="CEO44" s="49"/>
      <c r="CEP44" s="67">
        <f t="shared" si="1639"/>
        <v>0</v>
      </c>
      <c r="CEQ44" s="68">
        <f t="shared" si="1640"/>
        <v>0</v>
      </c>
      <c r="CER44" s="48"/>
      <c r="CES44" s="49"/>
      <c r="CET44" s="49"/>
      <c r="CEU44" s="49"/>
      <c r="CEV44" s="49"/>
      <c r="CEW44" s="49"/>
      <c r="CEX44" s="67">
        <f t="shared" si="1641"/>
        <v>0</v>
      </c>
      <c r="CEY44" s="68">
        <f t="shared" si="1642"/>
        <v>0</v>
      </c>
      <c r="CEZ44" s="48"/>
      <c r="CFA44" s="49"/>
      <c r="CFB44" s="49"/>
      <c r="CFC44" s="49"/>
      <c r="CFD44" s="49"/>
      <c r="CFE44" s="49"/>
      <c r="CFF44" s="67">
        <f t="shared" si="1643"/>
        <v>0</v>
      </c>
      <c r="CFG44" s="68">
        <f t="shared" si="1644"/>
        <v>0</v>
      </c>
      <c r="CFH44" s="48"/>
      <c r="CFI44" s="49"/>
      <c r="CFJ44" s="49"/>
      <c r="CFK44" s="49"/>
      <c r="CFL44" s="49"/>
      <c r="CFM44" s="49"/>
      <c r="CFN44" s="67">
        <f t="shared" si="1645"/>
        <v>0</v>
      </c>
      <c r="CFO44" s="68">
        <f t="shared" si="1646"/>
        <v>0</v>
      </c>
      <c r="CFP44" s="48"/>
      <c r="CFQ44" s="49"/>
      <c r="CFR44" s="49"/>
      <c r="CFS44" s="49"/>
      <c r="CFT44" s="49"/>
      <c r="CFU44" s="49"/>
      <c r="CFV44" s="67">
        <f t="shared" si="1647"/>
        <v>0</v>
      </c>
      <c r="CFW44" s="68">
        <f t="shared" si="1648"/>
        <v>0</v>
      </c>
      <c r="CFX44" s="48"/>
      <c r="CFY44" s="49"/>
      <c r="CFZ44" s="49"/>
      <c r="CGA44" s="49"/>
      <c r="CGB44" s="49"/>
      <c r="CGC44" s="49"/>
      <c r="CGD44" s="67">
        <f t="shared" si="1649"/>
        <v>0</v>
      </c>
      <c r="CGE44" s="68">
        <f t="shared" si="1650"/>
        <v>0</v>
      </c>
      <c r="CGF44" s="48"/>
      <c r="CGG44" s="49"/>
      <c r="CGH44" s="49"/>
      <c r="CGI44" s="49"/>
      <c r="CGJ44" s="49"/>
      <c r="CGK44" s="49"/>
      <c r="CGL44" s="67">
        <f t="shared" si="1651"/>
        <v>0</v>
      </c>
      <c r="CGM44" s="68">
        <f t="shared" si="1652"/>
        <v>0</v>
      </c>
      <c r="CGN44" s="48"/>
      <c r="CGO44" s="49"/>
      <c r="CGP44" s="49"/>
      <c r="CGQ44" s="49"/>
      <c r="CGR44" s="49"/>
      <c r="CGS44" s="49"/>
      <c r="CGT44" s="67">
        <f t="shared" si="1653"/>
        <v>0</v>
      </c>
      <c r="CGU44" s="68">
        <f t="shared" si="1654"/>
        <v>0</v>
      </c>
      <c r="CGV44" s="48"/>
      <c r="CGW44" s="49"/>
      <c r="CGX44" s="49"/>
      <c r="CGY44" s="49"/>
      <c r="CGZ44" s="49"/>
      <c r="CHA44" s="49"/>
      <c r="CHB44" s="67">
        <f t="shared" si="1655"/>
        <v>0</v>
      </c>
      <c r="CHC44" s="68">
        <f t="shared" si="1656"/>
        <v>0</v>
      </c>
      <c r="CHD44" s="48"/>
      <c r="CHE44" s="49"/>
      <c r="CHF44" s="49"/>
      <c r="CHG44" s="49"/>
      <c r="CHH44" s="49"/>
      <c r="CHI44" s="49"/>
      <c r="CHJ44" s="67">
        <f t="shared" si="1657"/>
        <v>0</v>
      </c>
      <c r="CHK44" s="68">
        <f t="shared" si="1658"/>
        <v>0</v>
      </c>
      <c r="CHL44" s="48"/>
      <c r="CHM44" s="49"/>
      <c r="CHN44" s="49"/>
      <c r="CHO44" s="49"/>
      <c r="CHP44" s="49"/>
      <c r="CHQ44" s="49"/>
      <c r="CHR44" s="67">
        <f t="shared" si="1659"/>
        <v>0</v>
      </c>
      <c r="CHS44" s="68">
        <f t="shared" si="1660"/>
        <v>0</v>
      </c>
      <c r="CHT44" s="48"/>
      <c r="CHU44" s="49"/>
      <c r="CHV44" s="49"/>
      <c r="CHW44" s="49"/>
      <c r="CHX44" s="49"/>
      <c r="CHY44" s="49"/>
      <c r="CHZ44" s="67">
        <f t="shared" si="1661"/>
        <v>0</v>
      </c>
      <c r="CIA44" s="68">
        <f t="shared" si="1662"/>
        <v>0</v>
      </c>
      <c r="CIB44" s="48"/>
      <c r="CIC44" s="49"/>
      <c r="CID44" s="49"/>
      <c r="CIE44" s="49"/>
      <c r="CIF44" s="49"/>
      <c r="CIG44" s="49"/>
      <c r="CIH44" s="67">
        <f t="shared" si="1663"/>
        <v>0</v>
      </c>
      <c r="CII44" s="68">
        <f t="shared" si="1664"/>
        <v>0</v>
      </c>
      <c r="CIJ44" s="48"/>
      <c r="CIK44" s="49"/>
      <c r="CIL44" s="49"/>
      <c r="CIM44" s="49"/>
      <c r="CIN44" s="49"/>
      <c r="CIO44" s="49"/>
      <c r="CIP44" s="67">
        <f t="shared" si="1665"/>
        <v>0</v>
      </c>
      <c r="CIQ44" s="68">
        <f t="shared" si="1666"/>
        <v>0</v>
      </c>
      <c r="CIR44" s="48"/>
      <c r="CIS44" s="49"/>
      <c r="CIT44" s="49"/>
      <c r="CIU44" s="49"/>
      <c r="CIV44" s="49"/>
      <c r="CIW44" s="49"/>
      <c r="CIX44" s="67">
        <f t="shared" si="1667"/>
        <v>0</v>
      </c>
      <c r="CIY44" s="68">
        <f t="shared" si="1668"/>
        <v>0</v>
      </c>
      <c r="CIZ44" s="63"/>
      <c r="CJA44" s="64"/>
      <c r="CJB44" s="64"/>
      <c r="CJC44" s="64"/>
      <c r="CJD44" s="64"/>
      <c r="CJE44" s="64"/>
      <c r="CJF44" s="67">
        <f t="shared" si="1669"/>
        <v>0</v>
      </c>
      <c r="CJG44" s="68">
        <f t="shared" si="1670"/>
        <v>0</v>
      </c>
      <c r="CJH44" s="48"/>
      <c r="CJI44" s="49"/>
      <c r="CJJ44" s="49"/>
      <c r="CJK44" s="49"/>
      <c r="CJL44" s="49"/>
      <c r="CJM44" s="49"/>
      <c r="CJN44" s="67">
        <f t="shared" si="1671"/>
        <v>0</v>
      </c>
      <c r="CJO44" s="184">
        <f t="shared" si="1672"/>
        <v>0</v>
      </c>
      <c r="CJP44" s="48"/>
      <c r="CJQ44" s="49"/>
      <c r="CJR44" s="49">
        <v>82</v>
      </c>
      <c r="CJS44" s="49"/>
      <c r="CJT44" s="49"/>
      <c r="CJU44" s="49"/>
      <c r="CJV44" s="67">
        <f t="shared" si="1673"/>
        <v>82</v>
      </c>
      <c r="CJW44" s="68">
        <f t="shared" si="1674"/>
        <v>13.666666666666666</v>
      </c>
      <c r="CJX44" s="48"/>
      <c r="CJY44" s="49"/>
      <c r="CJZ44" s="49"/>
      <c r="CKA44" s="49"/>
      <c r="CKB44" s="49"/>
      <c r="CKC44" s="49"/>
      <c r="CKD44" s="67">
        <f t="shared" si="2412"/>
        <v>0</v>
      </c>
      <c r="CKE44" s="68">
        <f t="shared" si="1675"/>
        <v>0</v>
      </c>
      <c r="CKF44" s="48"/>
      <c r="CKG44" s="49"/>
      <c r="CKH44" s="49"/>
      <c r="CKI44" s="49"/>
      <c r="CKJ44" s="49"/>
      <c r="CKK44" s="49"/>
      <c r="CKL44" s="67">
        <f t="shared" si="1676"/>
        <v>0</v>
      </c>
      <c r="CKM44" s="68">
        <f t="shared" si="1677"/>
        <v>0</v>
      </c>
      <c r="CKN44" s="48"/>
      <c r="CKO44" s="49"/>
      <c r="CKP44" s="49"/>
      <c r="CKQ44" s="49"/>
      <c r="CKR44" s="49"/>
      <c r="CKS44" s="47"/>
      <c r="CKT44" s="67">
        <f t="shared" si="1678"/>
        <v>0</v>
      </c>
      <c r="CKU44" s="68">
        <f t="shared" si="1679"/>
        <v>0</v>
      </c>
      <c r="CKV44" s="48"/>
      <c r="CKW44" s="49"/>
      <c r="CKX44" s="49"/>
      <c r="CKY44" s="49"/>
      <c r="CKZ44" s="49"/>
      <c r="CLA44" s="49"/>
      <c r="CLB44" s="67">
        <f t="shared" si="1680"/>
        <v>0</v>
      </c>
      <c r="CLC44" s="68">
        <f t="shared" si="1681"/>
        <v>0</v>
      </c>
      <c r="CLD44" s="48"/>
      <c r="CLE44" s="49"/>
      <c r="CLF44" s="49"/>
      <c r="CLG44" s="49"/>
      <c r="CLH44" s="49"/>
      <c r="CLI44" s="49"/>
      <c r="CLJ44" s="67">
        <f t="shared" si="1682"/>
        <v>0</v>
      </c>
      <c r="CLK44" s="68">
        <f t="shared" si="1683"/>
        <v>0</v>
      </c>
      <c r="CLL44" s="48"/>
      <c r="CLM44" s="49"/>
      <c r="CLN44" s="49"/>
      <c r="CLO44" s="49"/>
      <c r="CLP44" s="49"/>
      <c r="CLQ44" s="49"/>
      <c r="CLR44" s="67">
        <f t="shared" si="1684"/>
        <v>0</v>
      </c>
      <c r="CLS44" s="68">
        <f t="shared" si="1685"/>
        <v>0</v>
      </c>
      <c r="CLT44" s="48"/>
      <c r="CLU44" s="49"/>
      <c r="CLV44" s="49"/>
      <c r="CLW44" s="49"/>
      <c r="CLX44" s="49"/>
      <c r="CLY44" s="49"/>
      <c r="CLZ44" s="67">
        <f t="shared" si="1686"/>
        <v>0</v>
      </c>
      <c r="CMA44" s="68">
        <f t="shared" si="1687"/>
        <v>0</v>
      </c>
      <c r="CMB44" s="48"/>
      <c r="CMC44" s="49"/>
      <c r="CMD44" s="49"/>
      <c r="CME44" s="49">
        <v>246</v>
      </c>
      <c r="CMF44" s="49"/>
      <c r="CMG44" s="49"/>
      <c r="CMH44" s="67">
        <f t="shared" si="1688"/>
        <v>246</v>
      </c>
      <c r="CMI44" s="68">
        <f t="shared" si="1689"/>
        <v>41</v>
      </c>
      <c r="CMJ44" s="48"/>
      <c r="CMK44" s="49"/>
      <c r="CML44" s="49"/>
      <c r="CMM44" s="49"/>
      <c r="CMN44" s="49"/>
      <c r="CMO44" s="49"/>
      <c r="CMP44" s="67">
        <f t="shared" si="1690"/>
        <v>0</v>
      </c>
      <c r="CMQ44" s="68">
        <f t="shared" si="1691"/>
        <v>0</v>
      </c>
      <c r="CMR44" s="48"/>
      <c r="CMS44" s="49"/>
      <c r="CMT44" s="49"/>
      <c r="CMU44" s="49"/>
      <c r="CMV44" s="49"/>
      <c r="CMW44" s="49"/>
      <c r="CMX44" s="67">
        <f t="shared" si="1692"/>
        <v>0</v>
      </c>
      <c r="CMY44" s="68">
        <f t="shared" si="1693"/>
        <v>0</v>
      </c>
      <c r="CMZ44" s="48"/>
      <c r="CNA44" s="49"/>
      <c r="CNB44" s="49"/>
      <c r="CNC44" s="49"/>
      <c r="CND44" s="49"/>
      <c r="CNE44" s="49"/>
      <c r="CNF44" s="67">
        <f t="shared" si="1694"/>
        <v>0</v>
      </c>
      <c r="CNG44" s="68">
        <f t="shared" si="1695"/>
        <v>0</v>
      </c>
      <c r="CNH44" s="48"/>
      <c r="CNI44" s="49"/>
      <c r="CNJ44" s="49"/>
      <c r="CNK44" s="49"/>
      <c r="CNL44" s="49"/>
      <c r="CNM44" s="49"/>
      <c r="CNN44" s="67">
        <f t="shared" si="1696"/>
        <v>0</v>
      </c>
      <c r="CNO44" s="68">
        <f t="shared" si="1697"/>
        <v>0</v>
      </c>
      <c r="CNP44" s="48"/>
      <c r="CNQ44" s="49"/>
      <c r="CNR44" s="49"/>
      <c r="CNS44" s="49"/>
      <c r="CNT44" s="49"/>
      <c r="CNU44" s="49"/>
      <c r="CNV44" s="67">
        <f t="shared" si="1698"/>
        <v>0</v>
      </c>
      <c r="CNW44" s="68">
        <f t="shared" si="1699"/>
        <v>0</v>
      </c>
      <c r="CNX44" s="48"/>
      <c r="CNY44" s="49"/>
      <c r="CNZ44" s="49"/>
      <c r="COA44" s="49"/>
      <c r="COB44" s="49"/>
      <c r="COC44" s="49"/>
      <c r="COD44" s="67">
        <f t="shared" si="1700"/>
        <v>0</v>
      </c>
      <c r="COE44" s="68">
        <f t="shared" si="1701"/>
        <v>0</v>
      </c>
      <c r="COF44" s="48"/>
      <c r="COG44" s="49"/>
      <c r="COH44" s="49"/>
      <c r="COI44" s="49"/>
      <c r="COJ44" s="49"/>
      <c r="COK44" s="49"/>
      <c r="COL44" s="67">
        <f t="shared" si="1702"/>
        <v>0</v>
      </c>
      <c r="COM44" s="68">
        <f t="shared" si="1703"/>
        <v>0</v>
      </c>
      <c r="CON44" s="48"/>
      <c r="COO44" s="49"/>
      <c r="COP44" s="49"/>
      <c r="COQ44" s="49"/>
      <c r="COR44" s="49"/>
      <c r="COS44" s="49"/>
      <c r="COT44" s="67">
        <f t="shared" si="1704"/>
        <v>0</v>
      </c>
      <c r="COU44" s="68">
        <f t="shared" si="1705"/>
        <v>0</v>
      </c>
      <c r="COV44" s="48"/>
      <c r="COW44" s="49"/>
      <c r="COX44" s="49"/>
      <c r="COY44" s="49"/>
      <c r="COZ44" s="49"/>
      <c r="CPA44" s="49"/>
      <c r="CPB44" s="67">
        <f t="shared" si="1706"/>
        <v>0</v>
      </c>
      <c r="CPC44" s="68">
        <f t="shared" si="1707"/>
        <v>0</v>
      </c>
      <c r="CPD44" s="48"/>
      <c r="CPE44" s="49"/>
      <c r="CPF44" s="49"/>
      <c r="CPG44" s="49"/>
      <c r="CPH44" s="49"/>
      <c r="CPI44" s="49"/>
      <c r="CPJ44" s="67">
        <f t="shared" si="1708"/>
        <v>0</v>
      </c>
      <c r="CPK44" s="68">
        <f t="shared" si="1709"/>
        <v>0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10"/>
        <v>0</v>
      </c>
      <c r="CPS44" s="68">
        <f t="shared" si="1711"/>
        <v>0</v>
      </c>
      <c r="CPT44" s="48">
        <v>0</v>
      </c>
      <c r="CPU44" s="49">
        <v>0</v>
      </c>
      <c r="CPV44" s="49">
        <v>0</v>
      </c>
      <c r="CPW44" s="49"/>
      <c r="CPX44" s="49"/>
      <c r="CPY44" s="49"/>
      <c r="CPZ44" s="67">
        <f t="shared" si="1712"/>
        <v>0</v>
      </c>
      <c r="CQA44" s="68">
        <f t="shared" si="1713"/>
        <v>0</v>
      </c>
      <c r="CQB44" s="48"/>
      <c r="CQC44" s="49"/>
      <c r="CQD44" s="49"/>
      <c r="CQE44" s="49"/>
      <c r="CQF44" s="49">
        <v>171</v>
      </c>
      <c r="CQG44" s="49"/>
      <c r="CQH44" s="67">
        <f t="shared" si="1714"/>
        <v>171</v>
      </c>
      <c r="CQI44" s="68">
        <f t="shared" si="1715"/>
        <v>28.5</v>
      </c>
      <c r="CQJ44" s="82"/>
      <c r="CQK44" s="83"/>
      <c r="CQL44" s="83"/>
      <c r="CQM44" s="83"/>
      <c r="CQN44" s="83"/>
      <c r="CQO44" s="83"/>
      <c r="CQP44" s="67">
        <f t="shared" si="1716"/>
        <v>0</v>
      </c>
      <c r="CQQ44" s="68">
        <f t="shared" si="1717"/>
        <v>0</v>
      </c>
      <c r="CQR44" s="239"/>
      <c r="CQS44" s="1"/>
      <c r="CQT44" s="1"/>
      <c r="CQU44" s="1"/>
      <c r="CQV44" s="1">
        <v>130</v>
      </c>
      <c r="CQW44" s="1"/>
      <c r="CQX44" s="67">
        <f t="shared" si="1718"/>
        <v>130</v>
      </c>
      <c r="CQY44" s="68">
        <f t="shared" si="1719"/>
        <v>21.666666666666668</v>
      </c>
      <c r="CQZ44" s="48"/>
      <c r="CRA44" s="49"/>
      <c r="CRB44" s="49">
        <v>0</v>
      </c>
      <c r="CRC44" s="49">
        <v>0</v>
      </c>
      <c r="CRD44" s="49">
        <v>190</v>
      </c>
      <c r="CRE44" s="49"/>
      <c r="CRF44" s="67">
        <f t="shared" si="1720"/>
        <v>190</v>
      </c>
      <c r="CRG44" s="68">
        <f t="shared" si="1721"/>
        <v>31.666666666666668</v>
      </c>
      <c r="CRH44" s="48"/>
      <c r="CRI44" s="49"/>
      <c r="CRJ44" s="49"/>
      <c r="CRK44" s="49">
        <v>0</v>
      </c>
      <c r="CRL44" s="49">
        <v>0</v>
      </c>
      <c r="CRM44" s="49">
        <v>0</v>
      </c>
      <c r="CRN44" s="67">
        <f t="shared" si="1722"/>
        <v>0</v>
      </c>
      <c r="CRO44" s="68">
        <f t="shared" si="1723"/>
        <v>0</v>
      </c>
      <c r="CRP44" s="48"/>
      <c r="CRQ44" s="49"/>
      <c r="CRR44" s="49">
        <v>0</v>
      </c>
      <c r="CRS44" s="49">
        <v>0</v>
      </c>
      <c r="CRT44" s="49">
        <v>0</v>
      </c>
      <c r="CRU44" s="49">
        <v>0</v>
      </c>
      <c r="CRV44" s="47">
        <f t="shared" si="1724"/>
        <v>0</v>
      </c>
      <c r="CRW44" s="68">
        <f t="shared" si="1725"/>
        <v>0</v>
      </c>
      <c r="CRX44" s="48">
        <v>0</v>
      </c>
      <c r="CRY44" s="49">
        <v>0</v>
      </c>
      <c r="CRZ44" s="49">
        <v>0</v>
      </c>
      <c r="CSA44" s="49">
        <v>179</v>
      </c>
      <c r="CSB44" s="49"/>
      <c r="CSC44" s="49"/>
      <c r="CSD44" s="67">
        <f t="shared" si="1726"/>
        <v>179</v>
      </c>
      <c r="CSE44" s="68">
        <f t="shared" si="1727"/>
        <v>29.833333333333332</v>
      </c>
      <c r="CSF44" s="48"/>
      <c r="CSG44" s="49"/>
      <c r="CSH44" s="49">
        <v>357</v>
      </c>
      <c r="CSI44" s="49"/>
      <c r="CSJ44" s="49">
        <v>0</v>
      </c>
      <c r="CSK44" s="360"/>
      <c r="CSL44" s="64">
        <f t="shared" si="1728"/>
        <v>357</v>
      </c>
      <c r="CSM44" s="68">
        <f t="shared" si="1729"/>
        <v>59.5</v>
      </c>
      <c r="CSN44" s="48"/>
      <c r="CSO44" s="49">
        <v>0</v>
      </c>
      <c r="CSP44" s="49"/>
      <c r="CSQ44" s="49"/>
      <c r="CSR44" s="49">
        <v>0</v>
      </c>
      <c r="CSS44" s="49">
        <v>0</v>
      </c>
      <c r="CST44" s="64">
        <f t="shared" si="1730"/>
        <v>0</v>
      </c>
      <c r="CSU44" s="68">
        <f t="shared" si="1731"/>
        <v>0</v>
      </c>
      <c r="CSV44" s="48"/>
      <c r="CSW44" s="49"/>
      <c r="CSX44" s="49">
        <v>220</v>
      </c>
      <c r="CSY44" s="49">
        <v>110</v>
      </c>
      <c r="CSZ44" s="49"/>
      <c r="CTA44" s="49"/>
      <c r="CTB44" s="64">
        <f t="shared" si="1732"/>
        <v>330</v>
      </c>
      <c r="CTC44" s="68">
        <f t="shared" si="1733"/>
        <v>55</v>
      </c>
      <c r="CTD44" s="48">
        <v>0</v>
      </c>
      <c r="CTE44" s="49">
        <v>330</v>
      </c>
      <c r="CTF44" s="49"/>
      <c r="CTG44" s="49">
        <v>0</v>
      </c>
      <c r="CTH44" s="49"/>
      <c r="CTI44" s="49"/>
      <c r="CTJ44" s="64">
        <f t="shared" si="1734"/>
        <v>330</v>
      </c>
      <c r="CTK44" s="68">
        <f t="shared" si="1735"/>
        <v>55</v>
      </c>
      <c r="CTL44" s="48"/>
      <c r="CTM44" s="49">
        <v>474</v>
      </c>
      <c r="CTN44" s="49"/>
      <c r="CTO44" s="49"/>
      <c r="CTP44" s="49"/>
      <c r="CTQ44" s="49"/>
      <c r="CTR44" s="64">
        <f t="shared" si="1736"/>
        <v>474</v>
      </c>
      <c r="CTS44" s="68">
        <f t="shared" si="1737"/>
        <v>79</v>
      </c>
      <c r="CTT44" s="48"/>
      <c r="CTU44" s="49">
        <v>0</v>
      </c>
      <c r="CTV44" s="49">
        <v>0</v>
      </c>
      <c r="CTW44" s="49">
        <v>328</v>
      </c>
      <c r="CTX44" s="49">
        <v>0</v>
      </c>
      <c r="CTY44" s="49">
        <v>0</v>
      </c>
      <c r="CTZ44" s="64">
        <f t="shared" si="1738"/>
        <v>328</v>
      </c>
      <c r="CUA44" s="68">
        <f t="shared" si="1739"/>
        <v>54.666666666666664</v>
      </c>
      <c r="CUB44" s="48">
        <v>0</v>
      </c>
      <c r="CUC44" s="49">
        <v>0</v>
      </c>
      <c r="CUD44" s="49"/>
      <c r="CUE44" s="49"/>
      <c r="CUF44" s="49">
        <v>366</v>
      </c>
      <c r="CUG44" s="49">
        <v>0</v>
      </c>
      <c r="CUH44" s="64">
        <f t="shared" si="1740"/>
        <v>366</v>
      </c>
      <c r="CUI44" s="68">
        <f t="shared" si="1741"/>
        <v>61</v>
      </c>
      <c r="CUJ44" s="48">
        <v>0</v>
      </c>
      <c r="CUK44" s="49">
        <v>0</v>
      </c>
      <c r="CUL44" s="49">
        <v>330</v>
      </c>
      <c r="CUM44" s="49">
        <v>0</v>
      </c>
      <c r="CUN44" s="49">
        <v>0</v>
      </c>
      <c r="CUO44" s="49">
        <v>0</v>
      </c>
      <c r="CUP44" s="64">
        <f t="shared" si="1742"/>
        <v>330</v>
      </c>
      <c r="CUQ44" s="68">
        <f t="shared" si="1743"/>
        <v>55</v>
      </c>
      <c r="CUR44" s="48">
        <v>468</v>
      </c>
      <c r="CUS44" s="49"/>
      <c r="CUT44" s="49"/>
      <c r="CUU44" s="49">
        <v>0</v>
      </c>
      <c r="CUV44" s="49">
        <v>0</v>
      </c>
      <c r="CUW44" s="49">
        <v>798</v>
      </c>
      <c r="CUX44" s="64">
        <f t="shared" si="1744"/>
        <v>1266</v>
      </c>
      <c r="CUY44" s="68">
        <f t="shared" si="1745"/>
        <v>211</v>
      </c>
      <c r="CUZ44" s="48">
        <v>0</v>
      </c>
      <c r="CVA44" s="49">
        <v>0</v>
      </c>
      <c r="CVB44" s="49"/>
      <c r="CVC44" s="49">
        <v>0</v>
      </c>
      <c r="CVD44" s="49">
        <v>0</v>
      </c>
      <c r="CVE44" s="49"/>
      <c r="CVF44" s="64">
        <f t="shared" si="1746"/>
        <v>0</v>
      </c>
      <c r="CVG44" s="68">
        <f t="shared" si="1747"/>
        <v>0</v>
      </c>
      <c r="CVH44" s="48">
        <v>0</v>
      </c>
      <c r="CVI44" s="49">
        <v>0</v>
      </c>
      <c r="CVJ44" s="49">
        <v>0</v>
      </c>
      <c r="CVK44" s="49">
        <v>108</v>
      </c>
      <c r="CVL44" s="49">
        <v>0</v>
      </c>
      <c r="CVM44" s="49"/>
      <c r="CVN44" s="64">
        <f t="shared" si="1748"/>
        <v>108</v>
      </c>
      <c r="CVO44" s="68">
        <f t="shared" si="1749"/>
        <v>18</v>
      </c>
      <c r="CVP44" s="48">
        <v>0</v>
      </c>
      <c r="CVQ44" s="49">
        <v>0</v>
      </c>
      <c r="CVR44" s="49">
        <v>0</v>
      </c>
      <c r="CVS44" s="49">
        <v>0</v>
      </c>
      <c r="CVT44" s="49">
        <v>399</v>
      </c>
      <c r="CVU44" s="49">
        <v>0</v>
      </c>
      <c r="CVV44" s="64">
        <f t="shared" si="1750"/>
        <v>399</v>
      </c>
      <c r="CVW44" s="68">
        <f t="shared" si="1751"/>
        <v>66.5</v>
      </c>
      <c r="CVX44" s="48">
        <v>0</v>
      </c>
      <c r="CVY44" s="49">
        <v>0</v>
      </c>
      <c r="CVZ44" s="49">
        <v>0</v>
      </c>
      <c r="CWA44" s="49">
        <v>0</v>
      </c>
      <c r="CWB44" s="49">
        <v>0</v>
      </c>
      <c r="CWC44" s="49">
        <v>0</v>
      </c>
      <c r="CWD44" s="64">
        <f t="shared" si="1752"/>
        <v>0</v>
      </c>
      <c r="CWE44" s="68">
        <f t="shared" si="1753"/>
        <v>0</v>
      </c>
      <c r="CWF44" s="48">
        <v>0</v>
      </c>
      <c r="CWG44" s="49">
        <v>0</v>
      </c>
      <c r="CWH44" s="49">
        <v>0</v>
      </c>
      <c r="CWI44" s="49">
        <v>0</v>
      </c>
      <c r="CWJ44" s="49">
        <v>0</v>
      </c>
      <c r="CWK44" s="49"/>
      <c r="CWL44" s="64">
        <f t="shared" si="1754"/>
        <v>0</v>
      </c>
      <c r="CWM44" s="68">
        <f t="shared" si="1755"/>
        <v>0</v>
      </c>
      <c r="CWN44" s="48">
        <v>0</v>
      </c>
      <c r="CWO44" s="49">
        <v>0</v>
      </c>
      <c r="CWP44" s="49">
        <v>0</v>
      </c>
      <c r="CWQ44" s="49">
        <v>0</v>
      </c>
      <c r="CWR44" s="49">
        <v>0</v>
      </c>
      <c r="CWS44" s="49">
        <v>0</v>
      </c>
      <c r="CWT44" s="64">
        <f t="shared" si="1756"/>
        <v>0</v>
      </c>
      <c r="CWU44" s="68">
        <f t="shared" si="1757"/>
        <v>0</v>
      </c>
      <c r="CWV44" s="48">
        <v>0</v>
      </c>
      <c r="CWW44" s="49">
        <v>0</v>
      </c>
      <c r="CWX44" s="49">
        <v>151</v>
      </c>
      <c r="CWY44" s="49"/>
      <c r="CWZ44" s="49">
        <v>0</v>
      </c>
      <c r="CXA44" s="49">
        <v>0</v>
      </c>
      <c r="CXB44" s="127">
        <f t="shared" si="1758"/>
        <v>151</v>
      </c>
      <c r="CXC44" s="43">
        <f t="shared" si="1759"/>
        <v>25.166666666666668</v>
      </c>
      <c r="CXD44" s="48">
        <v>0</v>
      </c>
      <c r="CXE44" s="49">
        <v>0</v>
      </c>
      <c r="CXF44" s="49">
        <v>0</v>
      </c>
      <c r="CXG44" s="49">
        <v>0</v>
      </c>
      <c r="CXH44" s="49">
        <v>0</v>
      </c>
      <c r="CXI44" s="49">
        <v>0</v>
      </c>
      <c r="CXJ44" s="127">
        <f t="shared" si="1760"/>
        <v>0</v>
      </c>
      <c r="CXK44" s="43">
        <f t="shared" si="1761"/>
        <v>0</v>
      </c>
      <c r="CXL44" s="48">
        <v>0</v>
      </c>
      <c r="CXM44" s="49">
        <v>0</v>
      </c>
      <c r="CXN44" s="49">
        <v>0</v>
      </c>
      <c r="CXO44" s="49">
        <v>0</v>
      </c>
      <c r="CXP44" s="49">
        <v>0</v>
      </c>
      <c r="CXQ44" s="49">
        <v>0</v>
      </c>
      <c r="CXR44" s="127">
        <f t="shared" si="1762"/>
        <v>0</v>
      </c>
      <c r="CXS44" s="43">
        <f t="shared" si="1763"/>
        <v>0</v>
      </c>
      <c r="CXT44" s="48">
        <v>0</v>
      </c>
      <c r="CXU44" s="49">
        <v>0</v>
      </c>
      <c r="CXV44" s="49">
        <v>0</v>
      </c>
      <c r="CXW44" s="49"/>
      <c r="CXX44" s="49">
        <v>0</v>
      </c>
      <c r="CXY44" s="49">
        <v>0</v>
      </c>
      <c r="CXZ44" s="127">
        <f t="shared" si="1764"/>
        <v>0</v>
      </c>
      <c r="CYA44" s="43">
        <f t="shared" si="1765"/>
        <v>0</v>
      </c>
      <c r="CYB44" s="48">
        <v>0</v>
      </c>
      <c r="CYC44" s="49">
        <v>0</v>
      </c>
      <c r="CYD44" s="49">
        <v>0</v>
      </c>
      <c r="CYE44" s="49">
        <v>0</v>
      </c>
      <c r="CYF44" s="49"/>
      <c r="CYG44" s="49">
        <v>0</v>
      </c>
      <c r="CYH44" s="127">
        <f t="shared" si="1766"/>
        <v>0</v>
      </c>
      <c r="CYI44" s="43">
        <f t="shared" si="1767"/>
        <v>0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0</v>
      </c>
      <c r="CYP44" s="127">
        <f t="shared" si="1768"/>
        <v>0</v>
      </c>
      <c r="CYQ44" s="43">
        <f t="shared" si="1769"/>
        <v>0</v>
      </c>
      <c r="CYR44" s="48">
        <v>0</v>
      </c>
      <c r="CYS44" s="49">
        <v>0</v>
      </c>
      <c r="CYT44" s="49">
        <v>0</v>
      </c>
      <c r="CYU44" s="49">
        <v>324</v>
      </c>
      <c r="CYV44" s="49">
        <v>0</v>
      </c>
      <c r="CYW44" s="49">
        <v>0</v>
      </c>
      <c r="CYX44" s="127">
        <f t="shared" si="1770"/>
        <v>324</v>
      </c>
      <c r="CYY44" s="43">
        <f t="shared" si="1771"/>
        <v>54</v>
      </c>
      <c r="CYZ44" s="48"/>
      <c r="CZA44" s="49">
        <v>0</v>
      </c>
      <c r="CZB44" s="49">
        <v>0</v>
      </c>
      <c r="CZC44" s="49">
        <v>0</v>
      </c>
      <c r="CZD44" s="49">
        <v>0</v>
      </c>
      <c r="CZE44" s="49">
        <v>0</v>
      </c>
      <c r="CZF44" s="127">
        <f t="shared" si="1772"/>
        <v>0</v>
      </c>
      <c r="CZG44" s="43">
        <f t="shared" si="1773"/>
        <v>0</v>
      </c>
      <c r="CZH44" s="48">
        <v>0</v>
      </c>
      <c r="CZI44" s="49">
        <v>0</v>
      </c>
      <c r="CZJ44" s="49">
        <v>0</v>
      </c>
      <c r="CZK44" s="49">
        <v>0</v>
      </c>
      <c r="CZL44" s="49">
        <v>0</v>
      </c>
      <c r="CZM44" s="49">
        <v>0</v>
      </c>
      <c r="CZN44" s="127">
        <f t="shared" si="1774"/>
        <v>0</v>
      </c>
      <c r="CZO44" s="43">
        <f t="shared" si="1775"/>
        <v>0</v>
      </c>
      <c r="CZP44" s="48"/>
      <c r="CZQ44" s="49">
        <v>0</v>
      </c>
      <c r="CZR44" s="49"/>
      <c r="CZS44" s="49">
        <v>0</v>
      </c>
      <c r="CZT44" s="49">
        <v>334</v>
      </c>
      <c r="CZU44" s="49">
        <v>0</v>
      </c>
      <c r="CZV44" s="127">
        <f t="shared" si="1776"/>
        <v>334</v>
      </c>
      <c r="CZW44" s="43">
        <f t="shared" si="1777"/>
        <v>55.666666666666664</v>
      </c>
      <c r="CZX44" s="48">
        <v>0</v>
      </c>
      <c r="CZY44" s="49">
        <v>0</v>
      </c>
      <c r="CZZ44" s="49">
        <v>0</v>
      </c>
      <c r="DAA44" s="49">
        <v>0</v>
      </c>
      <c r="DAB44" s="49"/>
      <c r="DAC44" s="49">
        <v>0</v>
      </c>
      <c r="DAD44" s="64">
        <f t="shared" si="1778"/>
        <v>0</v>
      </c>
      <c r="DAE44" s="68">
        <f t="shared" si="1779"/>
        <v>0</v>
      </c>
      <c r="DAF44" s="48">
        <v>200</v>
      </c>
      <c r="DAG44" s="49">
        <v>100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80"/>
        <v>300</v>
      </c>
      <c r="DAM44" s="68">
        <f t="shared" si="1781"/>
        <v>50</v>
      </c>
      <c r="DAN44" s="48">
        <v>140</v>
      </c>
      <c r="DAO44" s="49">
        <v>0</v>
      </c>
      <c r="DAP44" s="49">
        <v>0</v>
      </c>
      <c r="DAQ44" s="49">
        <v>0</v>
      </c>
      <c r="DAR44" s="49">
        <v>0</v>
      </c>
      <c r="DAS44" s="49">
        <v>0</v>
      </c>
      <c r="DAT44" s="64">
        <f t="shared" si="1782"/>
        <v>140</v>
      </c>
      <c r="DAU44" s="68">
        <f t="shared" si="1783"/>
        <v>23.333333333333332</v>
      </c>
      <c r="DAV44" s="48"/>
      <c r="DAW44" s="49">
        <v>0</v>
      </c>
      <c r="DAX44" s="49">
        <v>0</v>
      </c>
      <c r="DAY44" s="49">
        <v>0</v>
      </c>
      <c r="DAZ44" s="49">
        <v>0</v>
      </c>
      <c r="DBA44" s="49">
        <v>0</v>
      </c>
      <c r="DBB44" s="64">
        <f t="shared" si="1784"/>
        <v>0</v>
      </c>
      <c r="DBC44" s="68">
        <f t="shared" si="1785"/>
        <v>0</v>
      </c>
      <c r="DBD44" s="48"/>
      <c r="DBE44" s="49">
        <v>0</v>
      </c>
      <c r="DBF44" s="49">
        <v>0</v>
      </c>
      <c r="DBG44" s="49">
        <v>0</v>
      </c>
      <c r="DBH44" s="49">
        <v>0</v>
      </c>
      <c r="DBI44" s="49">
        <v>150</v>
      </c>
      <c r="DBJ44" s="64">
        <f t="shared" si="1786"/>
        <v>150</v>
      </c>
      <c r="DBK44" s="68">
        <f t="shared" si="1787"/>
        <v>25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788"/>
        <v>0</v>
      </c>
      <c r="DBS44" s="68">
        <f t="shared" si="1789"/>
        <v>0</v>
      </c>
      <c r="DBT44" s="48">
        <v>0</v>
      </c>
      <c r="DBU44" s="49"/>
      <c r="DBV44" s="49"/>
      <c r="DBW44" s="49">
        <v>0</v>
      </c>
      <c r="DBX44" s="49"/>
      <c r="DBY44" s="49">
        <v>150</v>
      </c>
      <c r="DBZ44" s="64">
        <f t="shared" si="1790"/>
        <v>150</v>
      </c>
      <c r="DCA44" s="68">
        <f t="shared" si="1791"/>
        <v>30</v>
      </c>
      <c r="DCB44" s="48">
        <v>101</v>
      </c>
      <c r="DCC44" s="49">
        <v>239</v>
      </c>
      <c r="DCD44" s="49">
        <v>491</v>
      </c>
      <c r="DCE44" s="49">
        <v>0</v>
      </c>
      <c r="DCF44" s="49">
        <v>0</v>
      </c>
      <c r="DCG44" s="49">
        <v>0</v>
      </c>
      <c r="DCH44" s="64">
        <f t="shared" si="1792"/>
        <v>831</v>
      </c>
      <c r="DCI44" s="68">
        <f t="shared" si="1793"/>
        <v>138.5</v>
      </c>
      <c r="DCJ44" s="48"/>
      <c r="DCK44" s="49">
        <v>0</v>
      </c>
      <c r="DCL44" s="49">
        <v>0</v>
      </c>
      <c r="DCM44" s="49">
        <v>486</v>
      </c>
      <c r="DCN44" s="49">
        <v>0</v>
      </c>
      <c r="DCO44" s="49">
        <v>0</v>
      </c>
      <c r="DCP44" s="64">
        <f t="shared" si="1794"/>
        <v>486</v>
      </c>
      <c r="DCQ44" s="68">
        <f t="shared" si="1795"/>
        <v>81</v>
      </c>
      <c r="DCR44" s="48">
        <v>0</v>
      </c>
      <c r="DCS44" s="49">
        <v>0</v>
      </c>
      <c r="DCT44" s="49">
        <v>0</v>
      </c>
      <c r="DCU44" s="49">
        <v>0</v>
      </c>
      <c r="DCV44" s="49">
        <v>0</v>
      </c>
      <c r="DCW44" s="49">
        <v>328</v>
      </c>
      <c r="DCX44" s="64">
        <f t="shared" si="1796"/>
        <v>328</v>
      </c>
      <c r="DCY44" s="68">
        <f t="shared" si="1797"/>
        <v>54.666666666666664</v>
      </c>
      <c r="DCZ44" s="48"/>
      <c r="DDA44" s="49"/>
      <c r="DDB44" s="49"/>
      <c r="DDC44" s="49"/>
      <c r="DDD44" s="49">
        <v>363</v>
      </c>
      <c r="DDE44" s="49"/>
      <c r="DDF44" s="64">
        <f t="shared" si="1798"/>
        <v>363</v>
      </c>
      <c r="DDG44" s="68">
        <f t="shared" si="1799"/>
        <v>60.5</v>
      </c>
      <c r="DDH44" s="48"/>
      <c r="DDI44" s="49"/>
      <c r="DDJ44" s="49"/>
      <c r="DDK44" s="49"/>
      <c r="DDL44" s="49"/>
      <c r="DDM44" s="49"/>
      <c r="DDN44" s="127">
        <f t="shared" si="1800"/>
        <v>0</v>
      </c>
      <c r="DDO44" s="43">
        <f t="shared" si="1801"/>
        <v>0</v>
      </c>
      <c r="DDP44" s="48"/>
      <c r="DDQ44" s="49"/>
      <c r="DDR44" s="49"/>
      <c r="DDS44" s="49"/>
      <c r="DDT44" s="49"/>
      <c r="DDU44" s="49"/>
      <c r="DDV44" s="127">
        <f t="shared" si="1802"/>
        <v>0</v>
      </c>
      <c r="DDW44" s="43">
        <f t="shared" si="1803"/>
        <v>0</v>
      </c>
      <c r="DDX44" s="48"/>
      <c r="DDY44" s="49"/>
      <c r="DDZ44" s="49"/>
      <c r="DEA44" s="49"/>
      <c r="DEB44" s="49"/>
      <c r="DEC44" s="49"/>
      <c r="DED44" s="127">
        <f t="shared" si="1804"/>
        <v>0</v>
      </c>
      <c r="DEE44" s="43">
        <f t="shared" si="1805"/>
        <v>0</v>
      </c>
      <c r="DEF44" s="48"/>
      <c r="DEG44" s="49"/>
      <c r="DEH44" s="49"/>
      <c r="DEI44" s="49"/>
      <c r="DEJ44" s="49"/>
      <c r="DEK44" s="49"/>
      <c r="DEL44" s="127">
        <f t="shared" si="1806"/>
        <v>0</v>
      </c>
      <c r="DEM44" s="43">
        <f t="shared" si="1807"/>
        <v>0</v>
      </c>
      <c r="DEN44" s="48"/>
      <c r="DEO44" s="49">
        <v>219</v>
      </c>
      <c r="DEP44" s="49"/>
      <c r="DEQ44" s="49">
        <v>0</v>
      </c>
      <c r="DER44" s="49"/>
      <c r="DES44" s="49"/>
      <c r="DET44" s="127">
        <f t="shared" si="1808"/>
        <v>219</v>
      </c>
      <c r="DEU44" s="43">
        <f t="shared" si="1809"/>
        <v>36.5</v>
      </c>
      <c r="DEV44" s="48"/>
      <c r="DEW44" s="49"/>
      <c r="DEX44" s="49"/>
      <c r="DEY44" s="49"/>
      <c r="DEZ44" s="49"/>
      <c r="DFA44" s="49">
        <v>111</v>
      </c>
      <c r="DFB44" s="127">
        <f t="shared" si="1810"/>
        <v>111</v>
      </c>
      <c r="DFC44" s="43">
        <f t="shared" si="1811"/>
        <v>18.5</v>
      </c>
      <c r="DFD44" s="48"/>
      <c r="DFE44" s="49"/>
      <c r="DFF44" s="49"/>
      <c r="DFG44" s="49"/>
      <c r="DFH44" s="49"/>
      <c r="DFI44" s="49"/>
      <c r="DFJ44" s="127">
        <f t="shared" si="1812"/>
        <v>0</v>
      </c>
      <c r="DFK44" s="43">
        <f t="shared" si="1813"/>
        <v>0</v>
      </c>
      <c r="DFL44" s="63"/>
      <c r="DFM44" s="64"/>
      <c r="DFN44" s="64"/>
      <c r="DFO44" s="64"/>
      <c r="DFP44" s="64"/>
      <c r="DFQ44" s="64">
        <v>560</v>
      </c>
      <c r="DFR44" s="64">
        <f t="shared" si="1814"/>
        <v>560</v>
      </c>
      <c r="DFS44" s="68">
        <f t="shared" si="1815"/>
        <v>93.333333333333329</v>
      </c>
      <c r="DFT44" s="48"/>
      <c r="DFU44" s="49">
        <v>0</v>
      </c>
      <c r="DFV44" s="49">
        <v>0</v>
      </c>
      <c r="DFW44" s="49">
        <v>0</v>
      </c>
      <c r="DFX44" s="49"/>
      <c r="DFY44" s="49">
        <v>0</v>
      </c>
      <c r="DFZ44" s="127">
        <f t="shared" si="1816"/>
        <v>0</v>
      </c>
      <c r="DGA44" s="43">
        <f t="shared" si="1817"/>
        <v>0</v>
      </c>
      <c r="DGB44" s="48">
        <v>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18"/>
        <v>0</v>
      </c>
      <c r="DGI44" s="43">
        <f t="shared" si="1819"/>
        <v>0</v>
      </c>
      <c r="DGJ44" s="48">
        <v>493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20"/>
        <v>493</v>
      </c>
      <c r="DGQ44" s="68">
        <f t="shared" si="1821"/>
        <v>82.166666666666671</v>
      </c>
      <c r="DGR44" s="48">
        <v>0</v>
      </c>
      <c r="DGS44" s="49">
        <v>0</v>
      </c>
      <c r="DGT44" s="49">
        <v>649</v>
      </c>
      <c r="DGU44" s="49"/>
      <c r="DGV44" s="49">
        <v>0</v>
      </c>
      <c r="DGW44" s="49">
        <v>0</v>
      </c>
      <c r="DGX44" s="64">
        <f t="shared" si="1822"/>
        <v>649</v>
      </c>
      <c r="DGY44" s="68">
        <f t="shared" si="1823"/>
        <v>108.16666666666667</v>
      </c>
      <c r="DGZ44" s="48">
        <v>0</v>
      </c>
      <c r="DHA44" s="49">
        <v>0</v>
      </c>
      <c r="DHB44" s="49"/>
      <c r="DHC44" s="49"/>
      <c r="DHD44" s="49">
        <v>0</v>
      </c>
      <c r="DHE44" s="49">
        <v>60</v>
      </c>
      <c r="DHF44" s="64">
        <f t="shared" si="1824"/>
        <v>60</v>
      </c>
      <c r="DHG44" s="68">
        <f t="shared" si="1825"/>
        <v>10</v>
      </c>
      <c r="DHH44" s="63">
        <v>0</v>
      </c>
      <c r="DHI44" s="64">
        <v>0</v>
      </c>
      <c r="DHJ44" s="64">
        <v>0</v>
      </c>
      <c r="DHK44" s="64">
        <v>348</v>
      </c>
      <c r="DHL44" s="64">
        <v>0</v>
      </c>
      <c r="DHM44" s="64">
        <v>0</v>
      </c>
      <c r="DHN44" s="64">
        <f t="shared" si="1826"/>
        <v>348</v>
      </c>
      <c r="DHO44" s="68">
        <f t="shared" si="1827"/>
        <v>58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31</v>
      </c>
      <c r="DHV44" s="64">
        <f t="shared" si="1828"/>
        <v>31</v>
      </c>
      <c r="DHW44" s="68">
        <f t="shared" si="1829"/>
        <v>5.166666666666667</v>
      </c>
      <c r="DHX44" s="48">
        <v>0</v>
      </c>
      <c r="DHY44" s="49"/>
      <c r="DHZ44" s="49"/>
      <c r="DIA44" s="49">
        <v>0</v>
      </c>
      <c r="DIB44" s="49">
        <v>0</v>
      </c>
      <c r="DIC44" s="49">
        <v>0</v>
      </c>
      <c r="DID44" s="64">
        <f t="shared" si="1830"/>
        <v>0</v>
      </c>
      <c r="DIE44" s="68">
        <f t="shared" si="1831"/>
        <v>0</v>
      </c>
      <c r="DIF44" s="48">
        <v>0</v>
      </c>
      <c r="DIG44" s="49">
        <v>0</v>
      </c>
      <c r="DIH44" s="49"/>
      <c r="DII44" s="49">
        <v>345</v>
      </c>
      <c r="DIJ44" s="49">
        <v>404</v>
      </c>
      <c r="DIK44" s="49"/>
      <c r="DIL44" s="64">
        <f t="shared" si="1832"/>
        <v>749</v>
      </c>
      <c r="DIM44" s="68">
        <f t="shared" si="1833"/>
        <v>124.83333333333333</v>
      </c>
      <c r="DIN44" s="48"/>
      <c r="DIO44" s="49"/>
      <c r="DIP44" s="49">
        <v>0</v>
      </c>
      <c r="DIQ44" s="49"/>
      <c r="DIR44" s="49">
        <v>0</v>
      </c>
      <c r="DIS44" s="49">
        <v>0</v>
      </c>
      <c r="DIT44" s="64">
        <f t="shared" si="1834"/>
        <v>0</v>
      </c>
      <c r="DIU44" s="68">
        <f t="shared" si="1835"/>
        <v>0</v>
      </c>
      <c r="DIV44" s="48">
        <v>0</v>
      </c>
      <c r="DIW44" s="49">
        <v>0</v>
      </c>
      <c r="DIX44" s="49">
        <v>0</v>
      </c>
      <c r="DIY44" s="49">
        <v>0</v>
      </c>
      <c r="DIZ44" s="49">
        <v>0</v>
      </c>
      <c r="DJA44" s="49">
        <v>0</v>
      </c>
      <c r="DJB44" s="64">
        <f t="shared" si="1836"/>
        <v>0</v>
      </c>
      <c r="DJC44" s="68">
        <f t="shared" si="1837"/>
        <v>0</v>
      </c>
      <c r="DJD44" s="48">
        <v>675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38"/>
        <v>675</v>
      </c>
      <c r="DJK44" s="68">
        <f t="shared" si="1839"/>
        <v>112.5</v>
      </c>
      <c r="DJL44" s="48">
        <v>550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40"/>
        <v>550</v>
      </c>
      <c r="DJS44" s="68">
        <f t="shared" si="1841"/>
        <v>91.666666666666671</v>
      </c>
      <c r="DJT44" s="48"/>
      <c r="DJU44" s="49">
        <v>168</v>
      </c>
      <c r="DJV44" s="49">
        <v>103</v>
      </c>
      <c r="DJW44" s="49">
        <v>0</v>
      </c>
      <c r="DJX44" s="49">
        <v>669</v>
      </c>
      <c r="DJY44" s="49">
        <v>0</v>
      </c>
      <c r="DJZ44" s="64">
        <f t="shared" si="1842"/>
        <v>940</v>
      </c>
      <c r="DKA44" s="68">
        <f t="shared" si="1843"/>
        <v>156.66666666666666</v>
      </c>
      <c r="DKB44" s="48">
        <v>0</v>
      </c>
      <c r="DKC44" s="49">
        <v>0</v>
      </c>
      <c r="DKD44" s="49">
        <v>0</v>
      </c>
      <c r="DKE44" s="49">
        <v>0</v>
      </c>
      <c r="DKF44" s="49">
        <v>0</v>
      </c>
      <c r="DKG44" s="49">
        <v>0</v>
      </c>
      <c r="DKH44" s="64">
        <f t="shared" si="1844"/>
        <v>0</v>
      </c>
      <c r="DKI44" s="68">
        <f t="shared" si="1845"/>
        <v>0</v>
      </c>
      <c r="DKJ44" s="48">
        <v>0</v>
      </c>
      <c r="DKK44" s="49">
        <v>0</v>
      </c>
      <c r="DKL44" s="49">
        <v>150</v>
      </c>
      <c r="DKM44" s="49"/>
      <c r="DKN44" s="49">
        <v>0</v>
      </c>
      <c r="DKO44" s="49"/>
      <c r="DKP44" s="64">
        <f t="shared" si="1846"/>
        <v>150</v>
      </c>
      <c r="DKQ44" s="68">
        <f t="shared" si="1847"/>
        <v>25</v>
      </c>
      <c r="DKR44" s="48">
        <v>0</v>
      </c>
      <c r="DKS44" s="49">
        <v>200</v>
      </c>
      <c r="DKT44" s="49"/>
      <c r="DKU44" s="49">
        <v>0</v>
      </c>
      <c r="DKV44" s="49">
        <v>1000</v>
      </c>
      <c r="DKW44" s="49">
        <v>0</v>
      </c>
      <c r="DKX44" s="64">
        <f t="shared" si="1848"/>
        <v>1200</v>
      </c>
      <c r="DKY44" s="68">
        <f t="shared" si="1849"/>
        <v>200</v>
      </c>
      <c r="DKZ44" s="48"/>
      <c r="DLA44" s="49">
        <v>0</v>
      </c>
      <c r="DLB44" s="49">
        <v>0</v>
      </c>
      <c r="DLC44" s="49">
        <v>0</v>
      </c>
      <c r="DLD44" s="49"/>
      <c r="DLE44" s="49">
        <v>0</v>
      </c>
      <c r="DLF44" s="64">
        <f t="shared" si="1850"/>
        <v>0</v>
      </c>
      <c r="DLG44" s="68">
        <f t="shared" si="1851"/>
        <v>0</v>
      </c>
      <c r="DLH44" s="48"/>
      <c r="DLI44" s="49">
        <v>0</v>
      </c>
      <c r="DLJ44" s="49">
        <v>400</v>
      </c>
      <c r="DLK44" s="49">
        <v>0</v>
      </c>
      <c r="DLL44" s="49"/>
      <c r="DLM44" s="49"/>
      <c r="DLN44" s="64">
        <f t="shared" si="1852"/>
        <v>400</v>
      </c>
      <c r="DLO44" s="68">
        <f t="shared" si="1853"/>
        <v>66.666666666666671</v>
      </c>
      <c r="DLP44" s="48">
        <v>0</v>
      </c>
      <c r="DLQ44" s="49"/>
      <c r="DLR44" s="49">
        <v>0</v>
      </c>
      <c r="DLS44" s="49">
        <v>0</v>
      </c>
      <c r="DLT44" s="49">
        <v>0</v>
      </c>
      <c r="DLU44" s="49">
        <v>0</v>
      </c>
      <c r="DLV44" s="64">
        <f t="shared" si="1854"/>
        <v>0</v>
      </c>
      <c r="DLW44" s="68">
        <f t="shared" si="1855"/>
        <v>0</v>
      </c>
      <c r="DLX44" s="48">
        <v>0</v>
      </c>
      <c r="DLY44" s="49"/>
      <c r="DLZ44" s="49"/>
      <c r="DMA44" s="49">
        <v>0</v>
      </c>
      <c r="DMB44" s="49"/>
      <c r="DMC44" s="49">
        <v>0</v>
      </c>
      <c r="DMD44" s="64">
        <f t="shared" si="1856"/>
        <v>0</v>
      </c>
      <c r="DME44" s="68">
        <f t="shared" si="1857"/>
        <v>0</v>
      </c>
      <c r="DMF44" s="48"/>
      <c r="DMG44" s="49"/>
      <c r="DMH44" s="49"/>
      <c r="DMI44" s="49">
        <v>22</v>
      </c>
      <c r="DMJ44" s="49">
        <v>0</v>
      </c>
      <c r="DMK44" s="49">
        <v>0</v>
      </c>
      <c r="DML44" s="64">
        <f t="shared" si="1858"/>
        <v>22</v>
      </c>
      <c r="DMM44" s="68">
        <f t="shared" si="1859"/>
        <v>3.6666666666666665</v>
      </c>
      <c r="DMN44" s="48">
        <v>80</v>
      </c>
      <c r="DMO44" s="49"/>
      <c r="DMP44" s="49">
        <v>0</v>
      </c>
      <c r="DMQ44" s="49">
        <v>321</v>
      </c>
      <c r="DMR44" s="49">
        <v>0</v>
      </c>
      <c r="DMS44" s="49">
        <v>0</v>
      </c>
      <c r="DMT44" s="64">
        <f t="shared" si="1860"/>
        <v>401</v>
      </c>
      <c r="DMU44" s="68">
        <f t="shared" si="1861"/>
        <v>66.833333333333329</v>
      </c>
      <c r="DMV44" s="48">
        <v>0</v>
      </c>
      <c r="DMW44" s="49">
        <v>0</v>
      </c>
      <c r="DMX44" s="49">
        <v>0</v>
      </c>
      <c r="DMY44" s="49">
        <v>0</v>
      </c>
      <c r="DMZ44" s="49">
        <v>0</v>
      </c>
      <c r="DNA44" s="49">
        <v>0</v>
      </c>
      <c r="DNB44" s="64">
        <f t="shared" si="1862"/>
        <v>0</v>
      </c>
      <c r="DNC44" s="68">
        <f t="shared" si="1863"/>
        <v>0</v>
      </c>
      <c r="DND44" s="48"/>
      <c r="DNE44" s="49">
        <v>0</v>
      </c>
      <c r="DNF44" s="49">
        <v>0</v>
      </c>
      <c r="DNG44" s="49"/>
      <c r="DNH44" s="49">
        <v>0</v>
      </c>
      <c r="DNI44" s="49"/>
      <c r="DNJ44" s="64">
        <f t="shared" si="1864"/>
        <v>0</v>
      </c>
      <c r="DNK44" s="68">
        <f t="shared" si="1865"/>
        <v>0</v>
      </c>
      <c r="DNL44" s="48"/>
      <c r="DNM44" s="49"/>
      <c r="DNN44" s="49">
        <v>0</v>
      </c>
      <c r="DNO44" s="49">
        <v>0</v>
      </c>
      <c r="DNP44" s="49">
        <v>0</v>
      </c>
      <c r="DNQ44" s="49">
        <v>0</v>
      </c>
      <c r="DNR44" s="64">
        <f t="shared" si="1866"/>
        <v>0</v>
      </c>
      <c r="DNS44" s="68">
        <f t="shared" si="1867"/>
        <v>0</v>
      </c>
      <c r="DNT44" s="48">
        <v>0</v>
      </c>
      <c r="DNU44" s="49"/>
      <c r="DNV44" s="49">
        <v>331</v>
      </c>
      <c r="DNW44" s="49">
        <v>0</v>
      </c>
      <c r="DNX44" s="49">
        <v>310</v>
      </c>
      <c r="DNY44" s="49">
        <v>0</v>
      </c>
      <c r="DNZ44" s="64">
        <f t="shared" si="1868"/>
        <v>641</v>
      </c>
      <c r="DOA44" s="68">
        <f t="shared" si="1869"/>
        <v>106.83333333333333</v>
      </c>
      <c r="DOB44" s="48">
        <v>0</v>
      </c>
      <c r="DOC44" s="49"/>
      <c r="DOD44" s="49">
        <v>0</v>
      </c>
      <c r="DOE44" s="49">
        <v>0</v>
      </c>
      <c r="DOF44" s="49">
        <v>0</v>
      </c>
      <c r="DOG44" s="49">
        <v>360</v>
      </c>
      <c r="DOH44" s="64">
        <f t="shared" si="1870"/>
        <v>360</v>
      </c>
      <c r="DOI44" s="68">
        <f t="shared" si="1871"/>
        <v>60</v>
      </c>
      <c r="DOJ44" s="48"/>
      <c r="DOK44" s="49">
        <v>0</v>
      </c>
      <c r="DOL44" s="49">
        <v>0</v>
      </c>
      <c r="DOM44" s="49"/>
      <c r="DON44" s="49">
        <v>0</v>
      </c>
      <c r="DOO44" s="49">
        <v>0</v>
      </c>
      <c r="DOP44" s="64">
        <f t="shared" si="1872"/>
        <v>0</v>
      </c>
      <c r="DOQ44" s="68">
        <f t="shared" si="1873"/>
        <v>0</v>
      </c>
      <c r="DOR44" s="48">
        <v>0</v>
      </c>
      <c r="DOS44" s="49">
        <v>130</v>
      </c>
      <c r="DOT44" s="49">
        <v>0</v>
      </c>
      <c r="DOU44" s="49">
        <v>0</v>
      </c>
      <c r="DOV44" s="49"/>
      <c r="DOW44" s="49">
        <v>320</v>
      </c>
      <c r="DOX44" s="64">
        <f t="shared" si="1874"/>
        <v>450</v>
      </c>
      <c r="DOY44" s="68">
        <f t="shared" si="1875"/>
        <v>75</v>
      </c>
      <c r="DOZ44" s="48"/>
      <c r="DPA44" s="49">
        <v>0</v>
      </c>
      <c r="DPB44" s="49"/>
      <c r="DPC44" s="49">
        <v>0</v>
      </c>
      <c r="DPD44" s="49"/>
      <c r="DPE44" s="49">
        <v>0</v>
      </c>
      <c r="DPF44" s="64">
        <f t="shared" si="1876"/>
        <v>0</v>
      </c>
      <c r="DPG44" s="68">
        <f t="shared" si="1877"/>
        <v>0</v>
      </c>
      <c r="DPH44" s="48">
        <v>0</v>
      </c>
      <c r="DPI44" s="49">
        <v>0</v>
      </c>
      <c r="DPJ44" s="49">
        <v>0</v>
      </c>
      <c r="DPK44" s="49">
        <v>0</v>
      </c>
      <c r="DPL44" s="49"/>
      <c r="DPM44" s="49"/>
      <c r="DPN44" s="64">
        <f t="shared" si="1878"/>
        <v>0</v>
      </c>
      <c r="DPO44" s="68">
        <f t="shared" si="1879"/>
        <v>0</v>
      </c>
      <c r="DPP44" s="48">
        <v>0</v>
      </c>
      <c r="DPQ44" s="49">
        <v>0</v>
      </c>
      <c r="DPR44" s="49">
        <v>0</v>
      </c>
      <c r="DPS44" s="49"/>
      <c r="DPT44" s="49"/>
      <c r="DPU44" s="49">
        <v>0</v>
      </c>
      <c r="DPV44" s="491">
        <f t="shared" si="1880"/>
        <v>0</v>
      </c>
      <c r="DPW44" s="492">
        <f t="shared" si="1881"/>
        <v>0</v>
      </c>
      <c r="DPX44" s="48">
        <v>0</v>
      </c>
      <c r="DPY44" s="49">
        <v>0</v>
      </c>
      <c r="DPZ44" s="49">
        <v>0</v>
      </c>
      <c r="DQA44" s="49">
        <v>0</v>
      </c>
      <c r="DQB44" s="49">
        <v>0</v>
      </c>
      <c r="DQC44" s="49">
        <v>0</v>
      </c>
      <c r="DQD44" s="491">
        <f t="shared" si="1882"/>
        <v>0</v>
      </c>
      <c r="DQE44" s="492">
        <f t="shared" si="1883"/>
        <v>0</v>
      </c>
      <c r="DQF44" s="48">
        <v>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84"/>
        <v>0</v>
      </c>
      <c r="DQM44" s="492">
        <f t="shared" si="1885"/>
        <v>0</v>
      </c>
      <c r="DQN44" s="48">
        <v>0</v>
      </c>
      <c r="DQO44" s="49">
        <v>0</v>
      </c>
      <c r="DQP44" s="49">
        <v>0</v>
      </c>
      <c r="DQQ44" s="49">
        <v>0</v>
      </c>
      <c r="DQR44" s="49">
        <v>0</v>
      </c>
      <c r="DQS44" s="49">
        <v>0</v>
      </c>
      <c r="DQT44" s="64">
        <f t="shared" si="1886"/>
        <v>0</v>
      </c>
      <c r="DQU44" s="68">
        <f t="shared" si="1887"/>
        <v>0</v>
      </c>
      <c r="DQV44" s="48">
        <v>110</v>
      </c>
      <c r="DQW44" s="49">
        <v>0</v>
      </c>
      <c r="DQX44" s="49"/>
      <c r="DQY44" s="49">
        <v>0</v>
      </c>
      <c r="DQZ44" s="49">
        <v>15</v>
      </c>
      <c r="DRA44" s="49">
        <v>0</v>
      </c>
      <c r="DRB44" s="491">
        <f t="shared" si="1888"/>
        <v>125</v>
      </c>
      <c r="DRC44" s="492">
        <f t="shared" si="1889"/>
        <v>20.833333333333332</v>
      </c>
      <c r="DRD44" s="48">
        <v>0</v>
      </c>
      <c r="DRE44" s="49">
        <v>0</v>
      </c>
      <c r="DRF44" s="49">
        <v>0</v>
      </c>
      <c r="DRG44" s="49">
        <v>221</v>
      </c>
      <c r="DRH44" s="49">
        <v>0</v>
      </c>
      <c r="DRI44" s="49"/>
      <c r="DRJ44" s="491">
        <f t="shared" si="1890"/>
        <v>221</v>
      </c>
      <c r="DRK44" s="492">
        <f t="shared" si="1891"/>
        <v>36.833333333333336</v>
      </c>
      <c r="DRL44" s="48">
        <v>0</v>
      </c>
      <c r="DRM44" s="49">
        <v>0</v>
      </c>
      <c r="DRN44" s="49">
        <v>0</v>
      </c>
      <c r="DRO44" s="49">
        <v>0</v>
      </c>
      <c r="DRP44" s="49">
        <v>0</v>
      </c>
      <c r="DRQ44" s="49"/>
      <c r="DRR44" s="64">
        <f t="shared" si="1587"/>
        <v>0</v>
      </c>
      <c r="DRS44" s="68">
        <f t="shared" si="1588"/>
        <v>0</v>
      </c>
      <c r="DRT44" s="48">
        <v>0</v>
      </c>
      <c r="DRU44" s="49">
        <v>0</v>
      </c>
      <c r="DRV44" s="49">
        <v>0</v>
      </c>
      <c r="DRW44" s="49">
        <v>0</v>
      </c>
      <c r="DRX44" s="49">
        <v>0</v>
      </c>
      <c r="DRY44" s="49"/>
      <c r="DRZ44" s="491">
        <f t="shared" si="1589"/>
        <v>0</v>
      </c>
      <c r="DSA44" s="68">
        <f t="shared" si="1590"/>
        <v>0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591"/>
        <v>0</v>
      </c>
      <c r="DSI44" s="68">
        <f t="shared" si="1592"/>
        <v>0</v>
      </c>
      <c r="DSJ44" s="48">
        <v>0</v>
      </c>
      <c r="DSK44" s="49">
        <v>0</v>
      </c>
      <c r="DSL44" s="49">
        <v>0</v>
      </c>
      <c r="DSM44" s="49">
        <v>0</v>
      </c>
      <c r="DSN44" s="49">
        <v>0</v>
      </c>
      <c r="DSO44" s="49">
        <v>0</v>
      </c>
      <c r="DSP44" s="64">
        <f t="shared" si="1593"/>
        <v>0</v>
      </c>
      <c r="DSQ44" s="68">
        <f t="shared" si="1594"/>
        <v>0</v>
      </c>
      <c r="DSR44" s="48"/>
      <c r="DSS44" s="49">
        <v>0</v>
      </c>
      <c r="DST44" s="49">
        <v>30</v>
      </c>
      <c r="DSU44" s="49">
        <v>0</v>
      </c>
      <c r="DSV44" s="49">
        <v>0</v>
      </c>
      <c r="DSW44" s="49"/>
      <c r="DSX44" s="64">
        <f t="shared" si="1595"/>
        <v>30</v>
      </c>
      <c r="DSY44" s="68">
        <f t="shared" si="1596"/>
        <v>5</v>
      </c>
      <c r="DSZ44" s="48">
        <v>170</v>
      </c>
      <c r="DTA44" s="49">
        <v>81</v>
      </c>
      <c r="DTB44" s="49">
        <v>0</v>
      </c>
      <c r="DTC44" s="49">
        <v>0</v>
      </c>
      <c r="DTD44" s="49"/>
      <c r="DTE44" s="49">
        <v>0</v>
      </c>
      <c r="DTF44" s="64">
        <f t="shared" si="1597"/>
        <v>251</v>
      </c>
      <c r="DTG44" s="68">
        <f t="shared" si="1598"/>
        <v>41.833333333333336</v>
      </c>
      <c r="DTH44" s="48">
        <v>0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599"/>
        <v>0</v>
      </c>
      <c r="DTO44" s="68">
        <f t="shared" si="1600"/>
        <v>0</v>
      </c>
      <c r="DTP44" s="48">
        <v>351</v>
      </c>
      <c r="DTQ44" s="49"/>
      <c r="DTR44" s="49"/>
      <c r="DTS44" s="49">
        <v>0</v>
      </c>
      <c r="DTT44" s="49">
        <v>110</v>
      </c>
      <c r="DTU44" s="49">
        <v>0</v>
      </c>
      <c r="DTV44" s="64">
        <f t="shared" si="1601"/>
        <v>461</v>
      </c>
      <c r="DTW44" s="68">
        <f t="shared" si="1602"/>
        <v>76.833333333333329</v>
      </c>
      <c r="DTX44" s="48">
        <v>0</v>
      </c>
      <c r="DTY44" s="49">
        <v>200</v>
      </c>
      <c r="DTZ44" s="49">
        <v>0</v>
      </c>
      <c r="DUA44" s="49">
        <v>0</v>
      </c>
      <c r="DUB44" s="49">
        <v>0</v>
      </c>
      <c r="DUC44" s="49">
        <v>200</v>
      </c>
      <c r="DUD44" s="64">
        <f t="shared" si="1603"/>
        <v>400</v>
      </c>
      <c r="DUE44" s="68">
        <f t="shared" si="1604"/>
        <v>66.666666666666671</v>
      </c>
      <c r="DUF44" s="48">
        <v>0</v>
      </c>
      <c r="DUG44" s="49">
        <v>0</v>
      </c>
      <c r="DUH44" s="49"/>
      <c r="DUI44" s="49">
        <v>324</v>
      </c>
      <c r="DUJ44" s="49">
        <v>0</v>
      </c>
      <c r="DUK44" s="49">
        <v>286</v>
      </c>
      <c r="DUL44" s="64">
        <f t="shared" si="1605"/>
        <v>610</v>
      </c>
      <c r="DUM44" s="68">
        <f t="shared" si="1606"/>
        <v>101.66666666666667</v>
      </c>
      <c r="DUN44" s="48"/>
      <c r="DUO44" s="49">
        <v>0</v>
      </c>
      <c r="DUP44" s="49">
        <v>0</v>
      </c>
      <c r="DUQ44" s="49">
        <v>0</v>
      </c>
      <c r="DUR44" s="49"/>
      <c r="DUS44" s="49">
        <v>0</v>
      </c>
      <c r="DUT44" s="64">
        <f t="shared" si="1607"/>
        <v>0</v>
      </c>
      <c r="DUU44" s="68">
        <f t="shared" si="1608"/>
        <v>0</v>
      </c>
      <c r="DUV44" s="48"/>
      <c r="DUW44" s="49">
        <v>267</v>
      </c>
      <c r="DUX44" s="49">
        <v>0</v>
      </c>
      <c r="DUY44" s="49">
        <v>0</v>
      </c>
      <c r="DUZ44" s="49">
        <v>0</v>
      </c>
      <c r="DVA44" s="49">
        <v>0</v>
      </c>
      <c r="DVB44" s="64">
        <f t="shared" si="1609"/>
        <v>267</v>
      </c>
      <c r="DVC44" s="68">
        <f t="shared" si="1610"/>
        <v>44.5</v>
      </c>
      <c r="DVD44" s="48"/>
      <c r="DVE44" s="49">
        <v>665</v>
      </c>
      <c r="DVF44" s="49">
        <v>0</v>
      </c>
      <c r="DVG44" s="49">
        <v>3</v>
      </c>
      <c r="DVH44" s="49">
        <v>0</v>
      </c>
      <c r="DVI44" s="49">
        <v>0</v>
      </c>
      <c r="DVJ44" s="64">
        <f t="shared" si="1611"/>
        <v>668</v>
      </c>
      <c r="DVK44" s="68">
        <f t="shared" si="1612"/>
        <v>111.33333333333333</v>
      </c>
      <c r="DVL44" s="48"/>
      <c r="DVM44" s="49">
        <v>0</v>
      </c>
      <c r="DVN44" s="49">
        <v>0</v>
      </c>
      <c r="DVO44" s="49">
        <v>0</v>
      </c>
      <c r="DVP44" s="49">
        <v>0</v>
      </c>
      <c r="DVQ44" s="49">
        <v>510</v>
      </c>
      <c r="DVR44" s="64">
        <f t="shared" si="1613"/>
        <v>510</v>
      </c>
      <c r="DVS44" s="68">
        <f t="shared" si="1614"/>
        <v>85</v>
      </c>
      <c r="DVT44" s="48"/>
      <c r="DVU44" s="49">
        <v>210</v>
      </c>
      <c r="DVV44" s="49">
        <v>0</v>
      </c>
      <c r="DVW44" s="49">
        <v>0</v>
      </c>
      <c r="DVX44" s="49">
        <v>0</v>
      </c>
      <c r="DVY44" s="49">
        <v>0</v>
      </c>
      <c r="DVZ44" s="64">
        <f t="shared" si="1615"/>
        <v>210</v>
      </c>
      <c r="DWA44" s="68">
        <f t="shared" si="1616"/>
        <v>35</v>
      </c>
      <c r="DWB44" s="48">
        <v>0</v>
      </c>
      <c r="DWC44" s="49">
        <v>0</v>
      </c>
      <c r="DWD44" s="49">
        <v>303</v>
      </c>
      <c r="DWE44" s="49">
        <v>0</v>
      </c>
      <c r="DWF44" s="49">
        <v>0</v>
      </c>
      <c r="DWG44" s="49"/>
      <c r="DWH44" s="64">
        <f t="shared" si="1617"/>
        <v>303</v>
      </c>
      <c r="DWI44" s="68">
        <f t="shared" si="1618"/>
        <v>50.5</v>
      </c>
      <c r="DWJ44" s="48">
        <v>842</v>
      </c>
      <c r="DWK44" s="49">
        <v>0</v>
      </c>
      <c r="DWL44" s="49">
        <v>0</v>
      </c>
      <c r="DWM44" s="49">
        <v>0</v>
      </c>
      <c r="DWN44" s="49">
        <v>0</v>
      </c>
      <c r="DWO44" s="49">
        <v>0</v>
      </c>
      <c r="DWP44" s="64">
        <f t="shared" si="1619"/>
        <v>842</v>
      </c>
      <c r="DWQ44" s="68">
        <f t="shared" si="1620"/>
        <v>140.33333333333334</v>
      </c>
      <c r="DWR44" s="48">
        <v>0</v>
      </c>
      <c r="DWS44" s="49"/>
      <c r="DWT44" s="49">
        <v>111</v>
      </c>
      <c r="DWU44" s="49">
        <v>0</v>
      </c>
      <c r="DWV44" s="49">
        <v>0</v>
      </c>
      <c r="DWW44" s="49">
        <v>0</v>
      </c>
      <c r="DWX44" s="64">
        <f t="shared" si="1621"/>
        <v>111</v>
      </c>
      <c r="DWY44" s="68">
        <f t="shared" si="1622"/>
        <v>18.5</v>
      </c>
      <c r="DWZ44" s="48">
        <v>330</v>
      </c>
      <c r="DXA44" s="49">
        <v>47</v>
      </c>
      <c r="DXB44" s="49">
        <v>0</v>
      </c>
      <c r="DXC44" s="49">
        <v>0</v>
      </c>
      <c r="DXD44" s="49"/>
      <c r="DXE44" s="49"/>
      <c r="DXF44" s="64">
        <f t="shared" si="1623"/>
        <v>377</v>
      </c>
      <c r="DXG44" s="68">
        <f t="shared" si="1624"/>
        <v>62.833333333333336</v>
      </c>
      <c r="DXH44" s="48">
        <v>275</v>
      </c>
      <c r="DXI44" s="49">
        <v>0</v>
      </c>
      <c r="DXJ44" s="49">
        <v>0</v>
      </c>
      <c r="DXK44" s="49">
        <v>0</v>
      </c>
      <c r="DXL44" s="49">
        <v>1028</v>
      </c>
      <c r="DXM44" s="49">
        <v>0</v>
      </c>
      <c r="DXN44" s="64">
        <f t="shared" si="1625"/>
        <v>1303</v>
      </c>
      <c r="DXO44" s="68">
        <f t="shared" si="1626"/>
        <v>217.16666666666666</v>
      </c>
      <c r="DXP44" s="48">
        <v>0</v>
      </c>
      <c r="DXQ44" s="49">
        <v>360</v>
      </c>
      <c r="DXR44" s="49">
        <v>0</v>
      </c>
      <c r="DXS44" s="49">
        <v>0</v>
      </c>
      <c r="DXT44" s="49">
        <v>0</v>
      </c>
      <c r="DXU44" s="49">
        <v>0</v>
      </c>
      <c r="DXV44" s="64">
        <f t="shared" si="1320"/>
        <v>360</v>
      </c>
      <c r="DXW44" s="68">
        <f t="shared" si="1321"/>
        <v>60</v>
      </c>
      <c r="DXX44" s="48">
        <v>0</v>
      </c>
      <c r="DXY44" s="49">
        <v>0</v>
      </c>
      <c r="DXZ44" s="49">
        <v>0</v>
      </c>
      <c r="DYA44" s="49">
        <v>0</v>
      </c>
      <c r="DYB44" s="49">
        <v>638</v>
      </c>
      <c r="DYC44" s="49">
        <v>714</v>
      </c>
      <c r="DYD44" s="64">
        <f t="shared" si="1322"/>
        <v>1352</v>
      </c>
      <c r="DYE44" s="68">
        <f t="shared" si="1323"/>
        <v>225.33333333333334</v>
      </c>
      <c r="DYF44" s="48">
        <v>0</v>
      </c>
      <c r="DYG44" s="49">
        <v>0</v>
      </c>
      <c r="DYH44" s="49">
        <v>0</v>
      </c>
      <c r="DYI44" s="49">
        <v>0</v>
      </c>
      <c r="DYJ44" s="49">
        <v>0</v>
      </c>
      <c r="DYK44" s="49"/>
      <c r="DYL44" s="64">
        <f t="shared" si="1324"/>
        <v>0</v>
      </c>
      <c r="DYM44" s="68">
        <f t="shared" si="1325"/>
        <v>0</v>
      </c>
      <c r="DYN44" s="48">
        <v>0</v>
      </c>
      <c r="DYO44" s="49">
        <v>0</v>
      </c>
      <c r="DYP44" s="49">
        <v>0</v>
      </c>
      <c r="DYQ44" s="49">
        <v>0</v>
      </c>
      <c r="DYR44" s="49"/>
      <c r="DYS44" s="49"/>
      <c r="DYT44" s="64">
        <f t="shared" si="1326"/>
        <v>0</v>
      </c>
      <c r="DYU44" s="68">
        <f t="shared" si="1327"/>
        <v>0</v>
      </c>
      <c r="DYV44" s="48">
        <v>544</v>
      </c>
      <c r="DYW44" s="49">
        <v>0</v>
      </c>
      <c r="DYX44" s="49">
        <v>0</v>
      </c>
      <c r="DYY44" s="49">
        <v>0</v>
      </c>
      <c r="DYZ44" s="49">
        <v>0</v>
      </c>
      <c r="DZA44" s="49">
        <v>0</v>
      </c>
      <c r="DZB44" s="64">
        <f t="shared" si="1328"/>
        <v>544</v>
      </c>
      <c r="DZC44" s="68">
        <f t="shared" si="1329"/>
        <v>90.666666666666671</v>
      </c>
      <c r="DZD44" s="48">
        <v>537</v>
      </c>
      <c r="DZE44" s="49">
        <v>0</v>
      </c>
      <c r="DZF44" s="49">
        <v>0</v>
      </c>
      <c r="DZG44" s="49">
        <v>0</v>
      </c>
      <c r="DZH44" s="49">
        <v>50</v>
      </c>
      <c r="DZI44" s="49">
        <v>0</v>
      </c>
      <c r="DZJ44" s="64">
        <f t="shared" si="1330"/>
        <v>587</v>
      </c>
      <c r="DZK44" s="68">
        <f t="shared" si="1331"/>
        <v>97.833333333333329</v>
      </c>
      <c r="DZL44" s="48">
        <v>0</v>
      </c>
      <c r="DZM44" s="49">
        <v>315</v>
      </c>
      <c r="DZN44" s="49"/>
      <c r="DZO44" s="49">
        <v>0</v>
      </c>
      <c r="DZP44" s="49">
        <v>641</v>
      </c>
      <c r="DZQ44" s="49">
        <v>0</v>
      </c>
      <c r="DZR44" s="64">
        <f t="shared" si="1332"/>
        <v>956</v>
      </c>
      <c r="DZS44" s="68">
        <f t="shared" si="1333"/>
        <v>159.33333333333334</v>
      </c>
      <c r="DZT44" s="48">
        <v>0</v>
      </c>
      <c r="DZU44" s="49">
        <v>0</v>
      </c>
      <c r="DZV44" s="49"/>
      <c r="DZW44" s="49">
        <v>237</v>
      </c>
      <c r="DZX44" s="49">
        <v>0</v>
      </c>
      <c r="DZY44" s="49">
        <v>0</v>
      </c>
      <c r="DZZ44" s="64">
        <f t="shared" si="1334"/>
        <v>237</v>
      </c>
      <c r="EAA44" s="68">
        <f t="shared" si="1335"/>
        <v>39.5</v>
      </c>
      <c r="EAB44" s="48"/>
      <c r="EAC44" s="49">
        <v>606</v>
      </c>
      <c r="EAD44" s="49">
        <v>0</v>
      </c>
      <c r="EAE44" s="49"/>
      <c r="EAF44" s="49">
        <v>0</v>
      </c>
      <c r="EAG44" s="49">
        <v>0</v>
      </c>
      <c r="EAH44" s="64">
        <f t="shared" si="1336"/>
        <v>606</v>
      </c>
      <c r="EAI44" s="68">
        <f t="shared" si="1337"/>
        <v>101</v>
      </c>
      <c r="EAJ44" s="48">
        <v>862</v>
      </c>
      <c r="EAK44" s="49"/>
      <c r="EAL44" s="49"/>
      <c r="EAM44" s="49">
        <v>0</v>
      </c>
      <c r="EAN44" s="49">
        <v>0</v>
      </c>
      <c r="EAO44" s="49">
        <v>696</v>
      </c>
      <c r="EAP44" s="64">
        <f t="shared" si="1338"/>
        <v>1558</v>
      </c>
      <c r="EAQ44" s="68">
        <f t="shared" si="1339"/>
        <v>259.66666666666669</v>
      </c>
      <c r="EAR44" s="48">
        <v>0</v>
      </c>
      <c r="EAS44" s="49">
        <v>0</v>
      </c>
      <c r="EAT44" s="49">
        <v>0</v>
      </c>
      <c r="EAU44" s="49">
        <v>0</v>
      </c>
      <c r="EAV44" s="49">
        <v>0</v>
      </c>
      <c r="EAW44" s="49"/>
      <c r="EAX44" s="64">
        <f t="shared" si="1340"/>
        <v>0</v>
      </c>
      <c r="EAY44" s="68">
        <f t="shared" si="1341"/>
        <v>0</v>
      </c>
      <c r="EAZ44" s="48">
        <v>849</v>
      </c>
      <c r="EBA44" s="49"/>
      <c r="EBB44" s="49">
        <v>0</v>
      </c>
      <c r="EBC44" s="49">
        <v>1200</v>
      </c>
      <c r="EBD44" s="49">
        <v>0</v>
      </c>
      <c r="EBE44" s="49">
        <v>0</v>
      </c>
      <c r="EBF44" s="64">
        <f t="shared" si="1342"/>
        <v>2049</v>
      </c>
      <c r="EBG44" s="68">
        <f t="shared" si="1343"/>
        <v>341.5</v>
      </c>
      <c r="EBH44" s="48">
        <v>0</v>
      </c>
      <c r="EBI44" s="49">
        <v>0</v>
      </c>
      <c r="EBJ44" s="49">
        <v>581</v>
      </c>
      <c r="EBK44" s="49">
        <v>0</v>
      </c>
      <c r="EBL44" s="49">
        <v>0</v>
      </c>
      <c r="EBM44" s="49">
        <v>0</v>
      </c>
      <c r="EBN44" s="64">
        <f t="shared" si="1344"/>
        <v>581</v>
      </c>
      <c r="EBO44" s="68">
        <f t="shared" si="1345"/>
        <v>96.833333333333329</v>
      </c>
      <c r="EBP44" s="48">
        <v>0</v>
      </c>
      <c r="EBQ44" s="49">
        <v>331</v>
      </c>
      <c r="EBR44" s="49"/>
      <c r="EBS44" s="49">
        <v>0</v>
      </c>
      <c r="EBT44" s="49"/>
      <c r="EBU44" s="49">
        <v>341</v>
      </c>
      <c r="EBV44" s="64">
        <f t="shared" si="1346"/>
        <v>672</v>
      </c>
      <c r="EBW44" s="68">
        <f t="shared" si="1347"/>
        <v>112</v>
      </c>
      <c r="EBX44" s="48">
        <v>0</v>
      </c>
      <c r="EBY44" s="49">
        <v>0</v>
      </c>
      <c r="EBZ44" s="49">
        <v>0</v>
      </c>
      <c r="ECA44" s="49"/>
      <c r="ECB44" s="49">
        <v>0</v>
      </c>
      <c r="ECC44" s="49">
        <v>0</v>
      </c>
      <c r="ECD44" s="64">
        <f t="shared" si="1348"/>
        <v>0</v>
      </c>
      <c r="ECE44" s="68">
        <f t="shared" si="1349"/>
        <v>0</v>
      </c>
      <c r="ECF44" s="48">
        <v>0</v>
      </c>
      <c r="ECG44" s="49">
        <v>0</v>
      </c>
      <c r="ECH44" s="49">
        <v>341</v>
      </c>
      <c r="ECI44" s="49">
        <v>0</v>
      </c>
      <c r="ECJ44" s="49">
        <v>330</v>
      </c>
      <c r="ECK44" s="49"/>
      <c r="ECL44" s="64">
        <f t="shared" si="1350"/>
        <v>671</v>
      </c>
      <c r="ECM44" s="68">
        <f t="shared" si="1351"/>
        <v>111.83333333333333</v>
      </c>
      <c r="ECN44" s="48">
        <v>0</v>
      </c>
      <c r="ECO44" s="49">
        <v>0</v>
      </c>
      <c r="ECP44" s="49">
        <v>0</v>
      </c>
      <c r="ECQ44" s="49"/>
      <c r="ECR44" s="49">
        <v>0</v>
      </c>
      <c r="ECS44" s="49">
        <v>0</v>
      </c>
      <c r="ECT44" s="64">
        <f t="shared" si="1352"/>
        <v>0</v>
      </c>
      <c r="ECU44" s="68">
        <f t="shared" si="1353"/>
        <v>0</v>
      </c>
      <c r="ECV44" s="48">
        <v>0</v>
      </c>
      <c r="ECW44" s="49">
        <v>102</v>
      </c>
      <c r="ECX44" s="49">
        <v>0</v>
      </c>
      <c r="ECY44" s="49">
        <v>0</v>
      </c>
      <c r="ECZ44" s="49"/>
      <c r="EDA44" s="49"/>
      <c r="EDB44" s="64">
        <f t="shared" si="1354"/>
        <v>102</v>
      </c>
      <c r="EDC44" s="68">
        <f t="shared" si="1355"/>
        <v>17</v>
      </c>
      <c r="EDD44" s="48"/>
      <c r="EDE44" s="49">
        <v>0</v>
      </c>
      <c r="EDF44" s="49">
        <v>0</v>
      </c>
      <c r="EDG44" s="49">
        <v>540</v>
      </c>
      <c r="EDH44" s="49"/>
      <c r="EDI44" s="49"/>
      <c r="EDJ44" s="64">
        <f t="shared" si="1356"/>
        <v>540</v>
      </c>
      <c r="EDK44" s="68">
        <f t="shared" si="1357"/>
        <v>90</v>
      </c>
      <c r="EDL44" s="48">
        <v>0</v>
      </c>
      <c r="EDM44" s="49">
        <v>615</v>
      </c>
      <c r="EDN44" s="49"/>
      <c r="EDO44" s="49">
        <v>0</v>
      </c>
      <c r="EDP44" s="49">
        <v>0</v>
      </c>
      <c r="EDQ44" s="49">
        <v>332</v>
      </c>
      <c r="EDR44" s="64">
        <f t="shared" si="1358"/>
        <v>947</v>
      </c>
      <c r="EDS44" s="68">
        <f t="shared" si="1359"/>
        <v>157.83333333333334</v>
      </c>
      <c r="EDT44" s="48">
        <v>0</v>
      </c>
      <c r="EDU44" s="49">
        <v>0</v>
      </c>
      <c r="EDV44" s="49"/>
      <c r="EDW44" s="49">
        <v>0</v>
      </c>
      <c r="EDX44" s="49">
        <v>0</v>
      </c>
      <c r="EDY44" s="49"/>
      <c r="EDZ44" s="64">
        <f t="shared" si="1360"/>
        <v>0</v>
      </c>
      <c r="EEA44" s="68">
        <f t="shared" si="1361"/>
        <v>0</v>
      </c>
      <c r="EEB44" s="48">
        <v>0</v>
      </c>
      <c r="EEC44" s="49">
        <v>297</v>
      </c>
      <c r="EED44" s="49">
        <v>0</v>
      </c>
      <c r="EEE44" s="49">
        <v>320</v>
      </c>
      <c r="EEF44" s="49">
        <v>653</v>
      </c>
      <c r="EEG44" s="49"/>
      <c r="EEH44" s="64">
        <f t="shared" si="1362"/>
        <v>1270</v>
      </c>
      <c r="EEI44" s="68">
        <f t="shared" si="1363"/>
        <v>211.66666666666666</v>
      </c>
      <c r="EEJ44" s="48">
        <v>0</v>
      </c>
      <c r="EEK44" s="49">
        <v>401</v>
      </c>
      <c r="EEL44" s="49">
        <v>0</v>
      </c>
      <c r="EEM44" s="49">
        <v>0</v>
      </c>
      <c r="EEN44" s="49">
        <v>0</v>
      </c>
      <c r="EEO44" s="49">
        <v>0</v>
      </c>
      <c r="EEP44" s="64">
        <f t="shared" si="1364"/>
        <v>401</v>
      </c>
      <c r="EEQ44" s="68">
        <f t="shared" si="1365"/>
        <v>66.833333333333329</v>
      </c>
      <c r="EER44" s="48">
        <v>0</v>
      </c>
      <c r="EES44" s="49">
        <v>504</v>
      </c>
      <c r="EET44" s="49">
        <v>0</v>
      </c>
      <c r="EEU44" s="49">
        <v>0</v>
      </c>
      <c r="EEV44" s="49">
        <v>0</v>
      </c>
      <c r="EEW44" s="49"/>
      <c r="EEX44" s="64">
        <f t="shared" si="1366"/>
        <v>504</v>
      </c>
      <c r="EEY44" s="68">
        <f t="shared" si="1367"/>
        <v>84</v>
      </c>
      <c r="EEZ44" s="48">
        <v>236</v>
      </c>
      <c r="EFA44" s="49"/>
      <c r="EFB44" s="49">
        <v>0</v>
      </c>
      <c r="EFC44" s="49">
        <v>814</v>
      </c>
      <c r="EFD44" s="49">
        <v>0</v>
      </c>
      <c r="EFE44" s="49">
        <v>0</v>
      </c>
      <c r="EFF44" s="64">
        <f t="shared" si="1368"/>
        <v>1050</v>
      </c>
      <c r="EFG44" s="68">
        <f t="shared" si="1369"/>
        <v>175</v>
      </c>
      <c r="EFH44" s="48">
        <v>220</v>
      </c>
      <c r="EFI44" s="49">
        <v>447</v>
      </c>
      <c r="EFJ44" s="49">
        <v>623</v>
      </c>
      <c r="EFK44" s="49">
        <v>0</v>
      </c>
      <c r="EFL44" s="49">
        <v>0</v>
      </c>
      <c r="EFM44" s="49">
        <v>0</v>
      </c>
      <c r="EFN44" s="64">
        <f t="shared" si="1370"/>
        <v>1290</v>
      </c>
      <c r="EFO44" s="68">
        <f t="shared" si="1371"/>
        <v>215</v>
      </c>
      <c r="EFP44" s="48"/>
      <c r="EFQ44" s="49"/>
      <c r="EFR44" s="49"/>
      <c r="EFS44" s="49">
        <v>0</v>
      </c>
      <c r="EFT44" s="49">
        <v>0</v>
      </c>
      <c r="EFU44" s="49">
        <v>494</v>
      </c>
      <c r="EFV44" s="64">
        <f t="shared" si="1372"/>
        <v>494</v>
      </c>
      <c r="EFW44" s="68">
        <f t="shared" si="1373"/>
        <v>82.333333333333329</v>
      </c>
      <c r="EFX44" s="48">
        <v>0</v>
      </c>
      <c r="EFY44" s="49">
        <v>0</v>
      </c>
      <c r="EFZ44" s="49"/>
      <c r="EGA44" s="49">
        <v>0</v>
      </c>
      <c r="EGB44" s="49">
        <v>585</v>
      </c>
      <c r="EGC44" s="49">
        <v>0</v>
      </c>
      <c r="EGD44" s="64">
        <f t="shared" si="1374"/>
        <v>585</v>
      </c>
      <c r="EGE44" s="68">
        <f t="shared" si="1375"/>
        <v>97.5</v>
      </c>
      <c r="EGF44" s="48">
        <v>0</v>
      </c>
      <c r="EGG44" s="49">
        <v>0</v>
      </c>
      <c r="EGH44" s="49"/>
      <c r="EGI44" s="49">
        <v>0</v>
      </c>
      <c r="EGJ44" s="49">
        <v>394</v>
      </c>
      <c r="EGK44" s="49">
        <v>0</v>
      </c>
      <c r="EGL44" s="64">
        <f t="shared" si="1376"/>
        <v>394</v>
      </c>
      <c r="EGM44" s="68">
        <f t="shared" si="1377"/>
        <v>65.666666666666671</v>
      </c>
      <c r="EGN44" s="48">
        <v>0</v>
      </c>
      <c r="EGO44" s="49">
        <v>331</v>
      </c>
      <c r="EGP44" s="49"/>
      <c r="EGQ44" s="49">
        <v>0</v>
      </c>
      <c r="EGR44" s="49">
        <v>0</v>
      </c>
      <c r="EGS44" s="49">
        <v>438</v>
      </c>
      <c r="EGT44" s="64">
        <f t="shared" si="1378"/>
        <v>769</v>
      </c>
      <c r="EGU44" s="68">
        <f t="shared" si="1379"/>
        <v>128.16666666666666</v>
      </c>
      <c r="EGV44" s="48">
        <v>0</v>
      </c>
      <c r="EGW44" s="49">
        <v>430</v>
      </c>
      <c r="EGX44" s="49">
        <v>0</v>
      </c>
      <c r="EGY44" s="49">
        <v>0</v>
      </c>
      <c r="EGZ44" s="49">
        <v>203</v>
      </c>
      <c r="EHA44" s="49">
        <v>0</v>
      </c>
      <c r="EHB44" s="64">
        <f t="shared" si="1380"/>
        <v>633</v>
      </c>
      <c r="EHC44" s="68">
        <f t="shared" si="1381"/>
        <v>105.5</v>
      </c>
      <c r="EHD44" s="48">
        <v>0</v>
      </c>
      <c r="EHE44" s="49">
        <v>0</v>
      </c>
      <c r="EHF44" s="49"/>
      <c r="EHG44" s="49">
        <v>0</v>
      </c>
      <c r="EHH44" s="49">
        <v>643</v>
      </c>
      <c r="EHI44" s="49">
        <v>0</v>
      </c>
      <c r="EHJ44" s="64">
        <f t="shared" si="1382"/>
        <v>643</v>
      </c>
      <c r="EHK44" s="68">
        <f t="shared" si="1383"/>
        <v>107.16666666666667</v>
      </c>
      <c r="EHL44" s="48">
        <v>340</v>
      </c>
      <c r="EHM44" s="49">
        <v>0</v>
      </c>
      <c r="EHN44" s="49"/>
      <c r="EHO44" s="49">
        <v>485</v>
      </c>
      <c r="EHP44" s="49"/>
      <c r="EHQ44" s="49">
        <v>0</v>
      </c>
      <c r="EHR44" s="64">
        <f t="shared" si="1384"/>
        <v>825</v>
      </c>
      <c r="EHS44" s="68">
        <f t="shared" si="1385"/>
        <v>137.5</v>
      </c>
      <c r="EHT44" s="48">
        <v>0</v>
      </c>
      <c r="EHU44" s="49">
        <v>603</v>
      </c>
      <c r="EHV44" s="49"/>
      <c r="EHW44" s="49">
        <v>0</v>
      </c>
      <c r="EHX44" s="49">
        <v>0</v>
      </c>
      <c r="EHY44" s="49">
        <v>440</v>
      </c>
      <c r="EHZ44" s="64">
        <f t="shared" si="1386"/>
        <v>1043</v>
      </c>
      <c r="EIA44" s="68">
        <f t="shared" si="1387"/>
        <v>173.83333333333334</v>
      </c>
      <c r="EIB44" s="48">
        <v>240</v>
      </c>
      <c r="EIC44" s="49">
        <v>0</v>
      </c>
      <c r="EID44" s="49">
        <v>302</v>
      </c>
      <c r="EIE44" s="49">
        <v>0</v>
      </c>
      <c r="EIF44" s="49">
        <v>0</v>
      </c>
      <c r="EIG44" s="49">
        <v>0</v>
      </c>
      <c r="EIH44" s="64">
        <f t="shared" si="1388"/>
        <v>542</v>
      </c>
      <c r="EII44" s="68">
        <f t="shared" si="1389"/>
        <v>90.333333333333329</v>
      </c>
      <c r="EIJ44" s="48">
        <v>0</v>
      </c>
      <c r="EIK44" s="49">
        <v>0</v>
      </c>
      <c r="EIL44" s="49">
        <v>646</v>
      </c>
      <c r="EIM44" s="49">
        <v>0</v>
      </c>
      <c r="EIN44" s="49">
        <v>440</v>
      </c>
      <c r="EIO44" s="49">
        <v>0</v>
      </c>
      <c r="EIP44" s="64">
        <f t="shared" si="1390"/>
        <v>1086</v>
      </c>
      <c r="EIQ44" s="68">
        <f t="shared" si="1391"/>
        <v>181</v>
      </c>
      <c r="EIR44" s="48">
        <v>0</v>
      </c>
      <c r="EIS44" s="49">
        <v>300</v>
      </c>
      <c r="EIT44" s="49">
        <v>0</v>
      </c>
      <c r="EIU44" s="49">
        <v>0</v>
      </c>
      <c r="EIV44" s="49">
        <v>0</v>
      </c>
      <c r="EIW44" s="49">
        <v>0</v>
      </c>
      <c r="EIX44" s="64">
        <f t="shared" si="1392"/>
        <v>300</v>
      </c>
      <c r="EIY44" s="68">
        <f t="shared" si="1393"/>
        <v>50</v>
      </c>
      <c r="EIZ44" s="48">
        <v>0</v>
      </c>
      <c r="EJA44" s="49">
        <v>0</v>
      </c>
      <c r="EJB44" s="49">
        <v>0</v>
      </c>
      <c r="EJC44" s="49">
        <v>656</v>
      </c>
      <c r="EJD44" s="49">
        <v>0</v>
      </c>
      <c r="EJE44" s="49">
        <v>0</v>
      </c>
      <c r="EJF44" s="64">
        <f t="shared" si="1394"/>
        <v>656</v>
      </c>
      <c r="EJG44" s="68">
        <f t="shared" si="1395"/>
        <v>109.33333333333333</v>
      </c>
      <c r="EJH44" s="48">
        <v>0</v>
      </c>
      <c r="EJI44" s="49">
        <v>0</v>
      </c>
      <c r="EJJ44" s="49"/>
      <c r="EJK44" s="49">
        <v>0</v>
      </c>
      <c r="EJL44" s="49"/>
      <c r="EJM44" s="49"/>
      <c r="EJN44" s="64">
        <f t="shared" si="1396"/>
        <v>0</v>
      </c>
      <c r="EJO44" s="68">
        <f t="shared" si="1397"/>
        <v>0</v>
      </c>
      <c r="EJP44" s="48">
        <v>0</v>
      </c>
      <c r="EJQ44" s="49">
        <v>0</v>
      </c>
      <c r="EJR44" s="49">
        <v>0</v>
      </c>
      <c r="EJS44" s="49">
        <v>0</v>
      </c>
      <c r="EJT44" s="49">
        <v>0</v>
      </c>
      <c r="EJU44" s="49">
        <v>965</v>
      </c>
      <c r="EJV44" s="64">
        <f t="shared" si="1398"/>
        <v>965</v>
      </c>
      <c r="EJW44" s="68">
        <f t="shared" si="1399"/>
        <v>160.83333333333334</v>
      </c>
      <c r="EJX44" s="48">
        <v>0</v>
      </c>
      <c r="EJY44" s="49">
        <v>0</v>
      </c>
      <c r="EJZ44" s="49">
        <v>0</v>
      </c>
      <c r="EKA44" s="49"/>
      <c r="EKB44" s="49">
        <v>0</v>
      </c>
      <c r="EKC44" s="49">
        <v>599</v>
      </c>
      <c r="EKD44" s="64">
        <f t="shared" si="1400"/>
        <v>599</v>
      </c>
      <c r="EKE44" s="68">
        <f t="shared" si="1401"/>
        <v>99.833333333333329</v>
      </c>
      <c r="EKF44" s="48">
        <v>0</v>
      </c>
      <c r="EKG44" s="49">
        <v>0</v>
      </c>
      <c r="EKH44" s="49">
        <v>0</v>
      </c>
      <c r="EKI44" s="49"/>
      <c r="EKJ44" s="49">
        <v>614</v>
      </c>
      <c r="EKK44" s="49">
        <v>0</v>
      </c>
      <c r="EKL44" s="64">
        <f t="shared" si="1402"/>
        <v>614</v>
      </c>
      <c r="EKM44" s="68">
        <f t="shared" si="1403"/>
        <v>102.33333333333333</v>
      </c>
      <c r="EKN44" s="48">
        <v>0</v>
      </c>
      <c r="EKO44" s="49">
        <v>0</v>
      </c>
      <c r="EKP44" s="49">
        <v>0</v>
      </c>
      <c r="EKQ44" s="49">
        <v>0</v>
      </c>
      <c r="EKR44" s="49">
        <v>0</v>
      </c>
      <c r="EKS44" s="49">
        <v>0</v>
      </c>
      <c r="EKT44" s="64">
        <f t="shared" si="1404"/>
        <v>0</v>
      </c>
      <c r="EKU44" s="184">
        <f t="shared" si="1405"/>
        <v>0</v>
      </c>
      <c r="EKV44" s="665"/>
      <c r="EKW44" s="195">
        <v>0</v>
      </c>
      <c r="EKX44" s="49">
        <v>0</v>
      </c>
      <c r="EKY44" s="49">
        <v>0</v>
      </c>
      <c r="EKZ44" s="49">
        <v>0</v>
      </c>
      <c r="ELA44" s="49">
        <v>650</v>
      </c>
      <c r="ELB44" s="49">
        <v>0</v>
      </c>
      <c r="ELC44" s="64">
        <f t="shared" si="1406"/>
        <v>650</v>
      </c>
      <c r="ELD44" s="211">
        <f t="shared" si="1407"/>
        <v>108.33333333333333</v>
      </c>
      <c r="ELE44" s="195">
        <v>0</v>
      </c>
      <c r="ELF44" s="49">
        <v>0</v>
      </c>
      <c r="ELG44" s="49">
        <v>0</v>
      </c>
      <c r="ELH44" s="49">
        <v>0</v>
      </c>
      <c r="ELI44" s="49">
        <v>0</v>
      </c>
      <c r="ELJ44" s="49">
        <v>0</v>
      </c>
      <c r="ELK44" s="64">
        <f t="shared" si="1408"/>
        <v>0</v>
      </c>
      <c r="ELL44" s="211">
        <f t="shared" si="1409"/>
        <v>0</v>
      </c>
      <c r="ELM44" s="195">
        <v>219</v>
      </c>
      <c r="ELN44" s="49">
        <v>0</v>
      </c>
      <c r="ELO44" s="49">
        <v>0</v>
      </c>
      <c r="ELP44" s="49">
        <v>0</v>
      </c>
      <c r="ELQ44" s="49">
        <v>111</v>
      </c>
      <c r="ELR44" s="49">
        <v>305</v>
      </c>
      <c r="ELS44" s="64">
        <f t="shared" si="1410"/>
        <v>635</v>
      </c>
      <c r="ELT44" s="211">
        <f t="shared" si="1411"/>
        <v>105.83333333333333</v>
      </c>
      <c r="ELU44" s="195">
        <v>0</v>
      </c>
      <c r="ELV44" s="49">
        <v>0</v>
      </c>
      <c r="ELW44" s="49">
        <v>224</v>
      </c>
      <c r="ELX44" s="49">
        <v>0</v>
      </c>
      <c r="ELY44" s="49"/>
      <c r="ELZ44" s="49">
        <v>0</v>
      </c>
      <c r="EMA44" s="64">
        <f t="shared" si="1412"/>
        <v>224</v>
      </c>
      <c r="EMB44" s="211">
        <f t="shared" si="1413"/>
        <v>37.333333333333336</v>
      </c>
      <c r="EMC44" s="195">
        <v>0</v>
      </c>
      <c r="EMD44" s="49">
        <v>0</v>
      </c>
      <c r="EME44" s="49">
        <v>0</v>
      </c>
      <c r="EMF44" s="49">
        <v>0</v>
      </c>
      <c r="EMG44" s="49"/>
      <c r="EMH44" s="49">
        <v>0</v>
      </c>
      <c r="EMI44" s="64">
        <f t="shared" si="1414"/>
        <v>0</v>
      </c>
      <c r="EMJ44" s="211">
        <f t="shared" si="1415"/>
        <v>0</v>
      </c>
      <c r="EMK44" s="195">
        <v>0</v>
      </c>
      <c r="EML44" s="49">
        <v>224</v>
      </c>
      <c r="EMM44" s="49">
        <v>220</v>
      </c>
      <c r="EMN44" s="49">
        <v>0</v>
      </c>
      <c r="EMO44" s="49">
        <v>0</v>
      </c>
      <c r="EMP44" s="49">
        <v>0</v>
      </c>
      <c r="EMQ44" s="64">
        <f t="shared" si="1416"/>
        <v>444</v>
      </c>
      <c r="EMR44" s="211">
        <f t="shared" si="1417"/>
        <v>74</v>
      </c>
      <c r="EMS44" s="195">
        <v>0</v>
      </c>
      <c r="EMT44" s="49">
        <v>0</v>
      </c>
      <c r="EMU44" s="49">
        <v>0</v>
      </c>
      <c r="EMV44" s="49">
        <v>290</v>
      </c>
      <c r="EMW44" s="49">
        <v>0</v>
      </c>
      <c r="EMX44" s="49">
        <v>0</v>
      </c>
      <c r="EMY44" s="64">
        <f t="shared" si="1418"/>
        <v>290</v>
      </c>
      <c r="EMZ44" s="211">
        <f t="shared" si="1419"/>
        <v>48.333333333333336</v>
      </c>
      <c r="ENA44" s="195">
        <v>404</v>
      </c>
      <c r="ENB44" s="49">
        <v>0</v>
      </c>
      <c r="ENC44" s="49">
        <v>0</v>
      </c>
      <c r="END44" s="49">
        <v>0</v>
      </c>
      <c r="ENE44" s="49">
        <v>0</v>
      </c>
      <c r="ENF44" s="49">
        <v>336</v>
      </c>
      <c r="ENG44" s="64">
        <f t="shared" si="1420"/>
        <v>740</v>
      </c>
      <c r="ENH44" s="211">
        <f t="shared" si="1421"/>
        <v>123.33333333333333</v>
      </c>
      <c r="ENI44" s="195">
        <v>0</v>
      </c>
      <c r="ENJ44" s="49"/>
      <c r="ENK44" s="49">
        <v>0</v>
      </c>
      <c r="ENL44" s="49">
        <v>0</v>
      </c>
      <c r="ENM44" s="49">
        <v>0</v>
      </c>
      <c r="ENN44" s="49">
        <v>0</v>
      </c>
      <c r="ENO44" s="64">
        <f t="shared" si="1422"/>
        <v>0</v>
      </c>
      <c r="ENP44" s="211">
        <f t="shared" si="1423"/>
        <v>0</v>
      </c>
      <c r="ENQ44" s="195">
        <v>0</v>
      </c>
      <c r="ENR44" s="49"/>
      <c r="ENS44" s="49">
        <v>0</v>
      </c>
      <c r="ENT44" s="49">
        <v>0</v>
      </c>
      <c r="ENU44" s="49">
        <v>0</v>
      </c>
      <c r="ENV44" s="49">
        <v>225</v>
      </c>
      <c r="ENW44" s="64">
        <f t="shared" si="1424"/>
        <v>225</v>
      </c>
      <c r="ENX44" s="211">
        <f t="shared" si="1425"/>
        <v>37.5</v>
      </c>
      <c r="ENY44" s="195">
        <v>0</v>
      </c>
      <c r="ENZ44" s="49"/>
      <c r="EOA44" s="49">
        <v>0</v>
      </c>
      <c r="EOB44" s="49">
        <v>0</v>
      </c>
      <c r="EOC44" s="49">
        <v>0</v>
      </c>
      <c r="EOD44" s="49">
        <v>0</v>
      </c>
      <c r="EOE44" s="64">
        <f t="shared" si="1426"/>
        <v>0</v>
      </c>
      <c r="EOF44" s="211">
        <f t="shared" si="1427"/>
        <v>0</v>
      </c>
      <c r="EOG44" s="1"/>
      <c r="EOH44" s="195"/>
      <c r="EOI44" s="49">
        <v>0</v>
      </c>
      <c r="EOJ44" s="49">
        <v>0</v>
      </c>
      <c r="EOK44" s="49">
        <v>220</v>
      </c>
      <c r="EOL44" s="49">
        <v>0</v>
      </c>
      <c r="EOM44" s="49">
        <v>0</v>
      </c>
      <c r="EON44" s="184">
        <f t="shared" si="1428"/>
        <v>220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0</v>
      </c>
      <c r="EOU44" s="64">
        <f t="shared" si="1429"/>
        <v>0</v>
      </c>
      <c r="EOV44" s="211">
        <f t="shared" si="1430"/>
        <v>0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31"/>
        <v>0</v>
      </c>
      <c r="EPD44" s="211">
        <f t="shared" si="1432"/>
        <v>0</v>
      </c>
      <c r="EPE44" s="195">
        <v>0</v>
      </c>
      <c r="EPF44" s="49">
        <v>0</v>
      </c>
      <c r="EPG44" s="49">
        <v>0</v>
      </c>
      <c r="EPH44" s="49">
        <v>0</v>
      </c>
      <c r="EPI44" s="49">
        <v>0</v>
      </c>
      <c r="EPJ44" s="49">
        <v>0</v>
      </c>
      <c r="EPK44" s="64">
        <f t="shared" si="1433"/>
        <v>0</v>
      </c>
      <c r="EPL44" s="211">
        <f t="shared" si="1434"/>
        <v>0</v>
      </c>
      <c r="EPM44" s="195">
        <v>249</v>
      </c>
      <c r="EPN44" s="49">
        <v>363</v>
      </c>
      <c r="EPO44" s="49">
        <v>0</v>
      </c>
      <c r="EPP44" s="49">
        <v>0</v>
      </c>
      <c r="EPQ44" s="49">
        <v>220</v>
      </c>
      <c r="EPR44" s="49">
        <v>0</v>
      </c>
      <c r="EPS44" s="64">
        <f t="shared" si="1435"/>
        <v>832</v>
      </c>
      <c r="EPT44" s="211">
        <f t="shared" si="1436"/>
        <v>138.66666666666666</v>
      </c>
      <c r="EPU44" s="195">
        <v>0</v>
      </c>
      <c r="EPV44" s="49">
        <v>0</v>
      </c>
      <c r="EPW44" s="49">
        <v>0</v>
      </c>
      <c r="EPX44" s="49">
        <v>0</v>
      </c>
      <c r="EPY44" s="49">
        <f>SUMIF(SUMPK!$B:$B,$B:$B,SUMPK!$O:$O)</f>
        <v>0</v>
      </c>
      <c r="EPZ44" s="49">
        <v>0</v>
      </c>
      <c r="EQA44" s="64">
        <f t="shared" si="1437"/>
        <v>0</v>
      </c>
      <c r="EQB44" s="211">
        <f t="shared" si="1438"/>
        <v>0</v>
      </c>
      <c r="EQC44" s="195">
        <v>0</v>
      </c>
      <c r="EQD44" s="49">
        <v>0</v>
      </c>
      <c r="EQE44" s="49">
        <v>0</v>
      </c>
      <c r="EQF44" s="49">
        <v>0</v>
      </c>
      <c r="EQG44" s="49">
        <v>0</v>
      </c>
      <c r="EQH44" s="49"/>
      <c r="EQI44" s="64">
        <f t="shared" si="1439"/>
        <v>0</v>
      </c>
      <c r="EQJ44" s="211">
        <f t="shared" si="1440"/>
        <v>0</v>
      </c>
      <c r="EQK44" s="195">
        <v>0</v>
      </c>
      <c r="EQL44" s="49">
        <v>0</v>
      </c>
      <c r="EQM44" s="49">
        <v>0</v>
      </c>
      <c r="EQN44" s="49"/>
      <c r="EQO44" s="49">
        <v>0</v>
      </c>
      <c r="EQP44" s="49">
        <v>0</v>
      </c>
      <c r="EQQ44" s="64">
        <f t="shared" si="1441"/>
        <v>0</v>
      </c>
      <c r="EQR44" s="211">
        <f t="shared" si="1442"/>
        <v>0</v>
      </c>
      <c r="EQS44" s="195">
        <v>0</v>
      </c>
      <c r="EQT44" s="49">
        <v>220</v>
      </c>
      <c r="EQU44" s="49">
        <v>0</v>
      </c>
      <c r="EQV44" s="49">
        <v>0</v>
      </c>
      <c r="EQW44" s="49"/>
      <c r="EQX44" s="49">
        <v>0</v>
      </c>
      <c r="EQY44" s="64">
        <f t="shared" si="1443"/>
        <v>220</v>
      </c>
      <c r="EQZ44" s="211">
        <f t="shared" si="1444"/>
        <v>36.666666666666664</v>
      </c>
      <c r="ERA44" s="195">
        <v>0</v>
      </c>
      <c r="ERB44" s="49">
        <v>47</v>
      </c>
      <c r="ERC44" s="49">
        <v>0</v>
      </c>
      <c r="ERD44" s="49">
        <v>447</v>
      </c>
      <c r="ERE44" s="49">
        <v>0</v>
      </c>
      <c r="ERF44" s="49"/>
      <c r="ERG44" s="64">
        <f t="shared" si="1445"/>
        <v>494</v>
      </c>
      <c r="ERH44" s="211">
        <f t="shared" si="1446"/>
        <v>82.333333333333329</v>
      </c>
      <c r="ERI44" s="195"/>
      <c r="ERJ44" s="49">
        <v>0</v>
      </c>
      <c r="ERK44" s="49">
        <v>0</v>
      </c>
      <c r="ERL44" s="49">
        <v>313</v>
      </c>
      <c r="ERM44" s="49">
        <v>0</v>
      </c>
      <c r="ERN44" s="49"/>
      <c r="ERO44" s="64">
        <f t="shared" si="1447"/>
        <v>313</v>
      </c>
      <c r="ERP44" s="211">
        <f t="shared" si="1448"/>
        <v>52.166666666666664</v>
      </c>
      <c r="ERQ44" s="195"/>
      <c r="ERR44" s="49">
        <v>611</v>
      </c>
      <c r="ERS44" s="49"/>
      <c r="ERT44" s="49">
        <v>0</v>
      </c>
      <c r="ERU44" s="49">
        <v>0</v>
      </c>
      <c r="ERV44" s="49">
        <v>0</v>
      </c>
      <c r="ERW44" s="64">
        <f t="shared" si="1449"/>
        <v>611</v>
      </c>
      <c r="ERX44" s="211">
        <f t="shared" si="1450"/>
        <v>101.83333333333333</v>
      </c>
      <c r="ERY44" s="195">
        <v>0</v>
      </c>
      <c r="ERZ44" s="49">
        <v>562</v>
      </c>
      <c r="ESA44" s="49">
        <v>0</v>
      </c>
      <c r="ESB44" s="49">
        <v>0</v>
      </c>
      <c r="ESC44" s="49">
        <v>0</v>
      </c>
      <c r="ESD44" s="49">
        <v>0</v>
      </c>
      <c r="ESE44" s="64">
        <f t="shared" si="1451"/>
        <v>562</v>
      </c>
      <c r="ESF44" s="211">
        <f t="shared" si="1452"/>
        <v>93.666666666666671</v>
      </c>
      <c r="ESG44" s="195">
        <v>0</v>
      </c>
      <c r="ESH44" s="49">
        <v>0</v>
      </c>
      <c r="ESI44" s="49">
        <v>0</v>
      </c>
      <c r="ESJ44" s="49">
        <v>0</v>
      </c>
      <c r="ESK44" s="49"/>
      <c r="ESL44" s="49">
        <v>610</v>
      </c>
      <c r="ESM44" s="64">
        <f t="shared" si="1453"/>
        <v>610</v>
      </c>
      <c r="ESN44" s="211">
        <f t="shared" si="1454"/>
        <v>101.66666666666667</v>
      </c>
      <c r="ESO44" s="458">
        <v>0</v>
      </c>
      <c r="ESP44" s="83">
        <v>0</v>
      </c>
      <c r="ESQ44" s="83">
        <v>0</v>
      </c>
      <c r="ESR44" s="83">
        <v>0</v>
      </c>
      <c r="ESS44" s="83">
        <v>0</v>
      </c>
      <c r="EST44" s="83"/>
      <c r="ESU44" s="64">
        <f t="shared" si="1455"/>
        <v>0</v>
      </c>
      <c r="ESV44" s="211">
        <f t="shared" si="1456"/>
        <v>0</v>
      </c>
      <c r="ESW44" s="195"/>
      <c r="ESX44" s="49">
        <v>0</v>
      </c>
      <c r="ESY44" s="49">
        <v>0</v>
      </c>
      <c r="ESZ44" s="49">
        <v>567</v>
      </c>
      <c r="ETA44" s="49">
        <v>0</v>
      </c>
      <c r="ETB44" s="49">
        <v>0</v>
      </c>
      <c r="ETC44" s="808">
        <f t="shared" si="1457"/>
        <v>567</v>
      </c>
      <c r="ETD44" s="211">
        <f t="shared" si="1458"/>
        <v>94.5</v>
      </c>
      <c r="ETE44" s="195">
        <v>0</v>
      </c>
      <c r="ETF44" s="49">
        <v>0</v>
      </c>
      <c r="ETG44" s="49">
        <v>325</v>
      </c>
      <c r="ETH44" s="49">
        <v>0</v>
      </c>
      <c r="ETI44" s="49">
        <v>0</v>
      </c>
      <c r="ETJ44" s="49">
        <v>0</v>
      </c>
      <c r="ETK44" s="808">
        <f t="shared" si="1459"/>
        <v>325</v>
      </c>
      <c r="ETL44" s="211">
        <f t="shared" si="1460"/>
        <v>54.166666666666664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61"/>
        <v>0</v>
      </c>
      <c r="ETT44" s="211">
        <f t="shared" si="1462"/>
        <v>0</v>
      </c>
      <c r="ETU44" s="458">
        <v>0</v>
      </c>
      <c r="ETV44" s="83">
        <v>0</v>
      </c>
      <c r="ETW44" s="83">
        <v>448</v>
      </c>
      <c r="ETX44" s="83">
        <v>0</v>
      </c>
      <c r="ETY44" s="83">
        <v>0</v>
      </c>
      <c r="ETZ44" s="83">
        <v>0</v>
      </c>
      <c r="EUA44" s="808">
        <f t="shared" si="1463"/>
        <v>448</v>
      </c>
      <c r="EUB44" s="211">
        <f t="shared" si="1464"/>
        <v>74.666666666666671</v>
      </c>
      <c r="EUC44" s="458"/>
      <c r="EUD44" s="83">
        <v>0</v>
      </c>
      <c r="EUE44" s="83"/>
      <c r="EUF44" s="83">
        <v>0</v>
      </c>
      <c r="EUG44" s="83">
        <v>662</v>
      </c>
      <c r="EUH44" s="83">
        <v>0</v>
      </c>
      <c r="EUI44" s="808">
        <f t="shared" si="1465"/>
        <v>662</v>
      </c>
      <c r="EUJ44" s="211">
        <f t="shared" si="1466"/>
        <v>110.33333333333333</v>
      </c>
      <c r="EUK44" s="195"/>
      <c r="EUL44" s="49">
        <v>0</v>
      </c>
      <c r="EUM44" s="49">
        <v>344</v>
      </c>
      <c r="EUN44" s="49">
        <v>0</v>
      </c>
      <c r="EUO44" s="49">
        <v>0</v>
      </c>
      <c r="EUP44" s="49">
        <v>0</v>
      </c>
      <c r="EUQ44" s="808">
        <f t="shared" si="1467"/>
        <v>344</v>
      </c>
      <c r="EUR44" s="211">
        <f t="shared" si="1468"/>
        <v>57.333333333333336</v>
      </c>
      <c r="EUS44" s="195">
        <v>0</v>
      </c>
      <c r="EUT44" s="49">
        <v>0</v>
      </c>
      <c r="EUU44" s="49">
        <v>0</v>
      </c>
      <c r="EUV44" s="49">
        <v>559</v>
      </c>
      <c r="EUW44" s="49">
        <v>0</v>
      </c>
      <c r="EUX44" s="49"/>
      <c r="EUY44" s="808">
        <f t="shared" si="1469"/>
        <v>559</v>
      </c>
      <c r="EUZ44" s="211">
        <f t="shared" si="1470"/>
        <v>93.166666666666671</v>
      </c>
      <c r="EVA44" s="195">
        <v>0</v>
      </c>
      <c r="EVB44" s="49">
        <v>0</v>
      </c>
      <c r="EVC44" s="49">
        <v>0</v>
      </c>
      <c r="EVD44" s="49"/>
      <c r="EVE44" s="49"/>
      <c r="EVF44" s="49"/>
      <c r="EVG44" s="808">
        <f t="shared" si="1471"/>
        <v>0</v>
      </c>
      <c r="EVH44" s="211">
        <f t="shared" si="1472"/>
        <v>0</v>
      </c>
      <c r="EVI44" s="195">
        <v>0</v>
      </c>
      <c r="EVJ44" s="49">
        <v>0</v>
      </c>
      <c r="EVK44" s="49">
        <f>SUMIF(SUMPK!$B:$B,$B:$B,SUMPK!$O:$O)</f>
        <v>0</v>
      </c>
      <c r="EVL44" s="49"/>
      <c r="EVM44" s="49"/>
      <c r="EVN44" s="49">
        <v>0</v>
      </c>
      <c r="EVO44" s="808">
        <f t="shared" si="1473"/>
        <v>0</v>
      </c>
      <c r="EVP44" s="211">
        <f t="shared" si="1474"/>
        <v>0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75"/>
        <v>0</v>
      </c>
      <c r="EVX44" s="211">
        <f t="shared" si="1476"/>
        <v>0</v>
      </c>
      <c r="EVY44" s="195">
        <v>0</v>
      </c>
      <c r="EVZ44" s="49">
        <v>0</v>
      </c>
      <c r="EWA44" s="49">
        <v>0</v>
      </c>
      <c r="EWB44" s="49">
        <v>330</v>
      </c>
      <c r="EWC44" s="49">
        <v>0</v>
      </c>
      <c r="EWD44" s="49"/>
      <c r="EWE44" s="808">
        <f t="shared" si="1477"/>
        <v>330</v>
      </c>
      <c r="EWF44" s="211">
        <f t="shared" si="1478"/>
        <v>55</v>
      </c>
      <c r="EWG44" s="195">
        <v>0</v>
      </c>
      <c r="EWH44" s="49">
        <v>0</v>
      </c>
      <c r="EWI44" s="49"/>
      <c r="EWJ44" s="49">
        <v>0</v>
      </c>
      <c r="EWK44" s="49"/>
      <c r="EWL44" s="49"/>
      <c r="EWM44" s="808">
        <f t="shared" si="1479"/>
        <v>0</v>
      </c>
      <c r="EWN44" s="211">
        <f t="shared" si="1480"/>
        <v>0</v>
      </c>
      <c r="EWO44" s="195">
        <v>0</v>
      </c>
      <c r="EWP44" s="49"/>
      <c r="EWQ44" s="49"/>
      <c r="EWR44" s="49">
        <v>643</v>
      </c>
      <c r="EWS44" s="49">
        <v>0</v>
      </c>
      <c r="EWT44" s="49">
        <v>0</v>
      </c>
      <c r="EWU44" s="808">
        <f t="shared" si="1481"/>
        <v>643</v>
      </c>
      <c r="EWV44" s="211">
        <f t="shared" si="1482"/>
        <v>107.16666666666667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83"/>
        <v>0</v>
      </c>
      <c r="EXD44" s="211">
        <f t="shared" si="1484"/>
        <v>0</v>
      </c>
      <c r="EXE44" s="195"/>
      <c r="EXF44" s="49">
        <v>606</v>
      </c>
      <c r="EXG44" s="49">
        <v>0</v>
      </c>
      <c r="EXH44" s="49"/>
      <c r="EXI44" s="49">
        <v>0</v>
      </c>
      <c r="EXJ44" s="49">
        <v>0</v>
      </c>
      <c r="EXK44" s="808">
        <f t="shared" si="1485"/>
        <v>606</v>
      </c>
      <c r="EXL44" s="211">
        <f t="shared" si="1486"/>
        <v>101</v>
      </c>
      <c r="EXM44" s="458">
        <v>0</v>
      </c>
      <c r="EXN44" s="83">
        <v>0</v>
      </c>
      <c r="EXO44" s="83">
        <v>0</v>
      </c>
      <c r="EXP44" s="83">
        <v>603</v>
      </c>
      <c r="EXQ44" s="83"/>
      <c r="EXR44" s="83">
        <v>0</v>
      </c>
      <c r="EXS44" s="808">
        <f t="shared" si="1487"/>
        <v>603</v>
      </c>
      <c r="EXT44" s="211">
        <f t="shared" si="1488"/>
        <v>100.5</v>
      </c>
      <c r="EXU44" s="195">
        <v>0</v>
      </c>
      <c r="EXV44" s="49">
        <v>0</v>
      </c>
      <c r="EXW44" s="49">
        <v>0</v>
      </c>
      <c r="EXX44" s="49">
        <v>0</v>
      </c>
      <c r="EXY44" s="49">
        <v>0</v>
      </c>
      <c r="EXZ44" s="49">
        <v>338</v>
      </c>
      <c r="EYA44" s="808">
        <f t="shared" si="1489"/>
        <v>338</v>
      </c>
      <c r="EYB44" s="211">
        <f t="shared" si="1490"/>
        <v>56.333333333333336</v>
      </c>
      <c r="EYC44" s="195">
        <v>0</v>
      </c>
      <c r="EYD44" s="49"/>
      <c r="EYE44" s="49">
        <v>310</v>
      </c>
      <c r="EYF44" s="49"/>
      <c r="EYG44" s="49">
        <v>0</v>
      </c>
      <c r="EYH44" s="49">
        <v>0</v>
      </c>
      <c r="EYI44" s="808">
        <f t="shared" si="1491"/>
        <v>310</v>
      </c>
      <c r="EYJ44" s="211">
        <f t="shared" si="1492"/>
        <v>51.666666666666664</v>
      </c>
      <c r="EYK44" s="195">
        <v>140</v>
      </c>
      <c r="EYL44" s="49">
        <v>0</v>
      </c>
      <c r="EYM44" s="49">
        <v>0</v>
      </c>
      <c r="EYN44" s="49">
        <v>0</v>
      </c>
      <c r="EYO44" s="49">
        <v>0</v>
      </c>
      <c r="EYP44" s="49">
        <v>0</v>
      </c>
      <c r="EYQ44" s="808">
        <f t="shared" si="1493"/>
        <v>140</v>
      </c>
      <c r="EYR44" s="211">
        <f t="shared" si="1494"/>
        <v>23.333333333333332</v>
      </c>
      <c r="EYS44" s="195">
        <v>662</v>
      </c>
      <c r="EYT44" s="49">
        <v>0</v>
      </c>
      <c r="EYU44" s="49">
        <v>0</v>
      </c>
      <c r="EYV44" s="49">
        <v>0</v>
      </c>
      <c r="EYW44" s="49"/>
      <c r="EYX44" s="49"/>
      <c r="EYY44" s="872">
        <f t="shared" si="1495"/>
        <v>662</v>
      </c>
      <c r="EYZ44" s="873">
        <f t="shared" si="1496"/>
        <v>110.33333333333333</v>
      </c>
      <c r="EZA44" s="195">
        <v>0</v>
      </c>
      <c r="EZB44" s="49">
        <v>0</v>
      </c>
      <c r="EZC44" s="49">
        <v>320</v>
      </c>
      <c r="EZD44" s="49"/>
      <c r="EZE44" s="49">
        <v>0</v>
      </c>
      <c r="EZF44" s="49">
        <v>526</v>
      </c>
      <c r="EZG44" s="872">
        <f t="shared" si="1497"/>
        <v>846</v>
      </c>
      <c r="EZH44" s="873">
        <f t="shared" si="1498"/>
        <v>141</v>
      </c>
      <c r="EZI44" s="195">
        <v>0</v>
      </c>
      <c r="EZJ44" s="49">
        <v>0</v>
      </c>
      <c r="EZK44" s="49"/>
      <c r="EZL44" s="49"/>
      <c r="EZM44" s="49"/>
      <c r="EZN44" s="49"/>
      <c r="EZO44" s="872">
        <f t="shared" si="1499"/>
        <v>0</v>
      </c>
      <c r="EZP44" s="873">
        <f t="shared" si="1500"/>
        <v>0</v>
      </c>
    </row>
    <row r="45" spans="1:4072" s="8" customFormat="1" ht="13.5" thickBot="1" x14ac:dyDescent="0.25">
      <c r="A45" s="21">
        <v>16</v>
      </c>
      <c r="B45" s="297" t="s">
        <v>31</v>
      </c>
      <c r="C45" s="730" t="s">
        <v>32</v>
      </c>
      <c r="D45" s="297">
        <v>25</v>
      </c>
      <c r="E45" s="24"/>
      <c r="F45" s="24">
        <v>4864</v>
      </c>
      <c r="G45" s="24"/>
      <c r="H45" s="24"/>
      <c r="I45" s="24"/>
      <c r="J45" s="360">
        <f>SUMIF(SUMPK!$B:$B,$B:$B,SUMPK!$O:$O)</f>
        <v>220</v>
      </c>
      <c r="K45" s="24">
        <f t="shared" si="1220"/>
        <v>0</v>
      </c>
      <c r="L45" s="24">
        <f t="shared" si="1505"/>
        <v>4644</v>
      </c>
      <c r="M45" s="15">
        <f t="shared" si="1627"/>
        <v>4644</v>
      </c>
      <c r="N45" s="15">
        <v>202.83333333333334</v>
      </c>
      <c r="O45" s="276">
        <f t="shared" si="1223"/>
        <v>22.895645028759244</v>
      </c>
      <c r="P45" s="712">
        <v>249.66666666666666</v>
      </c>
      <c r="Q45" s="276">
        <f t="shared" si="1506"/>
        <v>111.60480640854473</v>
      </c>
      <c r="R45" s="277">
        <f t="shared" si="1507"/>
        <v>369.23076923076923</v>
      </c>
      <c r="S45" s="222">
        <v>9600</v>
      </c>
      <c r="T45" s="276">
        <f t="shared" si="1628"/>
        <v>12.577500000000001</v>
      </c>
      <c r="U45" s="278"/>
      <c r="V45" s="276">
        <f t="shared" si="1227"/>
        <v>12.577500000000001</v>
      </c>
      <c r="W45" s="279">
        <f t="shared" si="1228"/>
        <v>1</v>
      </c>
      <c r="X45" s="278"/>
      <c r="Y45" s="7"/>
      <c r="Z45" s="7"/>
      <c r="AA45" s="7"/>
      <c r="AB45" s="7"/>
      <c r="AC45" s="662">
        <v>16</v>
      </c>
      <c r="AD45" s="649"/>
      <c r="AE45" s="49"/>
      <c r="AF45" s="49"/>
      <c r="AG45" s="49"/>
      <c r="AH45" s="49"/>
      <c r="AI45" s="49"/>
      <c r="AJ45" s="42">
        <f t="shared" si="1892"/>
        <v>0</v>
      </c>
      <c r="AK45" s="43">
        <f t="shared" si="1893"/>
        <v>0</v>
      </c>
      <c r="AL45" s="48"/>
      <c r="AM45" s="49"/>
      <c r="AN45" s="49"/>
      <c r="AO45" s="49"/>
      <c r="AP45" s="49"/>
      <c r="AQ45" s="49"/>
      <c r="AR45" s="42">
        <f t="shared" si="1894"/>
        <v>0</v>
      </c>
      <c r="AS45" s="43">
        <f t="shared" si="1895"/>
        <v>0</v>
      </c>
      <c r="AT45" s="48"/>
      <c r="AU45" s="49"/>
      <c r="AV45" s="49"/>
      <c r="AW45" s="49"/>
      <c r="AX45" s="49"/>
      <c r="AY45" s="49"/>
      <c r="AZ45" s="42">
        <f t="shared" si="1896"/>
        <v>0</v>
      </c>
      <c r="BA45" s="43">
        <f t="shared" si="1897"/>
        <v>0</v>
      </c>
      <c r="BB45" s="48"/>
      <c r="BC45" s="49"/>
      <c r="BD45" s="49"/>
      <c r="BE45" s="49"/>
      <c r="BF45" s="49"/>
      <c r="BG45" s="49"/>
      <c r="BH45" s="42">
        <f t="shared" si="1898"/>
        <v>0</v>
      </c>
      <c r="BI45" s="43">
        <f t="shared" si="1899"/>
        <v>0</v>
      </c>
      <c r="BJ45" s="48"/>
      <c r="BK45" s="49"/>
      <c r="BL45" s="49"/>
      <c r="BM45" s="49"/>
      <c r="BN45" s="49"/>
      <c r="BO45" s="49"/>
      <c r="BP45" s="42">
        <f t="shared" si="1900"/>
        <v>0</v>
      </c>
      <c r="BQ45" s="43">
        <f t="shared" si="1901"/>
        <v>0</v>
      </c>
      <c r="BR45" s="48"/>
      <c r="BS45" s="49"/>
      <c r="BT45" s="49"/>
      <c r="BU45" s="49"/>
      <c r="BV45" s="49"/>
      <c r="BW45" s="49"/>
      <c r="BX45" s="42">
        <f t="shared" si="1902"/>
        <v>0</v>
      </c>
      <c r="BY45" s="43">
        <f t="shared" si="1903"/>
        <v>0</v>
      </c>
      <c r="BZ45" s="48"/>
      <c r="CA45" s="49"/>
      <c r="CB45" s="49">
        <v>407</v>
      </c>
      <c r="CC45" s="49"/>
      <c r="CD45" s="49"/>
      <c r="CE45" s="49"/>
      <c r="CF45" s="42">
        <f t="shared" si="1904"/>
        <v>407</v>
      </c>
      <c r="CG45" s="43">
        <f t="shared" si="1905"/>
        <v>67.833333333333329</v>
      </c>
      <c r="CH45" s="48"/>
      <c r="CI45" s="49">
        <v>404</v>
      </c>
      <c r="CJ45" s="49"/>
      <c r="CK45" s="49"/>
      <c r="CL45" s="49"/>
      <c r="CM45" s="49"/>
      <c r="CN45" s="42">
        <f t="shared" si="1906"/>
        <v>404</v>
      </c>
      <c r="CO45" s="43">
        <f t="shared" si="1907"/>
        <v>67.333333333333329</v>
      </c>
      <c r="CP45" s="48"/>
      <c r="CQ45" s="49"/>
      <c r="CR45" s="49"/>
      <c r="CS45" s="49">
        <v>404</v>
      </c>
      <c r="CT45" s="49"/>
      <c r="CU45" s="49"/>
      <c r="CV45" s="42">
        <f t="shared" si="1908"/>
        <v>404</v>
      </c>
      <c r="CW45" s="43">
        <f t="shared" si="1909"/>
        <v>67.333333333333329</v>
      </c>
      <c r="CX45" s="48"/>
      <c r="CY45" s="49"/>
      <c r="CZ45" s="49"/>
      <c r="DA45" s="49"/>
      <c r="DB45" s="49"/>
      <c r="DC45" s="49"/>
      <c r="DD45" s="42">
        <f t="shared" si="1910"/>
        <v>0</v>
      </c>
      <c r="DE45" s="43">
        <f t="shared" si="1911"/>
        <v>0</v>
      </c>
      <c r="DF45" s="48"/>
      <c r="DG45" s="49"/>
      <c r="DH45" s="49"/>
      <c r="DI45" s="49">
        <v>200</v>
      </c>
      <c r="DJ45" s="49"/>
      <c r="DK45" s="49"/>
      <c r="DL45" s="42">
        <f t="shared" si="1912"/>
        <v>200</v>
      </c>
      <c r="DM45" s="43">
        <f t="shared" si="1913"/>
        <v>33.333333333333336</v>
      </c>
      <c r="DN45" s="48"/>
      <c r="DO45" s="49"/>
      <c r="DP45" s="49"/>
      <c r="DQ45" s="49"/>
      <c r="DR45" s="49"/>
      <c r="DS45" s="49"/>
      <c r="DT45" s="42">
        <f t="shared" si="1914"/>
        <v>0</v>
      </c>
      <c r="DU45" s="43">
        <f t="shared" si="1915"/>
        <v>0</v>
      </c>
      <c r="DV45" s="48"/>
      <c r="DW45" s="49"/>
      <c r="DX45" s="49"/>
      <c r="DY45" s="49"/>
      <c r="DZ45" s="49">
        <v>398</v>
      </c>
      <c r="EA45" s="49"/>
      <c r="EB45" s="42">
        <f t="shared" si="1916"/>
        <v>398</v>
      </c>
      <c r="EC45" s="43">
        <f t="shared" si="1917"/>
        <v>66.333333333333329</v>
      </c>
      <c r="ED45" s="48"/>
      <c r="EE45" s="49"/>
      <c r="EF45" s="49"/>
      <c r="EG45" s="49"/>
      <c r="EH45" s="49"/>
      <c r="EI45" s="49"/>
      <c r="EJ45" s="42">
        <f t="shared" si="1918"/>
        <v>0</v>
      </c>
      <c r="EK45" s="43">
        <f t="shared" si="1919"/>
        <v>0</v>
      </c>
      <c r="EL45" s="48"/>
      <c r="EM45" s="49"/>
      <c r="EN45" s="49"/>
      <c r="EO45" s="49"/>
      <c r="EP45" s="49"/>
      <c r="EQ45" s="49"/>
      <c r="ER45" s="42">
        <f t="shared" si="1920"/>
        <v>0</v>
      </c>
      <c r="ES45" s="43">
        <f t="shared" si="1921"/>
        <v>0</v>
      </c>
      <c r="ET45" s="48">
        <v>428</v>
      </c>
      <c r="EU45" s="49"/>
      <c r="EV45" s="49"/>
      <c r="EW45" s="49"/>
      <c r="EX45" s="49"/>
      <c r="EY45" s="49"/>
      <c r="EZ45" s="42">
        <f t="shared" si="1922"/>
        <v>428</v>
      </c>
      <c r="FA45" s="43">
        <f t="shared" si="1923"/>
        <v>71.333333333333329</v>
      </c>
      <c r="FB45" s="48"/>
      <c r="FC45" s="49"/>
      <c r="FD45" s="49"/>
      <c r="FE45" s="49"/>
      <c r="FF45" s="49"/>
      <c r="FG45" s="49"/>
      <c r="FH45" s="42">
        <f t="shared" si="1924"/>
        <v>0</v>
      </c>
      <c r="FI45" s="43">
        <f t="shared" si="1925"/>
        <v>0</v>
      </c>
      <c r="FJ45" s="48">
        <v>398</v>
      </c>
      <c r="FK45" s="49"/>
      <c r="FL45" s="49"/>
      <c r="FM45" s="49"/>
      <c r="FN45" s="49"/>
      <c r="FO45" s="49"/>
      <c r="FP45" s="42">
        <f t="shared" si="1926"/>
        <v>398</v>
      </c>
      <c r="FQ45" s="43">
        <f t="shared" si="1927"/>
        <v>66.333333333333329</v>
      </c>
      <c r="FR45" s="48"/>
      <c r="FS45" s="49"/>
      <c r="FT45" s="49">
        <v>400</v>
      </c>
      <c r="FU45" s="49"/>
      <c r="FV45" s="49"/>
      <c r="FW45" s="49"/>
      <c r="FX45" s="42">
        <f t="shared" si="1928"/>
        <v>400</v>
      </c>
      <c r="FY45" s="43">
        <f t="shared" si="1929"/>
        <v>66.666666666666671</v>
      </c>
      <c r="FZ45" s="48"/>
      <c r="GA45" s="49"/>
      <c r="GB45" s="49"/>
      <c r="GC45" s="49"/>
      <c r="GD45" s="49"/>
      <c r="GE45" s="49"/>
      <c r="GF45" s="42">
        <f t="shared" si="1930"/>
        <v>0</v>
      </c>
      <c r="GG45" s="43">
        <f t="shared" si="1931"/>
        <v>0</v>
      </c>
      <c r="GH45" s="48"/>
      <c r="GI45" s="49"/>
      <c r="GJ45" s="49"/>
      <c r="GK45" s="49"/>
      <c r="GL45" s="49"/>
      <c r="GM45" s="49"/>
      <c r="GN45" s="42">
        <f t="shared" si="1932"/>
        <v>0</v>
      </c>
      <c r="GO45" s="43">
        <f t="shared" si="1933"/>
        <v>0</v>
      </c>
      <c r="GP45" s="48"/>
      <c r="GQ45" s="49"/>
      <c r="GR45" s="49">
        <v>399</v>
      </c>
      <c r="GS45" s="49"/>
      <c r="GT45" s="49"/>
      <c r="GU45" s="49"/>
      <c r="GV45" s="42">
        <f t="shared" si="1934"/>
        <v>399</v>
      </c>
      <c r="GW45" s="43">
        <f t="shared" si="1935"/>
        <v>66.5</v>
      </c>
      <c r="GX45" s="48"/>
      <c r="GY45" s="49"/>
      <c r="GZ45" s="49"/>
      <c r="HA45" s="49"/>
      <c r="HB45" s="49"/>
      <c r="HC45" s="49"/>
      <c r="HD45" s="42">
        <f t="shared" si="1936"/>
        <v>0</v>
      </c>
      <c r="HE45" s="43">
        <f t="shared" si="1937"/>
        <v>0</v>
      </c>
      <c r="HF45" s="48"/>
      <c r="HG45" s="49"/>
      <c r="HH45" s="49"/>
      <c r="HI45" s="49"/>
      <c r="HJ45" s="49"/>
      <c r="HK45" s="49"/>
      <c r="HL45" s="42">
        <f t="shared" si="1938"/>
        <v>0</v>
      </c>
      <c r="HM45" s="43">
        <f t="shared" si="1939"/>
        <v>0</v>
      </c>
      <c r="HN45" s="82"/>
      <c r="HO45" s="83"/>
      <c r="HP45" s="83"/>
      <c r="HQ45" s="83"/>
      <c r="HR45" s="83"/>
      <c r="HS45" s="83"/>
      <c r="HT45" s="42">
        <f t="shared" si="1940"/>
        <v>0</v>
      </c>
      <c r="HU45" s="43">
        <f t="shared" si="1941"/>
        <v>0</v>
      </c>
      <c r="HV45" s="48">
        <v>409</v>
      </c>
      <c r="HW45" s="49"/>
      <c r="HX45" s="49"/>
      <c r="HY45" s="49"/>
      <c r="HZ45" s="49"/>
      <c r="IA45" s="49"/>
      <c r="IB45" s="42">
        <f t="shared" si="1942"/>
        <v>409</v>
      </c>
      <c r="IC45" s="43">
        <f t="shared" si="1943"/>
        <v>68.166666666666671</v>
      </c>
      <c r="ID45" s="48"/>
      <c r="IE45" s="49"/>
      <c r="IF45" s="49"/>
      <c r="IG45" s="49"/>
      <c r="IH45" s="49"/>
      <c r="II45" s="49"/>
      <c r="IJ45" s="42">
        <f t="shared" si="1944"/>
        <v>0</v>
      </c>
      <c r="IK45" s="43">
        <f t="shared" si="1945"/>
        <v>0</v>
      </c>
      <c r="IL45" s="48">
        <v>400</v>
      </c>
      <c r="IM45" s="49"/>
      <c r="IN45" s="49"/>
      <c r="IO45" s="49"/>
      <c r="IP45" s="49"/>
      <c r="IQ45" s="49"/>
      <c r="IR45" s="67">
        <f t="shared" si="1946"/>
        <v>400</v>
      </c>
      <c r="IS45" s="68">
        <f t="shared" si="1947"/>
        <v>66.666666666666671</v>
      </c>
      <c r="IT45" s="48"/>
      <c r="IU45" s="49"/>
      <c r="IV45" s="49"/>
      <c r="IW45" s="49"/>
      <c r="IX45" s="49"/>
      <c r="IY45" s="49"/>
      <c r="IZ45" s="67">
        <f t="shared" si="1948"/>
        <v>0</v>
      </c>
      <c r="JA45" s="68">
        <f t="shared" si="1949"/>
        <v>0</v>
      </c>
      <c r="JB45" s="48"/>
      <c r="JC45" s="49"/>
      <c r="JD45" s="49"/>
      <c r="JE45" s="49"/>
      <c r="JF45" s="49"/>
      <c r="JG45" s="49"/>
      <c r="JH45" s="67">
        <f t="shared" si="1950"/>
        <v>0</v>
      </c>
      <c r="JI45" s="68">
        <f t="shared" si="1951"/>
        <v>0</v>
      </c>
      <c r="JJ45" s="48"/>
      <c r="JK45" s="49"/>
      <c r="JL45" s="49"/>
      <c r="JM45" s="49"/>
      <c r="JN45" s="49"/>
      <c r="JO45" s="49"/>
      <c r="JP45" s="42">
        <f t="shared" si="1952"/>
        <v>0</v>
      </c>
      <c r="JQ45" s="43">
        <f t="shared" si="1953"/>
        <v>0</v>
      </c>
      <c r="JR45" s="48"/>
      <c r="JS45" s="49"/>
      <c r="JT45" s="49"/>
      <c r="JU45" s="49"/>
      <c r="JV45" s="49"/>
      <c r="JW45" s="49"/>
      <c r="JX45" s="42">
        <f t="shared" si="1954"/>
        <v>0</v>
      </c>
      <c r="JY45" s="43">
        <f t="shared" si="1955"/>
        <v>0</v>
      </c>
      <c r="JZ45" s="48"/>
      <c r="KA45" s="49"/>
      <c r="KB45" s="49"/>
      <c r="KC45" s="49"/>
      <c r="KD45" s="49"/>
      <c r="KE45" s="49"/>
      <c r="KF45" s="42">
        <f t="shared" si="1956"/>
        <v>0</v>
      </c>
      <c r="KG45" s="43">
        <f t="shared" si="1957"/>
        <v>0</v>
      </c>
      <c r="KH45" s="48"/>
      <c r="KI45" s="49"/>
      <c r="KJ45" s="49"/>
      <c r="KK45" s="49"/>
      <c r="KL45" s="49"/>
      <c r="KM45" s="49"/>
      <c r="KN45" s="67">
        <f t="shared" si="1958"/>
        <v>0</v>
      </c>
      <c r="KO45" s="68">
        <f t="shared" si="1959"/>
        <v>0</v>
      </c>
      <c r="KP45" s="48"/>
      <c r="KQ45" s="49"/>
      <c r="KR45" s="49"/>
      <c r="KS45" s="49"/>
      <c r="KT45" s="49"/>
      <c r="KU45" s="49">
        <v>226</v>
      </c>
      <c r="KV45" s="67">
        <f t="shared" si="1960"/>
        <v>226</v>
      </c>
      <c r="KW45" s="68">
        <f t="shared" si="1961"/>
        <v>37.666666666666664</v>
      </c>
      <c r="KX45" s="48"/>
      <c r="KY45" s="49"/>
      <c r="KZ45" s="49"/>
      <c r="LA45" s="49"/>
      <c r="LB45" s="49"/>
      <c r="LC45" s="49"/>
      <c r="LD45" s="67">
        <f t="shared" si="1962"/>
        <v>0</v>
      </c>
      <c r="LE45" s="68">
        <f t="shared" si="1963"/>
        <v>0</v>
      </c>
      <c r="LF45" s="48"/>
      <c r="LG45" s="49"/>
      <c r="LH45" s="49"/>
      <c r="LI45" s="49"/>
      <c r="LJ45" s="49"/>
      <c r="LK45" s="49"/>
      <c r="LL45" s="67">
        <f t="shared" si="1964"/>
        <v>0</v>
      </c>
      <c r="LM45" s="68">
        <f t="shared" si="1965"/>
        <v>0</v>
      </c>
      <c r="LN45" s="48"/>
      <c r="LO45" s="49"/>
      <c r="LP45" s="49"/>
      <c r="LQ45" s="49"/>
      <c r="LR45" s="49"/>
      <c r="LS45" s="49"/>
      <c r="LT45" s="67">
        <f t="shared" si="1966"/>
        <v>0</v>
      </c>
      <c r="LU45" s="68">
        <f t="shared" si="1967"/>
        <v>0</v>
      </c>
      <c r="LV45" s="48"/>
      <c r="LW45" s="49"/>
      <c r="LX45" s="49"/>
      <c r="LY45" s="49"/>
      <c r="LZ45" s="49"/>
      <c r="MA45" s="49"/>
      <c r="MB45" s="67">
        <f t="shared" si="1968"/>
        <v>0</v>
      </c>
      <c r="MC45" s="68">
        <f t="shared" si="1969"/>
        <v>0</v>
      </c>
      <c r="MD45" s="48"/>
      <c r="ME45" s="49"/>
      <c r="MF45" s="49"/>
      <c r="MG45" s="49"/>
      <c r="MH45" s="49"/>
      <c r="MI45" s="49"/>
      <c r="MJ45" s="67">
        <f t="shared" si="1970"/>
        <v>0</v>
      </c>
      <c r="MK45" s="68">
        <f t="shared" si="1971"/>
        <v>0</v>
      </c>
      <c r="ML45" s="48"/>
      <c r="MM45" s="49"/>
      <c r="MN45" s="49"/>
      <c r="MO45" s="49"/>
      <c r="MP45" s="49"/>
      <c r="MQ45" s="49"/>
      <c r="MR45" s="67">
        <f t="shared" si="1972"/>
        <v>0</v>
      </c>
      <c r="MS45" s="68">
        <f t="shared" si="1973"/>
        <v>0</v>
      </c>
      <c r="MT45" s="48"/>
      <c r="MU45" s="49"/>
      <c r="MV45" s="49"/>
      <c r="MW45" s="49"/>
      <c r="MX45" s="49"/>
      <c r="MY45" s="49"/>
      <c r="MZ45" s="67">
        <f t="shared" si="1974"/>
        <v>0</v>
      </c>
      <c r="NA45" s="68">
        <f t="shared" si="1975"/>
        <v>0</v>
      </c>
      <c r="NB45" s="48"/>
      <c r="NC45" s="49"/>
      <c r="ND45" s="49"/>
      <c r="NE45" s="49"/>
      <c r="NF45" s="49"/>
      <c r="NG45" s="49"/>
      <c r="NH45" s="67">
        <f t="shared" si="1976"/>
        <v>0</v>
      </c>
      <c r="NI45" s="68">
        <f t="shared" si="1977"/>
        <v>0</v>
      </c>
      <c r="NJ45" s="48">
        <v>200</v>
      </c>
      <c r="NK45" s="49"/>
      <c r="NL45" s="49"/>
      <c r="NM45" s="49"/>
      <c r="NN45" s="49"/>
      <c r="NO45" s="49"/>
      <c r="NP45" s="67">
        <f t="shared" si="1978"/>
        <v>200</v>
      </c>
      <c r="NQ45" s="68">
        <f t="shared" si="1979"/>
        <v>33.333333333333336</v>
      </c>
      <c r="NR45" s="48"/>
      <c r="NS45" s="49"/>
      <c r="NT45" s="49"/>
      <c r="NU45" s="49"/>
      <c r="NV45" s="49"/>
      <c r="NW45" s="49"/>
      <c r="NX45" s="67">
        <f t="shared" si="1980"/>
        <v>0</v>
      </c>
      <c r="NY45" s="68">
        <f t="shared" si="1981"/>
        <v>0</v>
      </c>
      <c r="NZ45" s="48"/>
      <c r="OA45" s="49"/>
      <c r="OB45" s="49"/>
      <c r="OC45" s="49"/>
      <c r="OD45" s="49"/>
      <c r="OE45" s="49"/>
      <c r="OF45" s="67">
        <f t="shared" si="1982"/>
        <v>0</v>
      </c>
      <c r="OG45" s="68">
        <f t="shared" si="1983"/>
        <v>0</v>
      </c>
      <c r="OH45" s="48"/>
      <c r="OI45" s="49"/>
      <c r="OJ45" s="49"/>
      <c r="OK45" s="49"/>
      <c r="OL45" s="49"/>
      <c r="OM45" s="49"/>
      <c r="ON45" s="67">
        <f t="shared" si="1984"/>
        <v>0</v>
      </c>
      <c r="OO45" s="68">
        <f t="shared" si="1985"/>
        <v>0</v>
      </c>
      <c r="OP45" s="48">
        <v>200</v>
      </c>
      <c r="OQ45" s="49"/>
      <c r="OR45" s="49"/>
      <c r="OS45" s="49"/>
      <c r="OT45" s="49"/>
      <c r="OU45" s="49"/>
      <c r="OV45" s="67">
        <f t="shared" si="1986"/>
        <v>200</v>
      </c>
      <c r="OW45" s="68">
        <f t="shared" si="1987"/>
        <v>33.333333333333336</v>
      </c>
      <c r="OX45" s="48"/>
      <c r="OY45" s="49"/>
      <c r="OZ45" s="49"/>
      <c r="PA45" s="49"/>
      <c r="PB45" s="49"/>
      <c r="PC45" s="49"/>
      <c r="PD45" s="67">
        <f t="shared" si="1988"/>
        <v>0</v>
      </c>
      <c r="PE45" s="68">
        <f t="shared" si="1989"/>
        <v>0</v>
      </c>
      <c r="PF45" s="48"/>
      <c r="PG45" s="49"/>
      <c r="PH45" s="49"/>
      <c r="PI45" s="49"/>
      <c r="PJ45" s="49"/>
      <c r="PK45" s="49"/>
      <c r="PL45" s="67">
        <f t="shared" si="1990"/>
        <v>0</v>
      </c>
      <c r="PM45" s="68">
        <f t="shared" si="1991"/>
        <v>0</v>
      </c>
      <c r="PN45" s="48"/>
      <c r="PO45" s="49"/>
      <c r="PP45" s="49"/>
      <c r="PQ45" s="49"/>
      <c r="PR45" s="49"/>
      <c r="PS45" s="49"/>
      <c r="PT45" s="67">
        <f t="shared" si="1992"/>
        <v>0</v>
      </c>
      <c r="PU45" s="68">
        <f t="shared" si="1993"/>
        <v>0</v>
      </c>
      <c r="PV45" s="106"/>
      <c r="PW45" s="107"/>
      <c r="PX45" s="107"/>
      <c r="PY45" s="107"/>
      <c r="PZ45" s="107"/>
      <c r="QA45" s="107"/>
      <c r="QB45" s="104">
        <f t="shared" si="1994"/>
        <v>0</v>
      </c>
      <c r="QC45" s="105">
        <f t="shared" si="1995"/>
        <v>0</v>
      </c>
      <c r="QD45" s="106"/>
      <c r="QE45" s="107"/>
      <c r="QF45" s="107"/>
      <c r="QG45" s="107"/>
      <c r="QH45" s="107"/>
      <c r="QI45" s="107"/>
      <c r="QJ45" s="104">
        <f t="shared" si="1996"/>
        <v>0</v>
      </c>
      <c r="QK45" s="105">
        <f t="shared" si="1997"/>
        <v>0</v>
      </c>
      <c r="QL45" s="106"/>
      <c r="QM45" s="107"/>
      <c r="QN45" s="107"/>
      <c r="QO45" s="107"/>
      <c r="QP45" s="107"/>
      <c r="QQ45" s="107"/>
      <c r="QR45" s="104">
        <f t="shared" si="1998"/>
        <v>0</v>
      </c>
      <c r="QS45" s="105">
        <f t="shared" si="1999"/>
        <v>0</v>
      </c>
      <c r="QT45" s="106"/>
      <c r="QU45" s="107"/>
      <c r="QV45" s="107"/>
      <c r="QW45" s="107"/>
      <c r="QX45" s="107"/>
      <c r="QY45" s="107"/>
      <c r="QZ45" s="104">
        <f t="shared" si="2000"/>
        <v>0</v>
      </c>
      <c r="RA45" s="105">
        <f t="shared" si="2001"/>
        <v>0</v>
      </c>
      <c r="RB45" s="106"/>
      <c r="RC45" s="107"/>
      <c r="RD45" s="107"/>
      <c r="RE45" s="107"/>
      <c r="RF45" s="107"/>
      <c r="RG45" s="107"/>
      <c r="RH45" s="104">
        <f t="shared" si="2002"/>
        <v>0</v>
      </c>
      <c r="RI45" s="105">
        <f t="shared" si="2003"/>
        <v>0</v>
      </c>
      <c r="RJ45" s="106"/>
      <c r="RK45" s="107"/>
      <c r="RL45" s="107"/>
      <c r="RM45" s="107"/>
      <c r="RN45" s="107"/>
      <c r="RO45" s="107"/>
      <c r="RP45" s="104">
        <f t="shared" si="2004"/>
        <v>0</v>
      </c>
      <c r="RQ45" s="105">
        <f t="shared" si="2005"/>
        <v>0</v>
      </c>
      <c r="RR45" s="106"/>
      <c r="RS45" s="107"/>
      <c r="RT45" s="107"/>
      <c r="RU45" s="107"/>
      <c r="RV45" s="107"/>
      <c r="RW45" s="107"/>
      <c r="RX45" s="104">
        <f t="shared" si="2006"/>
        <v>0</v>
      </c>
      <c r="RY45" s="105">
        <f t="shared" si="2007"/>
        <v>0</v>
      </c>
      <c r="RZ45" s="106"/>
      <c r="SA45" s="107"/>
      <c r="SB45" s="107"/>
      <c r="SC45" s="107">
        <v>237</v>
      </c>
      <c r="SD45" s="107"/>
      <c r="SE45" s="107"/>
      <c r="SF45" s="104">
        <f t="shared" si="2008"/>
        <v>237</v>
      </c>
      <c r="SG45" s="105">
        <f t="shared" si="2009"/>
        <v>39.5</v>
      </c>
      <c r="SH45" s="106"/>
      <c r="SI45" s="107"/>
      <c r="SJ45" s="107"/>
      <c r="SK45" s="107"/>
      <c r="SL45" s="107"/>
      <c r="SM45" s="107"/>
      <c r="SN45" s="104">
        <f t="shared" si="2010"/>
        <v>0</v>
      </c>
      <c r="SO45" s="105">
        <f t="shared" si="2011"/>
        <v>0</v>
      </c>
      <c r="SP45" s="106"/>
      <c r="SQ45" s="107"/>
      <c r="SR45" s="107"/>
      <c r="SS45" s="107"/>
      <c r="ST45" s="107"/>
      <c r="SU45" s="107"/>
      <c r="SV45" s="104">
        <f t="shared" si="2012"/>
        <v>0</v>
      </c>
      <c r="SW45" s="105">
        <f t="shared" si="2013"/>
        <v>0</v>
      </c>
      <c r="SX45" s="106"/>
      <c r="SY45" s="107"/>
      <c r="SZ45" s="107"/>
      <c r="TA45" s="107"/>
      <c r="TB45" s="107"/>
      <c r="TC45" s="107"/>
      <c r="TD45" s="104">
        <f t="shared" si="2014"/>
        <v>0</v>
      </c>
      <c r="TE45" s="105">
        <f t="shared" si="2015"/>
        <v>0</v>
      </c>
      <c r="TF45" s="106"/>
      <c r="TG45" s="107"/>
      <c r="TH45" s="107"/>
      <c r="TI45" s="107"/>
      <c r="TJ45" s="107"/>
      <c r="TK45" s="107"/>
      <c r="TL45" s="104">
        <f t="shared" si="2016"/>
        <v>0</v>
      </c>
      <c r="TM45" s="105">
        <f t="shared" si="2017"/>
        <v>0</v>
      </c>
      <c r="TN45" s="130"/>
      <c r="TO45" s="107"/>
      <c r="TP45" s="107"/>
      <c r="TQ45" s="107"/>
      <c r="TR45" s="107"/>
      <c r="TS45" s="107"/>
      <c r="TT45" s="104">
        <f t="shared" si="2018"/>
        <v>0</v>
      </c>
      <c r="TU45" s="105">
        <f t="shared" si="2019"/>
        <v>0</v>
      </c>
      <c r="TV45" s="106"/>
      <c r="TW45" s="107">
        <v>201</v>
      </c>
      <c r="TX45" s="107"/>
      <c r="TY45" s="107"/>
      <c r="TZ45" s="107"/>
      <c r="UA45" s="107"/>
      <c r="UB45" s="104">
        <f t="shared" si="2020"/>
        <v>201</v>
      </c>
      <c r="UC45" s="105">
        <f t="shared" si="2021"/>
        <v>33.5</v>
      </c>
      <c r="UD45" s="106"/>
      <c r="UE45" s="107"/>
      <c r="UF45" s="107"/>
      <c r="UG45" s="107"/>
      <c r="UH45" s="107"/>
      <c r="UI45" s="107"/>
      <c r="UJ45" s="104">
        <f t="shared" si="2022"/>
        <v>0</v>
      </c>
      <c r="UK45" s="105">
        <f t="shared" si="2023"/>
        <v>0</v>
      </c>
      <c r="UL45" s="106"/>
      <c r="UM45" s="107"/>
      <c r="UN45" s="107">
        <v>400</v>
      </c>
      <c r="UO45" s="107"/>
      <c r="UP45" s="107"/>
      <c r="UQ45" s="107"/>
      <c r="UR45" s="107"/>
      <c r="US45" s="104">
        <f t="shared" si="1579"/>
        <v>400</v>
      </c>
      <c r="UT45" s="105">
        <f t="shared" si="2024"/>
        <v>66.666666666666671</v>
      </c>
      <c r="UU45" s="106"/>
      <c r="UV45" s="107"/>
      <c r="UW45" s="107"/>
      <c r="UX45" s="107"/>
      <c r="UY45" s="107"/>
      <c r="UZ45" s="107"/>
      <c r="VA45" s="104">
        <f t="shared" si="2025"/>
        <v>0</v>
      </c>
      <c r="VB45" s="105">
        <f t="shared" si="2026"/>
        <v>0</v>
      </c>
      <c r="VC45" s="106"/>
      <c r="VD45" s="107">
        <v>439</v>
      </c>
      <c r="VE45" s="107"/>
      <c r="VF45" s="107"/>
      <c r="VG45" s="107"/>
      <c r="VH45" s="107"/>
      <c r="VI45" s="104">
        <f t="shared" si="2027"/>
        <v>439</v>
      </c>
      <c r="VJ45" s="105">
        <f t="shared" si="2028"/>
        <v>73.166666666666671</v>
      </c>
      <c r="VK45" s="48"/>
      <c r="VL45" s="49"/>
      <c r="VM45" s="49"/>
      <c r="VN45" s="49"/>
      <c r="VO45" s="49"/>
      <c r="VP45" s="49"/>
      <c r="VQ45" s="67">
        <f t="shared" si="2029"/>
        <v>0</v>
      </c>
      <c r="VR45" s="68">
        <f t="shared" si="2030"/>
        <v>0</v>
      </c>
      <c r="VS45" s="106"/>
      <c r="VT45" s="107">
        <v>204</v>
      </c>
      <c r="VU45" s="107"/>
      <c r="VV45" s="107"/>
      <c r="VW45" s="107"/>
      <c r="VX45" s="107"/>
      <c r="VY45" s="104">
        <f t="shared" si="2031"/>
        <v>204</v>
      </c>
      <c r="VZ45" s="105">
        <f t="shared" si="2032"/>
        <v>34</v>
      </c>
      <c r="WA45" s="63"/>
      <c r="WB45" s="64"/>
      <c r="WC45" s="64"/>
      <c r="WD45" s="64"/>
      <c r="WE45" s="64"/>
      <c r="WF45" s="64"/>
      <c r="WG45" s="67">
        <f t="shared" si="2033"/>
        <v>0</v>
      </c>
      <c r="WH45" s="68">
        <f t="shared" si="2034"/>
        <v>0</v>
      </c>
      <c r="WI45" s="106"/>
      <c r="WJ45" s="107"/>
      <c r="WK45" s="107"/>
      <c r="WL45" s="107"/>
      <c r="WM45" s="107">
        <v>399</v>
      </c>
      <c r="WN45" s="107"/>
      <c r="WO45" s="104">
        <f t="shared" si="2035"/>
        <v>399</v>
      </c>
      <c r="WP45" s="105">
        <f t="shared" si="2036"/>
        <v>66.5</v>
      </c>
      <c r="WQ45" s="48"/>
      <c r="WR45" s="49"/>
      <c r="WS45" s="49"/>
      <c r="WT45" s="49"/>
      <c r="WU45" s="49"/>
      <c r="WV45" s="49"/>
      <c r="WW45" s="49"/>
      <c r="WX45" s="67">
        <f t="shared" si="2037"/>
        <v>0</v>
      </c>
      <c r="WY45" s="68">
        <f t="shared" si="2038"/>
        <v>0</v>
      </c>
      <c r="WZ45" s="48"/>
      <c r="XA45" s="49"/>
      <c r="XB45" s="49"/>
      <c r="XC45" s="49"/>
      <c r="XD45" s="49"/>
      <c r="XE45" s="49"/>
      <c r="XF45" s="49">
        <v>200</v>
      </c>
      <c r="XG45" s="67">
        <f t="shared" si="2039"/>
        <v>200</v>
      </c>
      <c r="XH45" s="68">
        <f t="shared" si="2040"/>
        <v>33.333333333333336</v>
      </c>
      <c r="XI45" s="48"/>
      <c r="XJ45" s="49"/>
      <c r="XK45" s="49"/>
      <c r="XL45" s="49"/>
      <c r="XM45" s="49"/>
      <c r="XN45" s="49">
        <v>200</v>
      </c>
      <c r="XO45" s="49"/>
      <c r="XP45" s="67">
        <f t="shared" si="2041"/>
        <v>200</v>
      </c>
      <c r="XQ45" s="68">
        <f t="shared" si="2042"/>
        <v>33.333333333333336</v>
      </c>
      <c r="XR45" s="48"/>
      <c r="XS45" s="49"/>
      <c r="XT45" s="49"/>
      <c r="XU45" s="49"/>
      <c r="XV45" s="49"/>
      <c r="XW45" s="49"/>
      <c r="XX45" s="49">
        <v>200</v>
      </c>
      <c r="XY45" s="67">
        <f t="shared" si="2043"/>
        <v>200</v>
      </c>
      <c r="XZ45" s="68">
        <f t="shared" si="2044"/>
        <v>33.333333333333336</v>
      </c>
      <c r="YA45" s="48"/>
      <c r="YB45" s="49">
        <v>201</v>
      </c>
      <c r="YC45" s="49"/>
      <c r="YD45" s="49"/>
      <c r="YE45" s="49"/>
      <c r="YF45" s="49">
        <v>245</v>
      </c>
      <c r="YG45" s="49"/>
      <c r="YH45" s="67">
        <f t="shared" si="2045"/>
        <v>446</v>
      </c>
      <c r="YI45" s="68">
        <f t="shared" si="2046"/>
        <v>74.333333333333329</v>
      </c>
      <c r="YJ45" s="48"/>
      <c r="YK45" s="49"/>
      <c r="YL45" s="49"/>
      <c r="YM45" s="49"/>
      <c r="YN45" s="49"/>
      <c r="YO45" s="49"/>
      <c r="YP45" s="49">
        <v>200</v>
      </c>
      <c r="YQ45" s="67">
        <f t="shared" si="2047"/>
        <v>200</v>
      </c>
      <c r="YR45" s="68">
        <f t="shared" si="2048"/>
        <v>33.333333333333336</v>
      </c>
      <c r="YS45" s="48"/>
      <c r="YT45" s="49"/>
      <c r="YU45" s="49"/>
      <c r="YV45" s="49"/>
      <c r="YW45" s="49"/>
      <c r="YX45" s="49"/>
      <c r="YY45" s="67">
        <f t="shared" si="2049"/>
        <v>0</v>
      </c>
      <c r="YZ45" s="68">
        <f t="shared" si="2050"/>
        <v>0</v>
      </c>
      <c r="ZA45" s="48"/>
      <c r="ZB45" s="49"/>
      <c r="ZC45" s="49"/>
      <c r="ZD45" s="49">
        <v>409</v>
      </c>
      <c r="ZE45" s="49"/>
      <c r="ZF45" s="49"/>
      <c r="ZG45" s="67">
        <f t="shared" si="2051"/>
        <v>409</v>
      </c>
      <c r="ZH45" s="68">
        <f t="shared" si="2052"/>
        <v>68.166666666666671</v>
      </c>
      <c r="ZI45" s="48"/>
      <c r="ZJ45" s="49"/>
      <c r="ZK45" s="49"/>
      <c r="ZL45" s="49"/>
      <c r="ZM45" s="49">
        <v>243</v>
      </c>
      <c r="ZN45" s="24"/>
      <c r="ZO45" s="67">
        <f t="shared" si="2053"/>
        <v>243</v>
      </c>
      <c r="ZP45" s="68">
        <f t="shared" si="2054"/>
        <v>40.5</v>
      </c>
      <c r="ZQ45" s="48"/>
      <c r="ZR45" s="49"/>
      <c r="ZS45" s="49"/>
      <c r="ZT45" s="49"/>
      <c r="ZU45" s="49"/>
      <c r="ZV45" s="49"/>
      <c r="ZW45" s="49"/>
      <c r="ZX45" s="67">
        <f t="shared" si="2055"/>
        <v>0</v>
      </c>
      <c r="ZY45" s="70">
        <f t="shared" si="2056"/>
        <v>0</v>
      </c>
      <c r="ZZ45" s="48"/>
      <c r="AAA45" s="49"/>
      <c r="AAB45" s="49"/>
      <c r="AAC45" s="49"/>
      <c r="AAD45" s="49"/>
      <c r="AAE45" s="49"/>
      <c r="AAF45" s="49"/>
      <c r="AAG45" s="67">
        <f t="shared" si="2057"/>
        <v>0</v>
      </c>
      <c r="AAH45" s="68">
        <f t="shared" si="2058"/>
        <v>0</v>
      </c>
      <c r="AAI45" s="48"/>
      <c r="AAJ45" s="49"/>
      <c r="AAK45" s="49"/>
      <c r="AAL45" s="49"/>
      <c r="AAM45" s="49"/>
      <c r="AAN45" s="49">
        <v>434</v>
      </c>
      <c r="AAO45" s="67">
        <f t="shared" si="2059"/>
        <v>434</v>
      </c>
      <c r="AAP45" s="68">
        <f t="shared" si="2060"/>
        <v>72.333333333333329</v>
      </c>
      <c r="AAQ45" s="48"/>
      <c r="AAR45" s="49"/>
      <c r="AAS45" s="49"/>
      <c r="AAT45" s="49"/>
      <c r="AAU45" s="49"/>
      <c r="AAV45" s="49"/>
      <c r="AAW45" s="67">
        <f t="shared" si="2061"/>
        <v>0</v>
      </c>
      <c r="AAX45" s="68">
        <f t="shared" si="2062"/>
        <v>0</v>
      </c>
      <c r="AAY45" s="48"/>
      <c r="AAZ45" s="49"/>
      <c r="ABA45" s="49"/>
      <c r="ABB45" s="49"/>
      <c r="ABC45" s="49"/>
      <c r="ABD45" s="49"/>
      <c r="ABE45" s="67">
        <f t="shared" si="2063"/>
        <v>0</v>
      </c>
      <c r="ABF45" s="68">
        <f t="shared" si="2064"/>
        <v>0</v>
      </c>
      <c r="ABG45" s="48"/>
      <c r="ABH45" s="49"/>
      <c r="ABI45" s="49"/>
      <c r="ABJ45" s="49"/>
      <c r="ABK45" s="49"/>
      <c r="ABL45" s="49"/>
      <c r="ABM45" s="67">
        <f t="shared" si="2065"/>
        <v>0</v>
      </c>
      <c r="ABN45" s="68">
        <f t="shared" si="2066"/>
        <v>0</v>
      </c>
      <c r="ABO45" s="48">
        <v>202</v>
      </c>
      <c r="ABP45" s="49"/>
      <c r="ABQ45" s="49"/>
      <c r="ABR45" s="49"/>
      <c r="ABS45" s="49"/>
      <c r="ABT45" s="49">
        <v>201</v>
      </c>
      <c r="ABU45" s="67">
        <f t="shared" si="2067"/>
        <v>403</v>
      </c>
      <c r="ABV45" s="68">
        <f t="shared" si="2068"/>
        <v>67.166666666666671</v>
      </c>
      <c r="ABW45" s="48"/>
      <c r="ABX45" s="49"/>
      <c r="ABY45" s="49"/>
      <c r="ABZ45" s="49"/>
      <c r="ACA45" s="49"/>
      <c r="ACB45" s="49"/>
      <c r="ACC45" s="67">
        <f t="shared" si="2069"/>
        <v>0</v>
      </c>
      <c r="ACD45" s="68">
        <f t="shared" si="2070"/>
        <v>0</v>
      </c>
      <c r="ACE45" s="48"/>
      <c r="ACF45" s="49"/>
      <c r="ACG45" s="49"/>
      <c r="ACH45" s="49"/>
      <c r="ACI45" s="49"/>
      <c r="ACJ45" s="49"/>
      <c r="ACK45" s="67">
        <f t="shared" si="2071"/>
        <v>0</v>
      </c>
      <c r="ACL45" s="68">
        <f t="shared" si="2072"/>
        <v>0</v>
      </c>
      <c r="ACM45" s="48"/>
      <c r="ACN45" s="49"/>
      <c r="ACO45" s="49">
        <v>210</v>
      </c>
      <c r="ACP45" s="49"/>
      <c r="ACQ45" s="49"/>
      <c r="ACR45" s="49"/>
      <c r="ACS45" s="67">
        <f t="shared" si="2073"/>
        <v>210</v>
      </c>
      <c r="ACT45" s="68">
        <f t="shared" si="2074"/>
        <v>35</v>
      </c>
      <c r="ACU45" s="48"/>
      <c r="ACV45" s="49"/>
      <c r="ACW45" s="49"/>
      <c r="ACX45" s="49"/>
      <c r="ACY45" s="49"/>
      <c r="ACZ45" s="49"/>
      <c r="ADA45" s="67">
        <f t="shared" si="2075"/>
        <v>0</v>
      </c>
      <c r="ADB45" s="68">
        <f t="shared" si="2076"/>
        <v>0</v>
      </c>
      <c r="ADC45" s="48"/>
      <c r="ADD45" s="49">
        <v>200</v>
      </c>
      <c r="ADE45" s="49"/>
      <c r="ADF45" s="49"/>
      <c r="ADG45" s="49"/>
      <c r="ADH45" s="49"/>
      <c r="ADI45" s="67">
        <f t="shared" si="2077"/>
        <v>200</v>
      </c>
      <c r="ADJ45" s="68">
        <f t="shared" si="2078"/>
        <v>33.333333333333336</v>
      </c>
      <c r="ADK45" s="48"/>
      <c r="ADL45" s="49"/>
      <c r="ADM45" s="49"/>
      <c r="ADN45" s="49"/>
      <c r="ADO45" s="49"/>
      <c r="ADP45" s="49"/>
      <c r="ADQ45" s="67">
        <f t="shared" si="2079"/>
        <v>0</v>
      </c>
      <c r="ADR45" s="68">
        <f t="shared" si="2080"/>
        <v>0</v>
      </c>
      <c r="ADS45" s="48"/>
      <c r="ADT45" s="49"/>
      <c r="ADU45" s="49"/>
      <c r="ADV45" s="49"/>
      <c r="ADW45" s="49"/>
      <c r="ADX45" s="49"/>
      <c r="ADY45" s="67">
        <f t="shared" si="2081"/>
        <v>0</v>
      </c>
      <c r="ADZ45" s="68">
        <f t="shared" si="2082"/>
        <v>0</v>
      </c>
      <c r="AEA45" s="48"/>
      <c r="AEB45" s="49"/>
      <c r="AEC45" s="49">
        <v>204</v>
      </c>
      <c r="AED45" s="49"/>
      <c r="AEE45" s="49"/>
      <c r="AEF45" s="49"/>
      <c r="AEG45" s="67">
        <f t="shared" si="2083"/>
        <v>204</v>
      </c>
      <c r="AEH45" s="68">
        <f t="shared" si="2084"/>
        <v>34</v>
      </c>
      <c r="AEI45" s="48"/>
      <c r="AEJ45" s="49"/>
      <c r="AEK45" s="49"/>
      <c r="AEL45" s="49"/>
      <c r="AEM45" s="49"/>
      <c r="AEN45" s="49"/>
      <c r="AEO45" s="67">
        <f t="shared" si="2085"/>
        <v>0</v>
      </c>
      <c r="AEP45" s="68">
        <f t="shared" si="2086"/>
        <v>0</v>
      </c>
      <c r="AEQ45" s="48"/>
      <c r="AER45" s="49"/>
      <c r="AES45" s="49"/>
      <c r="AET45" s="49"/>
      <c r="AEU45" s="49"/>
      <c r="AEV45" s="49"/>
      <c r="AEW45" s="67">
        <f t="shared" si="2087"/>
        <v>0</v>
      </c>
      <c r="AEX45" s="68">
        <f t="shared" si="2088"/>
        <v>0</v>
      </c>
      <c r="AEY45" s="48">
        <v>220</v>
      </c>
      <c r="AEZ45" s="49"/>
      <c r="AFA45" s="49"/>
      <c r="AFB45" s="49"/>
      <c r="AFC45" s="49"/>
      <c r="AFD45" s="49"/>
      <c r="AFE45" s="67">
        <f t="shared" si="2089"/>
        <v>220</v>
      </c>
      <c r="AFF45" s="68">
        <f t="shared" si="2090"/>
        <v>36.666666666666664</v>
      </c>
      <c r="AFG45" s="48"/>
      <c r="AFH45" s="49"/>
      <c r="AFI45" s="49">
        <v>220</v>
      </c>
      <c r="AFJ45" s="49"/>
      <c r="AFK45" s="49"/>
      <c r="AFL45" s="49"/>
      <c r="AFM45" s="67">
        <f t="shared" si="2091"/>
        <v>220</v>
      </c>
      <c r="AFN45" s="68">
        <f t="shared" si="2092"/>
        <v>36.666666666666664</v>
      </c>
      <c r="AFO45" s="48"/>
      <c r="AFP45" s="49">
        <v>220</v>
      </c>
      <c r="AFQ45" s="49"/>
      <c r="AFR45" s="49"/>
      <c r="AFS45" s="49"/>
      <c r="AFT45" s="49"/>
      <c r="AFU45" s="67">
        <f t="shared" si="2093"/>
        <v>220</v>
      </c>
      <c r="AFV45" s="68">
        <f t="shared" si="2094"/>
        <v>36.666666666666664</v>
      </c>
      <c r="AFW45" s="48"/>
      <c r="AFX45" s="49"/>
      <c r="AFY45" s="49"/>
      <c r="AFZ45" s="49"/>
      <c r="AGA45" s="49"/>
      <c r="AGB45" s="49"/>
      <c r="AGC45" s="67">
        <f t="shared" si="2095"/>
        <v>0</v>
      </c>
      <c r="AGD45" s="68">
        <f t="shared" si="2096"/>
        <v>0</v>
      </c>
      <c r="AGE45" s="48">
        <v>220</v>
      </c>
      <c r="AGF45" s="49"/>
      <c r="AGG45" s="49"/>
      <c r="AGH45" s="49"/>
      <c r="AGI45" s="49"/>
      <c r="AGJ45" s="49"/>
      <c r="AGK45" s="67">
        <f t="shared" si="2097"/>
        <v>220</v>
      </c>
      <c r="AGL45" s="68">
        <f t="shared" si="2098"/>
        <v>36.666666666666664</v>
      </c>
      <c r="AGM45" s="48"/>
      <c r="AGN45" s="49">
        <v>220</v>
      </c>
      <c r="AGO45" s="49"/>
      <c r="AGP45" s="49"/>
      <c r="AGQ45" s="49"/>
      <c r="AGR45" s="49"/>
      <c r="AGS45" s="49"/>
      <c r="AGT45" s="67">
        <f t="shared" si="2099"/>
        <v>220</v>
      </c>
      <c r="AGU45" s="68">
        <f t="shared" si="2100"/>
        <v>36.666666666666664</v>
      </c>
      <c r="AGV45" s="48"/>
      <c r="AGW45" s="49"/>
      <c r="AGX45" s="49"/>
      <c r="AGY45" s="49"/>
      <c r="AGZ45" s="49"/>
      <c r="AHA45" s="49"/>
      <c r="AHB45" s="67">
        <f t="shared" si="2101"/>
        <v>0</v>
      </c>
      <c r="AHC45" s="68">
        <f t="shared" si="2102"/>
        <v>0</v>
      </c>
      <c r="AHD45" s="48"/>
      <c r="AHE45" s="49"/>
      <c r="AHF45" s="49"/>
      <c r="AHG45" s="49"/>
      <c r="AHH45" s="49"/>
      <c r="AHI45" s="49"/>
      <c r="AHJ45" s="67">
        <f t="shared" si="2103"/>
        <v>0</v>
      </c>
      <c r="AHK45" s="68">
        <f t="shared" si="2104"/>
        <v>0</v>
      </c>
      <c r="AHL45" s="48"/>
      <c r="AHM45" s="49"/>
      <c r="AHN45" s="49"/>
      <c r="AHO45" s="49"/>
      <c r="AHP45" s="49"/>
      <c r="AHQ45" s="49"/>
      <c r="AHR45" s="67">
        <f t="shared" si="2105"/>
        <v>0</v>
      </c>
      <c r="AHS45" s="68">
        <f t="shared" si="2106"/>
        <v>0</v>
      </c>
      <c r="AHT45" s="48"/>
      <c r="AHU45" s="49"/>
      <c r="AHV45" s="49"/>
      <c r="AHW45" s="49"/>
      <c r="AHX45" s="49"/>
      <c r="AHY45" s="49"/>
      <c r="AHZ45" s="67">
        <f t="shared" si="2107"/>
        <v>0</v>
      </c>
      <c r="AIA45" s="68">
        <f t="shared" si="2108"/>
        <v>0</v>
      </c>
      <c r="AIB45" s="48"/>
      <c r="AIC45" s="49"/>
      <c r="AID45" s="49"/>
      <c r="AIE45" s="49"/>
      <c r="AIF45" s="49"/>
      <c r="AIG45" s="49"/>
      <c r="AIH45" s="67">
        <f t="shared" si="2109"/>
        <v>0</v>
      </c>
      <c r="AII45" s="68">
        <f t="shared" si="2110"/>
        <v>0</v>
      </c>
      <c r="AIJ45" s="48"/>
      <c r="AIK45" s="49"/>
      <c r="AIL45" s="49"/>
      <c r="AIM45" s="49"/>
      <c r="AIN45" s="49"/>
      <c r="AIO45" s="49"/>
      <c r="AIP45" s="67">
        <f t="shared" si="2111"/>
        <v>0</v>
      </c>
      <c r="AIQ45" s="68">
        <f t="shared" si="2112"/>
        <v>0</v>
      </c>
      <c r="AIR45" s="48"/>
      <c r="AIS45" s="49"/>
      <c r="AIT45" s="49"/>
      <c r="AIU45" s="49"/>
      <c r="AIV45" s="49"/>
      <c r="AIW45" s="49"/>
      <c r="AIX45" s="67">
        <f t="shared" si="2113"/>
        <v>0</v>
      </c>
      <c r="AIY45" s="68">
        <f t="shared" si="2114"/>
        <v>0</v>
      </c>
      <c r="AIZ45" s="48"/>
      <c r="AJA45" s="49"/>
      <c r="AJB45" s="49"/>
      <c r="AJC45" s="49"/>
      <c r="AJD45" s="49"/>
      <c r="AJE45" s="49"/>
      <c r="AJF45" s="67">
        <f t="shared" si="2115"/>
        <v>0</v>
      </c>
      <c r="AJG45" s="68">
        <f t="shared" si="2116"/>
        <v>0</v>
      </c>
      <c r="AJH45" s="48"/>
      <c r="AJI45" s="49"/>
      <c r="AJJ45" s="49"/>
      <c r="AJK45" s="49"/>
      <c r="AJL45" s="49"/>
      <c r="AJM45" s="49"/>
      <c r="AJN45" s="42">
        <f t="shared" si="2117"/>
        <v>0</v>
      </c>
      <c r="AJO45" s="43">
        <f t="shared" si="2118"/>
        <v>0</v>
      </c>
      <c r="AJP45" s="48"/>
      <c r="AJQ45" s="49"/>
      <c r="AJR45" s="49"/>
      <c r="AJS45" s="49"/>
      <c r="AJT45" s="49"/>
      <c r="AJU45" s="49"/>
      <c r="AJV45" s="42">
        <f t="shared" si="2119"/>
        <v>0</v>
      </c>
      <c r="AJW45" s="43">
        <f t="shared" si="2120"/>
        <v>0</v>
      </c>
      <c r="AJX45" s="48"/>
      <c r="AJY45" s="49"/>
      <c r="AJZ45" s="49"/>
      <c r="AKA45" s="49"/>
      <c r="AKB45" s="49"/>
      <c r="AKC45" s="49"/>
      <c r="AKD45" s="67">
        <f t="shared" si="2121"/>
        <v>0</v>
      </c>
      <c r="AKE45" s="68">
        <f t="shared" si="2122"/>
        <v>0</v>
      </c>
      <c r="AKF45" s="48"/>
      <c r="AKG45" s="49"/>
      <c r="AKH45" s="49"/>
      <c r="AKI45" s="49"/>
      <c r="AKJ45" s="49"/>
      <c r="AKK45" s="49"/>
      <c r="AKL45" s="67">
        <f t="shared" si="2123"/>
        <v>0</v>
      </c>
      <c r="AKM45" s="184">
        <f t="shared" si="2124"/>
        <v>0</v>
      </c>
      <c r="AKN45" s="195"/>
      <c r="AKO45" s="49"/>
      <c r="AKP45" s="49"/>
      <c r="AKQ45" s="49"/>
      <c r="AKR45" s="49"/>
      <c r="AKS45" s="49"/>
      <c r="AKT45" s="67">
        <f t="shared" si="2125"/>
        <v>0</v>
      </c>
      <c r="AKU45" s="184">
        <f t="shared" si="2126"/>
        <v>0</v>
      </c>
      <c r="AKV45" s="48"/>
      <c r="AKW45" s="49"/>
      <c r="AKX45" s="49"/>
      <c r="AKY45" s="49"/>
      <c r="AKZ45" s="49"/>
      <c r="ALA45" s="49"/>
      <c r="ALB45" s="67">
        <f t="shared" si="2127"/>
        <v>0</v>
      </c>
      <c r="ALC45" s="68">
        <f t="shared" si="2128"/>
        <v>0</v>
      </c>
      <c r="ALD45" s="48"/>
      <c r="ALE45" s="49"/>
      <c r="ALF45" s="49"/>
      <c r="ALG45" s="49"/>
      <c r="ALH45" s="49"/>
      <c r="ALI45" s="49"/>
      <c r="ALJ45" s="67">
        <f t="shared" si="2129"/>
        <v>0</v>
      </c>
      <c r="ALK45" s="68">
        <f t="shared" si="2130"/>
        <v>0</v>
      </c>
      <c r="ALL45" s="48"/>
      <c r="ALM45" s="49"/>
      <c r="ALN45" s="49"/>
      <c r="ALO45" s="49"/>
      <c r="ALP45" s="49"/>
      <c r="ALQ45" s="49"/>
      <c r="ALR45" s="67">
        <f t="shared" si="2131"/>
        <v>0</v>
      </c>
      <c r="ALS45" s="68">
        <f t="shared" si="2132"/>
        <v>0</v>
      </c>
      <c r="ALT45" s="48"/>
      <c r="ALU45" s="49"/>
      <c r="ALV45" s="49"/>
      <c r="ALW45" s="49"/>
      <c r="ALX45" s="49"/>
      <c r="ALY45" s="49"/>
      <c r="ALZ45" s="67">
        <f t="shared" si="2133"/>
        <v>0</v>
      </c>
      <c r="AMA45" s="68">
        <f t="shared" si="2134"/>
        <v>0</v>
      </c>
      <c r="AMB45" s="48"/>
      <c r="AMC45" s="49"/>
      <c r="AMD45" s="49"/>
      <c r="AME45" s="49"/>
      <c r="AMF45" s="49"/>
      <c r="AMG45" s="49"/>
      <c r="AMH45" s="67">
        <f t="shared" si="2135"/>
        <v>0</v>
      </c>
      <c r="AMI45" s="68">
        <f t="shared" si="2136"/>
        <v>0</v>
      </c>
      <c r="AMJ45" s="48"/>
      <c r="AMK45" s="49"/>
      <c r="AML45" s="49"/>
      <c r="AMM45" s="49"/>
      <c r="AMN45" s="49"/>
      <c r="AMO45" s="49"/>
      <c r="AMP45" s="67">
        <f t="shared" si="2137"/>
        <v>0</v>
      </c>
      <c r="AMQ45" s="68">
        <f t="shared" si="2138"/>
        <v>0</v>
      </c>
      <c r="AMR45" s="48"/>
      <c r="AMS45" s="49"/>
      <c r="AMT45" s="49"/>
      <c r="AMU45" s="49"/>
      <c r="AMV45" s="49"/>
      <c r="AMW45" s="49"/>
      <c r="AMX45" s="67">
        <f t="shared" si="2139"/>
        <v>0</v>
      </c>
      <c r="AMY45" s="68">
        <f t="shared" si="2140"/>
        <v>0</v>
      </c>
      <c r="AMZ45" s="48"/>
      <c r="ANA45" s="49"/>
      <c r="ANB45" s="49"/>
      <c r="ANC45" s="49"/>
      <c r="AND45" s="49"/>
      <c r="ANE45" s="49"/>
      <c r="ANF45" s="67">
        <f t="shared" si="2141"/>
        <v>0</v>
      </c>
      <c r="ANG45" s="68">
        <f t="shared" si="2142"/>
        <v>0</v>
      </c>
      <c r="ANH45" s="48"/>
      <c r="ANI45" s="49"/>
      <c r="ANJ45" s="49"/>
      <c r="ANK45" s="49"/>
      <c r="ANL45" s="49"/>
      <c r="ANM45" s="49"/>
      <c r="ANN45" s="67">
        <f t="shared" si="2143"/>
        <v>0</v>
      </c>
      <c r="ANO45" s="68">
        <f t="shared" si="2144"/>
        <v>0</v>
      </c>
      <c r="ANP45" s="48"/>
      <c r="ANQ45" s="49"/>
      <c r="ANR45" s="49"/>
      <c r="ANS45" s="49"/>
      <c r="ANT45" s="49"/>
      <c r="ANU45" s="49"/>
      <c r="ANV45" s="67">
        <f t="shared" si="2145"/>
        <v>0</v>
      </c>
      <c r="ANW45" s="68">
        <f t="shared" si="2146"/>
        <v>0</v>
      </c>
      <c r="ANX45" s="82"/>
      <c r="ANY45" s="83"/>
      <c r="ANZ45" s="83"/>
      <c r="AOA45" s="83"/>
      <c r="AOB45" s="83"/>
      <c r="AOC45" s="83"/>
      <c r="AOD45" s="67">
        <f t="shared" si="2147"/>
        <v>0</v>
      </c>
      <c r="AOE45" s="68">
        <f t="shared" si="2148"/>
        <v>0</v>
      </c>
      <c r="AOF45" s="48"/>
      <c r="AOG45" s="49"/>
      <c r="AOH45" s="49"/>
      <c r="AOI45" s="49"/>
      <c r="AOJ45" s="49"/>
      <c r="AOK45" s="49"/>
      <c r="AOL45" s="67">
        <f t="shared" si="2149"/>
        <v>0</v>
      </c>
      <c r="AOM45" s="68">
        <f t="shared" si="2150"/>
        <v>0</v>
      </c>
      <c r="AON45" s="48"/>
      <c r="AOO45" s="49"/>
      <c r="AOP45" s="49"/>
      <c r="AOQ45" s="49"/>
      <c r="AOR45" s="49"/>
      <c r="AOS45" s="49"/>
      <c r="AOT45" s="67">
        <f t="shared" si="2151"/>
        <v>0</v>
      </c>
      <c r="AOU45" s="68">
        <f t="shared" si="2152"/>
        <v>0</v>
      </c>
      <c r="AOV45" s="48"/>
      <c r="AOW45" s="49"/>
      <c r="AOX45" s="49"/>
      <c r="AOY45" s="49"/>
      <c r="AOZ45" s="49"/>
      <c r="APA45" s="49"/>
      <c r="APB45" s="67">
        <f t="shared" si="2153"/>
        <v>0</v>
      </c>
      <c r="APC45" s="68">
        <f t="shared" si="2154"/>
        <v>0</v>
      </c>
      <c r="APD45" s="48"/>
      <c r="APE45" s="49"/>
      <c r="APF45" s="49"/>
      <c r="APG45" s="49"/>
      <c r="APH45" s="49"/>
      <c r="API45" s="49"/>
      <c r="APJ45" s="67">
        <f t="shared" si="2155"/>
        <v>0</v>
      </c>
      <c r="APK45" s="68">
        <f t="shared" si="2156"/>
        <v>0</v>
      </c>
      <c r="APL45" s="48"/>
      <c r="APM45" s="49"/>
      <c r="APN45" s="49"/>
      <c r="APO45" s="49"/>
      <c r="APP45" s="49"/>
      <c r="APQ45" s="49"/>
      <c r="APR45" s="67">
        <f t="shared" si="2157"/>
        <v>0</v>
      </c>
      <c r="APS45" s="68">
        <f t="shared" si="2158"/>
        <v>0</v>
      </c>
      <c r="APT45" s="48"/>
      <c r="APU45" s="49"/>
      <c r="APV45" s="49"/>
      <c r="APW45" s="49"/>
      <c r="APX45" s="49"/>
      <c r="APY45" s="49"/>
      <c r="APZ45" s="67">
        <f t="shared" si="2159"/>
        <v>0</v>
      </c>
      <c r="AQA45" s="68">
        <f t="shared" si="2160"/>
        <v>0</v>
      </c>
      <c r="AQB45" s="48"/>
      <c r="AQC45" s="49"/>
      <c r="AQD45" s="49"/>
      <c r="AQE45" s="49"/>
      <c r="AQF45" s="49"/>
      <c r="AQG45" s="49"/>
      <c r="AQH45" s="67">
        <f t="shared" si="2161"/>
        <v>0</v>
      </c>
      <c r="AQI45" s="68">
        <f t="shared" si="2162"/>
        <v>0</v>
      </c>
      <c r="AQJ45" s="48">
        <v>220</v>
      </c>
      <c r="AQK45" s="49"/>
      <c r="AQL45" s="49"/>
      <c r="AQM45" s="49"/>
      <c r="AQN45" s="49"/>
      <c r="AQO45" s="49"/>
      <c r="AQP45" s="67">
        <f t="shared" si="2163"/>
        <v>220</v>
      </c>
      <c r="AQQ45" s="68">
        <f t="shared" si="2164"/>
        <v>36.666666666666664</v>
      </c>
      <c r="AQR45" s="48"/>
      <c r="AQS45" s="49"/>
      <c r="AQT45" s="49"/>
      <c r="AQU45" s="49"/>
      <c r="AQV45" s="49"/>
      <c r="AQW45" s="49"/>
      <c r="AQX45" s="67">
        <f t="shared" si="2165"/>
        <v>0</v>
      </c>
      <c r="AQY45" s="68">
        <f t="shared" si="2166"/>
        <v>0</v>
      </c>
      <c r="AQZ45" s="48"/>
      <c r="ARA45" s="49"/>
      <c r="ARB45" s="49"/>
      <c r="ARC45" s="49"/>
      <c r="ARD45" s="49"/>
      <c r="ARE45" s="49"/>
      <c r="ARF45" s="67">
        <f t="shared" si="2167"/>
        <v>0</v>
      </c>
      <c r="ARG45" s="68">
        <f t="shared" si="2168"/>
        <v>0</v>
      </c>
      <c r="ARH45" s="48"/>
      <c r="ARI45" s="49"/>
      <c r="ARJ45" s="49"/>
      <c r="ARK45" s="49"/>
      <c r="ARL45" s="49"/>
      <c r="ARM45" s="49"/>
      <c r="ARN45" s="67">
        <f t="shared" si="2169"/>
        <v>0</v>
      </c>
      <c r="ARO45" s="68">
        <f t="shared" si="2170"/>
        <v>0</v>
      </c>
      <c r="ARP45" s="48"/>
      <c r="ARQ45" s="49"/>
      <c r="ARR45" s="49"/>
      <c r="ARS45" s="49"/>
      <c r="ART45" s="49"/>
      <c r="ARU45" s="49"/>
      <c r="ARV45" s="67">
        <f t="shared" si="2171"/>
        <v>0</v>
      </c>
      <c r="ARW45" s="68">
        <f t="shared" si="2172"/>
        <v>0</v>
      </c>
      <c r="ARX45" s="48"/>
      <c r="ARY45" s="49"/>
      <c r="ARZ45" s="49"/>
      <c r="ASA45" s="49"/>
      <c r="ASB45" s="49"/>
      <c r="ASC45" s="49"/>
      <c r="ASD45" s="67">
        <f t="shared" si="2173"/>
        <v>0</v>
      </c>
      <c r="ASE45" s="68">
        <f t="shared" si="2174"/>
        <v>0</v>
      </c>
      <c r="ASF45" s="48"/>
      <c r="ASG45" s="49"/>
      <c r="ASH45" s="49"/>
      <c r="ASI45" s="49"/>
      <c r="ASJ45" s="49"/>
      <c r="ASK45" s="49"/>
      <c r="ASL45" s="67">
        <f t="shared" si="2175"/>
        <v>0</v>
      </c>
      <c r="ASM45" s="68">
        <f t="shared" si="2176"/>
        <v>0</v>
      </c>
      <c r="ASN45" s="48"/>
      <c r="ASO45" s="49"/>
      <c r="ASP45" s="49"/>
      <c r="ASQ45" s="49"/>
      <c r="ASR45" s="49"/>
      <c r="ASS45" s="49"/>
      <c r="AST45" s="67">
        <f t="shared" si="2177"/>
        <v>0</v>
      </c>
      <c r="ASU45" s="68">
        <f t="shared" si="2178"/>
        <v>0</v>
      </c>
      <c r="ASV45" s="48"/>
      <c r="ASW45" s="49"/>
      <c r="ASX45" s="49"/>
      <c r="ASY45" s="49"/>
      <c r="ASZ45" s="49"/>
      <c r="ATA45" s="49"/>
      <c r="ATB45" s="67">
        <f t="shared" si="2179"/>
        <v>0</v>
      </c>
      <c r="ATC45" s="68">
        <f t="shared" si="2180"/>
        <v>0</v>
      </c>
      <c r="ATD45" s="48"/>
      <c r="ATE45" s="49"/>
      <c r="ATF45" s="49"/>
      <c r="ATG45" s="49"/>
      <c r="ATH45" s="49"/>
      <c r="ATI45" s="49"/>
      <c r="ATJ45" s="67">
        <f t="shared" si="2181"/>
        <v>0</v>
      </c>
      <c r="ATK45" s="68">
        <f t="shared" si="2182"/>
        <v>0</v>
      </c>
      <c r="ATL45" s="48"/>
      <c r="ATM45" s="49"/>
      <c r="ATN45" s="49"/>
      <c r="ATO45" s="49"/>
      <c r="ATP45" s="49"/>
      <c r="ATQ45" s="49"/>
      <c r="ATR45" s="67">
        <f t="shared" si="2183"/>
        <v>0</v>
      </c>
      <c r="ATS45" s="68">
        <f t="shared" si="2184"/>
        <v>0</v>
      </c>
      <c r="ATT45" s="48"/>
      <c r="ATU45" s="49"/>
      <c r="ATV45" s="49"/>
      <c r="ATW45" s="49"/>
      <c r="ATX45" s="49"/>
      <c r="ATY45" s="49"/>
      <c r="ATZ45" s="67">
        <f t="shared" si="2185"/>
        <v>0</v>
      </c>
      <c r="AUA45" s="68">
        <f t="shared" si="2186"/>
        <v>0</v>
      </c>
      <c r="AUB45" s="48"/>
      <c r="AUC45" s="49"/>
      <c r="AUD45" s="49"/>
      <c r="AUE45" s="49"/>
      <c r="AUF45" s="49"/>
      <c r="AUG45" s="49"/>
      <c r="AUH45" s="67">
        <f t="shared" si="2187"/>
        <v>0</v>
      </c>
      <c r="AUI45" s="68">
        <f t="shared" si="2188"/>
        <v>0</v>
      </c>
      <c r="AUJ45" s="48"/>
      <c r="AUK45" s="49"/>
      <c r="AUL45" s="49"/>
      <c r="AUM45" s="49"/>
      <c r="AUN45" s="49"/>
      <c r="AUO45" s="49"/>
      <c r="AUP45" s="67">
        <f t="shared" si="2189"/>
        <v>0</v>
      </c>
      <c r="AUQ45" s="68">
        <f t="shared" si="2190"/>
        <v>0</v>
      </c>
      <c r="AUR45" s="48"/>
      <c r="AUS45" s="49"/>
      <c r="AUT45" s="49"/>
      <c r="AUU45" s="49"/>
      <c r="AUV45" s="49"/>
      <c r="AUW45" s="49"/>
      <c r="AUX45" s="67">
        <f t="shared" si="2191"/>
        <v>0</v>
      </c>
      <c r="AUY45" s="68">
        <f t="shared" si="2192"/>
        <v>0</v>
      </c>
      <c r="AUZ45" s="48"/>
      <c r="AVA45" s="49"/>
      <c r="AVB45" s="49"/>
      <c r="AVC45" s="49"/>
      <c r="AVD45" s="49"/>
      <c r="AVE45" s="49"/>
      <c r="AVF45" s="67">
        <f t="shared" si="2193"/>
        <v>0</v>
      </c>
      <c r="AVG45" s="68">
        <f t="shared" si="2194"/>
        <v>0</v>
      </c>
      <c r="AVH45" s="48"/>
      <c r="AVI45" s="49"/>
      <c r="AVJ45" s="49"/>
      <c r="AVK45" s="49"/>
      <c r="AVL45" s="49"/>
      <c r="AVM45" s="49"/>
      <c r="AVN45" s="67">
        <f t="shared" si="2195"/>
        <v>0</v>
      </c>
      <c r="AVO45" s="68">
        <f t="shared" si="2196"/>
        <v>0</v>
      </c>
      <c r="AVP45" s="48"/>
      <c r="AVQ45" s="49"/>
      <c r="AVR45" s="49"/>
      <c r="AVS45" s="49"/>
      <c r="AVT45" s="49"/>
      <c r="AVU45" s="49"/>
      <c r="AVV45" s="67">
        <f t="shared" si="2197"/>
        <v>0</v>
      </c>
      <c r="AVW45" s="68">
        <f t="shared" si="2198"/>
        <v>0</v>
      </c>
      <c r="AVX45" s="48"/>
      <c r="AVY45" s="49"/>
      <c r="AVZ45" s="49"/>
      <c r="AWA45" s="49"/>
      <c r="AWB45" s="49"/>
      <c r="AWC45" s="49"/>
      <c r="AWD45" s="67">
        <f t="shared" si="2199"/>
        <v>0</v>
      </c>
      <c r="AWE45" s="68">
        <f t="shared" si="2200"/>
        <v>0</v>
      </c>
      <c r="AWF45" s="48"/>
      <c r="AWG45" s="49"/>
      <c r="AWH45" s="49"/>
      <c r="AWI45" s="49"/>
      <c r="AWJ45" s="49"/>
      <c r="AWK45" s="49"/>
      <c r="AWL45" s="67">
        <f t="shared" si="2201"/>
        <v>0</v>
      </c>
      <c r="AWM45" s="184">
        <f t="shared" si="2202"/>
        <v>0</v>
      </c>
      <c r="AWN45" s="48">
        <v>220</v>
      </c>
      <c r="AWO45" s="49"/>
      <c r="AWP45" s="49"/>
      <c r="AWQ45" s="49"/>
      <c r="AWR45" s="49"/>
      <c r="AWS45" s="49"/>
      <c r="AWT45" s="42">
        <f t="shared" si="2203"/>
        <v>220</v>
      </c>
      <c r="AWU45" s="43">
        <f t="shared" si="2204"/>
        <v>36.666666666666664</v>
      </c>
      <c r="AWV45" s="48"/>
      <c r="AWW45" s="49"/>
      <c r="AWX45" s="49"/>
      <c r="AWY45" s="49"/>
      <c r="AWZ45" s="49"/>
      <c r="AXA45" s="49"/>
      <c r="AXB45" s="42">
        <f t="shared" si="2205"/>
        <v>0</v>
      </c>
      <c r="AXC45" s="43">
        <f t="shared" si="2206"/>
        <v>0</v>
      </c>
      <c r="AXD45" s="48"/>
      <c r="AXE45" s="49"/>
      <c r="AXF45" s="49"/>
      <c r="AXG45" s="49">
        <v>220</v>
      </c>
      <c r="AXH45" s="49"/>
      <c r="AXI45" s="49"/>
      <c r="AXJ45" s="42">
        <f t="shared" si="2207"/>
        <v>220</v>
      </c>
      <c r="AXK45" s="43">
        <f t="shared" si="2208"/>
        <v>36.666666666666664</v>
      </c>
      <c r="AXL45" s="48">
        <v>220</v>
      </c>
      <c r="AXM45" s="49"/>
      <c r="AXN45" s="49"/>
      <c r="AXO45" s="49"/>
      <c r="AXP45" s="49"/>
      <c r="AXQ45" s="49">
        <v>83</v>
      </c>
      <c r="AXR45" s="42">
        <f t="shared" si="2209"/>
        <v>303</v>
      </c>
      <c r="AXS45" s="43">
        <f t="shared" si="2210"/>
        <v>50.5</v>
      </c>
      <c r="AXT45" s="48"/>
      <c r="AXU45" s="49">
        <v>137</v>
      </c>
      <c r="AXV45" s="49"/>
      <c r="AXW45" s="49"/>
      <c r="AXX45" s="49"/>
      <c r="AXY45" s="49"/>
      <c r="AXZ45" s="42">
        <f t="shared" si="2211"/>
        <v>137</v>
      </c>
      <c r="AYA45" s="43">
        <f t="shared" si="2212"/>
        <v>22.833333333333332</v>
      </c>
      <c r="AYB45" s="48"/>
      <c r="AYC45" s="49"/>
      <c r="AYD45" s="49"/>
      <c r="AYE45" s="49"/>
      <c r="AYF45" s="49"/>
      <c r="AYG45" s="49"/>
      <c r="AYH45" s="42">
        <f t="shared" si="2213"/>
        <v>0</v>
      </c>
      <c r="AYI45" s="43">
        <f t="shared" si="2214"/>
        <v>0</v>
      </c>
      <c r="AYJ45" s="48">
        <v>220</v>
      </c>
      <c r="AYK45" s="49"/>
      <c r="AYL45" s="49"/>
      <c r="AYM45" s="49"/>
      <c r="AYN45" s="49"/>
      <c r="AYO45" s="49"/>
      <c r="AYP45" s="42">
        <f t="shared" si="2215"/>
        <v>220</v>
      </c>
      <c r="AYQ45" s="43">
        <f t="shared" si="2216"/>
        <v>36.666666666666664</v>
      </c>
      <c r="AYR45" s="48"/>
      <c r="AYS45" s="49"/>
      <c r="AYT45" s="49"/>
      <c r="AYU45" s="49"/>
      <c r="AYV45" s="49"/>
      <c r="AYW45" s="49"/>
      <c r="AYX45" s="42">
        <f t="shared" si="2217"/>
        <v>0</v>
      </c>
      <c r="AYY45" s="43">
        <f t="shared" si="2218"/>
        <v>0</v>
      </c>
      <c r="AYZ45" s="48"/>
      <c r="AZA45" s="49"/>
      <c r="AZB45" s="49"/>
      <c r="AZC45" s="49"/>
      <c r="AZD45" s="49"/>
      <c r="AZE45" s="49"/>
      <c r="AZF45" s="42">
        <f t="shared" si="2219"/>
        <v>0</v>
      </c>
      <c r="AZG45" s="43">
        <f t="shared" si="2220"/>
        <v>0</v>
      </c>
      <c r="AZH45" s="48"/>
      <c r="AZI45" s="49"/>
      <c r="AZJ45" s="49"/>
      <c r="AZK45" s="49"/>
      <c r="AZL45" s="49"/>
      <c r="AZM45" s="49"/>
      <c r="AZN45" s="42">
        <f t="shared" si="2221"/>
        <v>0</v>
      </c>
      <c r="AZO45" s="43">
        <f t="shared" si="2222"/>
        <v>0</v>
      </c>
      <c r="AZP45" s="48"/>
      <c r="AZQ45" s="49"/>
      <c r="AZR45" s="49"/>
      <c r="AZS45" s="49"/>
      <c r="AZT45" s="49"/>
      <c r="AZU45" s="49"/>
      <c r="AZV45" s="42">
        <f t="shared" si="2223"/>
        <v>0</v>
      </c>
      <c r="AZW45" s="43">
        <f t="shared" si="2224"/>
        <v>0</v>
      </c>
      <c r="AZX45" s="82"/>
      <c r="AZY45" s="83"/>
      <c r="AZZ45" s="83"/>
      <c r="BAA45" s="83"/>
      <c r="BAB45" s="83"/>
      <c r="BAC45" s="83"/>
      <c r="BAD45" s="42">
        <f t="shared" si="2225"/>
        <v>0</v>
      </c>
      <c r="BAE45" s="43">
        <f t="shared" si="2226"/>
        <v>0</v>
      </c>
      <c r="BAF45" s="48"/>
      <c r="BAG45" s="49"/>
      <c r="BAH45" s="49"/>
      <c r="BAI45" s="49"/>
      <c r="BAJ45" s="49"/>
      <c r="BAK45" s="49"/>
      <c r="BAL45" s="42">
        <f t="shared" si="2227"/>
        <v>0</v>
      </c>
      <c r="BAM45" s="43">
        <f t="shared" si="2228"/>
        <v>0</v>
      </c>
      <c r="BAN45" s="48"/>
      <c r="BAO45" s="49"/>
      <c r="BAP45" s="49"/>
      <c r="BAQ45" s="49"/>
      <c r="BAR45" s="49"/>
      <c r="BAS45" s="49"/>
      <c r="BAT45" s="42">
        <f t="shared" si="2229"/>
        <v>0</v>
      </c>
      <c r="BAU45" s="43">
        <f t="shared" si="2230"/>
        <v>0</v>
      </c>
      <c r="BAV45" s="48"/>
      <c r="BAW45" s="49"/>
      <c r="BAX45" s="49"/>
      <c r="BAY45" s="49"/>
      <c r="BAZ45" s="49"/>
      <c r="BBA45" s="49"/>
      <c r="BBB45" s="42">
        <f t="shared" si="2231"/>
        <v>0</v>
      </c>
      <c r="BBC45" s="43">
        <f t="shared" si="2232"/>
        <v>0</v>
      </c>
      <c r="BBD45" s="48"/>
      <c r="BBE45" s="49"/>
      <c r="BBF45" s="49"/>
      <c r="BBG45" s="49"/>
      <c r="BBH45" s="49"/>
      <c r="BBI45" s="49"/>
      <c r="BBJ45" s="42">
        <f t="shared" si="2233"/>
        <v>0</v>
      </c>
      <c r="BBK45" s="43">
        <f t="shared" si="2234"/>
        <v>0</v>
      </c>
      <c r="BBL45" s="48"/>
      <c r="BBM45" s="49">
        <v>342</v>
      </c>
      <c r="BBN45" s="49">
        <v>1003</v>
      </c>
      <c r="BBO45" s="49"/>
      <c r="BBP45" s="49"/>
      <c r="BBQ45" s="49"/>
      <c r="BBR45" s="42">
        <f t="shared" si="2235"/>
        <v>1345</v>
      </c>
      <c r="BBS45" s="43">
        <f t="shared" si="2236"/>
        <v>224.16666666666666</v>
      </c>
      <c r="BBT45" s="48"/>
      <c r="BBU45" s="49"/>
      <c r="BBV45" s="49">
        <v>110</v>
      </c>
      <c r="BBW45" s="49"/>
      <c r="BBX45" s="49"/>
      <c r="BBY45" s="49"/>
      <c r="BBZ45" s="42">
        <f t="shared" si="2237"/>
        <v>110</v>
      </c>
      <c r="BCA45" s="43">
        <f t="shared" si="2238"/>
        <v>18.333333333333332</v>
      </c>
      <c r="BCB45" s="48"/>
      <c r="BCC45" s="49"/>
      <c r="BCD45" s="49"/>
      <c r="BCE45" s="49"/>
      <c r="BCF45" s="49"/>
      <c r="BCG45" s="49"/>
      <c r="BCH45" s="42">
        <f t="shared" si="2239"/>
        <v>0</v>
      </c>
      <c r="BCI45" s="43">
        <f t="shared" si="2240"/>
        <v>0</v>
      </c>
      <c r="BCJ45" s="48"/>
      <c r="BCK45" s="49">
        <v>220</v>
      </c>
      <c r="BCL45" s="49"/>
      <c r="BCM45" s="49"/>
      <c r="BCN45" s="49"/>
      <c r="BCO45" s="49"/>
      <c r="BCP45" s="42">
        <f t="shared" si="2241"/>
        <v>220</v>
      </c>
      <c r="BCQ45" s="43">
        <f t="shared" si="2242"/>
        <v>36.666666666666664</v>
      </c>
      <c r="BCR45" s="48"/>
      <c r="BCS45" s="49"/>
      <c r="BCT45" s="49"/>
      <c r="BCU45" s="49"/>
      <c r="BCV45" s="49"/>
      <c r="BCW45" s="49">
        <v>220</v>
      </c>
      <c r="BCX45" s="42">
        <f t="shared" si="2243"/>
        <v>220</v>
      </c>
      <c r="BCY45" s="43">
        <f t="shared" si="2244"/>
        <v>36.666666666666664</v>
      </c>
      <c r="BCZ45" s="48"/>
      <c r="BDA45" s="49">
        <v>220</v>
      </c>
      <c r="BDB45" s="49"/>
      <c r="BDC45" s="49"/>
      <c r="BDD45" s="49"/>
      <c r="BDE45" s="49"/>
      <c r="BDF45" s="42">
        <f t="shared" si="2245"/>
        <v>220</v>
      </c>
      <c r="BDG45" s="43">
        <f t="shared" si="2246"/>
        <v>36.666666666666664</v>
      </c>
      <c r="BDH45" s="48"/>
      <c r="BDI45" s="49"/>
      <c r="BDJ45" s="49"/>
      <c r="BDK45" s="49"/>
      <c r="BDL45" s="49"/>
      <c r="BDM45" s="49"/>
      <c r="BDN45" s="42">
        <f t="shared" si="2247"/>
        <v>0</v>
      </c>
      <c r="BDO45" s="43">
        <f t="shared" si="2248"/>
        <v>0</v>
      </c>
      <c r="BDP45" s="48">
        <v>110</v>
      </c>
      <c r="BDQ45" s="49"/>
      <c r="BDR45" s="49"/>
      <c r="BDS45" s="49"/>
      <c r="BDT45" s="49"/>
      <c r="BDU45" s="49"/>
      <c r="BDV45" s="42">
        <f t="shared" si="2249"/>
        <v>110</v>
      </c>
      <c r="BDW45" s="43">
        <f t="shared" si="2250"/>
        <v>18.333333333333332</v>
      </c>
      <c r="BDX45" s="48">
        <v>220</v>
      </c>
      <c r="BDY45" s="49"/>
      <c r="BDZ45" s="49"/>
      <c r="BEA45" s="49"/>
      <c r="BEB45" s="49"/>
      <c r="BEC45" s="49"/>
      <c r="BED45" s="42">
        <f t="shared" si="2251"/>
        <v>220</v>
      </c>
      <c r="BEE45" s="43">
        <f t="shared" si="2252"/>
        <v>36.666666666666664</v>
      </c>
      <c r="BEF45" s="48"/>
      <c r="BEG45" s="49"/>
      <c r="BEH45" s="49"/>
      <c r="BEI45" s="49"/>
      <c r="BEJ45" s="49"/>
      <c r="BEK45" s="49"/>
      <c r="BEL45" s="42">
        <f t="shared" si="2253"/>
        <v>0</v>
      </c>
      <c r="BEM45" s="43">
        <f t="shared" si="2254"/>
        <v>0</v>
      </c>
      <c r="BEN45" s="48"/>
      <c r="BEO45" s="49"/>
      <c r="BEP45" s="49"/>
      <c r="BEQ45" s="49"/>
      <c r="BER45" s="49"/>
      <c r="BES45" s="49"/>
      <c r="BET45" s="42">
        <f t="shared" si="2255"/>
        <v>0</v>
      </c>
      <c r="BEU45" s="43">
        <f t="shared" si="2256"/>
        <v>0</v>
      </c>
      <c r="BEV45" s="82"/>
      <c r="BEW45" s="83"/>
      <c r="BEX45" s="83"/>
      <c r="BEY45" s="83"/>
      <c r="BEZ45" s="83">
        <v>220</v>
      </c>
      <c r="BFA45" s="83"/>
      <c r="BFB45" s="42">
        <f t="shared" si="2257"/>
        <v>220</v>
      </c>
      <c r="BFC45" s="43">
        <f t="shared" si="2258"/>
        <v>36.666666666666664</v>
      </c>
      <c r="BFD45" s="48"/>
      <c r="BFE45" s="49"/>
      <c r="BFF45" s="49"/>
      <c r="BFG45" s="49"/>
      <c r="BFH45" s="49"/>
      <c r="BFI45" s="49"/>
      <c r="BFJ45" s="42">
        <f t="shared" si="2259"/>
        <v>0</v>
      </c>
      <c r="BFK45" s="43">
        <f t="shared" si="2260"/>
        <v>0</v>
      </c>
      <c r="BFL45" s="48"/>
      <c r="BFM45" s="49"/>
      <c r="BFN45" s="49"/>
      <c r="BFO45" s="49"/>
      <c r="BFP45" s="49"/>
      <c r="BFQ45" s="49"/>
      <c r="BFR45" s="42">
        <f t="shared" si="2261"/>
        <v>0</v>
      </c>
      <c r="BFS45" s="43">
        <f t="shared" si="2262"/>
        <v>0</v>
      </c>
      <c r="BFT45" s="48"/>
      <c r="BFU45" s="49"/>
      <c r="BFV45" s="49">
        <v>110</v>
      </c>
      <c r="BFW45" s="49"/>
      <c r="BFX45" s="49"/>
      <c r="BFY45" s="49"/>
      <c r="BFZ45" s="42">
        <f t="shared" si="2263"/>
        <v>110</v>
      </c>
      <c r="BGA45" s="43">
        <f t="shared" si="2264"/>
        <v>18.333333333333332</v>
      </c>
      <c r="BGB45" s="48"/>
      <c r="BGC45" s="49"/>
      <c r="BGD45" s="49"/>
      <c r="BGE45" s="49"/>
      <c r="BGF45" s="49"/>
      <c r="BGG45" s="49">
        <v>222</v>
      </c>
      <c r="BGH45" s="42">
        <f t="shared" si="2265"/>
        <v>222</v>
      </c>
      <c r="BGI45" s="43">
        <f t="shared" si="2266"/>
        <v>37</v>
      </c>
      <c r="BGJ45" s="48"/>
      <c r="BGK45" s="49"/>
      <c r="BGL45" s="49">
        <v>110</v>
      </c>
      <c r="BGM45" s="49"/>
      <c r="BGN45" s="49"/>
      <c r="BGO45" s="49"/>
      <c r="BGP45" s="42">
        <f t="shared" si="2267"/>
        <v>110</v>
      </c>
      <c r="BGQ45" s="43">
        <f t="shared" si="2268"/>
        <v>18.333333333333332</v>
      </c>
      <c r="BGR45" s="48"/>
      <c r="BGS45" s="49"/>
      <c r="BGT45" s="49"/>
      <c r="BGU45" s="49">
        <v>220</v>
      </c>
      <c r="BGV45" s="49"/>
      <c r="BGW45" s="49"/>
      <c r="BGX45" s="42">
        <f t="shared" si="2269"/>
        <v>220</v>
      </c>
      <c r="BGY45" s="43">
        <f t="shared" si="2270"/>
        <v>36.666666666666664</v>
      </c>
      <c r="BGZ45" s="239"/>
      <c r="BHA45" s="1"/>
      <c r="BHB45" s="1"/>
      <c r="BHC45" s="1"/>
      <c r="BHD45" s="1"/>
      <c r="BHE45" s="1"/>
      <c r="BHF45" s="42">
        <f t="shared" si="2271"/>
        <v>0</v>
      </c>
      <c r="BHG45" s="43">
        <f t="shared" si="2272"/>
        <v>0</v>
      </c>
      <c r="BHH45" s="48"/>
      <c r="BHI45" s="49"/>
      <c r="BHJ45" s="49">
        <v>220</v>
      </c>
      <c r="BHK45" s="49"/>
      <c r="BHL45" s="49"/>
      <c r="BHM45" s="49"/>
      <c r="BHN45" s="42">
        <f t="shared" si="2273"/>
        <v>220</v>
      </c>
      <c r="BHO45" s="43">
        <f t="shared" si="2274"/>
        <v>36.666666666666664</v>
      </c>
      <c r="BHP45" s="48"/>
      <c r="BHQ45" s="49"/>
      <c r="BHR45" s="49"/>
      <c r="BHS45" s="49"/>
      <c r="BHT45" s="49"/>
      <c r="BHU45" s="49"/>
      <c r="BHV45" s="42">
        <f t="shared" si="2275"/>
        <v>0</v>
      </c>
      <c r="BHW45" s="43">
        <f t="shared" si="2276"/>
        <v>0</v>
      </c>
      <c r="BHX45" s="48"/>
      <c r="BHY45" s="49"/>
      <c r="BHZ45" s="49"/>
      <c r="BIA45" s="49"/>
      <c r="BIB45" s="49">
        <v>220</v>
      </c>
      <c r="BIC45" s="49">
        <v>220</v>
      </c>
      <c r="BID45" s="42">
        <f t="shared" si="2277"/>
        <v>440</v>
      </c>
      <c r="BIE45" s="43">
        <f t="shared" si="2278"/>
        <v>73.333333333333329</v>
      </c>
      <c r="BIF45" s="48"/>
      <c r="BIG45" s="49"/>
      <c r="BIH45" s="49"/>
      <c r="BII45" s="49"/>
      <c r="BIJ45" s="49"/>
      <c r="BIK45" s="49"/>
      <c r="BIL45" s="42">
        <f t="shared" si="2279"/>
        <v>0</v>
      </c>
      <c r="BIM45" s="43">
        <f t="shared" si="2280"/>
        <v>0</v>
      </c>
      <c r="BIN45" s="48"/>
      <c r="BIO45" s="49"/>
      <c r="BIP45" s="49"/>
      <c r="BIQ45" s="49"/>
      <c r="BIR45" s="49"/>
      <c r="BIS45" s="49"/>
      <c r="BIT45" s="42">
        <f t="shared" si="2281"/>
        <v>0</v>
      </c>
      <c r="BIU45" s="101">
        <f t="shared" si="2282"/>
        <v>0</v>
      </c>
      <c r="BIV45" s="195"/>
      <c r="BIW45" s="49"/>
      <c r="BIX45" s="49"/>
      <c r="BIY45" s="49"/>
      <c r="BIZ45" s="49"/>
      <c r="BJA45" s="49"/>
      <c r="BJB45" s="42">
        <f t="shared" si="2283"/>
        <v>0</v>
      </c>
      <c r="BJC45" s="101">
        <f t="shared" si="2284"/>
        <v>0</v>
      </c>
      <c r="BJD45" s="48"/>
      <c r="BJE45" s="49"/>
      <c r="BJF45" s="49"/>
      <c r="BJG45" s="49">
        <v>220</v>
      </c>
      <c r="BJH45" s="49"/>
      <c r="BJI45" s="49"/>
      <c r="BJJ45" s="42">
        <f t="shared" si="2285"/>
        <v>220</v>
      </c>
      <c r="BJK45" s="43">
        <f t="shared" si="2286"/>
        <v>36.666666666666664</v>
      </c>
      <c r="BJL45" s="48"/>
      <c r="BJM45" s="49"/>
      <c r="BJN45" s="49"/>
      <c r="BJO45" s="49"/>
      <c r="BJP45" s="49"/>
      <c r="BJQ45" s="49"/>
      <c r="BJR45" s="42">
        <f t="shared" si="2287"/>
        <v>0</v>
      </c>
      <c r="BJS45" s="43">
        <f t="shared" si="2288"/>
        <v>0</v>
      </c>
      <c r="BJT45" s="48"/>
      <c r="BJU45" s="49"/>
      <c r="BJV45" s="49"/>
      <c r="BJW45" s="49"/>
      <c r="BJX45" s="49"/>
      <c r="BJY45" s="49"/>
      <c r="BJZ45" s="42">
        <f t="shared" si="2289"/>
        <v>0</v>
      </c>
      <c r="BKA45" s="43">
        <f t="shared" si="2290"/>
        <v>0</v>
      </c>
      <c r="BKB45" s="48"/>
      <c r="BKC45" s="49">
        <v>220</v>
      </c>
      <c r="BKD45" s="49"/>
      <c r="BKE45" s="49"/>
      <c r="BKF45" s="49"/>
      <c r="BKG45" s="49"/>
      <c r="BKH45" s="67">
        <f t="shared" si="2291"/>
        <v>220</v>
      </c>
      <c r="BKI45" s="68">
        <f t="shared" si="2292"/>
        <v>36.666666666666664</v>
      </c>
      <c r="BKJ45" s="48"/>
      <c r="BKK45" s="49">
        <v>220</v>
      </c>
      <c r="BKL45" s="49"/>
      <c r="BKM45" s="49"/>
      <c r="BKN45" s="49"/>
      <c r="BKO45" s="49"/>
      <c r="BKP45" s="42">
        <f t="shared" si="2293"/>
        <v>220</v>
      </c>
      <c r="BKQ45" s="43">
        <f t="shared" si="2294"/>
        <v>36.666666666666664</v>
      </c>
      <c r="BKR45" s="48"/>
      <c r="BKS45" s="49"/>
      <c r="BKT45" s="49"/>
      <c r="BKU45" s="49"/>
      <c r="BKV45" s="49"/>
      <c r="BKW45" s="49"/>
      <c r="BKX45" s="42">
        <f t="shared" si="2295"/>
        <v>0</v>
      </c>
      <c r="BKY45" s="43">
        <f t="shared" si="2296"/>
        <v>0</v>
      </c>
      <c r="BKZ45" s="48"/>
      <c r="BLA45" s="49"/>
      <c r="BLB45" s="49"/>
      <c r="BLC45" s="49"/>
      <c r="BLD45" s="49"/>
      <c r="BLE45" s="49"/>
      <c r="BLF45" s="42">
        <f t="shared" si="2297"/>
        <v>0</v>
      </c>
      <c r="BLG45" s="43">
        <f t="shared" si="2298"/>
        <v>0</v>
      </c>
      <c r="BLH45" s="48"/>
      <c r="BLI45" s="49"/>
      <c r="BLJ45" s="49"/>
      <c r="BLK45" s="49"/>
      <c r="BLL45" s="49"/>
      <c r="BLM45" s="49"/>
      <c r="BLN45" s="42">
        <f t="shared" si="2299"/>
        <v>0</v>
      </c>
      <c r="BLO45" s="43">
        <f t="shared" si="2300"/>
        <v>0</v>
      </c>
      <c r="BLP45" s="48"/>
      <c r="BLQ45" s="49"/>
      <c r="BLR45" s="49"/>
      <c r="BLS45" s="49"/>
      <c r="BLT45" s="49"/>
      <c r="BLU45" s="49"/>
      <c r="BLV45" s="42">
        <f t="shared" si="2301"/>
        <v>0</v>
      </c>
      <c r="BLW45" s="43">
        <f t="shared" si="2302"/>
        <v>0</v>
      </c>
      <c r="BLX45" s="48"/>
      <c r="BLY45" s="49"/>
      <c r="BLZ45" s="49"/>
      <c r="BMA45" s="49"/>
      <c r="BMB45" s="49"/>
      <c r="BMC45" s="49"/>
      <c r="BMD45" s="42">
        <f t="shared" si="2303"/>
        <v>0</v>
      </c>
      <c r="BME45" s="43">
        <f t="shared" si="2304"/>
        <v>0</v>
      </c>
      <c r="BMF45" s="48"/>
      <c r="BMG45" s="49"/>
      <c r="BMH45" s="49"/>
      <c r="BMI45" s="49"/>
      <c r="BMJ45" s="49"/>
      <c r="BMK45" s="49"/>
      <c r="BML45" s="42">
        <f t="shared" si="2305"/>
        <v>0</v>
      </c>
      <c r="BMM45" s="43">
        <f t="shared" si="2306"/>
        <v>0</v>
      </c>
      <c r="BMN45" s="48"/>
      <c r="BMO45" s="49"/>
      <c r="BMP45" s="49"/>
      <c r="BMQ45" s="49"/>
      <c r="BMR45" s="49"/>
      <c r="BMS45" s="49"/>
      <c r="BMT45" s="42">
        <f t="shared" si="2307"/>
        <v>0</v>
      </c>
      <c r="BMU45" s="43">
        <f t="shared" si="2308"/>
        <v>0</v>
      </c>
      <c r="BMV45" s="48"/>
      <c r="BMW45" s="49"/>
      <c r="BMX45" s="49"/>
      <c r="BMY45" s="49"/>
      <c r="BMZ45" s="49"/>
      <c r="BNA45" s="49"/>
      <c r="BNB45" s="42">
        <f t="shared" si="2309"/>
        <v>0</v>
      </c>
      <c r="BNC45" s="43">
        <f t="shared" si="2310"/>
        <v>0</v>
      </c>
      <c r="BND45" s="48"/>
      <c r="BNE45" s="49"/>
      <c r="BNF45" s="49"/>
      <c r="BNG45" s="49"/>
      <c r="BNH45" s="49"/>
      <c r="BNI45" s="49"/>
      <c r="BNJ45" s="42">
        <f t="shared" si="2311"/>
        <v>0</v>
      </c>
      <c r="BNK45" s="43">
        <f t="shared" si="2312"/>
        <v>0</v>
      </c>
      <c r="BNL45" s="48"/>
      <c r="BNM45" s="49"/>
      <c r="BNN45" s="49"/>
      <c r="BNO45" s="49"/>
      <c r="BNP45" s="49"/>
      <c r="BNQ45" s="49"/>
      <c r="BNR45" s="42">
        <f t="shared" si="2313"/>
        <v>0</v>
      </c>
      <c r="BNS45" s="43">
        <f t="shared" si="2314"/>
        <v>0</v>
      </c>
      <c r="BNT45" s="48"/>
      <c r="BNU45" s="49"/>
      <c r="BNV45" s="49"/>
      <c r="BNW45" s="49"/>
      <c r="BNX45" s="49"/>
      <c r="BNY45" s="49"/>
      <c r="BNZ45" s="42">
        <f t="shared" si="2315"/>
        <v>0</v>
      </c>
      <c r="BOA45" s="43">
        <f t="shared" si="2316"/>
        <v>0</v>
      </c>
      <c r="BOB45" s="48"/>
      <c r="BOC45" s="49"/>
      <c r="BOD45" s="49"/>
      <c r="BOE45" s="49"/>
      <c r="BOF45" s="49"/>
      <c r="BOG45" s="49"/>
      <c r="BOH45" s="42">
        <f t="shared" si="2317"/>
        <v>0</v>
      </c>
      <c r="BOI45" s="43">
        <f t="shared" si="2318"/>
        <v>0</v>
      </c>
      <c r="BOJ45" s="48"/>
      <c r="BOK45" s="49"/>
      <c r="BOL45" s="49"/>
      <c r="BOM45" s="49"/>
      <c r="BON45" s="49"/>
      <c r="BOO45" s="49"/>
      <c r="BOP45" s="42">
        <f t="shared" si="2319"/>
        <v>0</v>
      </c>
      <c r="BOQ45" s="43">
        <f t="shared" si="2320"/>
        <v>0</v>
      </c>
      <c r="BOR45" s="48"/>
      <c r="BOS45" s="49"/>
      <c r="BOT45" s="49"/>
      <c r="BOU45" s="49"/>
      <c r="BOV45" s="49"/>
      <c r="BOW45" s="49"/>
      <c r="BOX45" s="42">
        <f t="shared" si="2321"/>
        <v>0</v>
      </c>
      <c r="BOY45" s="43">
        <f t="shared" si="2322"/>
        <v>0</v>
      </c>
      <c r="BOZ45" s="48"/>
      <c r="BPA45" s="49"/>
      <c r="BPB45" s="49"/>
      <c r="BPC45" s="49"/>
      <c r="BPD45" s="49"/>
      <c r="BPE45" s="49"/>
      <c r="BPF45" s="42">
        <f t="shared" si="2323"/>
        <v>0</v>
      </c>
      <c r="BPG45" s="43">
        <f t="shared" si="2324"/>
        <v>0</v>
      </c>
      <c r="BPH45" s="48"/>
      <c r="BPI45" s="49"/>
      <c r="BPJ45" s="49"/>
      <c r="BPK45" s="49"/>
      <c r="BPL45" s="49"/>
      <c r="BPM45" s="49"/>
      <c r="BPN45" s="42">
        <f t="shared" si="2325"/>
        <v>0</v>
      </c>
      <c r="BPO45" s="43">
        <f t="shared" si="2326"/>
        <v>0</v>
      </c>
      <c r="BPP45" s="48"/>
      <c r="BPQ45" s="49"/>
      <c r="BPR45" s="49"/>
      <c r="BPS45" s="49"/>
      <c r="BPT45" s="49"/>
      <c r="BPU45" s="49"/>
      <c r="BPV45" s="42">
        <f t="shared" si="2327"/>
        <v>0</v>
      </c>
      <c r="BPW45" s="43">
        <f t="shared" si="2328"/>
        <v>0</v>
      </c>
      <c r="BPX45" s="48"/>
      <c r="BPY45" s="49"/>
      <c r="BPZ45" s="49"/>
      <c r="BQA45" s="49"/>
      <c r="BQB45" s="49"/>
      <c r="BQC45" s="49"/>
      <c r="BQD45" s="67">
        <f t="shared" si="2329"/>
        <v>0</v>
      </c>
      <c r="BQE45" s="43">
        <f t="shared" si="2330"/>
        <v>0</v>
      </c>
      <c r="BQF45" s="48"/>
      <c r="BQG45" s="49"/>
      <c r="BQH45" s="49"/>
      <c r="BQI45" s="49"/>
      <c r="BQJ45" s="49"/>
      <c r="BQK45" s="49"/>
      <c r="BQL45" s="67">
        <f t="shared" si="2331"/>
        <v>0</v>
      </c>
      <c r="BQM45" s="43">
        <f t="shared" si="2332"/>
        <v>0</v>
      </c>
      <c r="BQN45" s="48"/>
      <c r="BQO45" s="49"/>
      <c r="BQP45" s="49"/>
      <c r="BQQ45" s="49"/>
      <c r="BQR45" s="49"/>
      <c r="BQS45" s="49"/>
      <c r="BQT45" s="67">
        <f t="shared" si="2333"/>
        <v>0</v>
      </c>
      <c r="BQU45" s="43">
        <f t="shared" si="2334"/>
        <v>0</v>
      </c>
      <c r="BQV45" s="48"/>
      <c r="BQW45" s="49"/>
      <c r="BQX45" s="49"/>
      <c r="BQY45" s="49"/>
      <c r="BQZ45" s="49"/>
      <c r="BRA45" s="49"/>
      <c r="BRB45" s="67">
        <f t="shared" si="2335"/>
        <v>0</v>
      </c>
      <c r="BRC45" s="43">
        <f t="shared" si="2336"/>
        <v>0</v>
      </c>
      <c r="BRD45" s="48"/>
      <c r="BRE45" s="49"/>
      <c r="BRF45" s="49"/>
      <c r="BRG45" s="49"/>
      <c r="BRH45" s="49"/>
      <c r="BRI45" s="49"/>
      <c r="BRJ45" s="67">
        <f t="shared" si="2337"/>
        <v>0</v>
      </c>
      <c r="BRK45" s="43">
        <f t="shared" si="2338"/>
        <v>0</v>
      </c>
      <c r="BRL45" s="48"/>
      <c r="BRM45" s="49"/>
      <c r="BRN45" s="49"/>
      <c r="BRO45" s="49"/>
      <c r="BRP45" s="49"/>
      <c r="BRQ45" s="49"/>
      <c r="BRR45" s="67">
        <f t="shared" si="2339"/>
        <v>0</v>
      </c>
      <c r="BRS45" s="68">
        <f t="shared" si="2340"/>
        <v>0</v>
      </c>
      <c r="BRT45" s="63"/>
      <c r="BRU45" s="64"/>
      <c r="BRV45" s="64"/>
      <c r="BRW45" s="64"/>
      <c r="BRX45" s="64"/>
      <c r="BRY45" s="64"/>
      <c r="BRZ45" s="67">
        <f t="shared" si="2341"/>
        <v>0</v>
      </c>
      <c r="BSA45" s="43">
        <f t="shared" si="2342"/>
        <v>0</v>
      </c>
      <c r="BSB45" s="48"/>
      <c r="BSC45" s="49"/>
      <c r="BSD45" s="49"/>
      <c r="BSE45" s="49"/>
      <c r="BSF45" s="49"/>
      <c r="BSG45" s="49"/>
      <c r="BSH45" s="67">
        <f t="shared" si="2343"/>
        <v>0</v>
      </c>
      <c r="BSI45" s="43">
        <f t="shared" si="2344"/>
        <v>0</v>
      </c>
      <c r="BSJ45" s="48"/>
      <c r="BSK45" s="49"/>
      <c r="BSL45" s="49"/>
      <c r="BSM45" s="49"/>
      <c r="BSN45" s="49"/>
      <c r="BSO45" s="49"/>
      <c r="BSP45" s="67">
        <f t="shared" si="2345"/>
        <v>0</v>
      </c>
      <c r="BSQ45" s="43">
        <f t="shared" si="2346"/>
        <v>0</v>
      </c>
      <c r="BSR45" s="48"/>
      <c r="BSS45" s="49"/>
      <c r="BST45" s="49"/>
      <c r="BSU45" s="49"/>
      <c r="BSV45" s="49"/>
      <c r="BSW45" s="49"/>
      <c r="BSX45" s="67">
        <f t="shared" si="2347"/>
        <v>0</v>
      </c>
      <c r="BSY45" s="43">
        <f t="shared" si="2348"/>
        <v>0</v>
      </c>
      <c r="BSZ45" s="48"/>
      <c r="BTA45" s="49"/>
      <c r="BTB45" s="49"/>
      <c r="BTC45" s="49"/>
      <c r="BTD45" s="49"/>
      <c r="BTE45" s="49"/>
      <c r="BTF45" s="67">
        <f t="shared" si="2349"/>
        <v>0</v>
      </c>
      <c r="BTG45" s="43">
        <f t="shared" si="2350"/>
        <v>0</v>
      </c>
      <c r="BTH45" s="48"/>
      <c r="BTI45" s="49"/>
      <c r="BTJ45" s="49"/>
      <c r="BTK45" s="49"/>
      <c r="BTL45" s="49"/>
      <c r="BTM45" s="49"/>
      <c r="BTN45" s="67">
        <f t="shared" si="2351"/>
        <v>0</v>
      </c>
      <c r="BTO45" s="68">
        <f t="shared" si="2352"/>
        <v>0</v>
      </c>
      <c r="BTP45" s="48"/>
      <c r="BTQ45" s="49"/>
      <c r="BTR45" s="49"/>
      <c r="BTS45" s="49"/>
      <c r="BTT45" s="49"/>
      <c r="BTU45" s="49"/>
      <c r="BTV45" s="67">
        <f t="shared" si="2353"/>
        <v>0</v>
      </c>
      <c r="BTW45" s="43">
        <f t="shared" si="2354"/>
        <v>0</v>
      </c>
      <c r="BTX45" s="48"/>
      <c r="BTY45" s="49"/>
      <c r="BTZ45" s="49"/>
      <c r="BUA45" s="49"/>
      <c r="BUB45" s="49"/>
      <c r="BUC45" s="49"/>
      <c r="BUD45" s="67">
        <f t="shared" si="2355"/>
        <v>0</v>
      </c>
      <c r="BUE45" s="68">
        <f t="shared" si="2356"/>
        <v>0</v>
      </c>
      <c r="BUF45" s="48"/>
      <c r="BUG45" s="49"/>
      <c r="BUH45" s="49"/>
      <c r="BUI45" s="49"/>
      <c r="BUJ45" s="49"/>
      <c r="BUK45" s="49"/>
      <c r="BUL45" s="67">
        <f t="shared" si="2357"/>
        <v>0</v>
      </c>
      <c r="BUM45" s="68">
        <f t="shared" si="2358"/>
        <v>0</v>
      </c>
      <c r="BUN45" s="48"/>
      <c r="BUO45" s="49"/>
      <c r="BUP45" s="49"/>
      <c r="BUQ45" s="49"/>
      <c r="BUR45" s="49"/>
      <c r="BUS45" s="49"/>
      <c r="BUT45" s="67">
        <f t="shared" si="2359"/>
        <v>0</v>
      </c>
      <c r="BUU45" s="68">
        <f t="shared" si="2360"/>
        <v>0</v>
      </c>
      <c r="BUV45" s="48"/>
      <c r="BUW45" s="49"/>
      <c r="BUX45" s="49"/>
      <c r="BUY45" s="49"/>
      <c r="BUZ45" s="49"/>
      <c r="BVA45" s="49"/>
      <c r="BVB45" s="67">
        <f t="shared" si="2361"/>
        <v>0</v>
      </c>
      <c r="BVC45" s="68">
        <f t="shared" si="2362"/>
        <v>0</v>
      </c>
      <c r="BVD45" s="48"/>
      <c r="BVE45" s="49"/>
      <c r="BVF45" s="49"/>
      <c r="BVG45" s="49"/>
      <c r="BVH45" s="49"/>
      <c r="BVI45" s="49"/>
      <c r="BVJ45" s="67">
        <f t="shared" si="2363"/>
        <v>0</v>
      </c>
      <c r="BVK45" s="68">
        <f t="shared" si="2364"/>
        <v>0</v>
      </c>
      <c r="BVL45" s="48"/>
      <c r="BVM45" s="49"/>
      <c r="BVN45" s="49"/>
      <c r="BVO45" s="49"/>
      <c r="BVP45" s="49"/>
      <c r="BVQ45" s="49"/>
      <c r="BVR45" s="67">
        <f t="shared" si="2365"/>
        <v>0</v>
      </c>
      <c r="BVS45" s="68">
        <f t="shared" si="2366"/>
        <v>0</v>
      </c>
      <c r="BVT45" s="48"/>
      <c r="BVU45" s="49"/>
      <c r="BVV45" s="49"/>
      <c r="BVW45" s="49">
        <v>320</v>
      </c>
      <c r="BVX45" s="49"/>
      <c r="BVY45" s="49"/>
      <c r="BVZ45" s="67">
        <f t="shared" si="2367"/>
        <v>320</v>
      </c>
      <c r="BWA45" s="68">
        <f t="shared" si="2368"/>
        <v>53.333333333333336</v>
      </c>
      <c r="BWB45" s="48"/>
      <c r="BWC45" s="49"/>
      <c r="BWD45" s="49"/>
      <c r="BWE45" s="49"/>
      <c r="BWF45" s="49"/>
      <c r="BWG45" s="49"/>
      <c r="BWH45" s="67">
        <f t="shared" si="2369"/>
        <v>0</v>
      </c>
      <c r="BWI45" s="68">
        <f t="shared" si="2370"/>
        <v>0</v>
      </c>
      <c r="BWJ45" s="48"/>
      <c r="BWK45" s="49"/>
      <c r="BWL45" s="49"/>
      <c r="BWM45" s="49"/>
      <c r="BWN45" s="49"/>
      <c r="BWO45" s="49"/>
      <c r="BWP45" s="67">
        <f t="shared" si="2371"/>
        <v>0</v>
      </c>
      <c r="BWQ45" s="68">
        <f t="shared" si="2372"/>
        <v>0</v>
      </c>
      <c r="BWR45" s="48"/>
      <c r="BWS45" s="49"/>
      <c r="BWT45" s="49"/>
      <c r="BWU45" s="49"/>
      <c r="BWV45" s="49"/>
      <c r="BWW45" s="49">
        <v>400</v>
      </c>
      <c r="BWX45" s="67">
        <f t="shared" si="2373"/>
        <v>400</v>
      </c>
      <c r="BWY45" s="68">
        <f t="shared" si="2374"/>
        <v>66.666666666666671</v>
      </c>
      <c r="BWZ45" s="48"/>
      <c r="BXA45" s="49"/>
      <c r="BXB45" s="49"/>
      <c r="BXC45" s="49"/>
      <c r="BXD45" s="49"/>
      <c r="BXE45" s="49"/>
      <c r="BXF45" s="67">
        <f t="shared" si="2375"/>
        <v>0</v>
      </c>
      <c r="BXG45" s="68">
        <f t="shared" si="2376"/>
        <v>0</v>
      </c>
      <c r="BXH45" s="48">
        <v>200</v>
      </c>
      <c r="BXI45" s="49"/>
      <c r="BXJ45" s="49"/>
      <c r="BXK45" s="49"/>
      <c r="BXL45" s="49"/>
      <c r="BXM45" s="49"/>
      <c r="BXN45" s="67">
        <f t="shared" si="2377"/>
        <v>200</v>
      </c>
      <c r="BXO45" s="68">
        <f t="shared" si="2378"/>
        <v>33.333333333333336</v>
      </c>
      <c r="BXP45" s="48"/>
      <c r="BXQ45" s="49">
        <v>390</v>
      </c>
      <c r="BXR45" s="49"/>
      <c r="BXS45" s="49"/>
      <c r="BXT45" s="49"/>
      <c r="BXU45" s="49">
        <v>201</v>
      </c>
      <c r="BXV45" s="67">
        <f t="shared" si="2379"/>
        <v>591</v>
      </c>
      <c r="BXW45" s="68">
        <f t="shared" si="1584"/>
        <v>98.5</v>
      </c>
      <c r="BXX45" s="48">
        <v>200</v>
      </c>
      <c r="BXY45" s="49"/>
      <c r="BXZ45" s="49"/>
      <c r="BYA45" s="49"/>
      <c r="BYB45" s="49"/>
      <c r="BYC45" s="49"/>
      <c r="BYD45" s="67">
        <f t="shared" si="2380"/>
        <v>200</v>
      </c>
      <c r="BYE45" s="68">
        <f t="shared" si="2381"/>
        <v>33.333333333333336</v>
      </c>
      <c r="BYF45" s="48"/>
      <c r="BYG45" s="49"/>
      <c r="BYH45" s="49"/>
      <c r="BYI45" s="49"/>
      <c r="BYJ45" s="49"/>
      <c r="BYK45" s="49"/>
      <c r="BYL45" s="67">
        <f t="shared" si="2382"/>
        <v>0</v>
      </c>
      <c r="BYM45" s="68">
        <f t="shared" si="2383"/>
        <v>0</v>
      </c>
      <c r="BYN45" s="48">
        <v>319</v>
      </c>
      <c r="BYO45" s="49"/>
      <c r="BYP45" s="49"/>
      <c r="BYQ45" s="49"/>
      <c r="BYR45" s="49"/>
      <c r="BYS45" s="49"/>
      <c r="BYT45" s="67">
        <f t="shared" si="2384"/>
        <v>319</v>
      </c>
      <c r="BYU45" s="68">
        <f t="shared" si="2385"/>
        <v>53.166666666666664</v>
      </c>
      <c r="BYV45" s="48"/>
      <c r="BYW45" s="49">
        <v>580</v>
      </c>
      <c r="BYX45" s="49"/>
      <c r="BYY45" s="49"/>
      <c r="BYZ45" s="49"/>
      <c r="BZA45" s="49"/>
      <c r="BZB45" s="67">
        <f t="shared" si="2386"/>
        <v>580</v>
      </c>
      <c r="BZC45" s="68">
        <f t="shared" si="2387"/>
        <v>96.666666666666671</v>
      </c>
      <c r="BZD45" s="48"/>
      <c r="BZE45" s="49"/>
      <c r="BZF45" s="49">
        <v>220</v>
      </c>
      <c r="BZG45" s="49"/>
      <c r="BZH45" s="49"/>
      <c r="BZI45" s="49"/>
      <c r="BZJ45" s="67">
        <f t="shared" si="2388"/>
        <v>220</v>
      </c>
      <c r="BZK45" s="68">
        <f t="shared" si="2389"/>
        <v>36.666666666666664</v>
      </c>
      <c r="BZL45" s="48"/>
      <c r="BZM45" s="49">
        <v>180</v>
      </c>
      <c r="BZN45" s="49"/>
      <c r="BZO45" s="49"/>
      <c r="BZP45" s="49"/>
      <c r="BZQ45" s="49"/>
      <c r="BZR45" s="67">
        <f t="shared" si="2390"/>
        <v>180</v>
      </c>
      <c r="BZS45" s="68">
        <f t="shared" si="2391"/>
        <v>30</v>
      </c>
      <c r="BZT45" s="48"/>
      <c r="BZU45" s="49"/>
      <c r="BZV45" s="49"/>
      <c r="BZW45" s="49"/>
      <c r="BZX45" s="49"/>
      <c r="BZY45" s="49"/>
      <c r="BZZ45" s="67">
        <f t="shared" si="2392"/>
        <v>0</v>
      </c>
      <c r="CAA45" s="68">
        <f t="shared" si="2393"/>
        <v>0</v>
      </c>
      <c r="CAB45" s="48"/>
      <c r="CAC45" s="49"/>
      <c r="CAD45" s="49"/>
      <c r="CAE45" s="49"/>
      <c r="CAF45" s="49"/>
      <c r="CAG45" s="49"/>
      <c r="CAH45" s="67">
        <f t="shared" si="2394"/>
        <v>0</v>
      </c>
      <c r="CAI45" s="68">
        <f t="shared" si="2395"/>
        <v>0</v>
      </c>
      <c r="CAJ45" s="48"/>
      <c r="CAK45" s="49"/>
      <c r="CAL45" s="49"/>
      <c r="CAM45" s="49"/>
      <c r="CAN45" s="49"/>
      <c r="CAO45" s="49"/>
      <c r="CAP45" s="67">
        <f t="shared" si="2396"/>
        <v>0</v>
      </c>
      <c r="CAQ45" s="68">
        <f t="shared" si="2397"/>
        <v>0</v>
      </c>
      <c r="CAR45" s="48"/>
      <c r="CAS45" s="49"/>
      <c r="CAT45" s="49"/>
      <c r="CAU45" s="49"/>
      <c r="CAV45" s="49"/>
      <c r="CAW45" s="49">
        <v>653</v>
      </c>
      <c r="CAX45" s="67">
        <f t="shared" si="2398"/>
        <v>653</v>
      </c>
      <c r="CAY45" s="68">
        <f t="shared" si="2399"/>
        <v>108.83333333333333</v>
      </c>
      <c r="CAZ45" s="48"/>
      <c r="CBA45" s="49"/>
      <c r="CBB45" s="49"/>
      <c r="CBC45" s="49"/>
      <c r="CBD45" s="49"/>
      <c r="CBE45" s="49"/>
      <c r="CBF45" s="67">
        <f t="shared" si="2400"/>
        <v>0</v>
      </c>
      <c r="CBG45" s="68">
        <f t="shared" si="2401"/>
        <v>0</v>
      </c>
      <c r="CBH45" s="48"/>
      <c r="CBI45" s="49"/>
      <c r="CBJ45" s="49"/>
      <c r="CBK45" s="49"/>
      <c r="CBL45" s="49">
        <v>646</v>
      </c>
      <c r="CBM45" s="49"/>
      <c r="CBN45" s="67">
        <f t="shared" si="2402"/>
        <v>646</v>
      </c>
      <c r="CBO45" s="68">
        <f t="shared" si="2403"/>
        <v>107.66666666666667</v>
      </c>
      <c r="CBP45" s="48"/>
      <c r="CBQ45" s="49"/>
      <c r="CBR45" s="49"/>
      <c r="CBS45" s="49"/>
      <c r="CBT45" s="49"/>
      <c r="CBU45" s="49"/>
      <c r="CBV45" s="67">
        <f t="shared" si="2404"/>
        <v>0</v>
      </c>
      <c r="CBW45" s="68">
        <f t="shared" si="2405"/>
        <v>0</v>
      </c>
      <c r="CBX45" s="48"/>
      <c r="CBY45" s="49"/>
      <c r="CBZ45" s="49"/>
      <c r="CCA45" s="49"/>
      <c r="CCB45" s="49"/>
      <c r="CCC45" s="49"/>
      <c r="CCD45" s="67">
        <f t="shared" si="2406"/>
        <v>0</v>
      </c>
      <c r="CCE45" s="68">
        <f t="shared" si="2407"/>
        <v>0</v>
      </c>
      <c r="CCF45" s="48"/>
      <c r="CCG45" s="49"/>
      <c r="CCH45" s="49"/>
      <c r="CCI45" s="49">
        <v>300</v>
      </c>
      <c r="CCJ45" s="49"/>
      <c r="CCK45" s="49"/>
      <c r="CCL45" s="67">
        <f t="shared" si="2408"/>
        <v>300</v>
      </c>
      <c r="CCM45" s="68">
        <f t="shared" si="2409"/>
        <v>50</v>
      </c>
      <c r="CCN45" s="48"/>
      <c r="CCO45" s="49"/>
      <c r="CCP45" s="49"/>
      <c r="CCQ45" s="49"/>
      <c r="CCR45" s="49"/>
      <c r="CCS45" s="49"/>
      <c r="CCT45" s="67">
        <f t="shared" si="2410"/>
        <v>0</v>
      </c>
      <c r="CCU45" s="68">
        <f t="shared" si="2411"/>
        <v>0</v>
      </c>
      <c r="CCV45" s="48"/>
      <c r="CCW45" s="49"/>
      <c r="CCX45" s="49"/>
      <c r="CCY45" s="49"/>
      <c r="CCZ45" s="49"/>
      <c r="CDA45" s="49"/>
      <c r="CDB45" s="67">
        <f t="shared" si="1629"/>
        <v>0</v>
      </c>
      <c r="CDC45" s="68">
        <f t="shared" si="1630"/>
        <v>0</v>
      </c>
      <c r="CDD45" s="48"/>
      <c r="CDE45" s="49"/>
      <c r="CDF45" s="49"/>
      <c r="CDG45" s="49"/>
      <c r="CDH45" s="49"/>
      <c r="CDI45" s="49"/>
      <c r="CDJ45" s="67">
        <f t="shared" si="1631"/>
        <v>0</v>
      </c>
      <c r="CDK45" s="68">
        <f t="shared" si="1632"/>
        <v>0</v>
      </c>
      <c r="CDL45" s="48"/>
      <c r="CDM45" s="49"/>
      <c r="CDN45" s="49"/>
      <c r="CDO45" s="49"/>
      <c r="CDP45" s="49"/>
      <c r="CDQ45" s="49"/>
      <c r="CDR45" s="67">
        <f t="shared" si="1633"/>
        <v>0</v>
      </c>
      <c r="CDS45" s="68">
        <f t="shared" si="1634"/>
        <v>0</v>
      </c>
      <c r="CDT45" s="48"/>
      <c r="CDU45" s="49">
        <v>400</v>
      </c>
      <c r="CDV45" s="49"/>
      <c r="CDW45" s="49"/>
      <c r="CDX45" s="49"/>
      <c r="CDY45" s="49"/>
      <c r="CDZ45" s="67">
        <f t="shared" si="1635"/>
        <v>400</v>
      </c>
      <c r="CEA45" s="68">
        <f t="shared" si="1636"/>
        <v>66.666666666666671</v>
      </c>
      <c r="CEB45" s="48"/>
      <c r="CEC45" s="49"/>
      <c r="CED45" s="49"/>
      <c r="CEE45" s="49">
        <v>280</v>
      </c>
      <c r="CEF45" s="49"/>
      <c r="CEG45" s="49"/>
      <c r="CEH45" s="67">
        <f t="shared" si="1637"/>
        <v>280</v>
      </c>
      <c r="CEI45" s="68">
        <f t="shared" si="1638"/>
        <v>46.666666666666664</v>
      </c>
      <c r="CEJ45" s="48"/>
      <c r="CEK45" s="49"/>
      <c r="CEL45" s="49"/>
      <c r="CEM45" s="49"/>
      <c r="CEN45" s="49"/>
      <c r="CEO45" s="49"/>
      <c r="CEP45" s="67">
        <f t="shared" si="1639"/>
        <v>0</v>
      </c>
      <c r="CEQ45" s="68">
        <f t="shared" si="1640"/>
        <v>0</v>
      </c>
      <c r="CER45" s="48"/>
      <c r="CES45" s="49"/>
      <c r="CET45" s="49"/>
      <c r="CEU45" s="49"/>
      <c r="CEV45" s="49"/>
      <c r="CEW45" s="49"/>
      <c r="CEX45" s="67">
        <f t="shared" si="1641"/>
        <v>0</v>
      </c>
      <c r="CEY45" s="68">
        <f t="shared" si="1642"/>
        <v>0</v>
      </c>
      <c r="CEZ45" s="48"/>
      <c r="CFA45" s="49"/>
      <c r="CFB45" s="49"/>
      <c r="CFC45" s="49"/>
      <c r="CFD45" s="49"/>
      <c r="CFE45" s="49"/>
      <c r="CFF45" s="67">
        <f t="shared" si="1643"/>
        <v>0</v>
      </c>
      <c r="CFG45" s="68">
        <f t="shared" si="1644"/>
        <v>0</v>
      </c>
      <c r="CFH45" s="48"/>
      <c r="CFI45" s="49"/>
      <c r="CFJ45" s="49"/>
      <c r="CFK45" s="49">
        <v>320</v>
      </c>
      <c r="CFL45" s="49"/>
      <c r="CFM45" s="49"/>
      <c r="CFN45" s="67">
        <f t="shared" si="1645"/>
        <v>320</v>
      </c>
      <c r="CFO45" s="68">
        <f t="shared" si="1646"/>
        <v>53.333333333333336</v>
      </c>
      <c r="CFP45" s="48"/>
      <c r="CFQ45" s="49"/>
      <c r="CFR45" s="49"/>
      <c r="CFS45" s="49"/>
      <c r="CFT45" s="49"/>
      <c r="CFU45" s="49"/>
      <c r="CFV45" s="67">
        <f t="shared" si="1647"/>
        <v>0</v>
      </c>
      <c r="CFW45" s="68">
        <f t="shared" si="1648"/>
        <v>0</v>
      </c>
      <c r="CFX45" s="48"/>
      <c r="CFY45" s="49"/>
      <c r="CFZ45" s="49"/>
      <c r="CGA45" s="49"/>
      <c r="CGB45" s="49"/>
      <c r="CGC45" s="49"/>
      <c r="CGD45" s="67">
        <f t="shared" si="1649"/>
        <v>0</v>
      </c>
      <c r="CGE45" s="68">
        <f t="shared" si="1650"/>
        <v>0</v>
      </c>
      <c r="CGF45" s="48"/>
      <c r="CGG45" s="49"/>
      <c r="CGH45" s="49"/>
      <c r="CGI45" s="49"/>
      <c r="CGJ45" s="49"/>
      <c r="CGK45" s="49"/>
      <c r="CGL45" s="67">
        <f t="shared" si="1651"/>
        <v>0</v>
      </c>
      <c r="CGM45" s="68">
        <f t="shared" si="1652"/>
        <v>0</v>
      </c>
      <c r="CGN45" s="48"/>
      <c r="CGO45" s="49"/>
      <c r="CGP45" s="49"/>
      <c r="CGQ45" s="49"/>
      <c r="CGR45" s="49"/>
      <c r="CGS45" s="49"/>
      <c r="CGT45" s="67">
        <f t="shared" si="1653"/>
        <v>0</v>
      </c>
      <c r="CGU45" s="68">
        <f t="shared" si="1654"/>
        <v>0</v>
      </c>
      <c r="CGV45" s="48"/>
      <c r="CGW45" s="49"/>
      <c r="CGX45" s="49"/>
      <c r="CGY45" s="49"/>
      <c r="CGZ45" s="49"/>
      <c r="CHA45" s="49"/>
      <c r="CHB45" s="67">
        <f t="shared" si="1655"/>
        <v>0</v>
      </c>
      <c r="CHC45" s="68">
        <f t="shared" si="1656"/>
        <v>0</v>
      </c>
      <c r="CHD45" s="48"/>
      <c r="CHE45" s="49"/>
      <c r="CHF45" s="49"/>
      <c r="CHG45" s="49"/>
      <c r="CHH45" s="49"/>
      <c r="CHI45" s="49"/>
      <c r="CHJ45" s="67">
        <f t="shared" si="1657"/>
        <v>0</v>
      </c>
      <c r="CHK45" s="68">
        <f t="shared" si="1658"/>
        <v>0</v>
      </c>
      <c r="CHL45" s="48"/>
      <c r="CHM45" s="49"/>
      <c r="CHN45" s="49"/>
      <c r="CHO45" s="49"/>
      <c r="CHP45" s="49"/>
      <c r="CHQ45" s="49"/>
      <c r="CHR45" s="67">
        <f t="shared" si="1659"/>
        <v>0</v>
      </c>
      <c r="CHS45" s="68">
        <f t="shared" si="1660"/>
        <v>0</v>
      </c>
      <c r="CHT45" s="48"/>
      <c r="CHU45" s="49"/>
      <c r="CHV45" s="49"/>
      <c r="CHW45" s="49"/>
      <c r="CHX45" s="49"/>
      <c r="CHY45" s="49"/>
      <c r="CHZ45" s="67">
        <f t="shared" si="1661"/>
        <v>0</v>
      </c>
      <c r="CIA45" s="68">
        <f t="shared" si="1662"/>
        <v>0</v>
      </c>
      <c r="CIB45" s="48"/>
      <c r="CIC45" s="49"/>
      <c r="CID45" s="49"/>
      <c r="CIE45" s="49"/>
      <c r="CIF45" s="49"/>
      <c r="CIG45" s="49"/>
      <c r="CIH45" s="67">
        <f t="shared" si="1663"/>
        <v>0</v>
      </c>
      <c r="CII45" s="68">
        <f t="shared" si="1664"/>
        <v>0</v>
      </c>
      <c r="CIJ45" s="48"/>
      <c r="CIK45" s="49"/>
      <c r="CIL45" s="49"/>
      <c r="CIM45" s="49"/>
      <c r="CIN45" s="49"/>
      <c r="CIO45" s="49"/>
      <c r="CIP45" s="67">
        <f t="shared" si="1665"/>
        <v>0</v>
      </c>
      <c r="CIQ45" s="68">
        <f t="shared" si="1666"/>
        <v>0</v>
      </c>
      <c r="CIR45" s="48"/>
      <c r="CIS45" s="49"/>
      <c r="CIT45" s="49"/>
      <c r="CIU45" s="49"/>
      <c r="CIV45" s="49"/>
      <c r="CIW45" s="49"/>
      <c r="CIX45" s="67">
        <f t="shared" si="1667"/>
        <v>0</v>
      </c>
      <c r="CIY45" s="68">
        <f t="shared" si="1668"/>
        <v>0</v>
      </c>
      <c r="CIZ45" s="63"/>
      <c r="CJA45" s="64"/>
      <c r="CJB45" s="64"/>
      <c r="CJC45" s="64"/>
      <c r="CJD45" s="64"/>
      <c r="CJE45" s="64"/>
      <c r="CJF45" s="67">
        <f t="shared" si="1669"/>
        <v>0</v>
      </c>
      <c r="CJG45" s="68">
        <f t="shared" si="1670"/>
        <v>0</v>
      </c>
      <c r="CJH45" s="48"/>
      <c r="CJI45" s="49"/>
      <c r="CJJ45" s="49"/>
      <c r="CJK45" s="49"/>
      <c r="CJL45" s="49"/>
      <c r="CJM45" s="49"/>
      <c r="CJN45" s="67">
        <f t="shared" si="1671"/>
        <v>0</v>
      </c>
      <c r="CJO45" s="184">
        <f t="shared" si="1672"/>
        <v>0</v>
      </c>
      <c r="CJP45" s="48"/>
      <c r="CJQ45" s="49">
        <v>198</v>
      </c>
      <c r="CJR45" s="49"/>
      <c r="CJS45" s="49"/>
      <c r="CJT45" s="49"/>
      <c r="CJU45" s="49"/>
      <c r="CJV45" s="67">
        <f t="shared" si="1673"/>
        <v>198</v>
      </c>
      <c r="CJW45" s="68">
        <f t="shared" si="1674"/>
        <v>33</v>
      </c>
      <c r="CJX45" s="48"/>
      <c r="CJY45" s="49"/>
      <c r="CJZ45" s="49"/>
      <c r="CKA45" s="49"/>
      <c r="CKB45" s="49"/>
      <c r="CKC45" s="49"/>
      <c r="CKD45" s="67">
        <f t="shared" si="2412"/>
        <v>0</v>
      </c>
      <c r="CKE45" s="68">
        <f t="shared" si="1675"/>
        <v>0</v>
      </c>
      <c r="CKF45" s="48"/>
      <c r="CKG45" s="49"/>
      <c r="CKH45" s="49"/>
      <c r="CKI45" s="49"/>
      <c r="CKJ45" s="49"/>
      <c r="CKK45" s="49"/>
      <c r="CKL45" s="67">
        <f t="shared" si="1676"/>
        <v>0</v>
      </c>
      <c r="CKM45" s="68">
        <f t="shared" si="1677"/>
        <v>0</v>
      </c>
      <c r="CKN45" s="48"/>
      <c r="CKO45" s="49"/>
      <c r="CKP45" s="49"/>
      <c r="CKQ45" s="49"/>
      <c r="CKR45" s="49"/>
      <c r="CKS45" s="47"/>
      <c r="CKT45" s="67">
        <f t="shared" si="1678"/>
        <v>0</v>
      </c>
      <c r="CKU45" s="68">
        <f t="shared" si="1679"/>
        <v>0</v>
      </c>
      <c r="CKV45" s="48"/>
      <c r="CKW45" s="49"/>
      <c r="CKX45" s="49"/>
      <c r="CKY45" s="49"/>
      <c r="CKZ45" s="49"/>
      <c r="CLA45" s="49"/>
      <c r="CLB45" s="67">
        <f t="shared" si="1680"/>
        <v>0</v>
      </c>
      <c r="CLC45" s="68">
        <f t="shared" si="1681"/>
        <v>0</v>
      </c>
      <c r="CLD45" s="48"/>
      <c r="CLE45" s="49"/>
      <c r="CLF45" s="49"/>
      <c r="CLG45" s="49"/>
      <c r="CLH45" s="49"/>
      <c r="CLI45" s="49"/>
      <c r="CLJ45" s="67">
        <f t="shared" si="1682"/>
        <v>0</v>
      </c>
      <c r="CLK45" s="68">
        <f t="shared" si="1683"/>
        <v>0</v>
      </c>
      <c r="CLL45" s="48"/>
      <c r="CLM45" s="49"/>
      <c r="CLN45" s="49"/>
      <c r="CLO45" s="49"/>
      <c r="CLP45" s="49"/>
      <c r="CLQ45" s="49"/>
      <c r="CLR45" s="67">
        <f t="shared" si="1684"/>
        <v>0</v>
      </c>
      <c r="CLS45" s="68">
        <f t="shared" si="1685"/>
        <v>0</v>
      </c>
      <c r="CLT45" s="48"/>
      <c r="CLU45" s="49"/>
      <c r="CLV45" s="49"/>
      <c r="CLW45" s="49"/>
      <c r="CLX45" s="49"/>
      <c r="CLY45" s="49"/>
      <c r="CLZ45" s="67">
        <f t="shared" si="1686"/>
        <v>0</v>
      </c>
      <c r="CMA45" s="68">
        <f t="shared" si="1687"/>
        <v>0</v>
      </c>
      <c r="CMB45" s="48"/>
      <c r="CMC45" s="49"/>
      <c r="CMD45" s="49"/>
      <c r="CME45" s="49"/>
      <c r="CMF45" s="49"/>
      <c r="CMG45" s="49"/>
      <c r="CMH45" s="67">
        <f t="shared" si="1688"/>
        <v>0</v>
      </c>
      <c r="CMI45" s="68">
        <f t="shared" si="1689"/>
        <v>0</v>
      </c>
      <c r="CMJ45" s="48"/>
      <c r="CMK45" s="49"/>
      <c r="CML45" s="49"/>
      <c r="CMM45" s="49"/>
      <c r="CMN45" s="49"/>
      <c r="CMO45" s="49"/>
      <c r="CMP45" s="67">
        <f t="shared" si="1690"/>
        <v>0</v>
      </c>
      <c r="CMQ45" s="68">
        <f t="shared" si="1691"/>
        <v>0</v>
      </c>
      <c r="CMR45" s="48"/>
      <c r="CMS45" s="49"/>
      <c r="CMT45" s="49"/>
      <c r="CMU45" s="49"/>
      <c r="CMV45" s="49"/>
      <c r="CMW45" s="49"/>
      <c r="CMX45" s="67">
        <f t="shared" si="1692"/>
        <v>0</v>
      </c>
      <c r="CMY45" s="68">
        <f t="shared" si="1693"/>
        <v>0</v>
      </c>
      <c r="CMZ45" s="48"/>
      <c r="CNA45" s="49"/>
      <c r="CNB45" s="49"/>
      <c r="CNC45" s="49"/>
      <c r="CND45" s="49"/>
      <c r="CNE45" s="49"/>
      <c r="CNF45" s="67">
        <f t="shared" si="1694"/>
        <v>0</v>
      </c>
      <c r="CNG45" s="68">
        <f t="shared" si="1695"/>
        <v>0</v>
      </c>
      <c r="CNH45" s="48"/>
      <c r="CNI45" s="49"/>
      <c r="CNJ45" s="49"/>
      <c r="CNK45" s="49"/>
      <c r="CNL45" s="49"/>
      <c r="CNM45" s="49"/>
      <c r="CNN45" s="67">
        <f t="shared" si="1696"/>
        <v>0</v>
      </c>
      <c r="CNO45" s="68">
        <f t="shared" si="1697"/>
        <v>0</v>
      </c>
      <c r="CNP45" s="48"/>
      <c r="CNQ45" s="49"/>
      <c r="CNR45" s="49"/>
      <c r="CNS45" s="49"/>
      <c r="CNT45" s="49"/>
      <c r="CNU45" s="49"/>
      <c r="CNV45" s="67">
        <f t="shared" si="1698"/>
        <v>0</v>
      </c>
      <c r="CNW45" s="68">
        <f t="shared" si="1699"/>
        <v>0</v>
      </c>
      <c r="CNX45" s="48"/>
      <c r="CNY45" s="49"/>
      <c r="CNZ45" s="49"/>
      <c r="COA45" s="49"/>
      <c r="COB45" s="49"/>
      <c r="COC45" s="49"/>
      <c r="COD45" s="67">
        <f t="shared" si="1700"/>
        <v>0</v>
      </c>
      <c r="COE45" s="68">
        <f t="shared" si="1701"/>
        <v>0</v>
      </c>
      <c r="COF45" s="48"/>
      <c r="COG45" s="49"/>
      <c r="COH45" s="49"/>
      <c r="COI45" s="49">
        <v>433</v>
      </c>
      <c r="COJ45" s="49"/>
      <c r="COK45" s="49"/>
      <c r="COL45" s="67">
        <f t="shared" si="1702"/>
        <v>433</v>
      </c>
      <c r="COM45" s="68">
        <f t="shared" si="1703"/>
        <v>72.166666666666671</v>
      </c>
      <c r="CON45" s="48"/>
      <c r="COO45" s="49"/>
      <c r="COP45" s="49"/>
      <c r="COQ45" s="49"/>
      <c r="COR45" s="49"/>
      <c r="COS45" s="49"/>
      <c r="COT45" s="67">
        <f t="shared" si="1704"/>
        <v>0</v>
      </c>
      <c r="COU45" s="68">
        <f t="shared" si="1705"/>
        <v>0</v>
      </c>
      <c r="COV45" s="48"/>
      <c r="COW45" s="49"/>
      <c r="COX45" s="49"/>
      <c r="COY45" s="49"/>
      <c r="COZ45" s="49"/>
      <c r="CPA45" s="49"/>
      <c r="CPB45" s="67">
        <f t="shared" si="1706"/>
        <v>0</v>
      </c>
      <c r="CPC45" s="68">
        <f t="shared" si="1707"/>
        <v>0</v>
      </c>
      <c r="CPD45" s="48"/>
      <c r="CPE45" s="49"/>
      <c r="CPF45" s="49"/>
      <c r="CPG45" s="49"/>
      <c r="CPH45" s="49">
        <v>118</v>
      </c>
      <c r="CPI45" s="49"/>
      <c r="CPJ45" s="67">
        <f t="shared" si="1708"/>
        <v>118</v>
      </c>
      <c r="CPK45" s="68">
        <f t="shared" si="1709"/>
        <v>19.666666666666668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10"/>
        <v>0</v>
      </c>
      <c r="CPS45" s="68">
        <f t="shared" si="1711"/>
        <v>0</v>
      </c>
      <c r="CPT45" s="48">
        <v>0</v>
      </c>
      <c r="CPU45" s="49">
        <v>0</v>
      </c>
      <c r="CPV45" s="49">
        <v>0</v>
      </c>
      <c r="CPW45" s="49"/>
      <c r="CPX45" s="49">
        <v>228</v>
      </c>
      <c r="CPY45" s="49"/>
      <c r="CPZ45" s="67">
        <f t="shared" si="1712"/>
        <v>228</v>
      </c>
      <c r="CQA45" s="68">
        <f t="shared" si="1713"/>
        <v>38</v>
      </c>
      <c r="CQB45" s="48"/>
      <c r="CQC45" s="49">
        <v>378</v>
      </c>
      <c r="CQD45" s="49"/>
      <c r="CQE45" s="49"/>
      <c r="CQF45" s="49"/>
      <c r="CQG45" s="49"/>
      <c r="CQH45" s="67">
        <f t="shared" si="1714"/>
        <v>378</v>
      </c>
      <c r="CQI45" s="68">
        <f t="shared" si="1715"/>
        <v>63</v>
      </c>
      <c r="CQJ45" s="82"/>
      <c r="CQK45" s="83"/>
      <c r="CQL45" s="83"/>
      <c r="CQM45" s="83"/>
      <c r="CQN45" s="83"/>
      <c r="CQO45" s="83"/>
      <c r="CQP45" s="67">
        <f t="shared" si="1716"/>
        <v>0</v>
      </c>
      <c r="CQQ45" s="68">
        <f t="shared" si="1717"/>
        <v>0</v>
      </c>
      <c r="CQR45" s="239"/>
      <c r="CQS45" s="1"/>
      <c r="CQT45" s="1"/>
      <c r="CQU45" s="1"/>
      <c r="CQV45" s="1">
        <v>0</v>
      </c>
      <c r="CQW45" s="1"/>
      <c r="CQX45" s="67">
        <f t="shared" si="1718"/>
        <v>0</v>
      </c>
      <c r="CQY45" s="68">
        <f t="shared" si="1719"/>
        <v>0</v>
      </c>
      <c r="CQZ45" s="48">
        <v>0</v>
      </c>
      <c r="CRA45" s="49"/>
      <c r="CRB45" s="49">
        <v>328</v>
      </c>
      <c r="CRC45" s="49"/>
      <c r="CRD45" s="49"/>
      <c r="CRE45" s="49"/>
      <c r="CRF45" s="67">
        <f t="shared" si="1720"/>
        <v>328</v>
      </c>
      <c r="CRG45" s="68">
        <f t="shared" si="1721"/>
        <v>54.666666666666664</v>
      </c>
      <c r="CRH45" s="48"/>
      <c r="CRI45" s="49"/>
      <c r="CRJ45" s="49"/>
      <c r="CRK45" s="49">
        <v>667</v>
      </c>
      <c r="CRL45" s="49">
        <v>0</v>
      </c>
      <c r="CRM45" s="49">
        <v>0</v>
      </c>
      <c r="CRN45" s="67">
        <f t="shared" si="1722"/>
        <v>667</v>
      </c>
      <c r="CRO45" s="68">
        <f t="shared" si="1723"/>
        <v>111.16666666666667</v>
      </c>
      <c r="CRP45" s="48"/>
      <c r="CRQ45" s="49">
        <v>0</v>
      </c>
      <c r="CRR45" s="49">
        <v>0</v>
      </c>
      <c r="CRS45" s="49">
        <v>0</v>
      </c>
      <c r="CRT45" s="49">
        <v>0</v>
      </c>
      <c r="CRU45" s="49">
        <v>0</v>
      </c>
      <c r="CRV45" s="47">
        <f t="shared" si="1724"/>
        <v>0</v>
      </c>
      <c r="CRW45" s="68">
        <f t="shared" si="1725"/>
        <v>0</v>
      </c>
      <c r="CRX45" s="48">
        <v>0</v>
      </c>
      <c r="CRY45" s="49">
        <v>0</v>
      </c>
      <c r="CRZ45" s="49">
        <v>0</v>
      </c>
      <c r="CSA45" s="49">
        <v>0</v>
      </c>
      <c r="CSB45" s="49">
        <v>0</v>
      </c>
      <c r="CSC45" s="49">
        <v>0</v>
      </c>
      <c r="CSD45" s="67">
        <f t="shared" si="1726"/>
        <v>0</v>
      </c>
      <c r="CSE45" s="68">
        <f t="shared" si="1727"/>
        <v>0</v>
      </c>
      <c r="CSF45" s="48">
        <v>0</v>
      </c>
      <c r="CSG45" s="49">
        <v>684</v>
      </c>
      <c r="CSH45" s="49">
        <v>0</v>
      </c>
      <c r="CSI45" s="49">
        <v>0</v>
      </c>
      <c r="CSJ45" s="49">
        <v>0</v>
      </c>
      <c r="CSK45" s="360">
        <f>SUMIF(SUMPK!$B:$B,$B:$B,SUMPK!$O:$O)</f>
        <v>220</v>
      </c>
      <c r="CSL45" s="64">
        <f t="shared" si="1728"/>
        <v>904</v>
      </c>
      <c r="CSM45" s="68">
        <f t="shared" si="1729"/>
        <v>150.66666666666666</v>
      </c>
      <c r="CSN45" s="48">
        <v>0</v>
      </c>
      <c r="CSO45" s="49">
        <v>0</v>
      </c>
      <c r="CSP45" s="49">
        <v>0</v>
      </c>
      <c r="CSQ45" s="49"/>
      <c r="CSR45" s="49">
        <v>0</v>
      </c>
      <c r="CSS45" s="49">
        <v>0</v>
      </c>
      <c r="CST45" s="64">
        <f t="shared" si="1730"/>
        <v>0</v>
      </c>
      <c r="CSU45" s="68">
        <f t="shared" si="1731"/>
        <v>0</v>
      </c>
      <c r="CSV45" s="48">
        <v>435</v>
      </c>
      <c r="CSW45" s="49">
        <v>0</v>
      </c>
      <c r="CSX45" s="49">
        <v>663</v>
      </c>
      <c r="CSY45" s="49">
        <v>0</v>
      </c>
      <c r="CSZ45" s="49">
        <v>0</v>
      </c>
      <c r="CTA45" s="49">
        <v>0</v>
      </c>
      <c r="CTB45" s="64">
        <f t="shared" si="1732"/>
        <v>1098</v>
      </c>
      <c r="CTC45" s="68">
        <f t="shared" si="1733"/>
        <v>183</v>
      </c>
      <c r="CTD45" s="48">
        <v>0</v>
      </c>
      <c r="CTE45" s="49">
        <v>0</v>
      </c>
      <c r="CTF45" s="49">
        <v>0</v>
      </c>
      <c r="CTG45" s="49">
        <v>0</v>
      </c>
      <c r="CTH45" s="49"/>
      <c r="CTI45" s="49"/>
      <c r="CTJ45" s="64">
        <f t="shared" si="1734"/>
        <v>0</v>
      </c>
      <c r="CTK45" s="68">
        <f t="shared" si="1735"/>
        <v>0</v>
      </c>
      <c r="CTL45" s="48">
        <v>0</v>
      </c>
      <c r="CTM45" s="49">
        <v>0</v>
      </c>
      <c r="CTN45" s="49">
        <v>876</v>
      </c>
      <c r="CTO45" s="49">
        <v>0</v>
      </c>
      <c r="CTP45" s="49">
        <v>0</v>
      </c>
      <c r="CTQ45" s="49">
        <v>0</v>
      </c>
      <c r="CTR45" s="64">
        <f t="shared" si="1736"/>
        <v>876</v>
      </c>
      <c r="CTS45" s="68">
        <f t="shared" si="1737"/>
        <v>146</v>
      </c>
      <c r="CTT45" s="48">
        <v>0</v>
      </c>
      <c r="CTU45" s="49"/>
      <c r="CTV45" s="49">
        <v>1076</v>
      </c>
      <c r="CTW45" s="49"/>
      <c r="CTX45" s="49">
        <v>0</v>
      </c>
      <c r="CTY45" s="49">
        <v>651</v>
      </c>
      <c r="CTZ45" s="64">
        <f t="shared" si="1738"/>
        <v>1727</v>
      </c>
      <c r="CUA45" s="68">
        <f t="shared" si="1739"/>
        <v>287.83333333333331</v>
      </c>
      <c r="CUB45" s="48">
        <v>551</v>
      </c>
      <c r="CUC45" s="49">
        <v>0</v>
      </c>
      <c r="CUD45" s="49"/>
      <c r="CUE45" s="49"/>
      <c r="CUF45" s="49">
        <v>877</v>
      </c>
      <c r="CUG45" s="49">
        <v>792</v>
      </c>
      <c r="CUH45" s="64">
        <f t="shared" si="1740"/>
        <v>2220</v>
      </c>
      <c r="CUI45" s="68">
        <f t="shared" si="1741"/>
        <v>370</v>
      </c>
      <c r="CUJ45" s="48">
        <v>599</v>
      </c>
      <c r="CUK45" s="49">
        <v>0</v>
      </c>
      <c r="CUL45" s="49">
        <v>0</v>
      </c>
      <c r="CUM45" s="49">
        <v>2833</v>
      </c>
      <c r="CUN45" s="49">
        <v>0</v>
      </c>
      <c r="CUO45" s="49">
        <v>0</v>
      </c>
      <c r="CUP45" s="64">
        <f t="shared" si="1742"/>
        <v>3432</v>
      </c>
      <c r="CUQ45" s="68">
        <f t="shared" si="1743"/>
        <v>572</v>
      </c>
      <c r="CUR45" s="48">
        <v>0</v>
      </c>
      <c r="CUS45" s="49"/>
      <c r="CUT45" s="49"/>
      <c r="CUU45" s="49">
        <v>0</v>
      </c>
      <c r="CUV45" s="49">
        <v>0</v>
      </c>
      <c r="CUW45" s="49">
        <v>0</v>
      </c>
      <c r="CUX45" s="64">
        <f t="shared" si="1744"/>
        <v>0</v>
      </c>
      <c r="CUY45" s="68">
        <f t="shared" si="1745"/>
        <v>0</v>
      </c>
      <c r="CUZ45" s="48">
        <v>1437</v>
      </c>
      <c r="CVA45" s="49">
        <v>0</v>
      </c>
      <c r="CVB45" s="49"/>
      <c r="CVC45" s="49">
        <v>0</v>
      </c>
      <c r="CVD45" s="49">
        <v>810</v>
      </c>
      <c r="CVE45" s="49"/>
      <c r="CVF45" s="64">
        <f t="shared" si="1746"/>
        <v>2247</v>
      </c>
      <c r="CVG45" s="68">
        <f t="shared" si="1747"/>
        <v>374.5</v>
      </c>
      <c r="CVH45" s="48">
        <v>0</v>
      </c>
      <c r="CVI45" s="49">
        <v>0</v>
      </c>
      <c r="CVJ45" s="49">
        <v>0</v>
      </c>
      <c r="CVK45" s="49">
        <v>588</v>
      </c>
      <c r="CVL45" s="49">
        <v>0</v>
      </c>
      <c r="CVM45" s="49"/>
      <c r="CVN45" s="64">
        <f t="shared" si="1748"/>
        <v>588</v>
      </c>
      <c r="CVO45" s="68">
        <f t="shared" si="1749"/>
        <v>98</v>
      </c>
      <c r="CVP45" s="48">
        <v>320</v>
      </c>
      <c r="CVQ45" s="49">
        <v>0</v>
      </c>
      <c r="CVR45" s="49">
        <v>220</v>
      </c>
      <c r="CVS45" s="49">
        <v>0</v>
      </c>
      <c r="CVT45" s="49">
        <v>1061</v>
      </c>
      <c r="CVU45" s="49">
        <v>0</v>
      </c>
      <c r="CVV45" s="64">
        <f t="shared" si="1750"/>
        <v>1601</v>
      </c>
      <c r="CVW45" s="68">
        <f t="shared" si="1751"/>
        <v>266.83333333333331</v>
      </c>
      <c r="CVX45" s="48">
        <v>0</v>
      </c>
      <c r="CVY45" s="49">
        <v>0</v>
      </c>
      <c r="CVZ45" s="49">
        <v>0</v>
      </c>
      <c r="CWA45" s="49">
        <v>0</v>
      </c>
      <c r="CWB45" s="49">
        <v>400</v>
      </c>
      <c r="CWC45" s="49">
        <v>0</v>
      </c>
      <c r="CWD45" s="64">
        <f t="shared" si="1752"/>
        <v>400</v>
      </c>
      <c r="CWE45" s="68">
        <f t="shared" si="1753"/>
        <v>66.666666666666671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54"/>
        <v>0</v>
      </c>
      <c r="CWM45" s="68">
        <f t="shared" si="1755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499</v>
      </c>
      <c r="CWS45" s="49">
        <v>0</v>
      </c>
      <c r="CWT45" s="64">
        <f t="shared" si="1756"/>
        <v>499</v>
      </c>
      <c r="CWU45" s="68">
        <f t="shared" si="1757"/>
        <v>83.166666666666671</v>
      </c>
      <c r="CWV45" s="48">
        <v>0</v>
      </c>
      <c r="CWW45" s="49">
        <v>0</v>
      </c>
      <c r="CWX45" s="49">
        <v>0</v>
      </c>
      <c r="CWY45" s="49"/>
      <c r="CWZ45" s="49">
        <v>0</v>
      </c>
      <c r="CXA45" s="49">
        <v>0</v>
      </c>
      <c r="CXB45" s="127">
        <f t="shared" si="1758"/>
        <v>0</v>
      </c>
      <c r="CXC45" s="43">
        <f t="shared" si="1759"/>
        <v>0</v>
      </c>
      <c r="CXD45" s="48">
        <v>0</v>
      </c>
      <c r="CXE45" s="49">
        <v>222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60"/>
        <v>222</v>
      </c>
      <c r="CXK45" s="43">
        <f t="shared" si="1761"/>
        <v>37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62"/>
        <v>0</v>
      </c>
      <c r="CXS45" s="43">
        <f t="shared" si="1763"/>
        <v>0</v>
      </c>
      <c r="CXT45" s="48">
        <v>300</v>
      </c>
      <c r="CXU45" s="49">
        <v>0</v>
      </c>
      <c r="CXV45" s="49">
        <v>878</v>
      </c>
      <c r="CXW45" s="49"/>
      <c r="CXX45" s="49">
        <v>0</v>
      </c>
      <c r="CXY45" s="49">
        <v>0</v>
      </c>
      <c r="CXZ45" s="127">
        <f t="shared" si="1764"/>
        <v>1178</v>
      </c>
      <c r="CYA45" s="43">
        <f t="shared" si="1765"/>
        <v>196.33333333333334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66"/>
        <v>0</v>
      </c>
      <c r="CYI45" s="43">
        <f t="shared" si="1767"/>
        <v>0</v>
      </c>
      <c r="CYJ45" s="48"/>
      <c r="CYK45" s="49">
        <v>0</v>
      </c>
      <c r="CYL45" s="49">
        <v>605</v>
      </c>
      <c r="CYM45" s="49">
        <v>0</v>
      </c>
      <c r="CYN45" s="49">
        <v>0</v>
      </c>
      <c r="CYO45" s="49">
        <v>0</v>
      </c>
      <c r="CYP45" s="127">
        <f t="shared" si="1768"/>
        <v>605</v>
      </c>
      <c r="CYQ45" s="43">
        <f t="shared" si="1769"/>
        <v>100.83333333333333</v>
      </c>
      <c r="CYR45" s="48">
        <v>0</v>
      </c>
      <c r="CYS45" s="49">
        <v>0</v>
      </c>
      <c r="CYT45" s="49">
        <v>0</v>
      </c>
      <c r="CYU45" s="49">
        <v>0</v>
      </c>
      <c r="CYV45" s="49">
        <v>0</v>
      </c>
      <c r="CYW45" s="49">
        <v>0</v>
      </c>
      <c r="CYX45" s="127">
        <f t="shared" si="1770"/>
        <v>0</v>
      </c>
      <c r="CYY45" s="43">
        <f t="shared" si="1771"/>
        <v>0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72"/>
        <v>0</v>
      </c>
      <c r="CZG45" s="43">
        <f t="shared" si="1773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74"/>
        <v>0</v>
      </c>
      <c r="CZO45" s="43">
        <f t="shared" si="1775"/>
        <v>0</v>
      </c>
      <c r="CZP45" s="48">
        <v>113</v>
      </c>
      <c r="CZQ45" s="49">
        <v>0</v>
      </c>
      <c r="CZR45" s="49"/>
      <c r="CZS45" s="49">
        <v>158</v>
      </c>
      <c r="CZT45" s="49">
        <v>0</v>
      </c>
      <c r="CZU45" s="49">
        <v>0</v>
      </c>
      <c r="CZV45" s="127">
        <f t="shared" si="1776"/>
        <v>271</v>
      </c>
      <c r="CZW45" s="43">
        <f t="shared" si="1777"/>
        <v>45.166666666666664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200</v>
      </c>
      <c r="DAD45" s="64">
        <f t="shared" si="1778"/>
        <v>200</v>
      </c>
      <c r="DAE45" s="68">
        <f t="shared" si="1779"/>
        <v>33.333333333333336</v>
      </c>
      <c r="DAF45" s="48">
        <v>0</v>
      </c>
      <c r="DAG45" s="49">
        <v>780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80"/>
        <v>780</v>
      </c>
      <c r="DAM45" s="68">
        <f t="shared" si="1781"/>
        <v>130</v>
      </c>
      <c r="DAN45" s="48">
        <v>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82"/>
        <v>0</v>
      </c>
      <c r="DAU45" s="68">
        <f t="shared" si="1783"/>
        <v>0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84"/>
        <v>0</v>
      </c>
      <c r="DBC45" s="68">
        <f t="shared" si="1785"/>
        <v>0</v>
      </c>
      <c r="DBD45" s="48"/>
      <c r="DBE45" s="49">
        <v>0</v>
      </c>
      <c r="DBF45" s="49">
        <v>110</v>
      </c>
      <c r="DBG45" s="49">
        <v>0</v>
      </c>
      <c r="DBH45" s="49">
        <v>0</v>
      </c>
      <c r="DBI45" s="49">
        <v>100</v>
      </c>
      <c r="DBJ45" s="64">
        <f t="shared" si="1786"/>
        <v>210</v>
      </c>
      <c r="DBK45" s="68">
        <f t="shared" si="1787"/>
        <v>35</v>
      </c>
      <c r="DBL45" s="48">
        <v>0</v>
      </c>
      <c r="DBM45" s="49">
        <v>0</v>
      </c>
      <c r="DBN45" s="49">
        <v>480</v>
      </c>
      <c r="DBO45" s="49">
        <v>0</v>
      </c>
      <c r="DBP45" s="49"/>
      <c r="DBQ45" s="49">
        <v>0</v>
      </c>
      <c r="DBR45" s="64">
        <f t="shared" si="1788"/>
        <v>480</v>
      </c>
      <c r="DBS45" s="68">
        <f t="shared" si="1789"/>
        <v>80</v>
      </c>
      <c r="DBT45" s="48">
        <v>0</v>
      </c>
      <c r="DBU45" s="49"/>
      <c r="DBV45" s="49"/>
      <c r="DBW45" s="49">
        <v>0</v>
      </c>
      <c r="DBX45" s="49"/>
      <c r="DBY45" s="49">
        <v>221</v>
      </c>
      <c r="DBZ45" s="64">
        <f t="shared" si="1790"/>
        <v>221</v>
      </c>
      <c r="DCA45" s="68">
        <f t="shared" si="1791"/>
        <v>44.2</v>
      </c>
      <c r="DCB45" s="48">
        <v>0</v>
      </c>
      <c r="DCC45" s="49">
        <v>956</v>
      </c>
      <c r="DCD45" s="49">
        <v>467</v>
      </c>
      <c r="DCE45" s="49">
        <v>0</v>
      </c>
      <c r="DCF45" s="49">
        <v>0</v>
      </c>
      <c r="DCG45" s="49">
        <v>2234</v>
      </c>
      <c r="DCH45" s="64">
        <f t="shared" si="1792"/>
        <v>3657</v>
      </c>
      <c r="DCI45" s="68">
        <f t="shared" si="1793"/>
        <v>609.5</v>
      </c>
      <c r="DCJ45" s="48"/>
      <c r="DCK45" s="49">
        <v>0</v>
      </c>
      <c r="DCL45" s="49">
        <v>0</v>
      </c>
      <c r="DCM45" s="49">
        <v>0</v>
      </c>
      <c r="DCN45" s="49">
        <v>0</v>
      </c>
      <c r="DCO45" s="49">
        <v>0</v>
      </c>
      <c r="DCP45" s="64">
        <f t="shared" si="1794"/>
        <v>0</v>
      </c>
      <c r="DCQ45" s="68">
        <f t="shared" si="1795"/>
        <v>0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330</v>
      </c>
      <c r="DCX45" s="64">
        <f t="shared" si="1796"/>
        <v>330</v>
      </c>
      <c r="DCY45" s="68">
        <f t="shared" si="1797"/>
        <v>55</v>
      </c>
      <c r="DCZ45" s="48">
        <v>664</v>
      </c>
      <c r="DDA45" s="49">
        <v>0</v>
      </c>
      <c r="DDB45" s="49">
        <v>0</v>
      </c>
      <c r="DDC45" s="49">
        <v>0</v>
      </c>
      <c r="DDD45" s="49">
        <v>0</v>
      </c>
      <c r="DDE45" s="49">
        <v>0</v>
      </c>
      <c r="DDF45" s="64">
        <f t="shared" si="1798"/>
        <v>664</v>
      </c>
      <c r="DDG45" s="68">
        <f t="shared" si="1799"/>
        <v>110.66666666666667</v>
      </c>
      <c r="DDH45" s="48">
        <v>1030</v>
      </c>
      <c r="DDI45" s="49"/>
      <c r="DDJ45" s="49">
        <v>0</v>
      </c>
      <c r="DDK45" s="49">
        <v>227</v>
      </c>
      <c r="DDL45" s="49"/>
      <c r="DDM45" s="49">
        <v>614</v>
      </c>
      <c r="DDN45" s="127">
        <f t="shared" si="1800"/>
        <v>1871</v>
      </c>
      <c r="DDO45" s="43">
        <f t="shared" si="1801"/>
        <v>311.83333333333331</v>
      </c>
      <c r="DDP45" s="48">
        <v>0</v>
      </c>
      <c r="DDQ45" s="49">
        <v>662</v>
      </c>
      <c r="DDR45" s="49">
        <v>332</v>
      </c>
      <c r="DDS45" s="49">
        <v>0</v>
      </c>
      <c r="DDT45" s="49">
        <v>0</v>
      </c>
      <c r="DDU45" s="49"/>
      <c r="DDV45" s="127">
        <f t="shared" si="1802"/>
        <v>994</v>
      </c>
      <c r="DDW45" s="43">
        <f t="shared" si="1803"/>
        <v>165.66666666666666</v>
      </c>
      <c r="DDX45" s="48">
        <v>0</v>
      </c>
      <c r="DDY45" s="49">
        <v>0</v>
      </c>
      <c r="DDZ45" s="49">
        <v>307</v>
      </c>
      <c r="DEA45" s="49">
        <v>0</v>
      </c>
      <c r="DEB45" s="49">
        <v>0</v>
      </c>
      <c r="DEC45" s="49">
        <v>0</v>
      </c>
      <c r="DED45" s="127">
        <f t="shared" si="1804"/>
        <v>307</v>
      </c>
      <c r="DEE45" s="43">
        <f t="shared" si="1805"/>
        <v>51.166666666666664</v>
      </c>
      <c r="DEF45" s="48">
        <v>0</v>
      </c>
      <c r="DEG45" s="49"/>
      <c r="DEH45" s="49">
        <v>0</v>
      </c>
      <c r="DEI45" s="49">
        <v>0</v>
      </c>
      <c r="DEJ45" s="49">
        <v>0</v>
      </c>
      <c r="DEK45" s="49"/>
      <c r="DEL45" s="127">
        <f t="shared" si="1806"/>
        <v>0</v>
      </c>
      <c r="DEM45" s="43">
        <f t="shared" si="1807"/>
        <v>0</v>
      </c>
      <c r="DEN45" s="48">
        <v>0</v>
      </c>
      <c r="DEO45" s="49">
        <v>300</v>
      </c>
      <c r="DEP45" s="49">
        <v>360</v>
      </c>
      <c r="DEQ45" s="49">
        <v>0</v>
      </c>
      <c r="DER45" s="49"/>
      <c r="DES45" s="49"/>
      <c r="DET45" s="127">
        <f t="shared" si="1808"/>
        <v>660</v>
      </c>
      <c r="DEU45" s="43">
        <f t="shared" si="1809"/>
        <v>110</v>
      </c>
      <c r="DEV45" s="48">
        <v>0</v>
      </c>
      <c r="DEW45" s="49">
        <v>0</v>
      </c>
      <c r="DEX45" s="49"/>
      <c r="DEY45" s="49">
        <v>0</v>
      </c>
      <c r="DEZ45" s="49">
        <v>100</v>
      </c>
      <c r="DFA45" s="49">
        <v>200</v>
      </c>
      <c r="DFB45" s="127">
        <f t="shared" si="1810"/>
        <v>300</v>
      </c>
      <c r="DFC45" s="43">
        <f t="shared" si="1811"/>
        <v>50</v>
      </c>
      <c r="DFD45" s="48"/>
      <c r="DFE45" s="49">
        <v>0</v>
      </c>
      <c r="DFF45" s="49">
        <v>0</v>
      </c>
      <c r="DFG45" s="49">
        <v>0</v>
      </c>
      <c r="DFH45" s="49">
        <v>200</v>
      </c>
      <c r="DFI45" s="49">
        <v>0</v>
      </c>
      <c r="DFJ45" s="127">
        <f t="shared" si="1812"/>
        <v>200</v>
      </c>
      <c r="DFK45" s="43">
        <f t="shared" si="1813"/>
        <v>33.333333333333336</v>
      </c>
      <c r="DFL45" s="63">
        <v>200</v>
      </c>
      <c r="DFM45" s="64">
        <v>699</v>
      </c>
      <c r="DFN45" s="64">
        <v>0</v>
      </c>
      <c r="DFO45" s="64">
        <v>0</v>
      </c>
      <c r="DFP45" s="64">
        <v>200</v>
      </c>
      <c r="DFQ45" s="64">
        <v>0</v>
      </c>
      <c r="DFR45" s="64">
        <f t="shared" si="1814"/>
        <v>1099</v>
      </c>
      <c r="DFS45" s="68">
        <f t="shared" si="1815"/>
        <v>183.16666666666666</v>
      </c>
      <c r="DFT45" s="48">
        <v>0</v>
      </c>
      <c r="DFU45" s="49">
        <v>28</v>
      </c>
      <c r="DFV45" s="49">
        <v>400</v>
      </c>
      <c r="DFW45" s="49">
        <v>0</v>
      </c>
      <c r="DFX45" s="49"/>
      <c r="DFY45" s="49"/>
      <c r="DFZ45" s="127">
        <f t="shared" si="1816"/>
        <v>428</v>
      </c>
      <c r="DGA45" s="43">
        <f t="shared" si="1817"/>
        <v>71.333333333333329</v>
      </c>
      <c r="DGB45" s="48">
        <v>333</v>
      </c>
      <c r="DGC45" s="49">
        <v>0</v>
      </c>
      <c r="DGD45" s="49">
        <v>0</v>
      </c>
      <c r="DGE45" s="49">
        <v>0</v>
      </c>
      <c r="DGF45" s="49"/>
      <c r="DGG45" s="49">
        <v>500</v>
      </c>
      <c r="DGH45" s="127">
        <f t="shared" si="1818"/>
        <v>833</v>
      </c>
      <c r="DGI45" s="43">
        <f t="shared" si="1819"/>
        <v>138.83333333333334</v>
      </c>
      <c r="DGJ45" s="48">
        <v>0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20"/>
        <v>0</v>
      </c>
      <c r="DGQ45" s="68">
        <f t="shared" si="1821"/>
        <v>0</v>
      </c>
      <c r="DGR45" s="48">
        <v>0</v>
      </c>
      <c r="DGS45" s="49">
        <v>220</v>
      </c>
      <c r="DGT45" s="49">
        <v>0</v>
      </c>
      <c r="DGU45" s="49"/>
      <c r="DGV45" s="49"/>
      <c r="DGW45" s="49">
        <v>666</v>
      </c>
      <c r="DGX45" s="64">
        <f t="shared" si="1822"/>
        <v>886</v>
      </c>
      <c r="DGY45" s="68">
        <f t="shared" si="1823"/>
        <v>147.66666666666666</v>
      </c>
      <c r="DGZ45" s="48">
        <v>0</v>
      </c>
      <c r="DHA45" s="49">
        <v>0</v>
      </c>
      <c r="DHB45" s="49"/>
      <c r="DHC45" s="49"/>
      <c r="DHD45" s="49">
        <v>200</v>
      </c>
      <c r="DHE45" s="49">
        <v>400</v>
      </c>
      <c r="DHF45" s="64">
        <f t="shared" si="1824"/>
        <v>600</v>
      </c>
      <c r="DHG45" s="68">
        <f t="shared" si="1825"/>
        <v>100</v>
      </c>
      <c r="DHH45" s="63">
        <v>400</v>
      </c>
      <c r="DHI45" s="64">
        <v>0</v>
      </c>
      <c r="DHJ45" s="64">
        <v>0</v>
      </c>
      <c r="DHK45" s="64">
        <v>0</v>
      </c>
      <c r="DHL45" s="64">
        <v>200</v>
      </c>
      <c r="DHM45" s="64">
        <v>800</v>
      </c>
      <c r="DHN45" s="64">
        <f t="shared" si="1826"/>
        <v>1400</v>
      </c>
      <c r="DHO45" s="68">
        <f t="shared" si="1827"/>
        <v>233.33333333333334</v>
      </c>
      <c r="DHP45" s="48">
        <v>166</v>
      </c>
      <c r="DHQ45" s="49">
        <v>0</v>
      </c>
      <c r="DHR45" s="49"/>
      <c r="DHS45" s="49">
        <v>0</v>
      </c>
      <c r="DHT45" s="49">
        <v>641</v>
      </c>
      <c r="DHU45" s="49">
        <v>0</v>
      </c>
      <c r="DHV45" s="64">
        <f t="shared" si="1828"/>
        <v>807</v>
      </c>
      <c r="DHW45" s="68">
        <f t="shared" si="1829"/>
        <v>134.5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30"/>
        <v>0</v>
      </c>
      <c r="DIE45" s="68">
        <f t="shared" si="1831"/>
        <v>0</v>
      </c>
      <c r="DIF45" s="48">
        <v>0</v>
      </c>
      <c r="DIG45" s="49">
        <v>162</v>
      </c>
      <c r="DIH45" s="49">
        <v>655</v>
      </c>
      <c r="DII45" s="49">
        <v>0</v>
      </c>
      <c r="DIJ45" s="49">
        <v>300</v>
      </c>
      <c r="DIK45" s="49"/>
      <c r="DIL45" s="64">
        <f t="shared" si="1832"/>
        <v>1117</v>
      </c>
      <c r="DIM45" s="68">
        <f t="shared" si="1833"/>
        <v>186.16666666666666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34"/>
        <v>0</v>
      </c>
      <c r="DIU45" s="68">
        <f t="shared" si="1835"/>
        <v>0</v>
      </c>
      <c r="DIV45" s="48">
        <v>0</v>
      </c>
      <c r="DIW45" s="49">
        <v>0</v>
      </c>
      <c r="DIX45" s="49">
        <v>0</v>
      </c>
      <c r="DIY45" s="49">
        <v>110</v>
      </c>
      <c r="DIZ45" s="49">
        <v>0</v>
      </c>
      <c r="DJA45" s="49">
        <v>0</v>
      </c>
      <c r="DJB45" s="64">
        <f t="shared" si="1836"/>
        <v>110</v>
      </c>
      <c r="DJC45" s="68">
        <f t="shared" si="1837"/>
        <v>18.333333333333332</v>
      </c>
      <c r="DJD45" s="48">
        <v>0</v>
      </c>
      <c r="DJE45" s="49">
        <v>0</v>
      </c>
      <c r="DJF45" s="49">
        <v>0</v>
      </c>
      <c r="DJG45" s="49">
        <v>0</v>
      </c>
      <c r="DJH45" s="49">
        <v>975</v>
      </c>
      <c r="DJI45" s="49"/>
      <c r="DJJ45" s="64">
        <f t="shared" si="1838"/>
        <v>975</v>
      </c>
      <c r="DJK45" s="68">
        <f t="shared" si="1839"/>
        <v>162.5</v>
      </c>
      <c r="DJL45" s="48">
        <v>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40"/>
        <v>0</v>
      </c>
      <c r="DJS45" s="68">
        <f t="shared" si="1841"/>
        <v>0</v>
      </c>
      <c r="DJT45" s="48"/>
      <c r="DJU45" s="49">
        <v>643</v>
      </c>
      <c r="DJV45" s="49">
        <v>0</v>
      </c>
      <c r="DJW45" s="49">
        <v>0</v>
      </c>
      <c r="DJX45" s="49">
        <v>0</v>
      </c>
      <c r="DJY45" s="49">
        <v>0</v>
      </c>
      <c r="DJZ45" s="64">
        <f t="shared" si="1842"/>
        <v>643</v>
      </c>
      <c r="DKA45" s="68">
        <f t="shared" si="1843"/>
        <v>107.16666666666667</v>
      </c>
      <c r="DKB45" s="48">
        <v>0</v>
      </c>
      <c r="DKC45" s="49">
        <v>0</v>
      </c>
      <c r="DKD45" s="49">
        <v>0</v>
      </c>
      <c r="DKE45" s="49">
        <v>0</v>
      </c>
      <c r="DKF45" s="49">
        <v>1200</v>
      </c>
      <c r="DKG45" s="49">
        <v>0</v>
      </c>
      <c r="DKH45" s="64">
        <f t="shared" si="1844"/>
        <v>1200</v>
      </c>
      <c r="DKI45" s="68">
        <f t="shared" si="1845"/>
        <v>200</v>
      </c>
      <c r="DKJ45" s="48">
        <v>0</v>
      </c>
      <c r="DKK45" s="49">
        <v>321</v>
      </c>
      <c r="DKL45" s="49">
        <v>0</v>
      </c>
      <c r="DKM45" s="49"/>
      <c r="DKN45" s="49">
        <v>0</v>
      </c>
      <c r="DKO45" s="49"/>
      <c r="DKP45" s="64">
        <f t="shared" si="1846"/>
        <v>321</v>
      </c>
      <c r="DKQ45" s="68">
        <f t="shared" si="1847"/>
        <v>53.5</v>
      </c>
      <c r="DKR45" s="48">
        <v>950</v>
      </c>
      <c r="DKS45" s="49">
        <v>0</v>
      </c>
      <c r="DKT45" s="49"/>
      <c r="DKU45" s="49">
        <v>0</v>
      </c>
      <c r="DKV45" s="49">
        <v>0</v>
      </c>
      <c r="DKW45" s="49">
        <v>0</v>
      </c>
      <c r="DKX45" s="64">
        <f t="shared" si="1848"/>
        <v>950</v>
      </c>
      <c r="DKY45" s="68">
        <f t="shared" si="1849"/>
        <v>158.33333333333334</v>
      </c>
      <c r="DKZ45" s="48"/>
      <c r="DLA45" s="49">
        <v>1224</v>
      </c>
      <c r="DLB45" s="49">
        <v>0</v>
      </c>
      <c r="DLC45" s="49">
        <v>0</v>
      </c>
      <c r="DLD45" s="49"/>
      <c r="DLE45" s="49">
        <v>0</v>
      </c>
      <c r="DLF45" s="64">
        <f t="shared" si="1850"/>
        <v>1224</v>
      </c>
      <c r="DLG45" s="68">
        <f t="shared" si="1851"/>
        <v>204</v>
      </c>
      <c r="DLH45" s="48"/>
      <c r="DLI45" s="49">
        <v>1111</v>
      </c>
      <c r="DLJ45" s="49">
        <v>0</v>
      </c>
      <c r="DLK45" s="49">
        <v>0</v>
      </c>
      <c r="DLL45" s="49"/>
      <c r="DLM45" s="49"/>
      <c r="DLN45" s="64">
        <f t="shared" si="1852"/>
        <v>1111</v>
      </c>
      <c r="DLO45" s="68">
        <f t="shared" si="1853"/>
        <v>185.16666666666666</v>
      </c>
      <c r="DLP45" s="48">
        <v>479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54"/>
        <v>479</v>
      </c>
      <c r="DLW45" s="68">
        <f t="shared" si="1855"/>
        <v>79.833333333333329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56"/>
        <v>0</v>
      </c>
      <c r="DME45" s="68">
        <f t="shared" si="1857"/>
        <v>0</v>
      </c>
      <c r="DMF45" s="48"/>
      <c r="DMG45" s="49"/>
      <c r="DMH45" s="49"/>
      <c r="DMI45" s="49">
        <v>0</v>
      </c>
      <c r="DMJ45" s="49">
        <v>0</v>
      </c>
      <c r="DMK45" s="49">
        <v>320</v>
      </c>
      <c r="DML45" s="64">
        <f t="shared" si="1858"/>
        <v>320</v>
      </c>
      <c r="DMM45" s="68">
        <f t="shared" si="1859"/>
        <v>53.333333333333336</v>
      </c>
      <c r="DMN45" s="48">
        <v>0</v>
      </c>
      <c r="DMO45" s="49"/>
      <c r="DMP45" s="49">
        <v>0</v>
      </c>
      <c r="DMQ45" s="49">
        <v>0</v>
      </c>
      <c r="DMR45" s="49">
        <v>0</v>
      </c>
      <c r="DMS45" s="49">
        <v>0</v>
      </c>
      <c r="DMT45" s="64">
        <f t="shared" si="1860"/>
        <v>0</v>
      </c>
      <c r="DMU45" s="68">
        <f t="shared" si="1861"/>
        <v>0</v>
      </c>
      <c r="DMV45" s="48">
        <v>0</v>
      </c>
      <c r="DMW45" s="49">
        <v>0</v>
      </c>
      <c r="DMX45" s="49">
        <v>110</v>
      </c>
      <c r="DMY45" s="49">
        <v>0</v>
      </c>
      <c r="DMZ45" s="49">
        <v>0</v>
      </c>
      <c r="DNA45" s="49">
        <v>350</v>
      </c>
      <c r="DNB45" s="64">
        <f t="shared" si="1862"/>
        <v>460</v>
      </c>
      <c r="DNC45" s="68">
        <f t="shared" si="1863"/>
        <v>76.666666666666671</v>
      </c>
      <c r="DND45" s="48"/>
      <c r="DNE45" s="49">
        <v>0</v>
      </c>
      <c r="DNF45" s="49">
        <v>468</v>
      </c>
      <c r="DNG45" s="49"/>
      <c r="DNH45" s="49">
        <v>0</v>
      </c>
      <c r="DNI45" s="49"/>
      <c r="DNJ45" s="64">
        <f t="shared" si="1864"/>
        <v>468</v>
      </c>
      <c r="DNK45" s="68">
        <f t="shared" si="1865"/>
        <v>78</v>
      </c>
      <c r="DNL45" s="48"/>
      <c r="DNM45" s="49"/>
      <c r="DNN45" s="49">
        <v>0</v>
      </c>
      <c r="DNO45" s="49">
        <v>330</v>
      </c>
      <c r="DNP45" s="49">
        <v>0</v>
      </c>
      <c r="DNQ45" s="49">
        <v>0</v>
      </c>
      <c r="DNR45" s="64">
        <f t="shared" si="1866"/>
        <v>330</v>
      </c>
      <c r="DNS45" s="68">
        <f t="shared" si="1867"/>
        <v>55</v>
      </c>
      <c r="DNT45" s="48">
        <v>0</v>
      </c>
      <c r="DNU45" s="49"/>
      <c r="DNV45" s="49">
        <v>225</v>
      </c>
      <c r="DNW45" s="49">
        <v>0</v>
      </c>
      <c r="DNX45" s="49">
        <v>160</v>
      </c>
      <c r="DNY45" s="49">
        <v>0</v>
      </c>
      <c r="DNZ45" s="64">
        <f t="shared" si="1868"/>
        <v>385</v>
      </c>
      <c r="DOA45" s="68">
        <f t="shared" si="1869"/>
        <v>64.166666666666671</v>
      </c>
      <c r="DOB45" s="48"/>
      <c r="DOC45" s="49"/>
      <c r="DOD45" s="49">
        <v>0</v>
      </c>
      <c r="DOE45" s="49">
        <v>0</v>
      </c>
      <c r="DOF45" s="49">
        <v>0</v>
      </c>
      <c r="DOG45" s="49">
        <v>0</v>
      </c>
      <c r="DOH45" s="64">
        <f t="shared" si="1870"/>
        <v>0</v>
      </c>
      <c r="DOI45" s="68">
        <f t="shared" si="1871"/>
        <v>0</v>
      </c>
      <c r="DOJ45" s="48"/>
      <c r="DOK45" s="49">
        <v>0</v>
      </c>
      <c r="DOL45" s="49">
        <v>0</v>
      </c>
      <c r="DOM45" s="49"/>
      <c r="DON45" s="49">
        <v>100</v>
      </c>
      <c r="DOO45" s="49">
        <v>0</v>
      </c>
      <c r="DOP45" s="64">
        <f t="shared" si="1872"/>
        <v>100</v>
      </c>
      <c r="DOQ45" s="68">
        <f t="shared" si="1873"/>
        <v>16.666666666666668</v>
      </c>
      <c r="DOR45" s="48">
        <v>0</v>
      </c>
      <c r="DOS45" s="49">
        <v>0</v>
      </c>
      <c r="DOT45" s="49">
        <v>560</v>
      </c>
      <c r="DOU45" s="49">
        <v>0</v>
      </c>
      <c r="DOV45" s="49"/>
      <c r="DOW45" s="49">
        <v>0</v>
      </c>
      <c r="DOX45" s="64">
        <f t="shared" si="1874"/>
        <v>560</v>
      </c>
      <c r="DOY45" s="68">
        <f t="shared" si="1875"/>
        <v>93.333333333333329</v>
      </c>
      <c r="DOZ45" s="48"/>
      <c r="DPA45" s="49">
        <v>1201</v>
      </c>
      <c r="DPB45" s="49"/>
      <c r="DPC45" s="49">
        <v>0</v>
      </c>
      <c r="DPD45" s="49"/>
      <c r="DPE45" s="49">
        <v>1704</v>
      </c>
      <c r="DPF45" s="64">
        <f t="shared" si="1876"/>
        <v>2905</v>
      </c>
      <c r="DPG45" s="68">
        <f t="shared" si="1877"/>
        <v>484.16666666666669</v>
      </c>
      <c r="DPH45" s="48">
        <v>0</v>
      </c>
      <c r="DPI45" s="49"/>
      <c r="DPJ45" s="49">
        <v>0</v>
      </c>
      <c r="DPK45" s="49">
        <v>0</v>
      </c>
      <c r="DPL45" s="49"/>
      <c r="DPM45" s="49"/>
      <c r="DPN45" s="64">
        <f t="shared" si="1878"/>
        <v>0</v>
      </c>
      <c r="DPO45" s="68">
        <f t="shared" si="1879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501</v>
      </c>
      <c r="DPV45" s="491">
        <f t="shared" si="1880"/>
        <v>501</v>
      </c>
      <c r="DPW45" s="492">
        <f t="shared" si="1881"/>
        <v>83.5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82"/>
        <v>0</v>
      </c>
      <c r="DQE45" s="492">
        <f t="shared" si="1883"/>
        <v>0</v>
      </c>
      <c r="DQF45" s="48">
        <v>440</v>
      </c>
      <c r="DQG45" s="49">
        <v>0</v>
      </c>
      <c r="DQH45" s="49"/>
      <c r="DQI45" s="49"/>
      <c r="DQJ45" s="49">
        <v>0</v>
      </c>
      <c r="DQK45" s="49"/>
      <c r="DQL45" s="489">
        <f t="shared" si="1884"/>
        <v>440</v>
      </c>
      <c r="DQM45" s="492">
        <f t="shared" si="1885"/>
        <v>73.333333333333329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886"/>
        <v>0</v>
      </c>
      <c r="DQU45" s="68">
        <f t="shared" si="1887"/>
        <v>0</v>
      </c>
      <c r="DQV45" s="48">
        <v>0</v>
      </c>
      <c r="DQW45" s="49">
        <v>0</v>
      </c>
      <c r="DQX45" s="49"/>
      <c r="DQY45" s="49">
        <v>0</v>
      </c>
      <c r="DQZ45" s="49">
        <v>0</v>
      </c>
      <c r="DRA45" s="49">
        <v>0</v>
      </c>
      <c r="DRB45" s="491">
        <f t="shared" si="1888"/>
        <v>0</v>
      </c>
      <c r="DRC45" s="492">
        <f t="shared" si="1889"/>
        <v>0</v>
      </c>
      <c r="DRD45" s="48">
        <v>160</v>
      </c>
      <c r="DRE45" s="49">
        <v>50</v>
      </c>
      <c r="DRF45" s="49">
        <v>0</v>
      </c>
      <c r="DRG45" s="49">
        <v>0</v>
      </c>
      <c r="DRH45" s="49">
        <v>0</v>
      </c>
      <c r="DRI45" s="49"/>
      <c r="DRJ45" s="491">
        <f t="shared" si="1890"/>
        <v>210</v>
      </c>
      <c r="DRK45" s="492">
        <f t="shared" si="1891"/>
        <v>35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587"/>
        <v>0</v>
      </c>
      <c r="DRS45" s="68">
        <f t="shared" si="1588"/>
        <v>0</v>
      </c>
      <c r="DRT45" s="48">
        <v>240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589"/>
        <v>240</v>
      </c>
      <c r="DSA45" s="68">
        <f t="shared" si="1590"/>
        <v>40</v>
      </c>
      <c r="DSB45" s="82"/>
      <c r="DSC45" s="83">
        <v>616</v>
      </c>
      <c r="DSD45" s="83">
        <v>0</v>
      </c>
      <c r="DSE45" s="83"/>
      <c r="DSF45" s="83">
        <v>202</v>
      </c>
      <c r="DSG45" s="83">
        <v>98</v>
      </c>
      <c r="DSH45" s="64">
        <f t="shared" si="1591"/>
        <v>916</v>
      </c>
      <c r="DSI45" s="68">
        <f t="shared" si="1592"/>
        <v>152.66666666666666</v>
      </c>
      <c r="DSJ45" s="48">
        <v>0</v>
      </c>
      <c r="DSK45" s="49">
        <v>0</v>
      </c>
      <c r="DSL45" s="49">
        <v>399</v>
      </c>
      <c r="DSM45" s="49">
        <v>0</v>
      </c>
      <c r="DSN45" s="49">
        <v>0</v>
      </c>
      <c r="DSO45" s="49">
        <v>0</v>
      </c>
      <c r="DSP45" s="64">
        <f t="shared" si="1593"/>
        <v>399</v>
      </c>
      <c r="DSQ45" s="68">
        <f t="shared" si="1594"/>
        <v>66.5</v>
      </c>
      <c r="DSR45" s="48"/>
      <c r="DSS45" s="49">
        <v>0</v>
      </c>
      <c r="DST45" s="49">
        <v>0</v>
      </c>
      <c r="DSU45" s="49">
        <v>0</v>
      </c>
      <c r="DSV45" s="49">
        <v>923</v>
      </c>
      <c r="DSW45" s="49"/>
      <c r="DSX45" s="64">
        <f t="shared" si="1595"/>
        <v>923</v>
      </c>
      <c r="DSY45" s="68">
        <f t="shared" si="1596"/>
        <v>153.83333333333334</v>
      </c>
      <c r="DSZ45" s="48">
        <v>0</v>
      </c>
      <c r="DTA45" s="49">
        <v>0</v>
      </c>
      <c r="DTB45" s="49">
        <v>0</v>
      </c>
      <c r="DTC45" s="49">
        <v>0</v>
      </c>
      <c r="DTD45" s="49"/>
      <c r="DTE45" s="49">
        <v>0</v>
      </c>
      <c r="DTF45" s="64">
        <f t="shared" si="1597"/>
        <v>0</v>
      </c>
      <c r="DTG45" s="68">
        <f t="shared" si="1598"/>
        <v>0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599"/>
        <v>0</v>
      </c>
      <c r="DTO45" s="68">
        <f t="shared" si="1600"/>
        <v>0</v>
      </c>
      <c r="DTP45" s="48">
        <v>0</v>
      </c>
      <c r="DTQ45" s="49"/>
      <c r="DTR45" s="49"/>
      <c r="DTS45" s="49">
        <v>0</v>
      </c>
      <c r="DTT45" s="49">
        <v>0</v>
      </c>
      <c r="DTU45" s="49">
        <v>0</v>
      </c>
      <c r="DTV45" s="64">
        <f t="shared" si="1601"/>
        <v>0</v>
      </c>
      <c r="DTW45" s="68">
        <f t="shared" si="1602"/>
        <v>0</v>
      </c>
      <c r="DTX45" s="48">
        <v>0</v>
      </c>
      <c r="DTY45" s="49">
        <v>0</v>
      </c>
      <c r="DTZ45" s="49">
        <v>0</v>
      </c>
      <c r="DUA45" s="49">
        <v>400</v>
      </c>
      <c r="DUB45" s="49">
        <v>0</v>
      </c>
      <c r="DUC45" s="49">
        <v>0</v>
      </c>
      <c r="DUD45" s="64">
        <f t="shared" si="1603"/>
        <v>400</v>
      </c>
      <c r="DUE45" s="68">
        <f t="shared" si="1604"/>
        <v>66.666666666666671</v>
      </c>
      <c r="DUF45" s="48">
        <v>84</v>
      </c>
      <c r="DUG45" s="49">
        <v>917</v>
      </c>
      <c r="DUH45" s="49"/>
      <c r="DUI45" s="49">
        <v>0</v>
      </c>
      <c r="DUJ45" s="49">
        <v>0</v>
      </c>
      <c r="DUK45" s="49">
        <v>500</v>
      </c>
      <c r="DUL45" s="64">
        <f t="shared" si="1605"/>
        <v>1501</v>
      </c>
      <c r="DUM45" s="68">
        <f t="shared" si="1606"/>
        <v>250.16666666666666</v>
      </c>
      <c r="DUN45" s="48"/>
      <c r="DUO45" s="49">
        <v>560</v>
      </c>
      <c r="DUP45" s="49">
        <v>0</v>
      </c>
      <c r="DUQ45" s="49">
        <v>0</v>
      </c>
      <c r="DUR45" s="49"/>
      <c r="DUS45" s="49">
        <v>0</v>
      </c>
      <c r="DUT45" s="64">
        <f t="shared" si="1607"/>
        <v>560</v>
      </c>
      <c r="DUU45" s="68">
        <f t="shared" si="1608"/>
        <v>93.333333333333329</v>
      </c>
      <c r="DUV45" s="48"/>
      <c r="DUW45" s="49">
        <v>0</v>
      </c>
      <c r="DUX45" s="49">
        <v>840</v>
      </c>
      <c r="DUY45" s="49">
        <v>0</v>
      </c>
      <c r="DUZ45" s="49">
        <v>0</v>
      </c>
      <c r="DVA45" s="49">
        <v>0</v>
      </c>
      <c r="DVB45" s="64">
        <f t="shared" si="1609"/>
        <v>840</v>
      </c>
      <c r="DVC45" s="68">
        <f t="shared" si="1610"/>
        <v>140</v>
      </c>
      <c r="DVD45" s="48"/>
      <c r="DVE45" s="49">
        <v>0</v>
      </c>
      <c r="DVF45" s="49">
        <v>672</v>
      </c>
      <c r="DVG45" s="49">
        <v>323</v>
      </c>
      <c r="DVH45" s="49">
        <v>821</v>
      </c>
      <c r="DVI45" s="49">
        <v>819</v>
      </c>
      <c r="DVJ45" s="64">
        <f t="shared" si="1611"/>
        <v>2635</v>
      </c>
      <c r="DVK45" s="68">
        <f t="shared" si="1612"/>
        <v>439.16666666666669</v>
      </c>
      <c r="DVL45" s="48"/>
      <c r="DVM45" s="49">
        <v>200</v>
      </c>
      <c r="DVN45" s="49">
        <v>399</v>
      </c>
      <c r="DVO45" s="49">
        <v>0</v>
      </c>
      <c r="DVP45" s="49">
        <v>629</v>
      </c>
      <c r="DVQ45" s="49">
        <v>598</v>
      </c>
      <c r="DVR45" s="64">
        <f t="shared" si="1613"/>
        <v>1826</v>
      </c>
      <c r="DVS45" s="68">
        <f t="shared" si="1614"/>
        <v>304.33333333333331</v>
      </c>
      <c r="DVT45" s="48"/>
      <c r="DVU45" s="49">
        <v>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15"/>
        <v>0</v>
      </c>
      <c r="DWA45" s="68">
        <f t="shared" si="1616"/>
        <v>0</v>
      </c>
      <c r="DWB45" s="48">
        <v>1000</v>
      </c>
      <c r="DWC45" s="49">
        <v>1007</v>
      </c>
      <c r="DWD45" s="49">
        <v>0</v>
      </c>
      <c r="DWE45" s="49">
        <v>400</v>
      </c>
      <c r="DWF45" s="49">
        <v>561</v>
      </c>
      <c r="DWG45" s="49"/>
      <c r="DWH45" s="64">
        <f t="shared" si="1617"/>
        <v>2968</v>
      </c>
      <c r="DWI45" s="68">
        <f t="shared" si="1618"/>
        <v>494.66666666666669</v>
      </c>
      <c r="DWJ45" s="48">
        <v>0</v>
      </c>
      <c r="DWK45" s="49">
        <v>0</v>
      </c>
      <c r="DWL45" s="49">
        <v>0</v>
      </c>
      <c r="DWM45" s="49">
        <v>1658</v>
      </c>
      <c r="DWN45" s="49">
        <v>0</v>
      </c>
      <c r="DWO45" s="49">
        <v>0</v>
      </c>
      <c r="DWP45" s="64">
        <f t="shared" si="1619"/>
        <v>1658</v>
      </c>
      <c r="DWQ45" s="68">
        <f t="shared" si="1620"/>
        <v>276.33333333333331</v>
      </c>
      <c r="DWR45" s="48">
        <v>0</v>
      </c>
      <c r="DWS45" s="49"/>
      <c r="DWT45" s="49">
        <v>0</v>
      </c>
      <c r="DWU45" s="49">
        <v>1203</v>
      </c>
      <c r="DWV45" s="49">
        <v>255</v>
      </c>
      <c r="DWW45" s="49">
        <v>40</v>
      </c>
      <c r="DWX45" s="64">
        <f t="shared" si="1621"/>
        <v>1498</v>
      </c>
      <c r="DWY45" s="68">
        <f t="shared" si="1622"/>
        <v>249.66666666666666</v>
      </c>
      <c r="DWZ45" s="48">
        <v>1000</v>
      </c>
      <c r="DXA45" s="49">
        <v>0</v>
      </c>
      <c r="DXB45" s="49"/>
      <c r="DXC45" s="49">
        <v>0</v>
      </c>
      <c r="DXD45" s="49"/>
      <c r="DXE45" s="49">
        <v>598</v>
      </c>
      <c r="DXF45" s="64">
        <f t="shared" si="1623"/>
        <v>1598</v>
      </c>
      <c r="DXG45" s="68">
        <f t="shared" si="1624"/>
        <v>266.33333333333331</v>
      </c>
      <c r="DXH45" s="48">
        <v>0</v>
      </c>
      <c r="DXI45" s="49">
        <v>499</v>
      </c>
      <c r="DXJ45" s="49">
        <v>500</v>
      </c>
      <c r="DXK45" s="49">
        <v>0</v>
      </c>
      <c r="DXL45" s="49">
        <v>902</v>
      </c>
      <c r="DXM45" s="49">
        <v>800</v>
      </c>
      <c r="DXN45" s="64">
        <f t="shared" si="1625"/>
        <v>2701</v>
      </c>
      <c r="DXO45" s="68">
        <f t="shared" si="1626"/>
        <v>450.16666666666669</v>
      </c>
      <c r="DXP45" s="48">
        <v>0</v>
      </c>
      <c r="DXQ45" s="49">
        <v>0</v>
      </c>
      <c r="DXR45" s="49">
        <v>0</v>
      </c>
      <c r="DXS45" s="49">
        <v>299</v>
      </c>
      <c r="DXT45" s="49">
        <v>0</v>
      </c>
      <c r="DXU45" s="49">
        <v>1298</v>
      </c>
      <c r="DXV45" s="64">
        <f t="shared" si="1320"/>
        <v>1597</v>
      </c>
      <c r="DXW45" s="68">
        <f t="shared" si="1321"/>
        <v>266.16666666666669</v>
      </c>
      <c r="DXX45" s="48">
        <v>0</v>
      </c>
      <c r="DXY45" s="49">
        <v>0</v>
      </c>
      <c r="DXZ45" s="49">
        <v>960</v>
      </c>
      <c r="DYA45" s="49">
        <v>0</v>
      </c>
      <c r="DYB45" s="49">
        <v>0</v>
      </c>
      <c r="DYC45" s="49">
        <v>22</v>
      </c>
      <c r="DYD45" s="64">
        <f t="shared" si="1322"/>
        <v>982</v>
      </c>
      <c r="DYE45" s="68">
        <f t="shared" si="1323"/>
        <v>163.66666666666666</v>
      </c>
      <c r="DYF45" s="48">
        <v>600</v>
      </c>
      <c r="DYG45" s="49">
        <v>600</v>
      </c>
      <c r="DYH45" s="49">
        <v>471</v>
      </c>
      <c r="DYI45" s="49">
        <v>0</v>
      </c>
      <c r="DYJ45" s="49">
        <v>0</v>
      </c>
      <c r="DYK45" s="49"/>
      <c r="DYL45" s="64">
        <f t="shared" si="1324"/>
        <v>1671</v>
      </c>
      <c r="DYM45" s="68">
        <f t="shared" si="1325"/>
        <v>278.5</v>
      </c>
      <c r="DYN45" s="48">
        <v>810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26"/>
        <v>810</v>
      </c>
      <c r="DYU45" s="68">
        <f t="shared" si="1327"/>
        <v>135</v>
      </c>
      <c r="DYV45" s="48">
        <v>0</v>
      </c>
      <c r="DYW45" s="49">
        <v>0</v>
      </c>
      <c r="DYX45" s="49">
        <v>0</v>
      </c>
      <c r="DYY45" s="49">
        <v>100</v>
      </c>
      <c r="DYZ45" s="49">
        <v>1208</v>
      </c>
      <c r="DZA45" s="49">
        <v>0</v>
      </c>
      <c r="DZB45" s="64">
        <f t="shared" si="1328"/>
        <v>1308</v>
      </c>
      <c r="DZC45" s="68">
        <f t="shared" si="1329"/>
        <v>218</v>
      </c>
      <c r="DZD45" s="48">
        <v>0</v>
      </c>
      <c r="DZE45" s="49">
        <v>407</v>
      </c>
      <c r="DZF45" s="49">
        <v>0</v>
      </c>
      <c r="DZG45" s="49">
        <v>600</v>
      </c>
      <c r="DZH45" s="49">
        <v>0</v>
      </c>
      <c r="DZI45" s="49">
        <v>0</v>
      </c>
      <c r="DZJ45" s="64">
        <f t="shared" si="1330"/>
        <v>1007</v>
      </c>
      <c r="DZK45" s="68">
        <f t="shared" si="1331"/>
        <v>167.83333333333334</v>
      </c>
      <c r="DZL45" s="48">
        <v>662</v>
      </c>
      <c r="DZM45" s="49">
        <v>631</v>
      </c>
      <c r="DZN45" s="49"/>
      <c r="DZO45" s="49">
        <v>0</v>
      </c>
      <c r="DZP45" s="49">
        <v>300</v>
      </c>
      <c r="DZQ45" s="49">
        <v>1020</v>
      </c>
      <c r="DZR45" s="64">
        <f t="shared" si="1332"/>
        <v>2613</v>
      </c>
      <c r="DZS45" s="68">
        <f t="shared" si="1333"/>
        <v>435.5</v>
      </c>
      <c r="DZT45" s="48">
        <v>0</v>
      </c>
      <c r="DZU45" s="49">
        <v>0</v>
      </c>
      <c r="DZV45" s="49"/>
      <c r="DZW45" s="49">
        <v>0</v>
      </c>
      <c r="DZX45" s="49">
        <v>899</v>
      </c>
      <c r="DZY45" s="49"/>
      <c r="DZZ45" s="64">
        <f t="shared" si="1334"/>
        <v>899</v>
      </c>
      <c r="EAA45" s="68">
        <f t="shared" si="1335"/>
        <v>149.83333333333334</v>
      </c>
      <c r="EAB45" s="48"/>
      <c r="EAC45" s="49">
        <v>300</v>
      </c>
      <c r="EAD45" s="49">
        <v>801</v>
      </c>
      <c r="EAE45" s="49"/>
      <c r="EAF45" s="49">
        <v>0</v>
      </c>
      <c r="EAG45" s="49">
        <v>0</v>
      </c>
      <c r="EAH45" s="64">
        <f t="shared" si="1336"/>
        <v>1101</v>
      </c>
      <c r="EAI45" s="68">
        <f t="shared" si="1337"/>
        <v>183.5</v>
      </c>
      <c r="EAJ45" s="48">
        <v>0</v>
      </c>
      <c r="EAK45" s="49"/>
      <c r="EAL45" s="49"/>
      <c r="EAM45" s="49">
        <v>901</v>
      </c>
      <c r="EAN45" s="49">
        <v>0</v>
      </c>
      <c r="EAO45" s="49">
        <v>0</v>
      </c>
      <c r="EAP45" s="64">
        <f t="shared" si="1338"/>
        <v>901</v>
      </c>
      <c r="EAQ45" s="68">
        <f t="shared" si="1339"/>
        <v>150.16666666666666</v>
      </c>
      <c r="EAR45" s="48">
        <v>650</v>
      </c>
      <c r="EAS45" s="49">
        <v>346</v>
      </c>
      <c r="EAT45" s="49">
        <v>0</v>
      </c>
      <c r="EAU45" s="49">
        <v>697</v>
      </c>
      <c r="EAV45" s="49">
        <v>0</v>
      </c>
      <c r="EAW45" s="49"/>
      <c r="EAX45" s="64">
        <f t="shared" si="1340"/>
        <v>1693</v>
      </c>
      <c r="EAY45" s="68">
        <f t="shared" si="1341"/>
        <v>282.16666666666669</v>
      </c>
      <c r="EAZ45" s="48">
        <v>500</v>
      </c>
      <c r="EBA45" s="49"/>
      <c r="EBB45" s="49">
        <v>0</v>
      </c>
      <c r="EBC45" s="49">
        <v>2500</v>
      </c>
      <c r="EBD45" s="49">
        <v>254</v>
      </c>
      <c r="EBE45" s="49">
        <v>1150</v>
      </c>
      <c r="EBF45" s="64">
        <f t="shared" si="1342"/>
        <v>4404</v>
      </c>
      <c r="EBG45" s="68">
        <f t="shared" si="1343"/>
        <v>734</v>
      </c>
      <c r="EBH45" s="48">
        <v>512</v>
      </c>
      <c r="EBI45" s="49">
        <v>0</v>
      </c>
      <c r="EBJ45" s="49">
        <v>400</v>
      </c>
      <c r="EBK45" s="49">
        <v>1219</v>
      </c>
      <c r="EBL45" s="49">
        <v>329</v>
      </c>
      <c r="EBM45" s="49">
        <v>201</v>
      </c>
      <c r="EBN45" s="64">
        <f t="shared" si="1344"/>
        <v>2661</v>
      </c>
      <c r="EBO45" s="68">
        <f t="shared" si="1345"/>
        <v>443.5</v>
      </c>
      <c r="EBP45" s="48">
        <v>981</v>
      </c>
      <c r="EBQ45" s="49">
        <v>0</v>
      </c>
      <c r="EBR45" s="49"/>
      <c r="EBS45" s="49">
        <v>945</v>
      </c>
      <c r="EBT45" s="49"/>
      <c r="EBU45" s="49"/>
      <c r="EBV45" s="64">
        <f t="shared" si="1346"/>
        <v>1926</v>
      </c>
      <c r="EBW45" s="68">
        <f t="shared" si="1347"/>
        <v>321</v>
      </c>
      <c r="EBX45" s="48">
        <v>1000</v>
      </c>
      <c r="EBY45" s="49"/>
      <c r="EBZ45" s="49">
        <v>1623</v>
      </c>
      <c r="ECA45" s="49"/>
      <c r="ECB45" s="49">
        <v>0</v>
      </c>
      <c r="ECC45" s="49">
        <v>970</v>
      </c>
      <c r="ECD45" s="64">
        <f t="shared" si="1348"/>
        <v>3593</v>
      </c>
      <c r="ECE45" s="68">
        <f t="shared" si="1349"/>
        <v>598.83333333333337</v>
      </c>
      <c r="ECF45" s="48">
        <v>0</v>
      </c>
      <c r="ECG45" s="49"/>
      <c r="ECH45" s="49">
        <v>500</v>
      </c>
      <c r="ECI45" s="49">
        <v>830</v>
      </c>
      <c r="ECJ45" s="49">
        <v>0</v>
      </c>
      <c r="ECK45" s="49"/>
      <c r="ECL45" s="64">
        <f t="shared" si="1350"/>
        <v>1330</v>
      </c>
      <c r="ECM45" s="68">
        <f t="shared" si="1351"/>
        <v>221.66666666666666</v>
      </c>
      <c r="ECN45" s="48">
        <v>1100</v>
      </c>
      <c r="ECO45" s="49">
        <v>500</v>
      </c>
      <c r="ECP45" s="49">
        <v>0</v>
      </c>
      <c r="ECQ45" s="49"/>
      <c r="ECR45" s="49">
        <v>0</v>
      </c>
      <c r="ECS45" s="49">
        <v>2019</v>
      </c>
      <c r="ECT45" s="64">
        <f t="shared" si="1352"/>
        <v>3619</v>
      </c>
      <c r="ECU45" s="68">
        <f t="shared" si="1353"/>
        <v>603.16666666666663</v>
      </c>
      <c r="ECV45" s="48">
        <v>0</v>
      </c>
      <c r="ECW45" s="49">
        <v>0</v>
      </c>
      <c r="ECX45" s="49">
        <v>1393</v>
      </c>
      <c r="ECY45" s="49">
        <v>450</v>
      </c>
      <c r="ECZ45" s="49"/>
      <c r="EDA45" s="49"/>
      <c r="EDB45" s="64">
        <f t="shared" si="1354"/>
        <v>1843</v>
      </c>
      <c r="EDC45" s="68">
        <f t="shared" si="1355"/>
        <v>307.16666666666669</v>
      </c>
      <c r="EDD45" s="48"/>
      <c r="EDE45" s="49">
        <v>599</v>
      </c>
      <c r="EDF45" s="49">
        <v>0</v>
      </c>
      <c r="EDG45" s="49">
        <v>0</v>
      </c>
      <c r="EDH45" s="49"/>
      <c r="EDI45" s="49"/>
      <c r="EDJ45" s="64">
        <f t="shared" si="1356"/>
        <v>599</v>
      </c>
      <c r="EDK45" s="68">
        <f t="shared" si="1357"/>
        <v>99.833333333333329</v>
      </c>
      <c r="EDL45" s="48">
        <v>1300</v>
      </c>
      <c r="EDM45" s="49">
        <v>746</v>
      </c>
      <c r="EDN45" s="49"/>
      <c r="EDO45" s="49">
        <v>0</v>
      </c>
      <c r="EDP45" s="49">
        <v>100</v>
      </c>
      <c r="EDQ45" s="49">
        <v>599</v>
      </c>
      <c r="EDR45" s="64">
        <f t="shared" si="1358"/>
        <v>2745</v>
      </c>
      <c r="EDS45" s="68">
        <f t="shared" si="1359"/>
        <v>457.5</v>
      </c>
      <c r="EDT45" s="48">
        <v>299</v>
      </c>
      <c r="EDU45" s="49">
        <v>849</v>
      </c>
      <c r="EDV45" s="49"/>
      <c r="EDW45" s="49">
        <v>0</v>
      </c>
      <c r="EDX45" s="49">
        <v>0</v>
      </c>
      <c r="EDY45" s="49"/>
      <c r="EDZ45" s="64">
        <f t="shared" si="1360"/>
        <v>1148</v>
      </c>
      <c r="EEA45" s="68">
        <f t="shared" si="1361"/>
        <v>191.33333333333334</v>
      </c>
      <c r="EEB45" s="48">
        <v>220</v>
      </c>
      <c r="EEC45" s="49">
        <v>0</v>
      </c>
      <c r="EED45" s="49">
        <v>0</v>
      </c>
      <c r="EEE45" s="49">
        <v>895</v>
      </c>
      <c r="EEF45" s="49">
        <v>0</v>
      </c>
      <c r="EEG45" s="49"/>
      <c r="EEH45" s="64">
        <f t="shared" si="1362"/>
        <v>1115</v>
      </c>
      <c r="EEI45" s="68">
        <f t="shared" si="1363"/>
        <v>185.83333333333334</v>
      </c>
      <c r="EEJ45" s="48">
        <v>1400</v>
      </c>
      <c r="EEK45" s="49">
        <v>79</v>
      </c>
      <c r="EEL45" s="49">
        <v>0</v>
      </c>
      <c r="EEM45" s="49">
        <v>0</v>
      </c>
      <c r="EEN45" s="49">
        <v>603</v>
      </c>
      <c r="EEO45" s="49">
        <v>0</v>
      </c>
      <c r="EEP45" s="64">
        <f t="shared" si="1364"/>
        <v>2082</v>
      </c>
      <c r="EEQ45" s="68">
        <f t="shared" si="1365"/>
        <v>347</v>
      </c>
      <c r="EER45" s="48">
        <v>1678</v>
      </c>
      <c r="EES45" s="49">
        <v>0</v>
      </c>
      <c r="EET45" s="49">
        <v>0</v>
      </c>
      <c r="EEU45" s="49">
        <v>3611</v>
      </c>
      <c r="EEV45" s="49">
        <v>0</v>
      </c>
      <c r="EEW45" s="49"/>
      <c r="EEX45" s="64">
        <f t="shared" si="1366"/>
        <v>5289</v>
      </c>
      <c r="EEY45" s="68">
        <f t="shared" si="1367"/>
        <v>881.5</v>
      </c>
      <c r="EEZ45" s="48">
        <v>0</v>
      </c>
      <c r="EFA45" s="49"/>
      <c r="EFB45" s="49">
        <v>398</v>
      </c>
      <c r="EFC45" s="49">
        <v>0</v>
      </c>
      <c r="EFD45" s="49">
        <v>0</v>
      </c>
      <c r="EFE45" s="49">
        <v>214</v>
      </c>
      <c r="EFF45" s="64">
        <f t="shared" si="1368"/>
        <v>612</v>
      </c>
      <c r="EFG45" s="68">
        <f t="shared" si="1369"/>
        <v>102</v>
      </c>
      <c r="EFH45" s="48">
        <v>1404</v>
      </c>
      <c r="EFI45" s="49">
        <v>1854</v>
      </c>
      <c r="EFJ45" s="49">
        <v>1300</v>
      </c>
      <c r="EFK45" s="49">
        <v>1122</v>
      </c>
      <c r="EFL45" s="49">
        <v>1269</v>
      </c>
      <c r="EFM45" s="49">
        <v>259</v>
      </c>
      <c r="EFN45" s="64">
        <f t="shared" si="1370"/>
        <v>7208</v>
      </c>
      <c r="EFO45" s="68">
        <f t="shared" si="1371"/>
        <v>1201.3333333333333</v>
      </c>
      <c r="EFP45" s="48"/>
      <c r="EFQ45" s="49"/>
      <c r="EFR45" s="49"/>
      <c r="EFS45" s="49">
        <v>1452</v>
      </c>
      <c r="EFT45" s="49">
        <v>1448</v>
      </c>
      <c r="EFU45" s="49">
        <v>0</v>
      </c>
      <c r="EFV45" s="64">
        <f t="shared" si="1372"/>
        <v>2900</v>
      </c>
      <c r="EFW45" s="68">
        <f t="shared" si="1373"/>
        <v>483.33333333333331</v>
      </c>
      <c r="EFX45" s="48">
        <v>0</v>
      </c>
      <c r="EFY45" s="49">
        <v>0</v>
      </c>
      <c r="EFZ45" s="49"/>
      <c r="EGA45" s="49">
        <v>625</v>
      </c>
      <c r="EGB45" s="49">
        <v>0</v>
      </c>
      <c r="EGC45" s="49">
        <v>786</v>
      </c>
      <c r="EGD45" s="64">
        <f t="shared" si="1374"/>
        <v>1411</v>
      </c>
      <c r="EGE45" s="68">
        <f t="shared" si="1375"/>
        <v>235.16666666666666</v>
      </c>
      <c r="EGF45" s="48">
        <v>0</v>
      </c>
      <c r="EGG45" s="49">
        <v>0</v>
      </c>
      <c r="EGH45" s="49"/>
      <c r="EGI45" s="49">
        <v>0</v>
      </c>
      <c r="EGJ45" s="49">
        <v>0</v>
      </c>
      <c r="EGK45" s="49">
        <v>0</v>
      </c>
      <c r="EGL45" s="64">
        <f t="shared" si="1376"/>
        <v>0</v>
      </c>
      <c r="EGM45" s="68">
        <f t="shared" si="1377"/>
        <v>0</v>
      </c>
      <c r="EGN45" s="48">
        <v>0</v>
      </c>
      <c r="EGO45" s="49">
        <v>0</v>
      </c>
      <c r="EGP45" s="49"/>
      <c r="EGQ45" s="49">
        <v>0</v>
      </c>
      <c r="EGR45" s="49">
        <v>500</v>
      </c>
      <c r="EGS45" s="49">
        <v>500</v>
      </c>
      <c r="EGT45" s="64">
        <f t="shared" si="1378"/>
        <v>1000</v>
      </c>
      <c r="EGU45" s="68">
        <f t="shared" si="1379"/>
        <v>166.66666666666666</v>
      </c>
      <c r="EGV45" s="48">
        <v>441</v>
      </c>
      <c r="EGW45" s="49">
        <v>0</v>
      </c>
      <c r="EGX45" s="49">
        <v>0</v>
      </c>
      <c r="EGY45" s="49">
        <v>410</v>
      </c>
      <c r="EGZ45" s="49">
        <v>400</v>
      </c>
      <c r="EHA45" s="49">
        <v>0</v>
      </c>
      <c r="EHB45" s="64">
        <f t="shared" si="1380"/>
        <v>1251</v>
      </c>
      <c r="EHC45" s="68">
        <f t="shared" si="1381"/>
        <v>208.5</v>
      </c>
      <c r="EHD45" s="48">
        <v>0</v>
      </c>
      <c r="EHE45" s="49">
        <v>1201</v>
      </c>
      <c r="EHF45" s="49"/>
      <c r="EHG45" s="49">
        <v>799</v>
      </c>
      <c r="EHH45" s="49">
        <v>0</v>
      </c>
      <c r="EHI45" s="49">
        <v>0</v>
      </c>
      <c r="EHJ45" s="64">
        <f t="shared" si="1382"/>
        <v>2000</v>
      </c>
      <c r="EHK45" s="68">
        <f t="shared" si="1383"/>
        <v>333.33333333333331</v>
      </c>
      <c r="EHL45" s="48">
        <v>2200</v>
      </c>
      <c r="EHM45" s="49">
        <v>38</v>
      </c>
      <c r="EHN45" s="49"/>
      <c r="EHO45" s="49">
        <v>0</v>
      </c>
      <c r="EHP45" s="49">
        <v>800</v>
      </c>
      <c r="EHQ45" s="49">
        <v>1000</v>
      </c>
      <c r="EHR45" s="64">
        <f t="shared" si="1384"/>
        <v>4038</v>
      </c>
      <c r="EHS45" s="68">
        <f t="shared" si="1385"/>
        <v>673</v>
      </c>
      <c r="EHT45" s="48">
        <v>0</v>
      </c>
      <c r="EHU45" s="49">
        <v>299</v>
      </c>
      <c r="EHV45" s="49">
        <v>389</v>
      </c>
      <c r="EHW45" s="49">
        <v>300</v>
      </c>
      <c r="EHX45" s="49">
        <v>0</v>
      </c>
      <c r="EHY45" s="49">
        <v>1171</v>
      </c>
      <c r="EHZ45" s="64">
        <f t="shared" si="1386"/>
        <v>2159</v>
      </c>
      <c r="EIA45" s="68">
        <f t="shared" si="1387"/>
        <v>359.83333333333331</v>
      </c>
      <c r="EIB45" s="48">
        <v>1744</v>
      </c>
      <c r="EIC45" s="49">
        <v>0</v>
      </c>
      <c r="EID45" s="49">
        <v>0</v>
      </c>
      <c r="EIE45" s="49">
        <v>883</v>
      </c>
      <c r="EIF45" s="49">
        <v>19</v>
      </c>
      <c r="EIG45" s="49">
        <v>0</v>
      </c>
      <c r="EIH45" s="64">
        <f t="shared" si="1388"/>
        <v>2646</v>
      </c>
      <c r="EII45" s="68">
        <f t="shared" si="1389"/>
        <v>441</v>
      </c>
      <c r="EIJ45" s="48">
        <v>0</v>
      </c>
      <c r="EIK45" s="49">
        <v>50</v>
      </c>
      <c r="EIL45" s="49">
        <v>1313</v>
      </c>
      <c r="EIM45" s="49">
        <v>0</v>
      </c>
      <c r="EIN45" s="49">
        <v>0</v>
      </c>
      <c r="EIO45" s="49">
        <v>1494</v>
      </c>
      <c r="EIP45" s="64">
        <f t="shared" si="1390"/>
        <v>2857</v>
      </c>
      <c r="EIQ45" s="68">
        <f t="shared" si="1391"/>
        <v>476.16666666666669</v>
      </c>
      <c r="EIR45" s="48">
        <v>129</v>
      </c>
      <c r="EIS45" s="49">
        <v>0</v>
      </c>
      <c r="EIT45" s="49">
        <v>0</v>
      </c>
      <c r="EIU45" s="49">
        <v>0</v>
      </c>
      <c r="EIV45" s="49">
        <v>843</v>
      </c>
      <c r="EIW45" s="49">
        <v>0</v>
      </c>
      <c r="EIX45" s="64">
        <f t="shared" si="1392"/>
        <v>972</v>
      </c>
      <c r="EIY45" s="68">
        <f t="shared" si="1393"/>
        <v>162</v>
      </c>
      <c r="EIZ45" s="48">
        <v>0</v>
      </c>
      <c r="EJA45" s="49">
        <v>0</v>
      </c>
      <c r="EJB45" s="49">
        <v>847</v>
      </c>
      <c r="EJC45" s="49">
        <v>800</v>
      </c>
      <c r="EJD45" s="49">
        <v>401</v>
      </c>
      <c r="EJE45" s="49">
        <v>0</v>
      </c>
      <c r="EJF45" s="64">
        <f t="shared" si="1394"/>
        <v>2048</v>
      </c>
      <c r="EJG45" s="68">
        <f t="shared" si="1395"/>
        <v>341.33333333333331</v>
      </c>
      <c r="EJH45" s="48">
        <v>720</v>
      </c>
      <c r="EJI45" s="49">
        <v>480</v>
      </c>
      <c r="EJJ45" s="49"/>
      <c r="EJK45" s="49">
        <v>0</v>
      </c>
      <c r="EJL45" s="49"/>
      <c r="EJM45" s="49"/>
      <c r="EJN45" s="64">
        <f t="shared" si="1396"/>
        <v>1200</v>
      </c>
      <c r="EJO45" s="68">
        <f t="shared" si="1397"/>
        <v>200</v>
      </c>
      <c r="EJP45" s="48">
        <v>1086</v>
      </c>
      <c r="EJQ45" s="49">
        <v>0</v>
      </c>
      <c r="EJR45" s="49">
        <v>0</v>
      </c>
      <c r="EJS45" s="49">
        <v>1199</v>
      </c>
      <c r="EJT45" s="49">
        <v>0</v>
      </c>
      <c r="EJU45" s="49">
        <v>0</v>
      </c>
      <c r="EJV45" s="64">
        <f t="shared" si="1398"/>
        <v>2285</v>
      </c>
      <c r="EJW45" s="68">
        <f t="shared" si="1399"/>
        <v>380.83333333333331</v>
      </c>
      <c r="EJX45" s="48">
        <v>361</v>
      </c>
      <c r="EJY45" s="49">
        <v>785</v>
      </c>
      <c r="EJZ45" s="49">
        <v>0</v>
      </c>
      <c r="EKA45" s="49"/>
      <c r="EKB45" s="49">
        <v>1046</v>
      </c>
      <c r="EKC45" s="49"/>
      <c r="EKD45" s="64">
        <f t="shared" si="1400"/>
        <v>2192</v>
      </c>
      <c r="EKE45" s="68">
        <f t="shared" si="1401"/>
        <v>365.33333333333331</v>
      </c>
      <c r="EKF45" s="48">
        <v>0</v>
      </c>
      <c r="EKG45" s="49">
        <v>0</v>
      </c>
      <c r="EKH45" s="49">
        <v>0</v>
      </c>
      <c r="EKI45" s="49"/>
      <c r="EKJ45" s="49">
        <v>0</v>
      </c>
      <c r="EKK45" s="49">
        <v>0</v>
      </c>
      <c r="EKL45" s="64">
        <f t="shared" si="1402"/>
        <v>0</v>
      </c>
      <c r="EKM45" s="68">
        <f t="shared" si="1403"/>
        <v>0</v>
      </c>
      <c r="EKN45" s="48">
        <v>990</v>
      </c>
      <c r="EKO45" s="49">
        <v>0</v>
      </c>
      <c r="EKP45" s="49">
        <v>0</v>
      </c>
      <c r="EKQ45" s="49">
        <v>0</v>
      </c>
      <c r="EKR45" s="49">
        <v>797</v>
      </c>
      <c r="EKS45" s="49">
        <v>0</v>
      </c>
      <c r="EKT45" s="64">
        <f t="shared" si="1404"/>
        <v>1787</v>
      </c>
      <c r="EKU45" s="184">
        <f t="shared" si="1405"/>
        <v>297.83333333333331</v>
      </c>
      <c r="EKV45" s="665"/>
      <c r="EKW45" s="195">
        <v>1121</v>
      </c>
      <c r="EKX45" s="49">
        <v>0</v>
      </c>
      <c r="EKY45" s="49">
        <v>599</v>
      </c>
      <c r="EKZ45" s="49">
        <v>0</v>
      </c>
      <c r="ELA45" s="49">
        <v>0</v>
      </c>
      <c r="ELB45" s="49">
        <v>0</v>
      </c>
      <c r="ELC45" s="64">
        <f t="shared" si="1406"/>
        <v>1720</v>
      </c>
      <c r="ELD45" s="211">
        <f t="shared" si="1407"/>
        <v>286.66666666666669</v>
      </c>
      <c r="ELE45" s="195">
        <v>0</v>
      </c>
      <c r="ELF45" s="49">
        <v>0</v>
      </c>
      <c r="ELG45" s="49">
        <v>0</v>
      </c>
      <c r="ELH45" s="49">
        <v>234</v>
      </c>
      <c r="ELI45" s="49">
        <v>1344</v>
      </c>
      <c r="ELJ45" s="49">
        <v>399</v>
      </c>
      <c r="ELK45" s="64">
        <f t="shared" si="1408"/>
        <v>1977</v>
      </c>
      <c r="ELL45" s="211">
        <f t="shared" si="1409"/>
        <v>329.5</v>
      </c>
      <c r="ELM45" s="195">
        <v>0</v>
      </c>
      <c r="ELN45" s="49">
        <v>925</v>
      </c>
      <c r="ELO45" s="49">
        <v>1482</v>
      </c>
      <c r="ELP45" s="49">
        <v>144</v>
      </c>
      <c r="ELQ45" s="49">
        <v>204</v>
      </c>
      <c r="ELR45" s="49">
        <v>2651</v>
      </c>
      <c r="ELS45" s="64">
        <f t="shared" si="1410"/>
        <v>5406</v>
      </c>
      <c r="ELT45" s="211">
        <f t="shared" si="1411"/>
        <v>901</v>
      </c>
      <c r="ELU45" s="195">
        <v>638</v>
      </c>
      <c r="ELV45" s="49">
        <v>0</v>
      </c>
      <c r="ELW45" s="49">
        <v>0</v>
      </c>
      <c r="ELX45" s="49">
        <v>0</v>
      </c>
      <c r="ELY45" s="49">
        <v>1159</v>
      </c>
      <c r="ELZ45" s="49">
        <v>0</v>
      </c>
      <c r="EMA45" s="64">
        <f t="shared" si="1412"/>
        <v>1797</v>
      </c>
      <c r="EMB45" s="211">
        <f t="shared" si="1413"/>
        <v>299.5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14"/>
        <v>0</v>
      </c>
      <c r="EMJ45" s="211">
        <f t="shared" si="1415"/>
        <v>0</v>
      </c>
      <c r="EMK45" s="195">
        <v>1779</v>
      </c>
      <c r="EML45" s="49">
        <v>242</v>
      </c>
      <c r="EMM45" s="49">
        <v>0</v>
      </c>
      <c r="EMN45" s="49">
        <v>0</v>
      </c>
      <c r="EMO45" s="49">
        <v>1215</v>
      </c>
      <c r="EMP45" s="49">
        <v>0</v>
      </c>
      <c r="EMQ45" s="64">
        <f t="shared" si="1416"/>
        <v>3236</v>
      </c>
      <c r="EMR45" s="211">
        <f t="shared" si="1417"/>
        <v>539.33333333333337</v>
      </c>
      <c r="EMS45" s="195">
        <v>0</v>
      </c>
      <c r="EMT45" s="49">
        <v>0</v>
      </c>
      <c r="EMU45" s="49">
        <v>599</v>
      </c>
      <c r="EMV45" s="49">
        <v>0</v>
      </c>
      <c r="EMW45" s="49">
        <v>880</v>
      </c>
      <c r="EMX45" s="49">
        <v>0</v>
      </c>
      <c r="EMY45" s="64">
        <f t="shared" si="1418"/>
        <v>1479</v>
      </c>
      <c r="EMZ45" s="211">
        <f t="shared" si="1419"/>
        <v>246.5</v>
      </c>
      <c r="ENA45" s="195">
        <v>0</v>
      </c>
      <c r="ENB45" s="49">
        <v>498</v>
      </c>
      <c r="ENC45" s="49">
        <v>0</v>
      </c>
      <c r="END45" s="49">
        <v>0</v>
      </c>
      <c r="ENE45" s="49">
        <v>0</v>
      </c>
      <c r="ENF45" s="49">
        <v>0</v>
      </c>
      <c r="ENG45" s="64">
        <f t="shared" si="1420"/>
        <v>498</v>
      </c>
      <c r="ENH45" s="211">
        <f t="shared" si="1421"/>
        <v>83</v>
      </c>
      <c r="ENI45" s="195">
        <v>799</v>
      </c>
      <c r="ENJ45" s="49"/>
      <c r="ENK45" s="49">
        <v>0</v>
      </c>
      <c r="ENL45" s="49">
        <v>0</v>
      </c>
      <c r="ENM45" s="49">
        <v>220</v>
      </c>
      <c r="ENN45" s="49">
        <v>0</v>
      </c>
      <c r="ENO45" s="64">
        <f t="shared" si="1422"/>
        <v>1019</v>
      </c>
      <c r="ENP45" s="211">
        <f t="shared" si="1423"/>
        <v>169.83333333333334</v>
      </c>
      <c r="ENQ45" s="195">
        <v>100</v>
      </c>
      <c r="ENR45" s="49"/>
      <c r="ENS45" s="49">
        <v>1342</v>
      </c>
      <c r="ENT45" s="49">
        <v>0</v>
      </c>
      <c r="ENU45" s="49">
        <v>0</v>
      </c>
      <c r="ENV45" s="49">
        <v>904</v>
      </c>
      <c r="ENW45" s="64">
        <f t="shared" si="1424"/>
        <v>2346</v>
      </c>
      <c r="ENX45" s="211">
        <f t="shared" si="1425"/>
        <v>391</v>
      </c>
      <c r="ENY45" s="195">
        <v>0</v>
      </c>
      <c r="ENZ45" s="49">
        <v>700</v>
      </c>
      <c r="EOA45" s="49">
        <v>296</v>
      </c>
      <c r="EOB45" s="49">
        <v>0</v>
      </c>
      <c r="EOC45" s="49">
        <v>0</v>
      </c>
      <c r="EOD45" s="49">
        <v>700</v>
      </c>
      <c r="EOE45" s="64">
        <f t="shared" si="1426"/>
        <v>1696</v>
      </c>
      <c r="EOF45" s="211">
        <f t="shared" si="1427"/>
        <v>282.66666666666669</v>
      </c>
      <c r="EOG45" s="1"/>
      <c r="EOH45" s="195"/>
      <c r="EOI45" s="49">
        <v>0</v>
      </c>
      <c r="EOJ45" s="49">
        <v>0</v>
      </c>
      <c r="EOK45" s="49">
        <v>1141</v>
      </c>
      <c r="EOL45" s="49">
        <v>600</v>
      </c>
      <c r="EOM45" s="49">
        <v>0</v>
      </c>
      <c r="EON45" s="184">
        <f t="shared" si="1428"/>
        <v>1741</v>
      </c>
      <c r="EOO45" s="244">
        <v>400</v>
      </c>
      <c r="EOP45" s="49">
        <v>0</v>
      </c>
      <c r="EOQ45" s="49">
        <v>0</v>
      </c>
      <c r="EOR45" s="49">
        <v>0</v>
      </c>
      <c r="EOS45" s="49">
        <v>887</v>
      </c>
      <c r="EOT45" s="49">
        <v>0</v>
      </c>
      <c r="EOU45" s="64">
        <f t="shared" si="1429"/>
        <v>1287</v>
      </c>
      <c r="EOV45" s="211">
        <f t="shared" si="1430"/>
        <v>214.5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31"/>
        <v>0</v>
      </c>
      <c r="EPD45" s="211">
        <f t="shared" si="1432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33"/>
        <v>0</v>
      </c>
      <c r="EPL45" s="211">
        <f t="shared" si="1434"/>
        <v>0</v>
      </c>
      <c r="EPM45" s="195">
        <v>0</v>
      </c>
      <c r="EPN45" s="49">
        <v>880</v>
      </c>
      <c r="EPO45" s="49">
        <v>0</v>
      </c>
      <c r="EPP45" s="49">
        <v>0</v>
      </c>
      <c r="EPQ45" s="49">
        <v>0</v>
      </c>
      <c r="EPR45" s="49">
        <v>1396</v>
      </c>
      <c r="EPS45" s="64">
        <f t="shared" si="1435"/>
        <v>2276</v>
      </c>
      <c r="EPT45" s="211">
        <f t="shared" si="1436"/>
        <v>379.33333333333331</v>
      </c>
      <c r="EPU45" s="195">
        <v>0</v>
      </c>
      <c r="EPV45" s="49">
        <v>0</v>
      </c>
      <c r="EPW45" s="49">
        <v>0</v>
      </c>
      <c r="EPX45" s="49">
        <v>898</v>
      </c>
      <c r="EPY45" s="49">
        <f>SUMIF(SUMPK!$B:$B,$B:$B,SUMPK!$O:$O)</f>
        <v>220</v>
      </c>
      <c r="EPZ45" s="49">
        <v>0</v>
      </c>
      <c r="EQA45" s="64">
        <f t="shared" si="1437"/>
        <v>1118</v>
      </c>
      <c r="EQB45" s="211">
        <f t="shared" si="1438"/>
        <v>186.33333333333334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39"/>
        <v>0</v>
      </c>
      <c r="EQJ45" s="211">
        <f t="shared" si="1440"/>
        <v>0</v>
      </c>
      <c r="EQK45" s="195">
        <v>0</v>
      </c>
      <c r="EQL45" s="49">
        <v>0</v>
      </c>
      <c r="EQM45" s="49">
        <v>990</v>
      </c>
      <c r="EQN45" s="49"/>
      <c r="EQO45" s="49">
        <v>0</v>
      </c>
      <c r="EQP45" s="49">
        <v>797</v>
      </c>
      <c r="EQQ45" s="64">
        <f t="shared" si="1441"/>
        <v>1787</v>
      </c>
      <c r="EQR45" s="211">
        <f t="shared" si="1442"/>
        <v>297.83333333333331</v>
      </c>
      <c r="EQS45" s="195">
        <v>0</v>
      </c>
      <c r="EQT45" s="49">
        <v>0</v>
      </c>
      <c r="EQU45" s="49">
        <v>1167</v>
      </c>
      <c r="EQV45" s="49">
        <v>0</v>
      </c>
      <c r="EQW45" s="49"/>
      <c r="EQX45" s="49">
        <v>1398</v>
      </c>
      <c r="EQY45" s="64">
        <f t="shared" si="1443"/>
        <v>2565</v>
      </c>
      <c r="EQZ45" s="211">
        <f t="shared" si="1444"/>
        <v>427.5</v>
      </c>
      <c r="ERA45" s="195">
        <v>0</v>
      </c>
      <c r="ERB45" s="49">
        <v>0</v>
      </c>
      <c r="ERC45" s="49">
        <v>0</v>
      </c>
      <c r="ERD45" s="49">
        <v>168</v>
      </c>
      <c r="ERE45" s="49">
        <v>732</v>
      </c>
      <c r="ERF45" s="49"/>
      <c r="ERG45" s="64">
        <f t="shared" si="1445"/>
        <v>900</v>
      </c>
      <c r="ERH45" s="211">
        <f t="shared" si="1446"/>
        <v>150</v>
      </c>
      <c r="ERI45" s="195"/>
      <c r="ERJ45" s="49">
        <v>605</v>
      </c>
      <c r="ERK45" s="49">
        <v>0</v>
      </c>
      <c r="ERL45" s="49">
        <v>0</v>
      </c>
      <c r="ERM45" s="49">
        <v>507</v>
      </c>
      <c r="ERN45" s="49"/>
      <c r="ERO45" s="64">
        <f t="shared" si="1447"/>
        <v>1112</v>
      </c>
      <c r="ERP45" s="211">
        <f t="shared" si="1448"/>
        <v>185.33333333333334</v>
      </c>
      <c r="ERQ45" s="195"/>
      <c r="ERR45" s="49">
        <v>478</v>
      </c>
      <c r="ERS45" s="49"/>
      <c r="ERT45" s="49">
        <v>0</v>
      </c>
      <c r="ERU45" s="49">
        <v>1958</v>
      </c>
      <c r="ERV45" s="49">
        <v>0</v>
      </c>
      <c r="ERW45" s="64">
        <f t="shared" si="1449"/>
        <v>2436</v>
      </c>
      <c r="ERX45" s="211">
        <f t="shared" si="1450"/>
        <v>406</v>
      </c>
      <c r="ERY45" s="195">
        <v>0</v>
      </c>
      <c r="ERZ45" s="49">
        <v>0</v>
      </c>
      <c r="ESA45" s="49"/>
      <c r="ESB45" s="49">
        <v>0</v>
      </c>
      <c r="ESC45" s="49">
        <v>900</v>
      </c>
      <c r="ESD45" s="49">
        <v>0</v>
      </c>
      <c r="ESE45" s="64">
        <f t="shared" si="1451"/>
        <v>900</v>
      </c>
      <c r="ESF45" s="211">
        <f t="shared" si="1452"/>
        <v>150</v>
      </c>
      <c r="ESG45" s="195">
        <v>0</v>
      </c>
      <c r="ESH45" s="49">
        <v>0</v>
      </c>
      <c r="ESI45" s="49">
        <v>0</v>
      </c>
      <c r="ESJ45" s="49">
        <v>1412</v>
      </c>
      <c r="ESK45" s="49"/>
      <c r="ESL45" s="49">
        <v>0</v>
      </c>
      <c r="ESM45" s="64">
        <f t="shared" si="1453"/>
        <v>1412</v>
      </c>
      <c r="ESN45" s="211">
        <f t="shared" si="1454"/>
        <v>235.33333333333334</v>
      </c>
      <c r="ESO45" s="458">
        <v>1501</v>
      </c>
      <c r="ESP45" s="83">
        <v>0</v>
      </c>
      <c r="ESQ45" s="83">
        <v>0</v>
      </c>
      <c r="ESR45" s="83">
        <v>440</v>
      </c>
      <c r="ESS45" s="83">
        <v>0</v>
      </c>
      <c r="EST45" s="83"/>
      <c r="ESU45" s="64">
        <f t="shared" si="1455"/>
        <v>1941</v>
      </c>
      <c r="ESV45" s="211">
        <f t="shared" si="1456"/>
        <v>323.5</v>
      </c>
      <c r="ESW45" s="195"/>
      <c r="ESX45" s="49">
        <v>1026</v>
      </c>
      <c r="ESY45" s="49">
        <v>0</v>
      </c>
      <c r="ESZ45" s="49">
        <v>0</v>
      </c>
      <c r="ETA45" s="49">
        <v>1300</v>
      </c>
      <c r="ETB45" s="49">
        <v>0</v>
      </c>
      <c r="ETC45" s="808">
        <f t="shared" si="1457"/>
        <v>2326</v>
      </c>
      <c r="ETD45" s="211">
        <f t="shared" si="1458"/>
        <v>387.66666666666669</v>
      </c>
      <c r="ETE45" s="195">
        <v>0</v>
      </c>
      <c r="ETF45" s="49">
        <v>568</v>
      </c>
      <c r="ETG45" s="49">
        <v>1206</v>
      </c>
      <c r="ETH45" s="49">
        <v>0</v>
      </c>
      <c r="ETI45" s="49">
        <v>901</v>
      </c>
      <c r="ETJ45" s="49">
        <v>99</v>
      </c>
      <c r="ETK45" s="808">
        <f t="shared" si="1459"/>
        <v>2774</v>
      </c>
      <c r="ETL45" s="211">
        <f t="shared" si="1460"/>
        <v>462.33333333333331</v>
      </c>
      <c r="ETM45" s="814">
        <v>0</v>
      </c>
      <c r="ETN45" s="815">
        <v>0</v>
      </c>
      <c r="ETO45" s="815">
        <v>0</v>
      </c>
      <c r="ETP45" s="815">
        <v>1354</v>
      </c>
      <c r="ETQ45" s="815">
        <v>1000</v>
      </c>
      <c r="ETR45" s="815">
        <v>593</v>
      </c>
      <c r="ETS45" s="808">
        <f t="shared" si="1461"/>
        <v>2947</v>
      </c>
      <c r="ETT45" s="211">
        <f t="shared" si="1462"/>
        <v>491.16666666666669</v>
      </c>
      <c r="ETU45" s="458">
        <v>300</v>
      </c>
      <c r="ETV45" s="83">
        <v>0</v>
      </c>
      <c r="ETW45" s="83">
        <v>587</v>
      </c>
      <c r="ETX45" s="83">
        <v>734</v>
      </c>
      <c r="ETY45" s="83">
        <v>684</v>
      </c>
      <c r="ETZ45" s="83">
        <v>0</v>
      </c>
      <c r="EUA45" s="808">
        <f t="shared" si="1463"/>
        <v>2305</v>
      </c>
      <c r="EUB45" s="211">
        <f t="shared" si="1464"/>
        <v>384.16666666666669</v>
      </c>
      <c r="EUC45" s="458"/>
      <c r="EUD45" s="83">
        <v>1342</v>
      </c>
      <c r="EUE45" s="83"/>
      <c r="EUF45" s="83">
        <v>0</v>
      </c>
      <c r="EUG45" s="83">
        <v>0</v>
      </c>
      <c r="EUH45" s="83">
        <v>0</v>
      </c>
      <c r="EUI45" s="808">
        <f t="shared" si="1465"/>
        <v>1342</v>
      </c>
      <c r="EUJ45" s="211">
        <f t="shared" si="1466"/>
        <v>223.66666666666666</v>
      </c>
      <c r="EUK45" s="195">
        <v>220</v>
      </c>
      <c r="EUL45" s="49">
        <v>0</v>
      </c>
      <c r="EUM45" s="49">
        <v>982</v>
      </c>
      <c r="EUN45" s="49">
        <v>900</v>
      </c>
      <c r="EUO45" s="49">
        <v>0</v>
      </c>
      <c r="EUP45" s="49">
        <v>0</v>
      </c>
      <c r="EUQ45" s="808">
        <f t="shared" si="1467"/>
        <v>2102</v>
      </c>
      <c r="EUR45" s="211">
        <f t="shared" si="1468"/>
        <v>350.33333333333331</v>
      </c>
      <c r="EUS45" s="195">
        <v>1649</v>
      </c>
      <c r="EUT45" s="49">
        <v>0</v>
      </c>
      <c r="EUU45" s="49">
        <v>0</v>
      </c>
      <c r="EUV45" s="49">
        <v>349</v>
      </c>
      <c r="EUW45" s="49">
        <v>1645</v>
      </c>
      <c r="EUX45" s="49"/>
      <c r="EUY45" s="808">
        <f t="shared" si="1469"/>
        <v>3643</v>
      </c>
      <c r="EUZ45" s="211">
        <f t="shared" si="1470"/>
        <v>607.16666666666663</v>
      </c>
      <c r="EVA45" s="195">
        <v>0</v>
      </c>
      <c r="EVB45" s="49">
        <v>0</v>
      </c>
      <c r="EVC45" s="49">
        <v>647</v>
      </c>
      <c r="EVD45" s="49"/>
      <c r="EVE45" s="49"/>
      <c r="EVF45" s="49"/>
      <c r="EVG45" s="808">
        <f t="shared" si="1471"/>
        <v>647</v>
      </c>
      <c r="EVH45" s="211">
        <f t="shared" si="1472"/>
        <v>107.83333333333333</v>
      </c>
      <c r="EVI45" s="195">
        <v>1000</v>
      </c>
      <c r="EVJ45" s="49">
        <v>0</v>
      </c>
      <c r="EVK45" s="49">
        <f>SUMIF(SUMPK!$B:$B,$B:$B,SUMPK!$O:$O)</f>
        <v>220</v>
      </c>
      <c r="EVL45" s="49"/>
      <c r="EVM45" s="49"/>
      <c r="EVN45" s="49">
        <v>0</v>
      </c>
      <c r="EVO45" s="808">
        <f t="shared" si="1473"/>
        <v>1220</v>
      </c>
      <c r="EVP45" s="211">
        <f t="shared" si="1474"/>
        <v>203.33333333333334</v>
      </c>
      <c r="EVQ45" s="195">
        <v>0</v>
      </c>
      <c r="EVR45" s="49">
        <v>0</v>
      </c>
      <c r="EVS45" s="49">
        <v>1163</v>
      </c>
      <c r="EVT45" s="49">
        <v>1920</v>
      </c>
      <c r="EVU45" s="49">
        <v>338</v>
      </c>
      <c r="EVV45" s="49">
        <v>0</v>
      </c>
      <c r="EVW45" s="808">
        <f t="shared" si="1475"/>
        <v>3421</v>
      </c>
      <c r="EVX45" s="211">
        <f t="shared" si="1476"/>
        <v>570.16666666666663</v>
      </c>
      <c r="EVY45" s="195">
        <v>0</v>
      </c>
      <c r="EVZ45" s="49"/>
      <c r="EWA45" s="49">
        <v>0</v>
      </c>
      <c r="EWB45" s="49">
        <v>0</v>
      </c>
      <c r="EWC45" s="49">
        <v>0</v>
      </c>
      <c r="EWD45" s="49"/>
      <c r="EWE45" s="808">
        <f t="shared" si="1477"/>
        <v>0</v>
      </c>
      <c r="EWF45" s="211">
        <f t="shared" si="1478"/>
        <v>0</v>
      </c>
      <c r="EWG45" s="195">
        <v>0</v>
      </c>
      <c r="EWH45" s="49">
        <v>0</v>
      </c>
      <c r="EWI45" s="49"/>
      <c r="EWJ45" s="49">
        <v>1595</v>
      </c>
      <c r="EWK45" s="49"/>
      <c r="EWL45" s="49"/>
      <c r="EWM45" s="808">
        <f t="shared" si="1479"/>
        <v>1595</v>
      </c>
      <c r="EWN45" s="211">
        <f t="shared" si="1480"/>
        <v>265.83333333333331</v>
      </c>
      <c r="EWO45" s="195">
        <v>0</v>
      </c>
      <c r="EWP45" s="49"/>
      <c r="EWQ45" s="49"/>
      <c r="EWR45" s="49">
        <v>0</v>
      </c>
      <c r="EWS45" s="49">
        <v>0</v>
      </c>
      <c r="EWT45" s="49">
        <v>0</v>
      </c>
      <c r="EWU45" s="808">
        <f t="shared" si="1481"/>
        <v>0</v>
      </c>
      <c r="EWV45" s="211">
        <f t="shared" si="1482"/>
        <v>0</v>
      </c>
      <c r="EWW45" s="195"/>
      <c r="EWX45" s="49"/>
      <c r="EWY45" s="49">
        <v>959</v>
      </c>
      <c r="EWZ45" s="49">
        <v>0</v>
      </c>
      <c r="EXA45" s="49">
        <v>0</v>
      </c>
      <c r="EXB45" s="49"/>
      <c r="EXC45" s="808">
        <f t="shared" si="1483"/>
        <v>959</v>
      </c>
      <c r="EXD45" s="211">
        <f t="shared" si="1484"/>
        <v>159.83333333333334</v>
      </c>
      <c r="EXE45" s="195"/>
      <c r="EXF45" s="49">
        <v>0</v>
      </c>
      <c r="EXG45" s="49">
        <v>1194</v>
      </c>
      <c r="EXH45" s="49"/>
      <c r="EXI45" s="49">
        <v>0</v>
      </c>
      <c r="EXJ45" s="49">
        <v>1002</v>
      </c>
      <c r="EXK45" s="808">
        <f t="shared" si="1485"/>
        <v>2196</v>
      </c>
      <c r="EXL45" s="211">
        <f t="shared" si="1486"/>
        <v>366</v>
      </c>
      <c r="EXM45" s="458">
        <v>0</v>
      </c>
      <c r="EXN45" s="83">
        <v>1714</v>
      </c>
      <c r="EXO45" s="83">
        <v>0</v>
      </c>
      <c r="EXP45" s="83">
        <v>0</v>
      </c>
      <c r="EXQ45" s="83">
        <v>990</v>
      </c>
      <c r="EXR45" s="83">
        <v>705</v>
      </c>
      <c r="EXS45" s="808">
        <f t="shared" si="1487"/>
        <v>3409</v>
      </c>
      <c r="EXT45" s="211">
        <f t="shared" si="1488"/>
        <v>568.16666666666663</v>
      </c>
      <c r="EXU45" s="195">
        <v>0</v>
      </c>
      <c r="EXV45" s="49">
        <v>610</v>
      </c>
      <c r="EXW45" s="49">
        <v>321</v>
      </c>
      <c r="EXX45" s="49">
        <v>0</v>
      </c>
      <c r="EXY45" s="49">
        <v>1793</v>
      </c>
      <c r="EXZ45" s="49">
        <v>624</v>
      </c>
      <c r="EYA45" s="808">
        <f t="shared" si="1489"/>
        <v>3348</v>
      </c>
      <c r="EYB45" s="211">
        <f t="shared" si="1490"/>
        <v>558</v>
      </c>
      <c r="EYC45" s="195">
        <v>0</v>
      </c>
      <c r="EYD45" s="49"/>
      <c r="EYE45" s="49">
        <v>1298</v>
      </c>
      <c r="EYF45" s="49"/>
      <c r="EYG45" s="49">
        <v>1496</v>
      </c>
      <c r="EYH45" s="49">
        <v>0</v>
      </c>
      <c r="EYI45" s="808">
        <f t="shared" si="1491"/>
        <v>2794</v>
      </c>
      <c r="EYJ45" s="211">
        <f t="shared" si="1492"/>
        <v>465.66666666666669</v>
      </c>
      <c r="EYK45" s="195">
        <v>0</v>
      </c>
      <c r="EYL45" s="49">
        <v>220</v>
      </c>
      <c r="EYM45" s="49">
        <v>1413</v>
      </c>
      <c r="EYN45" s="49">
        <v>0</v>
      </c>
      <c r="EYO45" s="49">
        <v>1291</v>
      </c>
      <c r="EYP45" s="49">
        <v>398</v>
      </c>
      <c r="EYQ45" s="808">
        <f t="shared" si="1493"/>
        <v>3322</v>
      </c>
      <c r="EYR45" s="211">
        <f t="shared" si="1494"/>
        <v>553.66666666666663</v>
      </c>
      <c r="EYS45" s="195">
        <v>0</v>
      </c>
      <c r="EYT45" s="49">
        <v>0</v>
      </c>
      <c r="EYU45" s="49">
        <v>0</v>
      </c>
      <c r="EYV45" s="49">
        <v>827</v>
      </c>
      <c r="EYW45" s="49"/>
      <c r="EYX45" s="49"/>
      <c r="EYY45" s="872">
        <f t="shared" si="1495"/>
        <v>827</v>
      </c>
      <c r="EYZ45" s="873">
        <f t="shared" si="1496"/>
        <v>137.83333333333334</v>
      </c>
      <c r="EZA45" s="195">
        <v>0</v>
      </c>
      <c r="EZB45" s="49">
        <v>401</v>
      </c>
      <c r="EZC45" s="49">
        <v>0</v>
      </c>
      <c r="EZD45" s="49"/>
      <c r="EZE45" s="49">
        <v>816</v>
      </c>
      <c r="EZF45" s="49">
        <v>0</v>
      </c>
      <c r="EZG45" s="872">
        <f t="shared" si="1497"/>
        <v>1217</v>
      </c>
      <c r="EZH45" s="873">
        <f t="shared" si="1498"/>
        <v>202.83333333333334</v>
      </c>
      <c r="EZI45" s="195">
        <v>0</v>
      </c>
      <c r="EZJ45" s="49">
        <v>1772</v>
      </c>
      <c r="EZK45" s="49"/>
      <c r="EZL45" s="49"/>
      <c r="EZM45" s="49"/>
      <c r="EZN45" s="49"/>
      <c r="EZO45" s="872">
        <f t="shared" si="1499"/>
        <v>1772</v>
      </c>
      <c r="EZP45" s="873">
        <f t="shared" si="1500"/>
        <v>295.33333333333331</v>
      </c>
    </row>
    <row r="46" spans="1:4072" s="8" customFormat="1" ht="13.5" thickBot="1" x14ac:dyDescent="0.25">
      <c r="A46" s="21">
        <v>17</v>
      </c>
      <c r="B46" s="297" t="s">
        <v>196</v>
      </c>
      <c r="C46" s="730" t="s">
        <v>310</v>
      </c>
      <c r="D46" s="297">
        <v>25</v>
      </c>
      <c r="E46" s="24"/>
      <c r="F46" s="24">
        <v>9634</v>
      </c>
      <c r="G46" s="24"/>
      <c r="H46" s="24"/>
      <c r="I46" s="24"/>
      <c r="J46" s="360">
        <f>SUMIF(SUMPK!$B:$B,$B:$B,SUMPK!$O:$O)</f>
        <v>0</v>
      </c>
      <c r="K46" s="24">
        <f t="shared" si="1220"/>
        <v>0</v>
      </c>
      <c r="L46" s="24">
        <f t="shared" si="1505"/>
        <v>9634</v>
      </c>
      <c r="M46" s="15">
        <f t="shared" si="1627"/>
        <v>9634</v>
      </c>
      <c r="N46" s="15">
        <v>279.5</v>
      </c>
      <c r="O46" s="276">
        <f t="shared" si="1223"/>
        <v>34.468694096601077</v>
      </c>
      <c r="P46" s="712">
        <v>544.16666666666663</v>
      </c>
      <c r="Q46" s="276">
        <f t="shared" si="1506"/>
        <v>106.22480857580399</v>
      </c>
      <c r="R46" s="277">
        <f t="shared" si="1507"/>
        <v>0</v>
      </c>
      <c r="S46" s="222"/>
      <c r="T46" s="276">
        <f t="shared" si="1628"/>
        <v>0</v>
      </c>
      <c r="U46" s="278"/>
      <c r="V46" s="276">
        <f t="shared" si="1227"/>
        <v>0</v>
      </c>
      <c r="W46" s="279">
        <f t="shared" si="1228"/>
        <v>1</v>
      </c>
      <c r="X46" s="278"/>
      <c r="Y46" s="7"/>
      <c r="Z46" s="7"/>
      <c r="AA46" s="7"/>
      <c r="AB46" s="7"/>
      <c r="AC46" s="662">
        <v>17</v>
      </c>
      <c r="AD46" s="650"/>
      <c r="AE46" s="88"/>
      <c r="AF46" s="88"/>
      <c r="AG46" s="88"/>
      <c r="AH46" s="88"/>
      <c r="AI46" s="88"/>
      <c r="AJ46" s="89"/>
      <c r="AK46" s="90"/>
      <c r="AL46" s="91"/>
      <c r="AM46" s="88"/>
      <c r="AN46" s="88"/>
      <c r="AO46" s="88"/>
      <c r="AP46" s="88"/>
      <c r="AQ46" s="88"/>
      <c r="AR46" s="89"/>
      <c r="AS46" s="90"/>
      <c r="AT46" s="91"/>
      <c r="AU46" s="88"/>
      <c r="AV46" s="88"/>
      <c r="AW46" s="88"/>
      <c r="AX46" s="88"/>
      <c r="AY46" s="88"/>
      <c r="AZ46" s="89"/>
      <c r="BA46" s="90"/>
      <c r="BB46" s="91"/>
      <c r="BC46" s="88"/>
      <c r="BD46" s="88"/>
      <c r="BE46" s="88"/>
      <c r="BF46" s="88"/>
      <c r="BG46" s="88"/>
      <c r="BH46" s="89"/>
      <c r="BI46" s="90"/>
      <c r="BJ46" s="91"/>
      <c r="BK46" s="88"/>
      <c r="BL46" s="88"/>
      <c r="BM46" s="88"/>
      <c r="BN46" s="88"/>
      <c r="BO46" s="88"/>
      <c r="BP46" s="89"/>
      <c r="BQ46" s="90"/>
      <c r="BR46" s="91"/>
      <c r="BS46" s="88"/>
      <c r="BT46" s="88"/>
      <c r="BU46" s="88"/>
      <c r="BV46" s="88"/>
      <c r="BW46" s="88"/>
      <c r="BX46" s="89"/>
      <c r="BY46" s="90"/>
      <c r="BZ46" s="91"/>
      <c r="CA46" s="88"/>
      <c r="CB46" s="88"/>
      <c r="CC46" s="88"/>
      <c r="CD46" s="88"/>
      <c r="CE46" s="88"/>
      <c r="CF46" s="89"/>
      <c r="CG46" s="90"/>
      <c r="CH46" s="91"/>
      <c r="CI46" s="88"/>
      <c r="CJ46" s="88"/>
      <c r="CK46" s="88"/>
      <c r="CL46" s="88"/>
      <c r="CM46" s="88"/>
      <c r="CN46" s="89"/>
      <c r="CO46" s="90"/>
      <c r="CP46" s="91"/>
      <c r="CQ46" s="88"/>
      <c r="CR46" s="88"/>
      <c r="CS46" s="88"/>
      <c r="CT46" s="88"/>
      <c r="CU46" s="88"/>
      <c r="CV46" s="89"/>
      <c r="CW46" s="90"/>
      <c r="CX46" s="91"/>
      <c r="CY46" s="88"/>
      <c r="CZ46" s="88"/>
      <c r="DA46" s="88"/>
      <c r="DB46" s="88"/>
      <c r="DC46" s="88"/>
      <c r="DD46" s="89"/>
      <c r="DE46" s="90"/>
      <c r="DF46" s="91"/>
      <c r="DG46" s="88"/>
      <c r="DH46" s="88"/>
      <c r="DI46" s="88"/>
      <c r="DJ46" s="88"/>
      <c r="DK46" s="88"/>
      <c r="DL46" s="89"/>
      <c r="DM46" s="90"/>
      <c r="DN46" s="91"/>
      <c r="DO46" s="88"/>
      <c r="DP46" s="88"/>
      <c r="DQ46" s="88"/>
      <c r="DR46" s="88"/>
      <c r="DS46" s="88"/>
      <c r="DT46" s="89"/>
      <c r="DU46" s="90"/>
      <c r="DV46" s="91"/>
      <c r="DW46" s="88"/>
      <c r="DX46" s="88"/>
      <c r="DY46" s="88"/>
      <c r="DZ46" s="88"/>
      <c r="EA46" s="88"/>
      <c r="EB46" s="89"/>
      <c r="EC46" s="90"/>
      <c r="ED46" s="91"/>
      <c r="EE46" s="88"/>
      <c r="EF46" s="88"/>
      <c r="EG46" s="88"/>
      <c r="EH46" s="88"/>
      <c r="EI46" s="88"/>
      <c r="EJ46" s="89"/>
      <c r="EK46" s="90"/>
      <c r="EL46" s="91"/>
      <c r="EM46" s="88"/>
      <c r="EN46" s="88"/>
      <c r="EO46" s="88"/>
      <c r="EP46" s="88"/>
      <c r="EQ46" s="88"/>
      <c r="ER46" s="89"/>
      <c r="ES46" s="90"/>
      <c r="ET46" s="91"/>
      <c r="EU46" s="88"/>
      <c r="EV46" s="88"/>
      <c r="EW46" s="88"/>
      <c r="EX46" s="88"/>
      <c r="EY46" s="88"/>
      <c r="EZ46" s="89"/>
      <c r="FA46" s="90"/>
      <c r="FB46" s="91"/>
      <c r="FC46" s="88"/>
      <c r="FD46" s="88"/>
      <c r="FE46" s="88"/>
      <c r="FF46" s="88"/>
      <c r="FG46" s="88"/>
      <c r="FH46" s="89"/>
      <c r="FI46" s="90"/>
      <c r="FJ46" s="91"/>
      <c r="FK46" s="88"/>
      <c r="FL46" s="88"/>
      <c r="FM46" s="88"/>
      <c r="FN46" s="88"/>
      <c r="FO46" s="88"/>
      <c r="FP46" s="89"/>
      <c r="FQ46" s="90"/>
      <c r="FR46" s="91"/>
      <c r="FS46" s="88"/>
      <c r="FT46" s="88"/>
      <c r="FU46" s="88"/>
      <c r="FV46" s="88"/>
      <c r="FW46" s="88"/>
      <c r="FX46" s="89"/>
      <c r="FY46" s="90"/>
      <c r="FZ46" s="91"/>
      <c r="GA46" s="88"/>
      <c r="GB46" s="88"/>
      <c r="GC46" s="88"/>
      <c r="GD46" s="88"/>
      <c r="GE46" s="88"/>
      <c r="GF46" s="89"/>
      <c r="GG46" s="90"/>
      <c r="GH46" s="91"/>
      <c r="GI46" s="88"/>
      <c r="GJ46" s="88"/>
      <c r="GK46" s="88"/>
      <c r="GL46" s="88"/>
      <c r="GM46" s="88"/>
      <c r="GN46" s="89"/>
      <c r="GO46" s="90"/>
      <c r="GP46" s="91"/>
      <c r="GQ46" s="88"/>
      <c r="GR46" s="88"/>
      <c r="GS46" s="88"/>
      <c r="GT46" s="88"/>
      <c r="GU46" s="88"/>
      <c r="GV46" s="89"/>
      <c r="GW46" s="90"/>
      <c r="GX46" s="91"/>
      <c r="GY46" s="88"/>
      <c r="GZ46" s="88"/>
      <c r="HA46" s="88"/>
      <c r="HB46" s="88"/>
      <c r="HC46" s="88"/>
      <c r="HD46" s="89"/>
      <c r="HE46" s="90"/>
      <c r="HF46" s="91"/>
      <c r="HG46" s="88"/>
      <c r="HH46" s="88"/>
      <c r="HI46" s="88"/>
      <c r="HJ46" s="88"/>
      <c r="HK46" s="88"/>
      <c r="HL46" s="89"/>
      <c r="HM46" s="90"/>
      <c r="HN46" s="92"/>
      <c r="HO46" s="93"/>
      <c r="HP46" s="93"/>
      <c r="HQ46" s="93"/>
      <c r="HR46" s="93"/>
      <c r="HS46" s="93"/>
      <c r="HT46" s="89"/>
      <c r="HU46" s="90"/>
      <c r="HV46" s="91"/>
      <c r="HW46" s="88"/>
      <c r="HX46" s="88"/>
      <c r="HY46" s="88"/>
      <c r="HZ46" s="88"/>
      <c r="IA46" s="88"/>
      <c r="IB46" s="89"/>
      <c r="IC46" s="90"/>
      <c r="ID46" s="91"/>
      <c r="IE46" s="88"/>
      <c r="IF46" s="88"/>
      <c r="IG46" s="88"/>
      <c r="IH46" s="88"/>
      <c r="II46" s="88"/>
      <c r="IJ46" s="89"/>
      <c r="IK46" s="90"/>
      <c r="IL46" s="91"/>
      <c r="IM46" s="88"/>
      <c r="IN46" s="88"/>
      <c r="IO46" s="88"/>
      <c r="IP46" s="88"/>
      <c r="IQ46" s="88"/>
      <c r="IR46" s="94"/>
      <c r="IS46" s="95"/>
      <c r="IT46" s="91"/>
      <c r="IU46" s="88"/>
      <c r="IV46" s="88"/>
      <c r="IW46" s="88"/>
      <c r="IX46" s="88"/>
      <c r="IY46" s="88"/>
      <c r="IZ46" s="94"/>
      <c r="JA46" s="95"/>
      <c r="JB46" s="91"/>
      <c r="JC46" s="88"/>
      <c r="JD46" s="88"/>
      <c r="JE46" s="88"/>
      <c r="JF46" s="88"/>
      <c r="JG46" s="88"/>
      <c r="JH46" s="94"/>
      <c r="JI46" s="95"/>
      <c r="JJ46" s="91"/>
      <c r="JK46" s="88"/>
      <c r="JL46" s="88"/>
      <c r="JM46" s="88"/>
      <c r="JN46" s="88"/>
      <c r="JO46" s="88"/>
      <c r="JP46" s="89"/>
      <c r="JQ46" s="90"/>
      <c r="JR46" s="91"/>
      <c r="JS46" s="88"/>
      <c r="JT46" s="88"/>
      <c r="JU46" s="88"/>
      <c r="JV46" s="88"/>
      <c r="JW46" s="88"/>
      <c r="JX46" s="89"/>
      <c r="JY46" s="90"/>
      <c r="JZ46" s="91"/>
      <c r="KA46" s="88"/>
      <c r="KB46" s="88"/>
      <c r="KC46" s="88"/>
      <c r="KD46" s="88"/>
      <c r="KE46" s="88"/>
      <c r="KF46" s="89"/>
      <c r="KG46" s="90"/>
      <c r="KH46" s="91"/>
      <c r="KI46" s="88"/>
      <c r="KJ46" s="88"/>
      <c r="KK46" s="88"/>
      <c r="KL46" s="88"/>
      <c r="KM46" s="88"/>
      <c r="KN46" s="94"/>
      <c r="KO46" s="95"/>
      <c r="KP46" s="91"/>
      <c r="KQ46" s="88"/>
      <c r="KR46" s="88"/>
      <c r="KS46" s="88"/>
      <c r="KT46" s="88"/>
      <c r="KU46" s="88"/>
      <c r="KV46" s="94"/>
      <c r="KW46" s="95"/>
      <c r="KX46" s="91"/>
      <c r="KY46" s="88"/>
      <c r="KZ46" s="88"/>
      <c r="LA46" s="88"/>
      <c r="LB46" s="88"/>
      <c r="LC46" s="88"/>
      <c r="LD46" s="94"/>
      <c r="LE46" s="95"/>
      <c r="LF46" s="91"/>
      <c r="LG46" s="88"/>
      <c r="LH46" s="88"/>
      <c r="LI46" s="88"/>
      <c r="LJ46" s="88"/>
      <c r="LK46" s="88"/>
      <c r="LL46" s="94"/>
      <c r="LM46" s="95"/>
      <c r="LN46" s="91"/>
      <c r="LO46" s="88"/>
      <c r="LP46" s="88"/>
      <c r="LQ46" s="88"/>
      <c r="LR46" s="88"/>
      <c r="LS46" s="88"/>
      <c r="LT46" s="94"/>
      <c r="LU46" s="95"/>
      <c r="LV46" s="91"/>
      <c r="LW46" s="88"/>
      <c r="LX46" s="88"/>
      <c r="LY46" s="88"/>
      <c r="LZ46" s="88"/>
      <c r="MA46" s="88"/>
      <c r="MB46" s="94"/>
      <c r="MC46" s="95"/>
      <c r="MD46" s="91"/>
      <c r="ME46" s="88"/>
      <c r="MF46" s="88"/>
      <c r="MG46" s="88"/>
      <c r="MH46" s="88"/>
      <c r="MI46" s="88"/>
      <c r="MJ46" s="94"/>
      <c r="MK46" s="95"/>
      <c r="ML46" s="91"/>
      <c r="MM46" s="88"/>
      <c r="MN46" s="88"/>
      <c r="MO46" s="88"/>
      <c r="MP46" s="88"/>
      <c r="MQ46" s="88"/>
      <c r="MR46" s="94"/>
      <c r="MS46" s="95"/>
      <c r="MT46" s="91"/>
      <c r="MU46" s="88"/>
      <c r="MV46" s="88"/>
      <c r="MW46" s="88"/>
      <c r="MX46" s="88"/>
      <c r="MY46" s="88"/>
      <c r="MZ46" s="94"/>
      <c r="NA46" s="95"/>
      <c r="NB46" s="91"/>
      <c r="NC46" s="88"/>
      <c r="ND46" s="88"/>
      <c r="NE46" s="88"/>
      <c r="NF46" s="88"/>
      <c r="NG46" s="88"/>
      <c r="NH46" s="94"/>
      <c r="NI46" s="95"/>
      <c r="NJ46" s="91"/>
      <c r="NK46" s="88"/>
      <c r="NL46" s="88"/>
      <c r="NM46" s="88"/>
      <c r="NN46" s="88"/>
      <c r="NO46" s="88"/>
      <c r="NP46" s="94"/>
      <c r="NQ46" s="95"/>
      <c r="NR46" s="91"/>
      <c r="NS46" s="88"/>
      <c r="NT46" s="88"/>
      <c r="NU46" s="88"/>
      <c r="NV46" s="88"/>
      <c r="NW46" s="88"/>
      <c r="NX46" s="94"/>
      <c r="NY46" s="95"/>
      <c r="NZ46" s="91"/>
      <c r="OA46" s="88"/>
      <c r="OB46" s="88"/>
      <c r="OC46" s="88"/>
      <c r="OD46" s="88"/>
      <c r="OE46" s="88"/>
      <c r="OF46" s="94"/>
      <c r="OG46" s="95"/>
      <c r="OH46" s="91"/>
      <c r="OI46" s="88"/>
      <c r="OJ46" s="88"/>
      <c r="OK46" s="88"/>
      <c r="OL46" s="88"/>
      <c r="OM46" s="88"/>
      <c r="ON46" s="94"/>
      <c r="OO46" s="95"/>
      <c r="OP46" s="91"/>
      <c r="OQ46" s="88"/>
      <c r="OR46" s="88"/>
      <c r="OS46" s="88"/>
      <c r="OT46" s="88"/>
      <c r="OU46" s="88"/>
      <c r="OV46" s="94"/>
      <c r="OW46" s="95"/>
      <c r="OX46" s="91"/>
      <c r="OY46" s="88"/>
      <c r="OZ46" s="88"/>
      <c r="PA46" s="88"/>
      <c r="PB46" s="88"/>
      <c r="PC46" s="88"/>
      <c r="PD46" s="94"/>
      <c r="PE46" s="95"/>
      <c r="PF46" s="91"/>
      <c r="PG46" s="88"/>
      <c r="PH46" s="88"/>
      <c r="PI46" s="88"/>
      <c r="PJ46" s="88"/>
      <c r="PK46" s="88"/>
      <c r="PL46" s="94"/>
      <c r="PM46" s="95"/>
      <c r="PN46" s="91"/>
      <c r="PO46" s="88"/>
      <c r="PP46" s="88"/>
      <c r="PQ46" s="88"/>
      <c r="PR46" s="88"/>
      <c r="PS46" s="88"/>
      <c r="PT46" s="94"/>
      <c r="PU46" s="95"/>
      <c r="PV46" s="118"/>
      <c r="PW46" s="119"/>
      <c r="PX46" s="119"/>
      <c r="PY46" s="119"/>
      <c r="PZ46" s="119"/>
      <c r="QA46" s="119"/>
      <c r="QB46" s="120"/>
      <c r="QC46" s="121"/>
      <c r="QD46" s="118"/>
      <c r="QE46" s="119"/>
      <c r="QF46" s="119"/>
      <c r="QG46" s="119"/>
      <c r="QH46" s="119"/>
      <c r="QI46" s="119"/>
      <c r="QJ46" s="120"/>
      <c r="QK46" s="121"/>
      <c r="QL46" s="118"/>
      <c r="QM46" s="119"/>
      <c r="QN46" s="119"/>
      <c r="QO46" s="119"/>
      <c r="QP46" s="119"/>
      <c r="QQ46" s="119"/>
      <c r="QR46" s="120"/>
      <c r="QS46" s="121"/>
      <c r="QT46" s="118"/>
      <c r="QU46" s="119"/>
      <c r="QV46" s="119"/>
      <c r="QW46" s="119"/>
      <c r="QX46" s="119"/>
      <c r="QY46" s="119"/>
      <c r="QZ46" s="120"/>
      <c r="RA46" s="121"/>
      <c r="RB46" s="118"/>
      <c r="RC46" s="119"/>
      <c r="RD46" s="119"/>
      <c r="RE46" s="119"/>
      <c r="RF46" s="119"/>
      <c r="RG46" s="119"/>
      <c r="RH46" s="120"/>
      <c r="RI46" s="121"/>
      <c r="RJ46" s="118"/>
      <c r="RK46" s="119"/>
      <c r="RL46" s="119"/>
      <c r="RM46" s="119"/>
      <c r="RN46" s="119"/>
      <c r="RO46" s="119"/>
      <c r="RP46" s="120"/>
      <c r="RQ46" s="121"/>
      <c r="RR46" s="118"/>
      <c r="RS46" s="119"/>
      <c r="RT46" s="119"/>
      <c r="RU46" s="119"/>
      <c r="RV46" s="119"/>
      <c r="RW46" s="119"/>
      <c r="RX46" s="120"/>
      <c r="RY46" s="121"/>
      <c r="RZ46" s="118"/>
      <c r="SA46" s="119"/>
      <c r="SB46" s="119"/>
      <c r="SC46" s="119"/>
      <c r="SD46" s="119"/>
      <c r="SE46" s="119"/>
      <c r="SF46" s="120"/>
      <c r="SG46" s="121"/>
      <c r="SH46" s="118"/>
      <c r="SI46" s="119"/>
      <c r="SJ46" s="119"/>
      <c r="SK46" s="119"/>
      <c r="SL46" s="119"/>
      <c r="SM46" s="119"/>
      <c r="SN46" s="120"/>
      <c r="SO46" s="121"/>
      <c r="SP46" s="118"/>
      <c r="SQ46" s="119"/>
      <c r="SR46" s="119"/>
      <c r="SS46" s="119"/>
      <c r="ST46" s="119"/>
      <c r="SU46" s="119"/>
      <c r="SV46" s="120"/>
      <c r="SW46" s="121"/>
      <c r="SX46" s="118"/>
      <c r="SY46" s="119"/>
      <c r="SZ46" s="119"/>
      <c r="TA46" s="119"/>
      <c r="TB46" s="119"/>
      <c r="TC46" s="119"/>
      <c r="TD46" s="120"/>
      <c r="TE46" s="121"/>
      <c r="TF46" s="118"/>
      <c r="TG46" s="119"/>
      <c r="TH46" s="119"/>
      <c r="TI46" s="119"/>
      <c r="TJ46" s="119"/>
      <c r="TK46" s="119"/>
      <c r="TL46" s="120"/>
      <c r="TM46" s="121"/>
      <c r="TN46" s="264"/>
      <c r="TO46" s="119"/>
      <c r="TP46" s="119"/>
      <c r="TQ46" s="119"/>
      <c r="TR46" s="119"/>
      <c r="TS46" s="119"/>
      <c r="TT46" s="120"/>
      <c r="TU46" s="121"/>
      <c r="TV46" s="118"/>
      <c r="TW46" s="119"/>
      <c r="TX46" s="119"/>
      <c r="TY46" s="119"/>
      <c r="TZ46" s="119"/>
      <c r="UA46" s="119"/>
      <c r="UB46" s="120"/>
      <c r="UC46" s="121"/>
      <c r="UD46" s="118"/>
      <c r="UE46" s="119"/>
      <c r="UF46" s="119"/>
      <c r="UG46" s="119"/>
      <c r="UH46" s="119"/>
      <c r="UI46" s="119"/>
      <c r="UJ46" s="120"/>
      <c r="UK46" s="121"/>
      <c r="UL46" s="118"/>
      <c r="UM46" s="119"/>
      <c r="UN46" s="119"/>
      <c r="UO46" s="119"/>
      <c r="UP46" s="119"/>
      <c r="UQ46" s="119"/>
      <c r="UR46" s="119"/>
      <c r="US46" s="104"/>
      <c r="UT46" s="121"/>
      <c r="UU46" s="118"/>
      <c r="UV46" s="119"/>
      <c r="UW46" s="119"/>
      <c r="UX46" s="119"/>
      <c r="UY46" s="119"/>
      <c r="UZ46" s="119"/>
      <c r="VA46" s="120"/>
      <c r="VB46" s="121"/>
      <c r="VC46" s="118"/>
      <c r="VD46" s="119"/>
      <c r="VE46" s="119"/>
      <c r="VF46" s="119"/>
      <c r="VG46" s="119"/>
      <c r="VH46" s="119"/>
      <c r="VI46" s="120"/>
      <c r="VJ46" s="121"/>
      <c r="VK46" s="91"/>
      <c r="VL46" s="88"/>
      <c r="VM46" s="88"/>
      <c r="VN46" s="88"/>
      <c r="VO46" s="88"/>
      <c r="VP46" s="88"/>
      <c r="VQ46" s="94"/>
      <c r="VR46" s="95"/>
      <c r="VS46" s="118"/>
      <c r="VT46" s="119"/>
      <c r="VU46" s="119"/>
      <c r="VV46" s="119"/>
      <c r="VW46" s="119"/>
      <c r="VX46" s="119"/>
      <c r="VY46" s="120"/>
      <c r="VZ46" s="121"/>
      <c r="WA46" s="178"/>
      <c r="WB46" s="179"/>
      <c r="WC46" s="179"/>
      <c r="WD46" s="179"/>
      <c r="WE46" s="179"/>
      <c r="WF46" s="179"/>
      <c r="WG46" s="94"/>
      <c r="WH46" s="95"/>
      <c r="WI46" s="118"/>
      <c r="WJ46" s="119"/>
      <c r="WK46" s="119"/>
      <c r="WL46" s="119"/>
      <c r="WM46" s="119"/>
      <c r="WN46" s="119"/>
      <c r="WO46" s="120"/>
      <c r="WP46" s="121"/>
      <c r="WQ46" s="91"/>
      <c r="WR46" s="88"/>
      <c r="WS46" s="88"/>
      <c r="WT46" s="88"/>
      <c r="WU46" s="88"/>
      <c r="WV46" s="88"/>
      <c r="WW46" s="88"/>
      <c r="WX46" s="94"/>
      <c r="WY46" s="95"/>
      <c r="WZ46" s="91"/>
      <c r="XA46" s="88"/>
      <c r="XB46" s="88"/>
      <c r="XC46" s="88"/>
      <c r="XD46" s="88"/>
      <c r="XE46" s="88"/>
      <c r="XF46" s="88"/>
      <c r="XG46" s="94"/>
      <c r="XH46" s="95"/>
      <c r="XI46" s="91"/>
      <c r="XJ46" s="88"/>
      <c r="XK46" s="88"/>
      <c r="XL46" s="88"/>
      <c r="XM46" s="88"/>
      <c r="XN46" s="88"/>
      <c r="XO46" s="88"/>
      <c r="XP46" s="94"/>
      <c r="XQ46" s="95"/>
      <c r="XR46" s="91"/>
      <c r="XS46" s="88"/>
      <c r="XT46" s="88"/>
      <c r="XU46" s="88"/>
      <c r="XV46" s="88"/>
      <c r="XW46" s="88"/>
      <c r="XX46" s="88"/>
      <c r="XY46" s="94"/>
      <c r="XZ46" s="95"/>
      <c r="YA46" s="91"/>
      <c r="YB46" s="88"/>
      <c r="YC46" s="88"/>
      <c r="YD46" s="88"/>
      <c r="YE46" s="88"/>
      <c r="YF46" s="88"/>
      <c r="YG46" s="88"/>
      <c r="YH46" s="94"/>
      <c r="YI46" s="95"/>
      <c r="YJ46" s="91"/>
      <c r="YK46" s="88"/>
      <c r="YL46" s="88"/>
      <c r="YM46" s="88"/>
      <c r="YN46" s="88"/>
      <c r="YO46" s="88"/>
      <c r="YP46" s="88"/>
      <c r="YQ46" s="94"/>
      <c r="YR46" s="95"/>
      <c r="YS46" s="91"/>
      <c r="YT46" s="88"/>
      <c r="YU46" s="88"/>
      <c r="YV46" s="88"/>
      <c r="YW46" s="88"/>
      <c r="YX46" s="88"/>
      <c r="YY46" s="94"/>
      <c r="YZ46" s="95"/>
      <c r="ZA46" s="91"/>
      <c r="ZB46" s="88"/>
      <c r="ZC46" s="88"/>
      <c r="ZD46" s="88"/>
      <c r="ZE46" s="88"/>
      <c r="ZF46" s="88"/>
      <c r="ZG46" s="94"/>
      <c r="ZH46" s="95"/>
      <c r="ZI46" s="91"/>
      <c r="ZJ46" s="88"/>
      <c r="ZK46" s="88"/>
      <c r="ZL46" s="88"/>
      <c r="ZM46" s="88"/>
      <c r="ZN46" s="24"/>
      <c r="ZO46" s="94"/>
      <c r="ZP46" s="95"/>
      <c r="ZQ46" s="91"/>
      <c r="ZR46" s="88"/>
      <c r="ZS46" s="88"/>
      <c r="ZT46" s="88"/>
      <c r="ZU46" s="88"/>
      <c r="ZV46" s="88"/>
      <c r="ZW46" s="88"/>
      <c r="ZX46" s="67"/>
      <c r="ZY46" s="70"/>
      <c r="ZZ46" s="91"/>
      <c r="AAA46" s="88"/>
      <c r="AAB46" s="88"/>
      <c r="AAC46" s="88"/>
      <c r="AAD46" s="88"/>
      <c r="AAE46" s="88"/>
      <c r="AAF46" s="88"/>
      <c r="AAG46" s="94"/>
      <c r="AAH46" s="95"/>
      <c r="AAI46" s="91"/>
      <c r="AAJ46" s="88"/>
      <c r="AAK46" s="88"/>
      <c r="AAL46" s="88"/>
      <c r="AAM46" s="88"/>
      <c r="AAN46" s="88"/>
      <c r="AAO46" s="94"/>
      <c r="AAP46" s="95"/>
      <c r="AAQ46" s="91"/>
      <c r="AAR46" s="88"/>
      <c r="AAS46" s="88"/>
      <c r="AAT46" s="88"/>
      <c r="AAU46" s="88"/>
      <c r="AAV46" s="88"/>
      <c r="AAW46" s="94"/>
      <c r="AAX46" s="95"/>
      <c r="AAY46" s="91"/>
      <c r="AAZ46" s="88"/>
      <c r="ABA46" s="88"/>
      <c r="ABB46" s="88"/>
      <c r="ABC46" s="88"/>
      <c r="ABD46" s="88"/>
      <c r="ABE46" s="94"/>
      <c r="ABF46" s="95"/>
      <c r="ABG46" s="91"/>
      <c r="ABH46" s="88"/>
      <c r="ABI46" s="88"/>
      <c r="ABJ46" s="88"/>
      <c r="ABK46" s="88"/>
      <c r="ABL46" s="88"/>
      <c r="ABM46" s="94"/>
      <c r="ABN46" s="95"/>
      <c r="ABO46" s="91"/>
      <c r="ABP46" s="88"/>
      <c r="ABQ46" s="88"/>
      <c r="ABR46" s="88"/>
      <c r="ABS46" s="88"/>
      <c r="ABT46" s="88"/>
      <c r="ABU46" s="94"/>
      <c r="ABV46" s="95"/>
      <c r="ABW46" s="91"/>
      <c r="ABX46" s="88"/>
      <c r="ABY46" s="88"/>
      <c r="ABZ46" s="88"/>
      <c r="ACA46" s="88"/>
      <c r="ACB46" s="88"/>
      <c r="ACC46" s="94"/>
      <c r="ACD46" s="95"/>
      <c r="ACE46" s="91"/>
      <c r="ACF46" s="88"/>
      <c r="ACG46" s="88"/>
      <c r="ACH46" s="88"/>
      <c r="ACI46" s="88"/>
      <c r="ACJ46" s="88"/>
      <c r="ACK46" s="94"/>
      <c r="ACL46" s="95"/>
      <c r="ACM46" s="91"/>
      <c r="ACN46" s="88"/>
      <c r="ACO46" s="88"/>
      <c r="ACP46" s="88"/>
      <c r="ACQ46" s="88"/>
      <c r="ACR46" s="88"/>
      <c r="ACS46" s="94"/>
      <c r="ACT46" s="95"/>
      <c r="ACU46" s="91"/>
      <c r="ACV46" s="88"/>
      <c r="ACW46" s="88"/>
      <c r="ACX46" s="88"/>
      <c r="ACY46" s="88"/>
      <c r="ACZ46" s="88"/>
      <c r="ADA46" s="94"/>
      <c r="ADB46" s="95"/>
      <c r="ADC46" s="91"/>
      <c r="ADD46" s="88"/>
      <c r="ADE46" s="88"/>
      <c r="ADF46" s="88"/>
      <c r="ADG46" s="88"/>
      <c r="ADH46" s="88"/>
      <c r="ADI46" s="94"/>
      <c r="ADJ46" s="95"/>
      <c r="ADK46" s="91"/>
      <c r="ADL46" s="88"/>
      <c r="ADM46" s="88"/>
      <c r="ADN46" s="88"/>
      <c r="ADO46" s="88"/>
      <c r="ADP46" s="88"/>
      <c r="ADQ46" s="94"/>
      <c r="ADR46" s="95"/>
      <c r="ADS46" s="91"/>
      <c r="ADT46" s="88"/>
      <c r="ADU46" s="88"/>
      <c r="ADV46" s="88"/>
      <c r="ADW46" s="88"/>
      <c r="ADX46" s="88"/>
      <c r="ADY46" s="94"/>
      <c r="ADZ46" s="95"/>
      <c r="AEA46" s="91"/>
      <c r="AEB46" s="88"/>
      <c r="AEC46" s="88"/>
      <c r="AED46" s="88"/>
      <c r="AEE46" s="88"/>
      <c r="AEF46" s="88"/>
      <c r="AEG46" s="94"/>
      <c r="AEH46" s="95"/>
      <c r="AEI46" s="91"/>
      <c r="AEJ46" s="88"/>
      <c r="AEK46" s="88"/>
      <c r="AEL46" s="88"/>
      <c r="AEM46" s="88"/>
      <c r="AEN46" s="88"/>
      <c r="AEO46" s="94"/>
      <c r="AEP46" s="95"/>
      <c r="AEQ46" s="91"/>
      <c r="AER46" s="88"/>
      <c r="AES46" s="88"/>
      <c r="AET46" s="88"/>
      <c r="AEU46" s="88"/>
      <c r="AEV46" s="88"/>
      <c r="AEW46" s="94"/>
      <c r="AEX46" s="95"/>
      <c r="AEY46" s="91"/>
      <c r="AEZ46" s="88"/>
      <c r="AFA46" s="88"/>
      <c r="AFB46" s="88"/>
      <c r="AFC46" s="88"/>
      <c r="AFD46" s="88"/>
      <c r="AFE46" s="94"/>
      <c r="AFF46" s="95"/>
      <c r="AFG46" s="91"/>
      <c r="AFH46" s="88"/>
      <c r="AFI46" s="88"/>
      <c r="AFJ46" s="88"/>
      <c r="AFK46" s="88"/>
      <c r="AFL46" s="88"/>
      <c r="AFM46" s="94"/>
      <c r="AFN46" s="95"/>
      <c r="AFO46" s="91"/>
      <c r="AFP46" s="88"/>
      <c r="AFQ46" s="88"/>
      <c r="AFR46" s="88"/>
      <c r="AFS46" s="88"/>
      <c r="AFT46" s="88"/>
      <c r="AFU46" s="94"/>
      <c r="AFV46" s="95"/>
      <c r="AFW46" s="91"/>
      <c r="AFX46" s="88"/>
      <c r="AFY46" s="88"/>
      <c r="AFZ46" s="88"/>
      <c r="AGA46" s="88"/>
      <c r="AGB46" s="88"/>
      <c r="AGC46" s="94"/>
      <c r="AGD46" s="95"/>
      <c r="AGE46" s="91"/>
      <c r="AGF46" s="88"/>
      <c r="AGG46" s="88"/>
      <c r="AGH46" s="88"/>
      <c r="AGI46" s="88"/>
      <c r="AGJ46" s="88"/>
      <c r="AGK46" s="94"/>
      <c r="AGL46" s="95"/>
      <c r="AGM46" s="91"/>
      <c r="AGN46" s="88"/>
      <c r="AGO46" s="88"/>
      <c r="AGP46" s="88"/>
      <c r="AGQ46" s="88"/>
      <c r="AGR46" s="88"/>
      <c r="AGS46" s="88"/>
      <c r="AGT46" s="94"/>
      <c r="AGU46" s="95"/>
      <c r="AGV46" s="91"/>
      <c r="AGW46" s="88"/>
      <c r="AGX46" s="88"/>
      <c r="AGY46" s="88"/>
      <c r="AGZ46" s="88"/>
      <c r="AHA46" s="88"/>
      <c r="AHB46" s="94"/>
      <c r="AHC46" s="95"/>
      <c r="AHD46" s="91"/>
      <c r="AHE46" s="88"/>
      <c r="AHF46" s="88"/>
      <c r="AHG46" s="88"/>
      <c r="AHH46" s="88"/>
      <c r="AHI46" s="88"/>
      <c r="AHJ46" s="94"/>
      <c r="AHK46" s="95"/>
      <c r="AHL46" s="91"/>
      <c r="AHM46" s="88"/>
      <c r="AHN46" s="88"/>
      <c r="AHO46" s="88"/>
      <c r="AHP46" s="88"/>
      <c r="AHQ46" s="88"/>
      <c r="AHR46" s="94"/>
      <c r="AHS46" s="95"/>
      <c r="AHT46" s="91"/>
      <c r="AHU46" s="88"/>
      <c r="AHV46" s="88"/>
      <c r="AHW46" s="88"/>
      <c r="AHX46" s="88"/>
      <c r="AHY46" s="88"/>
      <c r="AHZ46" s="94"/>
      <c r="AIA46" s="95"/>
      <c r="AIB46" s="91"/>
      <c r="AIC46" s="88"/>
      <c r="AID46" s="88"/>
      <c r="AIE46" s="88"/>
      <c r="AIF46" s="88"/>
      <c r="AIG46" s="88"/>
      <c r="AIH46" s="94"/>
      <c r="AII46" s="95"/>
      <c r="AIJ46" s="91"/>
      <c r="AIK46" s="88"/>
      <c r="AIL46" s="88"/>
      <c r="AIM46" s="88"/>
      <c r="AIN46" s="88"/>
      <c r="AIO46" s="88"/>
      <c r="AIP46" s="94"/>
      <c r="AIQ46" s="95"/>
      <c r="AIR46" s="91"/>
      <c r="AIS46" s="88"/>
      <c r="AIT46" s="88"/>
      <c r="AIU46" s="88"/>
      <c r="AIV46" s="88"/>
      <c r="AIW46" s="88"/>
      <c r="AIX46" s="94"/>
      <c r="AIY46" s="95"/>
      <c r="AIZ46" s="91"/>
      <c r="AJA46" s="88"/>
      <c r="AJB46" s="88"/>
      <c r="AJC46" s="88"/>
      <c r="AJD46" s="88"/>
      <c r="AJE46" s="88"/>
      <c r="AJF46" s="94"/>
      <c r="AJG46" s="95"/>
      <c r="AJH46" s="91"/>
      <c r="AJI46" s="88"/>
      <c r="AJJ46" s="88"/>
      <c r="AJK46" s="88"/>
      <c r="AJL46" s="88"/>
      <c r="AJM46" s="88"/>
      <c r="AJN46" s="89"/>
      <c r="AJO46" s="90"/>
      <c r="AJP46" s="91"/>
      <c r="AJQ46" s="88"/>
      <c r="AJR46" s="88"/>
      <c r="AJS46" s="88"/>
      <c r="AJT46" s="88"/>
      <c r="AJU46" s="88"/>
      <c r="AJV46" s="89"/>
      <c r="AJW46" s="90"/>
      <c r="AJX46" s="91"/>
      <c r="AJY46" s="88"/>
      <c r="AJZ46" s="88"/>
      <c r="AKA46" s="88"/>
      <c r="AKB46" s="88"/>
      <c r="AKC46" s="88"/>
      <c r="AKD46" s="94"/>
      <c r="AKE46" s="95"/>
      <c r="AKF46" s="91"/>
      <c r="AKG46" s="88"/>
      <c r="AKH46" s="88"/>
      <c r="AKI46" s="88"/>
      <c r="AKJ46" s="88"/>
      <c r="AKK46" s="88"/>
      <c r="AKL46" s="67"/>
      <c r="AKM46" s="184"/>
      <c r="AKN46" s="219"/>
      <c r="AKO46" s="88"/>
      <c r="AKP46" s="88"/>
      <c r="AKQ46" s="88"/>
      <c r="AKR46" s="88"/>
      <c r="AKS46" s="88"/>
      <c r="AKT46" s="94"/>
      <c r="AKU46" s="218"/>
      <c r="AKV46" s="91"/>
      <c r="AKW46" s="88"/>
      <c r="AKX46" s="88"/>
      <c r="AKY46" s="88"/>
      <c r="AKZ46" s="88"/>
      <c r="ALA46" s="88"/>
      <c r="ALB46" s="94"/>
      <c r="ALC46" s="95"/>
      <c r="ALD46" s="91"/>
      <c r="ALE46" s="88"/>
      <c r="ALF46" s="88"/>
      <c r="ALG46" s="88"/>
      <c r="ALH46" s="88"/>
      <c r="ALI46" s="88"/>
      <c r="ALJ46" s="94"/>
      <c r="ALK46" s="95"/>
      <c r="ALL46" s="91"/>
      <c r="ALM46" s="88"/>
      <c r="ALN46" s="88"/>
      <c r="ALO46" s="88"/>
      <c r="ALP46" s="88"/>
      <c r="ALQ46" s="88"/>
      <c r="ALR46" s="94"/>
      <c r="ALS46" s="95"/>
      <c r="ALT46" s="91"/>
      <c r="ALU46" s="88"/>
      <c r="ALV46" s="88"/>
      <c r="ALW46" s="88"/>
      <c r="ALX46" s="88"/>
      <c r="ALY46" s="88"/>
      <c r="ALZ46" s="94"/>
      <c r="AMA46" s="95"/>
      <c r="AMB46" s="91"/>
      <c r="AMC46" s="88"/>
      <c r="AMD46" s="88"/>
      <c r="AME46" s="88"/>
      <c r="AMF46" s="88"/>
      <c r="AMG46" s="88"/>
      <c r="AMH46" s="94"/>
      <c r="AMI46" s="95"/>
      <c r="AMJ46" s="91"/>
      <c r="AMK46" s="88"/>
      <c r="AML46" s="88"/>
      <c r="AMM46" s="88"/>
      <c r="AMN46" s="88"/>
      <c r="AMO46" s="88"/>
      <c r="AMP46" s="94"/>
      <c r="AMQ46" s="95"/>
      <c r="AMR46" s="91"/>
      <c r="AMS46" s="88"/>
      <c r="AMT46" s="88"/>
      <c r="AMU46" s="88"/>
      <c r="AMV46" s="88"/>
      <c r="AMW46" s="88"/>
      <c r="AMX46" s="94"/>
      <c r="AMY46" s="95"/>
      <c r="AMZ46" s="91"/>
      <c r="ANA46" s="88"/>
      <c r="ANB46" s="88"/>
      <c r="ANC46" s="88"/>
      <c r="AND46" s="88"/>
      <c r="ANE46" s="88"/>
      <c r="ANF46" s="94"/>
      <c r="ANG46" s="95"/>
      <c r="ANH46" s="91"/>
      <c r="ANI46" s="88"/>
      <c r="ANJ46" s="88"/>
      <c r="ANK46" s="88"/>
      <c r="ANL46" s="88"/>
      <c r="ANM46" s="88"/>
      <c r="ANN46" s="67"/>
      <c r="ANO46" s="68"/>
      <c r="ANP46" s="91"/>
      <c r="ANQ46" s="88"/>
      <c r="ANR46" s="88"/>
      <c r="ANS46" s="88"/>
      <c r="ANT46" s="88"/>
      <c r="ANU46" s="88"/>
      <c r="ANV46" s="94"/>
      <c r="ANW46" s="95"/>
      <c r="ANX46" s="92"/>
      <c r="ANY46" s="93"/>
      <c r="ANZ46" s="93"/>
      <c r="AOA46" s="93"/>
      <c r="AOB46" s="93"/>
      <c r="AOC46" s="93"/>
      <c r="AOD46" s="94"/>
      <c r="AOE46" s="95"/>
      <c r="AOF46" s="91"/>
      <c r="AOG46" s="88"/>
      <c r="AOH46" s="88"/>
      <c r="AOI46" s="88"/>
      <c r="AOJ46" s="88"/>
      <c r="AOK46" s="88"/>
      <c r="AOL46" s="94"/>
      <c r="AOM46" s="95"/>
      <c r="AON46" s="91"/>
      <c r="AOO46" s="88"/>
      <c r="AOP46" s="88"/>
      <c r="AOQ46" s="88"/>
      <c r="AOR46" s="88"/>
      <c r="AOS46" s="88"/>
      <c r="AOT46" s="94"/>
      <c r="AOU46" s="95"/>
      <c r="AOV46" s="91"/>
      <c r="AOW46" s="88"/>
      <c r="AOX46" s="88"/>
      <c r="AOY46" s="88"/>
      <c r="AOZ46" s="88"/>
      <c r="APA46" s="88"/>
      <c r="APB46" s="94"/>
      <c r="APC46" s="95"/>
      <c r="APD46" s="91"/>
      <c r="APE46" s="88"/>
      <c r="APF46" s="88"/>
      <c r="APG46" s="88"/>
      <c r="APH46" s="88"/>
      <c r="API46" s="88"/>
      <c r="APJ46" s="94"/>
      <c r="APK46" s="95"/>
      <c r="APL46" s="91"/>
      <c r="APM46" s="88"/>
      <c r="APN46" s="88"/>
      <c r="APO46" s="88"/>
      <c r="APP46" s="88"/>
      <c r="APQ46" s="88"/>
      <c r="APR46" s="94"/>
      <c r="APS46" s="95"/>
      <c r="APT46" s="91"/>
      <c r="APU46" s="88"/>
      <c r="APV46" s="88"/>
      <c r="APW46" s="88"/>
      <c r="APX46" s="88"/>
      <c r="APY46" s="88"/>
      <c r="APZ46" s="94"/>
      <c r="AQA46" s="95"/>
      <c r="AQB46" s="91"/>
      <c r="AQC46" s="88"/>
      <c r="AQD46" s="88"/>
      <c r="AQE46" s="88"/>
      <c r="AQF46" s="88"/>
      <c r="AQG46" s="88"/>
      <c r="AQH46" s="94"/>
      <c r="AQI46" s="95"/>
      <c r="AQJ46" s="91"/>
      <c r="AQK46" s="88"/>
      <c r="AQL46" s="88"/>
      <c r="AQM46" s="88"/>
      <c r="AQN46" s="88"/>
      <c r="AQO46" s="88"/>
      <c r="AQP46" s="94"/>
      <c r="AQQ46" s="95"/>
      <c r="AQR46" s="91"/>
      <c r="AQS46" s="88"/>
      <c r="AQT46" s="88"/>
      <c r="AQU46" s="88"/>
      <c r="AQV46" s="88"/>
      <c r="AQW46" s="88"/>
      <c r="AQX46" s="94"/>
      <c r="AQY46" s="95"/>
      <c r="AQZ46" s="91"/>
      <c r="ARA46" s="88"/>
      <c r="ARB46" s="88"/>
      <c r="ARC46" s="88"/>
      <c r="ARD46" s="88"/>
      <c r="ARE46" s="88"/>
      <c r="ARF46" s="94"/>
      <c r="ARG46" s="95"/>
      <c r="ARH46" s="91"/>
      <c r="ARI46" s="88"/>
      <c r="ARJ46" s="88"/>
      <c r="ARK46" s="88"/>
      <c r="ARL46" s="88"/>
      <c r="ARM46" s="88"/>
      <c r="ARN46" s="94"/>
      <c r="ARO46" s="95"/>
      <c r="ARP46" s="91"/>
      <c r="ARQ46" s="88"/>
      <c r="ARR46" s="88"/>
      <c r="ARS46" s="88"/>
      <c r="ART46" s="88"/>
      <c r="ARU46" s="88"/>
      <c r="ARV46" s="94"/>
      <c r="ARW46" s="95"/>
      <c r="ARX46" s="91"/>
      <c r="ARY46" s="88"/>
      <c r="ARZ46" s="88"/>
      <c r="ASA46" s="88"/>
      <c r="ASB46" s="88"/>
      <c r="ASC46" s="88"/>
      <c r="ASD46" s="94"/>
      <c r="ASE46" s="95"/>
      <c r="ASF46" s="91"/>
      <c r="ASG46" s="88"/>
      <c r="ASH46" s="88"/>
      <c r="ASI46" s="88"/>
      <c r="ASJ46" s="88"/>
      <c r="ASK46" s="88"/>
      <c r="ASL46" s="94"/>
      <c r="ASM46" s="95"/>
      <c r="ASN46" s="91"/>
      <c r="ASO46" s="88"/>
      <c r="ASP46" s="88"/>
      <c r="ASQ46" s="88"/>
      <c r="ASR46" s="88"/>
      <c r="ASS46" s="88"/>
      <c r="AST46" s="94"/>
      <c r="ASU46" s="95"/>
      <c r="ASV46" s="91"/>
      <c r="ASW46" s="88"/>
      <c r="ASX46" s="88"/>
      <c r="ASY46" s="88"/>
      <c r="ASZ46" s="88"/>
      <c r="ATA46" s="88"/>
      <c r="ATB46" s="94"/>
      <c r="ATC46" s="95"/>
      <c r="ATD46" s="91"/>
      <c r="ATE46" s="88"/>
      <c r="ATF46" s="88"/>
      <c r="ATG46" s="88"/>
      <c r="ATH46" s="88"/>
      <c r="ATI46" s="88"/>
      <c r="ATJ46" s="94"/>
      <c r="ATK46" s="95"/>
      <c r="ATL46" s="91"/>
      <c r="ATM46" s="88"/>
      <c r="ATN46" s="88"/>
      <c r="ATO46" s="88"/>
      <c r="ATP46" s="88"/>
      <c r="ATQ46" s="88"/>
      <c r="ATR46" s="94"/>
      <c r="ATS46" s="95"/>
      <c r="ATT46" s="91"/>
      <c r="ATU46" s="88"/>
      <c r="ATV46" s="88"/>
      <c r="ATW46" s="88"/>
      <c r="ATX46" s="88"/>
      <c r="ATY46" s="88"/>
      <c r="ATZ46" s="94"/>
      <c r="AUA46" s="95"/>
      <c r="AUB46" s="91"/>
      <c r="AUC46" s="88"/>
      <c r="AUD46" s="88"/>
      <c r="AUE46" s="88"/>
      <c r="AUF46" s="88"/>
      <c r="AUG46" s="88"/>
      <c r="AUH46" s="94"/>
      <c r="AUI46" s="95"/>
      <c r="AUJ46" s="91"/>
      <c r="AUK46" s="88"/>
      <c r="AUL46" s="88"/>
      <c r="AUM46" s="88"/>
      <c r="AUN46" s="88"/>
      <c r="AUO46" s="88"/>
      <c r="AUP46" s="94"/>
      <c r="AUQ46" s="95"/>
      <c r="AUR46" s="91"/>
      <c r="AUS46" s="88"/>
      <c r="AUT46" s="88"/>
      <c r="AUU46" s="88"/>
      <c r="AUV46" s="88"/>
      <c r="AUW46" s="88"/>
      <c r="AUX46" s="94"/>
      <c r="AUY46" s="95"/>
      <c r="AUZ46" s="91"/>
      <c r="AVA46" s="88"/>
      <c r="AVB46" s="88"/>
      <c r="AVC46" s="88"/>
      <c r="AVD46" s="88"/>
      <c r="AVE46" s="88"/>
      <c r="AVF46" s="94"/>
      <c r="AVG46" s="95"/>
      <c r="AVH46" s="91"/>
      <c r="AVI46" s="88"/>
      <c r="AVJ46" s="88"/>
      <c r="AVK46" s="88"/>
      <c r="AVL46" s="88"/>
      <c r="AVM46" s="88"/>
      <c r="AVN46" s="94"/>
      <c r="AVO46" s="95"/>
      <c r="AVP46" s="91"/>
      <c r="AVQ46" s="88"/>
      <c r="AVR46" s="88"/>
      <c r="AVS46" s="88"/>
      <c r="AVT46" s="88"/>
      <c r="AVU46" s="88"/>
      <c r="AVV46" s="94"/>
      <c r="AVW46" s="95"/>
      <c r="AVX46" s="91"/>
      <c r="AVY46" s="88"/>
      <c r="AVZ46" s="88"/>
      <c r="AWA46" s="88"/>
      <c r="AWB46" s="88"/>
      <c r="AWC46" s="88"/>
      <c r="AWD46" s="94"/>
      <c r="AWE46" s="95"/>
      <c r="AWF46" s="91"/>
      <c r="AWG46" s="88"/>
      <c r="AWH46" s="88"/>
      <c r="AWI46" s="88"/>
      <c r="AWJ46" s="88"/>
      <c r="AWK46" s="88"/>
      <c r="AWL46" s="94"/>
      <c r="AWM46" s="218"/>
      <c r="AWN46" s="48"/>
      <c r="AWO46" s="49"/>
      <c r="AWP46" s="49"/>
      <c r="AWQ46" s="49"/>
      <c r="AWR46" s="49"/>
      <c r="AWS46" s="49"/>
      <c r="AWT46" s="42"/>
      <c r="AWU46" s="43"/>
      <c r="AWV46" s="48"/>
      <c r="AWW46" s="49"/>
      <c r="AWX46" s="49"/>
      <c r="AWY46" s="49"/>
      <c r="AWZ46" s="49"/>
      <c r="AXA46" s="49"/>
      <c r="AXB46" s="42"/>
      <c r="AXC46" s="43"/>
      <c r="AXD46" s="91"/>
      <c r="AXE46" s="88"/>
      <c r="AXF46" s="88"/>
      <c r="AXG46" s="88"/>
      <c r="AXH46" s="88"/>
      <c r="AXI46" s="88"/>
      <c r="AXJ46" s="89"/>
      <c r="AXK46" s="90"/>
      <c r="AXL46" s="91"/>
      <c r="AXM46" s="88"/>
      <c r="AXN46" s="88"/>
      <c r="AXO46" s="88"/>
      <c r="AXP46" s="88"/>
      <c r="AXQ46" s="88"/>
      <c r="AXR46" s="89"/>
      <c r="AXS46" s="90"/>
      <c r="AXT46" s="91"/>
      <c r="AXU46" s="88"/>
      <c r="AXV46" s="88"/>
      <c r="AXW46" s="88"/>
      <c r="AXX46" s="88"/>
      <c r="AXY46" s="88"/>
      <c r="AXZ46" s="89"/>
      <c r="AYA46" s="90"/>
      <c r="AYB46" s="91"/>
      <c r="AYC46" s="88"/>
      <c r="AYD46" s="88"/>
      <c r="AYE46" s="88"/>
      <c r="AYF46" s="88"/>
      <c r="AYG46" s="88"/>
      <c r="AYH46" s="89"/>
      <c r="AYI46" s="90"/>
      <c r="AYJ46" s="91"/>
      <c r="AYK46" s="88"/>
      <c r="AYL46" s="88"/>
      <c r="AYM46" s="88"/>
      <c r="AYN46" s="88"/>
      <c r="AYO46" s="88"/>
      <c r="AYP46" s="89"/>
      <c r="AYQ46" s="90"/>
      <c r="AYR46" s="91"/>
      <c r="AYS46" s="88"/>
      <c r="AYT46" s="88"/>
      <c r="AYU46" s="88"/>
      <c r="AYV46" s="88"/>
      <c r="AYW46" s="88"/>
      <c r="AYX46" s="89"/>
      <c r="AYY46" s="90"/>
      <c r="AYZ46" s="91"/>
      <c r="AZA46" s="88"/>
      <c r="AZB46" s="88"/>
      <c r="AZC46" s="88"/>
      <c r="AZD46" s="88"/>
      <c r="AZE46" s="88"/>
      <c r="AZF46" s="89"/>
      <c r="AZG46" s="90"/>
      <c r="AZH46" s="91"/>
      <c r="AZI46" s="88"/>
      <c r="AZJ46" s="88"/>
      <c r="AZK46" s="88"/>
      <c r="AZL46" s="88"/>
      <c r="AZM46" s="88"/>
      <c r="AZN46" s="89"/>
      <c r="AZO46" s="90"/>
      <c r="AZP46" s="91"/>
      <c r="AZQ46" s="88"/>
      <c r="AZR46" s="88"/>
      <c r="AZS46" s="88"/>
      <c r="AZT46" s="88"/>
      <c r="AZU46" s="88"/>
      <c r="AZV46" s="89"/>
      <c r="AZW46" s="90"/>
      <c r="AZX46" s="92"/>
      <c r="AZY46" s="93"/>
      <c r="AZZ46" s="93"/>
      <c r="BAA46" s="93"/>
      <c r="BAB46" s="93"/>
      <c r="BAC46" s="93"/>
      <c r="BAD46" s="89"/>
      <c r="BAE46" s="90"/>
      <c r="BAF46" s="91"/>
      <c r="BAG46" s="88"/>
      <c r="BAH46" s="88"/>
      <c r="BAI46" s="88"/>
      <c r="BAJ46" s="88"/>
      <c r="BAK46" s="88"/>
      <c r="BAL46" s="89"/>
      <c r="BAM46" s="90"/>
      <c r="BAN46" s="91"/>
      <c r="BAO46" s="88"/>
      <c r="BAP46" s="88"/>
      <c r="BAQ46" s="88"/>
      <c r="BAR46" s="88"/>
      <c r="BAS46" s="88"/>
      <c r="BAT46" s="89"/>
      <c r="BAU46" s="90"/>
      <c r="BAV46" s="91"/>
      <c r="BAW46" s="88"/>
      <c r="BAX46" s="88"/>
      <c r="BAY46" s="88"/>
      <c r="BAZ46" s="88"/>
      <c r="BBA46" s="88"/>
      <c r="BBB46" s="89"/>
      <c r="BBC46" s="90"/>
      <c r="BBD46" s="91"/>
      <c r="BBE46" s="88"/>
      <c r="BBF46" s="88"/>
      <c r="BBG46" s="88"/>
      <c r="BBH46" s="88"/>
      <c r="BBI46" s="88"/>
      <c r="BBJ46" s="89"/>
      <c r="BBK46" s="90"/>
      <c r="BBL46" s="91"/>
      <c r="BBM46" s="88"/>
      <c r="BBN46" s="88"/>
      <c r="BBO46" s="88"/>
      <c r="BBP46" s="88"/>
      <c r="BBQ46" s="88"/>
      <c r="BBR46" s="89"/>
      <c r="BBS46" s="90"/>
      <c r="BBT46" s="91"/>
      <c r="BBU46" s="88"/>
      <c r="BBV46" s="88"/>
      <c r="BBW46" s="88"/>
      <c r="BBX46" s="88"/>
      <c r="BBY46" s="88"/>
      <c r="BBZ46" s="89"/>
      <c r="BCA46" s="90"/>
      <c r="BCB46" s="91"/>
      <c r="BCC46" s="88"/>
      <c r="BCD46" s="88"/>
      <c r="BCE46" s="88"/>
      <c r="BCF46" s="88"/>
      <c r="BCG46" s="88"/>
      <c r="BCH46" s="89"/>
      <c r="BCI46" s="90"/>
      <c r="BCJ46" s="91"/>
      <c r="BCK46" s="88"/>
      <c r="BCL46" s="88"/>
      <c r="BCM46" s="88"/>
      <c r="BCN46" s="88"/>
      <c r="BCO46" s="88"/>
      <c r="BCP46" s="89"/>
      <c r="BCQ46" s="90"/>
      <c r="BCR46" s="91"/>
      <c r="BCS46" s="88"/>
      <c r="BCT46" s="88"/>
      <c r="BCU46" s="88"/>
      <c r="BCV46" s="88"/>
      <c r="BCW46" s="88"/>
      <c r="BCX46" s="89"/>
      <c r="BCY46" s="90"/>
      <c r="BCZ46" s="91"/>
      <c r="BDA46" s="88"/>
      <c r="BDB46" s="88"/>
      <c r="BDC46" s="88"/>
      <c r="BDD46" s="88"/>
      <c r="BDE46" s="88"/>
      <c r="BDF46" s="89"/>
      <c r="BDG46" s="90"/>
      <c r="BDH46" s="91"/>
      <c r="BDI46" s="88"/>
      <c r="BDJ46" s="88"/>
      <c r="BDK46" s="88"/>
      <c r="BDL46" s="88"/>
      <c r="BDM46" s="88"/>
      <c r="BDN46" s="89"/>
      <c r="BDO46" s="90"/>
      <c r="BDP46" s="91"/>
      <c r="BDQ46" s="88"/>
      <c r="BDR46" s="88"/>
      <c r="BDS46" s="88"/>
      <c r="BDT46" s="88"/>
      <c r="BDU46" s="88"/>
      <c r="BDV46" s="89"/>
      <c r="BDW46" s="90"/>
      <c r="BDX46" s="91"/>
      <c r="BDY46" s="88"/>
      <c r="BDZ46" s="88"/>
      <c r="BEA46" s="88"/>
      <c r="BEB46" s="88"/>
      <c r="BEC46" s="88"/>
      <c r="BED46" s="89"/>
      <c r="BEE46" s="90"/>
      <c r="BEF46" s="91"/>
      <c r="BEG46" s="88"/>
      <c r="BEH46" s="88"/>
      <c r="BEI46" s="88"/>
      <c r="BEJ46" s="88"/>
      <c r="BEK46" s="88"/>
      <c r="BEL46" s="89"/>
      <c r="BEM46" s="90"/>
      <c r="BEN46" s="91"/>
      <c r="BEO46" s="88"/>
      <c r="BEP46" s="88"/>
      <c r="BEQ46" s="88"/>
      <c r="BER46" s="88"/>
      <c r="BES46" s="88"/>
      <c r="BET46" s="89"/>
      <c r="BEU46" s="90"/>
      <c r="BEV46" s="92"/>
      <c r="BEW46" s="93"/>
      <c r="BEX46" s="93"/>
      <c r="BEY46" s="93"/>
      <c r="BEZ46" s="93"/>
      <c r="BFA46" s="93"/>
      <c r="BFB46" s="89"/>
      <c r="BFC46" s="90"/>
      <c r="BFD46" s="91"/>
      <c r="BFE46" s="88"/>
      <c r="BFF46" s="88"/>
      <c r="BFG46" s="88"/>
      <c r="BFH46" s="88"/>
      <c r="BFI46" s="88"/>
      <c r="BFJ46" s="89"/>
      <c r="BFK46" s="90"/>
      <c r="BFL46" s="91"/>
      <c r="BFM46" s="88"/>
      <c r="BFN46" s="88"/>
      <c r="BFO46" s="88"/>
      <c r="BFP46" s="88"/>
      <c r="BFQ46" s="88"/>
      <c r="BFR46" s="89"/>
      <c r="BFS46" s="90"/>
      <c r="BFT46" s="91"/>
      <c r="BFU46" s="88"/>
      <c r="BFV46" s="88"/>
      <c r="BFW46" s="88"/>
      <c r="BFX46" s="88"/>
      <c r="BFY46" s="88"/>
      <c r="BFZ46" s="89"/>
      <c r="BGA46" s="90"/>
      <c r="BGB46" s="91"/>
      <c r="BGC46" s="88"/>
      <c r="BGD46" s="88"/>
      <c r="BGE46" s="88"/>
      <c r="BGF46" s="88"/>
      <c r="BGG46" s="88"/>
      <c r="BGH46" s="89"/>
      <c r="BGI46" s="90"/>
      <c r="BGJ46" s="91"/>
      <c r="BGK46" s="88"/>
      <c r="BGL46" s="88"/>
      <c r="BGM46" s="88"/>
      <c r="BGN46" s="88"/>
      <c r="BGO46" s="88"/>
      <c r="BGP46" s="89"/>
      <c r="BGQ46" s="90"/>
      <c r="BGR46" s="91"/>
      <c r="BGS46" s="88"/>
      <c r="BGT46" s="88"/>
      <c r="BGU46" s="88"/>
      <c r="BGV46" s="88"/>
      <c r="BGW46" s="88"/>
      <c r="BGX46" s="89"/>
      <c r="BGY46" s="90"/>
      <c r="BGZ46" s="239"/>
      <c r="BHA46" s="1"/>
      <c r="BHB46" s="1"/>
      <c r="BHC46" s="1"/>
      <c r="BHD46" s="1"/>
      <c r="BHE46" s="1"/>
      <c r="BHF46" s="89"/>
      <c r="BHG46" s="90"/>
      <c r="BHH46" s="91"/>
      <c r="BHI46" s="88"/>
      <c r="BHJ46" s="88"/>
      <c r="BHK46" s="88"/>
      <c r="BHL46" s="88"/>
      <c r="BHM46" s="88"/>
      <c r="BHN46" s="89"/>
      <c r="BHO46" s="90"/>
      <c r="BHP46" s="91"/>
      <c r="BHQ46" s="88"/>
      <c r="BHR46" s="88"/>
      <c r="BHS46" s="88"/>
      <c r="BHT46" s="88"/>
      <c r="BHU46" s="88"/>
      <c r="BHV46" s="89"/>
      <c r="BHW46" s="90"/>
      <c r="BHX46" s="91"/>
      <c r="BHY46" s="88"/>
      <c r="BHZ46" s="88"/>
      <c r="BIA46" s="88"/>
      <c r="BIB46" s="88"/>
      <c r="BIC46" s="88"/>
      <c r="BID46" s="89"/>
      <c r="BIE46" s="90"/>
      <c r="BIF46" s="91"/>
      <c r="BIG46" s="88"/>
      <c r="BIH46" s="88"/>
      <c r="BII46" s="88"/>
      <c r="BIJ46" s="88"/>
      <c r="BIK46" s="88"/>
      <c r="BIL46" s="89"/>
      <c r="BIM46" s="90"/>
      <c r="BIN46" s="91"/>
      <c r="BIO46" s="88"/>
      <c r="BIP46" s="88"/>
      <c r="BIQ46" s="88"/>
      <c r="BIR46" s="88"/>
      <c r="BIS46" s="88"/>
      <c r="BIT46" s="89"/>
      <c r="BIU46" s="262"/>
      <c r="BIV46" s="219"/>
      <c r="BIW46" s="88"/>
      <c r="BIX46" s="88"/>
      <c r="BIY46" s="88"/>
      <c r="BIZ46" s="88"/>
      <c r="BJA46" s="88"/>
      <c r="BJB46" s="89"/>
      <c r="BJC46" s="262"/>
      <c r="BJD46" s="91"/>
      <c r="BJE46" s="88"/>
      <c r="BJF46" s="88"/>
      <c r="BJG46" s="88"/>
      <c r="BJH46" s="88"/>
      <c r="BJI46" s="88"/>
      <c r="BJJ46" s="89"/>
      <c r="BJK46" s="90"/>
      <c r="BJL46" s="91"/>
      <c r="BJM46" s="88"/>
      <c r="BJN46" s="88"/>
      <c r="BJO46" s="88"/>
      <c r="BJP46" s="88"/>
      <c r="BJQ46" s="88"/>
      <c r="BJR46" s="89"/>
      <c r="BJS46" s="90"/>
      <c r="BJT46" s="91"/>
      <c r="BJU46" s="88"/>
      <c r="BJV46" s="88"/>
      <c r="BJW46" s="88"/>
      <c r="BJX46" s="88"/>
      <c r="BJY46" s="88"/>
      <c r="BJZ46" s="42"/>
      <c r="BKA46" s="43"/>
      <c r="BKB46" s="91"/>
      <c r="BKC46" s="88"/>
      <c r="BKD46" s="88"/>
      <c r="BKE46" s="88"/>
      <c r="BKF46" s="88"/>
      <c r="BKG46" s="88"/>
      <c r="BKH46" s="94"/>
      <c r="BKI46" s="95"/>
      <c r="BKJ46" s="91"/>
      <c r="BKK46" s="88"/>
      <c r="BKL46" s="88"/>
      <c r="BKM46" s="88"/>
      <c r="BKN46" s="88"/>
      <c r="BKO46" s="88"/>
      <c r="BKP46" s="89"/>
      <c r="BKQ46" s="90"/>
      <c r="BKR46" s="91"/>
      <c r="BKS46" s="88"/>
      <c r="BKT46" s="88"/>
      <c r="BKU46" s="88"/>
      <c r="BKV46" s="88"/>
      <c r="BKW46" s="88"/>
      <c r="BKX46" s="89"/>
      <c r="BKY46" s="90"/>
      <c r="BKZ46" s="91"/>
      <c r="BLA46" s="88"/>
      <c r="BLB46" s="88"/>
      <c r="BLC46" s="88"/>
      <c r="BLD46" s="88"/>
      <c r="BLE46" s="88"/>
      <c r="BLF46" s="89"/>
      <c r="BLG46" s="90"/>
      <c r="BLH46" s="91"/>
      <c r="BLI46" s="88"/>
      <c r="BLJ46" s="88"/>
      <c r="BLK46" s="88"/>
      <c r="BLL46" s="88"/>
      <c r="BLM46" s="88"/>
      <c r="BLN46" s="89"/>
      <c r="BLO46" s="90"/>
      <c r="BLP46" s="91"/>
      <c r="BLQ46" s="88"/>
      <c r="BLR46" s="88"/>
      <c r="BLS46" s="88"/>
      <c r="BLT46" s="88"/>
      <c r="BLU46" s="88"/>
      <c r="BLV46" s="89"/>
      <c r="BLW46" s="90"/>
      <c r="BLX46" s="91"/>
      <c r="BLY46" s="88"/>
      <c r="BLZ46" s="88"/>
      <c r="BMA46" s="88"/>
      <c r="BMB46" s="88"/>
      <c r="BMC46" s="88"/>
      <c r="BMD46" s="89"/>
      <c r="BME46" s="90"/>
      <c r="BMF46" s="91"/>
      <c r="BMG46" s="88"/>
      <c r="BMH46" s="88"/>
      <c r="BMI46" s="88"/>
      <c r="BMJ46" s="88"/>
      <c r="BMK46" s="88"/>
      <c r="BML46" s="89"/>
      <c r="BMM46" s="90"/>
      <c r="BMN46" s="91"/>
      <c r="BMO46" s="88"/>
      <c r="BMP46" s="88"/>
      <c r="BMQ46" s="88"/>
      <c r="BMR46" s="88"/>
      <c r="BMS46" s="88"/>
      <c r="BMT46" s="89"/>
      <c r="BMU46" s="90"/>
      <c r="BMV46" s="91"/>
      <c r="BMW46" s="88"/>
      <c r="BMX46" s="88"/>
      <c r="BMY46" s="88"/>
      <c r="BMZ46" s="88"/>
      <c r="BNA46" s="88"/>
      <c r="BNB46" s="89"/>
      <c r="BNC46" s="90"/>
      <c r="BND46" s="91"/>
      <c r="BNE46" s="88"/>
      <c r="BNF46" s="88"/>
      <c r="BNG46" s="88"/>
      <c r="BNH46" s="88"/>
      <c r="BNI46" s="88"/>
      <c r="BNJ46" s="89"/>
      <c r="BNK46" s="90"/>
      <c r="BNL46" s="91"/>
      <c r="BNM46" s="88"/>
      <c r="BNN46" s="88"/>
      <c r="BNO46" s="88"/>
      <c r="BNP46" s="88"/>
      <c r="BNQ46" s="88"/>
      <c r="BNR46" s="89"/>
      <c r="BNS46" s="90"/>
      <c r="BNT46" s="91"/>
      <c r="BNU46" s="88"/>
      <c r="BNV46" s="88"/>
      <c r="BNW46" s="88"/>
      <c r="BNX46" s="88"/>
      <c r="BNY46" s="88"/>
      <c r="BNZ46" s="89"/>
      <c r="BOA46" s="90"/>
      <c r="BOB46" s="91"/>
      <c r="BOC46" s="88"/>
      <c r="BOD46" s="88"/>
      <c r="BOE46" s="88"/>
      <c r="BOF46" s="88"/>
      <c r="BOG46" s="88"/>
      <c r="BOH46" s="89"/>
      <c r="BOI46" s="90"/>
      <c r="BOJ46" s="91"/>
      <c r="BOK46" s="88"/>
      <c r="BOL46" s="88"/>
      <c r="BOM46" s="88"/>
      <c r="BON46" s="88"/>
      <c r="BOO46" s="88"/>
      <c r="BOP46" s="89"/>
      <c r="BOQ46" s="90"/>
      <c r="BOR46" s="91"/>
      <c r="BOS46" s="88"/>
      <c r="BOT46" s="88"/>
      <c r="BOU46" s="88"/>
      <c r="BOV46" s="88"/>
      <c r="BOW46" s="88"/>
      <c r="BOX46" s="89"/>
      <c r="BOY46" s="90"/>
      <c r="BOZ46" s="91"/>
      <c r="BPA46" s="88"/>
      <c r="BPB46" s="88"/>
      <c r="BPC46" s="88"/>
      <c r="BPD46" s="88"/>
      <c r="BPE46" s="88"/>
      <c r="BPF46" s="89"/>
      <c r="BPG46" s="90"/>
      <c r="BPH46" s="91"/>
      <c r="BPI46" s="88"/>
      <c r="BPJ46" s="88"/>
      <c r="BPK46" s="88"/>
      <c r="BPL46" s="88"/>
      <c r="BPM46" s="88"/>
      <c r="BPN46" s="89"/>
      <c r="BPO46" s="90"/>
      <c r="BPP46" s="91"/>
      <c r="BPQ46" s="88"/>
      <c r="BPR46" s="88"/>
      <c r="BPS46" s="88"/>
      <c r="BPT46" s="88"/>
      <c r="BPU46" s="88"/>
      <c r="BPV46" s="89"/>
      <c r="BPW46" s="90"/>
      <c r="BPX46" s="91"/>
      <c r="BPY46" s="88"/>
      <c r="BPZ46" s="88"/>
      <c r="BQA46" s="88"/>
      <c r="BQB46" s="88"/>
      <c r="BQC46" s="88"/>
      <c r="BQD46" s="94"/>
      <c r="BQE46" s="90"/>
      <c r="BQF46" s="91"/>
      <c r="BQG46" s="88"/>
      <c r="BQH46" s="88"/>
      <c r="BQI46" s="88"/>
      <c r="BQJ46" s="88"/>
      <c r="BQK46" s="88"/>
      <c r="BQL46" s="94"/>
      <c r="BQM46" s="90"/>
      <c r="BQN46" s="91"/>
      <c r="BQO46" s="88"/>
      <c r="BQP46" s="88"/>
      <c r="BQQ46" s="88"/>
      <c r="BQR46" s="88"/>
      <c r="BQS46" s="88"/>
      <c r="BQT46" s="94"/>
      <c r="BQU46" s="90"/>
      <c r="BQV46" s="91"/>
      <c r="BQW46" s="88"/>
      <c r="BQX46" s="88"/>
      <c r="BQY46" s="88"/>
      <c r="BQZ46" s="88"/>
      <c r="BRA46" s="88"/>
      <c r="BRB46" s="94"/>
      <c r="BRC46" s="90"/>
      <c r="BRD46" s="91"/>
      <c r="BRE46" s="88"/>
      <c r="BRF46" s="88"/>
      <c r="BRG46" s="88"/>
      <c r="BRH46" s="88"/>
      <c r="BRI46" s="88"/>
      <c r="BRJ46" s="94"/>
      <c r="BRK46" s="90"/>
      <c r="BRL46" s="91"/>
      <c r="BRM46" s="88"/>
      <c r="BRN46" s="88"/>
      <c r="BRO46" s="88"/>
      <c r="BRP46" s="88"/>
      <c r="BRQ46" s="88"/>
      <c r="BRR46" s="94"/>
      <c r="BRS46" s="95"/>
      <c r="BRT46" s="178"/>
      <c r="BRU46" s="179"/>
      <c r="BRV46" s="179"/>
      <c r="BRW46" s="179"/>
      <c r="BRX46" s="179"/>
      <c r="BRY46" s="179"/>
      <c r="BRZ46" s="94"/>
      <c r="BSA46" s="90"/>
      <c r="BSB46" s="91"/>
      <c r="BSC46" s="88"/>
      <c r="BSD46" s="88"/>
      <c r="BSE46" s="88"/>
      <c r="BSF46" s="88"/>
      <c r="BSG46" s="88"/>
      <c r="BSH46" s="94"/>
      <c r="BSI46" s="90"/>
      <c r="BSJ46" s="91"/>
      <c r="BSK46" s="88"/>
      <c r="BSL46" s="88"/>
      <c r="BSM46" s="88"/>
      <c r="BSN46" s="88"/>
      <c r="BSO46" s="88"/>
      <c r="BSP46" s="94"/>
      <c r="BSQ46" s="90"/>
      <c r="BSR46" s="91"/>
      <c r="BSS46" s="88"/>
      <c r="BST46" s="88"/>
      <c r="BSU46" s="88"/>
      <c r="BSV46" s="88"/>
      <c r="BSW46" s="88"/>
      <c r="BSX46" s="94"/>
      <c r="BSY46" s="90"/>
      <c r="BSZ46" s="91"/>
      <c r="BTA46" s="88"/>
      <c r="BTB46" s="88"/>
      <c r="BTC46" s="88"/>
      <c r="BTD46" s="88"/>
      <c r="BTE46" s="88"/>
      <c r="BTF46" s="67"/>
      <c r="BTG46" s="43"/>
      <c r="BTH46" s="91"/>
      <c r="BTI46" s="88"/>
      <c r="BTJ46" s="88"/>
      <c r="BTK46" s="88"/>
      <c r="BTL46" s="88"/>
      <c r="BTM46" s="88"/>
      <c r="BTN46" s="94"/>
      <c r="BTO46" s="95"/>
      <c r="BTP46" s="91"/>
      <c r="BTQ46" s="88"/>
      <c r="BTR46" s="88"/>
      <c r="BTS46" s="88"/>
      <c r="BTT46" s="88"/>
      <c r="BTU46" s="88"/>
      <c r="BTV46" s="94"/>
      <c r="BTW46" s="90"/>
      <c r="BTX46" s="91"/>
      <c r="BTY46" s="88"/>
      <c r="BTZ46" s="88"/>
      <c r="BUA46" s="88"/>
      <c r="BUB46" s="88"/>
      <c r="BUC46" s="88"/>
      <c r="BUD46" s="94"/>
      <c r="BUE46" s="95"/>
      <c r="BUF46" s="91"/>
      <c r="BUG46" s="88"/>
      <c r="BUH46" s="88"/>
      <c r="BUI46" s="88"/>
      <c r="BUJ46" s="88"/>
      <c r="BUK46" s="88"/>
      <c r="BUL46" s="94"/>
      <c r="BUM46" s="95"/>
      <c r="BUN46" s="91"/>
      <c r="BUO46" s="88"/>
      <c r="BUP46" s="88"/>
      <c r="BUQ46" s="88"/>
      <c r="BUR46" s="88"/>
      <c r="BUS46" s="88"/>
      <c r="BUT46" s="94"/>
      <c r="BUU46" s="95"/>
      <c r="BUV46" s="91"/>
      <c r="BUW46" s="88"/>
      <c r="BUX46" s="88"/>
      <c r="BUY46" s="88"/>
      <c r="BUZ46" s="88"/>
      <c r="BVA46" s="88"/>
      <c r="BVB46" s="94"/>
      <c r="BVC46" s="95"/>
      <c r="BVD46" s="91"/>
      <c r="BVE46" s="88"/>
      <c r="BVF46" s="88"/>
      <c r="BVG46" s="88"/>
      <c r="BVH46" s="88"/>
      <c r="BVI46" s="88"/>
      <c r="BVJ46" s="94"/>
      <c r="BVK46" s="95"/>
      <c r="BVL46" s="91"/>
      <c r="BVM46" s="88"/>
      <c r="BVN46" s="88"/>
      <c r="BVO46" s="88"/>
      <c r="BVP46" s="88"/>
      <c r="BVQ46" s="88"/>
      <c r="BVR46" s="94"/>
      <c r="BVS46" s="95"/>
      <c r="BVT46" s="91"/>
      <c r="BVU46" s="88"/>
      <c r="BVV46" s="88"/>
      <c r="BVW46" s="88"/>
      <c r="BVX46" s="88"/>
      <c r="BVY46" s="88"/>
      <c r="BVZ46" s="94"/>
      <c r="BWA46" s="95"/>
      <c r="BWB46" s="91"/>
      <c r="BWC46" s="88"/>
      <c r="BWD46" s="88"/>
      <c r="BWE46" s="88"/>
      <c r="BWF46" s="88"/>
      <c r="BWG46" s="88"/>
      <c r="BWH46" s="94"/>
      <c r="BWI46" s="95"/>
      <c r="BWJ46" s="91"/>
      <c r="BWK46" s="88"/>
      <c r="BWL46" s="88"/>
      <c r="BWM46" s="88"/>
      <c r="BWN46" s="88"/>
      <c r="BWO46" s="88"/>
      <c r="BWP46" s="94"/>
      <c r="BWQ46" s="95"/>
      <c r="BWR46" s="91"/>
      <c r="BWS46" s="88"/>
      <c r="BWT46" s="88"/>
      <c r="BWU46" s="88"/>
      <c r="BWV46" s="88"/>
      <c r="BWW46" s="88"/>
      <c r="BWX46" s="94"/>
      <c r="BWY46" s="95"/>
      <c r="BWZ46" s="91"/>
      <c r="BXA46" s="88"/>
      <c r="BXB46" s="88"/>
      <c r="BXC46" s="88"/>
      <c r="BXD46" s="88"/>
      <c r="BXE46" s="88"/>
      <c r="BXF46" s="94"/>
      <c r="BXG46" s="95"/>
      <c r="BXH46" s="91"/>
      <c r="BXI46" s="88"/>
      <c r="BXJ46" s="88"/>
      <c r="BXK46" s="88"/>
      <c r="BXL46" s="88"/>
      <c r="BXM46" s="88"/>
      <c r="BXN46" s="94"/>
      <c r="BXO46" s="95"/>
      <c r="BXP46" s="91"/>
      <c r="BXQ46" s="88"/>
      <c r="BXR46" s="88"/>
      <c r="BXS46" s="88"/>
      <c r="BXT46" s="88"/>
      <c r="BXU46" s="88"/>
      <c r="BXV46" s="94"/>
      <c r="BXW46" s="95"/>
      <c r="BXX46" s="91"/>
      <c r="BXY46" s="88"/>
      <c r="BXZ46" s="88"/>
      <c r="BYA46" s="88"/>
      <c r="BYB46" s="88"/>
      <c r="BYC46" s="88"/>
      <c r="BYD46" s="94"/>
      <c r="BYE46" s="95"/>
      <c r="BYF46" s="91"/>
      <c r="BYG46" s="88"/>
      <c r="BYH46" s="88"/>
      <c r="BYI46" s="88"/>
      <c r="BYJ46" s="88"/>
      <c r="BYK46" s="88"/>
      <c r="BYL46" s="94"/>
      <c r="BYM46" s="95"/>
      <c r="BYN46" s="91"/>
      <c r="BYO46" s="88"/>
      <c r="BYP46" s="88"/>
      <c r="BYQ46" s="88"/>
      <c r="BYR46" s="88"/>
      <c r="BYS46" s="88"/>
      <c r="BYT46" s="94"/>
      <c r="BYU46" s="95"/>
      <c r="BYV46" s="91"/>
      <c r="BYW46" s="88"/>
      <c r="BYX46" s="88"/>
      <c r="BYY46" s="88"/>
      <c r="BYZ46" s="88"/>
      <c r="BZA46" s="88"/>
      <c r="BZB46" s="94"/>
      <c r="BZC46" s="95"/>
      <c r="BZD46" s="91"/>
      <c r="BZE46" s="88"/>
      <c r="BZF46" s="88"/>
      <c r="BZG46" s="88"/>
      <c r="BZH46" s="88"/>
      <c r="BZI46" s="88"/>
      <c r="BZJ46" s="94"/>
      <c r="BZK46" s="95"/>
      <c r="BZL46" s="91"/>
      <c r="BZM46" s="88"/>
      <c r="BZN46" s="88"/>
      <c r="BZO46" s="88"/>
      <c r="BZP46" s="88"/>
      <c r="BZQ46" s="88"/>
      <c r="BZR46" s="94"/>
      <c r="BZS46" s="95"/>
      <c r="BZT46" s="91"/>
      <c r="BZU46" s="88"/>
      <c r="BZV46" s="88"/>
      <c r="BZW46" s="88"/>
      <c r="BZX46" s="88"/>
      <c r="BZY46" s="88"/>
      <c r="BZZ46" s="94"/>
      <c r="CAA46" s="95"/>
      <c r="CAB46" s="91"/>
      <c r="CAC46" s="88"/>
      <c r="CAD46" s="88"/>
      <c r="CAE46" s="88"/>
      <c r="CAF46" s="88"/>
      <c r="CAG46" s="88"/>
      <c r="CAH46" s="94"/>
      <c r="CAI46" s="95"/>
      <c r="CAJ46" s="91"/>
      <c r="CAK46" s="88"/>
      <c r="CAL46" s="88"/>
      <c r="CAM46" s="88"/>
      <c r="CAN46" s="88"/>
      <c r="CAO46" s="88"/>
      <c r="CAP46" s="94"/>
      <c r="CAQ46" s="95"/>
      <c r="CAR46" s="91"/>
      <c r="CAS46" s="88"/>
      <c r="CAT46" s="88"/>
      <c r="CAU46" s="88"/>
      <c r="CAV46" s="88"/>
      <c r="CAW46" s="88"/>
      <c r="CAX46" s="94"/>
      <c r="CAY46" s="95"/>
      <c r="CAZ46" s="91"/>
      <c r="CBA46" s="88"/>
      <c r="CBB46" s="88"/>
      <c r="CBC46" s="88"/>
      <c r="CBD46" s="88"/>
      <c r="CBE46" s="88"/>
      <c r="CBF46" s="94"/>
      <c r="CBG46" s="95"/>
      <c r="CBH46" s="91"/>
      <c r="CBI46" s="88"/>
      <c r="CBJ46" s="88"/>
      <c r="CBK46" s="88"/>
      <c r="CBL46" s="88"/>
      <c r="CBM46" s="88"/>
      <c r="CBN46" s="94"/>
      <c r="CBO46" s="95"/>
      <c r="CBP46" s="91"/>
      <c r="CBQ46" s="88"/>
      <c r="CBR46" s="88"/>
      <c r="CBS46" s="88"/>
      <c r="CBT46" s="88"/>
      <c r="CBU46" s="88"/>
      <c r="CBV46" s="94"/>
      <c r="CBW46" s="95"/>
      <c r="CBX46" s="91"/>
      <c r="CBY46" s="88"/>
      <c r="CBZ46" s="88"/>
      <c r="CCA46" s="88"/>
      <c r="CCB46" s="88"/>
      <c r="CCC46" s="88"/>
      <c r="CCD46" s="94"/>
      <c r="CCE46" s="95"/>
      <c r="CCF46" s="91"/>
      <c r="CCG46" s="88"/>
      <c r="CCH46" s="88"/>
      <c r="CCI46" s="88"/>
      <c r="CCJ46" s="88"/>
      <c r="CCK46" s="88"/>
      <c r="CCL46" s="94"/>
      <c r="CCM46" s="95"/>
      <c r="CCN46" s="91"/>
      <c r="CCO46" s="88"/>
      <c r="CCP46" s="88"/>
      <c r="CCQ46" s="88"/>
      <c r="CCR46" s="88"/>
      <c r="CCS46" s="88"/>
      <c r="CCT46" s="94"/>
      <c r="CCU46" s="95"/>
      <c r="CCV46" s="91"/>
      <c r="CCW46" s="88"/>
      <c r="CCX46" s="88"/>
      <c r="CCY46" s="88"/>
      <c r="CCZ46" s="88"/>
      <c r="CDA46" s="88"/>
      <c r="CDB46" s="94"/>
      <c r="CDC46" s="95"/>
      <c r="CDD46" s="91"/>
      <c r="CDE46" s="88"/>
      <c r="CDF46" s="88"/>
      <c r="CDG46" s="88"/>
      <c r="CDH46" s="88"/>
      <c r="CDI46" s="88"/>
      <c r="CDJ46" s="94"/>
      <c r="CDK46" s="95"/>
      <c r="CDL46" s="91"/>
      <c r="CDM46" s="88"/>
      <c r="CDN46" s="88"/>
      <c r="CDO46" s="88"/>
      <c r="CDP46" s="88"/>
      <c r="CDQ46" s="88"/>
      <c r="CDR46" s="94"/>
      <c r="CDS46" s="95"/>
      <c r="CDT46" s="91"/>
      <c r="CDU46" s="88"/>
      <c r="CDV46" s="88"/>
      <c r="CDW46" s="88"/>
      <c r="CDX46" s="88"/>
      <c r="CDY46" s="88"/>
      <c r="CDZ46" s="94"/>
      <c r="CEA46" s="95"/>
      <c r="CEB46" s="91"/>
      <c r="CEC46" s="88"/>
      <c r="CED46" s="88"/>
      <c r="CEE46" s="88"/>
      <c r="CEF46" s="88"/>
      <c r="CEG46" s="88"/>
      <c r="CEH46" s="94"/>
      <c r="CEI46" s="95"/>
      <c r="CEJ46" s="91"/>
      <c r="CEK46" s="88"/>
      <c r="CEL46" s="88"/>
      <c r="CEM46" s="88"/>
      <c r="CEN46" s="88"/>
      <c r="CEO46" s="88"/>
      <c r="CEP46" s="94"/>
      <c r="CEQ46" s="95"/>
      <c r="CER46" s="91"/>
      <c r="CES46" s="88"/>
      <c r="CET46" s="88"/>
      <c r="CEU46" s="88"/>
      <c r="CEV46" s="88"/>
      <c r="CEW46" s="88"/>
      <c r="CEX46" s="94"/>
      <c r="CEY46" s="95"/>
      <c r="CEZ46" s="1"/>
      <c r="CFA46" s="1"/>
      <c r="CFB46" s="1"/>
      <c r="CFC46" s="1"/>
      <c r="CFD46" s="1"/>
      <c r="CFE46" s="1"/>
      <c r="CFF46" s="351"/>
      <c r="CFG46" s="352"/>
      <c r="CFH46" s="1"/>
      <c r="CFI46" s="1"/>
      <c r="CFJ46" s="1"/>
      <c r="CFK46" s="1"/>
      <c r="CFL46" s="1"/>
      <c r="CFM46" s="1"/>
      <c r="CFN46" s="351"/>
      <c r="CFO46" s="352"/>
      <c r="CFP46" s="1"/>
      <c r="CFQ46" s="1"/>
      <c r="CFR46" s="1"/>
      <c r="CFS46" s="1"/>
      <c r="CFT46" s="1"/>
      <c r="CFU46" s="1"/>
      <c r="CFV46" s="169"/>
      <c r="CFW46" s="58"/>
      <c r="CFX46" s="1"/>
      <c r="CFY46" s="1"/>
      <c r="CFZ46" s="1"/>
      <c r="CGA46" s="1"/>
      <c r="CGB46" s="1"/>
      <c r="CGC46" s="1"/>
      <c r="CGD46" s="169"/>
      <c r="CGE46" s="58"/>
      <c r="CGF46" s="1"/>
      <c r="CGG46" s="1"/>
      <c r="CGH46" s="1"/>
      <c r="CGI46" s="1"/>
      <c r="CGJ46" s="1"/>
      <c r="CGK46" s="1"/>
      <c r="CGL46" s="351"/>
      <c r="CGM46" s="352"/>
      <c r="CGN46" s="1"/>
      <c r="CGO46" s="1"/>
      <c r="CGP46" s="1"/>
      <c r="CGQ46" s="1"/>
      <c r="CGR46" s="1"/>
      <c r="CGS46" s="1"/>
      <c r="CGT46" s="351"/>
      <c r="CGU46" s="352"/>
      <c r="CGV46" s="1"/>
      <c r="CGW46" s="1"/>
      <c r="CGX46" s="1"/>
      <c r="CGY46" s="1"/>
      <c r="CGZ46" s="1"/>
      <c r="CHA46" s="1"/>
      <c r="CHB46" s="169"/>
      <c r="CHC46" s="58"/>
      <c r="CHD46" s="1"/>
      <c r="CHE46" s="1"/>
      <c r="CHF46" s="1"/>
      <c r="CHG46" s="1"/>
      <c r="CHH46" s="1"/>
      <c r="CHI46" s="1"/>
      <c r="CHJ46" s="169"/>
      <c r="CHK46" s="58"/>
      <c r="CHL46" s="1"/>
      <c r="CHM46" s="1"/>
      <c r="CHN46" s="1"/>
      <c r="CHO46" s="1"/>
      <c r="CHP46" s="1"/>
      <c r="CHQ46" s="1"/>
      <c r="CHR46" s="169"/>
      <c r="CHS46" s="58"/>
      <c r="CHT46" s="1"/>
      <c r="CHU46" s="1"/>
      <c r="CHV46" s="1"/>
      <c r="CHW46" s="1"/>
      <c r="CHX46" s="1"/>
      <c r="CHY46" s="1"/>
      <c r="CHZ46" s="169"/>
      <c r="CIA46" s="58"/>
      <c r="CIB46" s="1"/>
      <c r="CIC46" s="1"/>
      <c r="CID46" s="1"/>
      <c r="CIE46" s="1"/>
      <c r="CIF46" s="1"/>
      <c r="CIG46" s="1"/>
      <c r="CIH46" s="169"/>
      <c r="CII46" s="58"/>
      <c r="CIJ46" s="1"/>
      <c r="CIK46" s="1"/>
      <c r="CIL46" s="1"/>
      <c r="CIM46" s="1"/>
      <c r="CIN46" s="1"/>
      <c r="CIO46" s="1"/>
      <c r="CIP46" s="351"/>
      <c r="CIQ46" s="352"/>
      <c r="CIR46" s="1"/>
      <c r="CIS46" s="1"/>
      <c r="CIT46" s="1"/>
      <c r="CIU46" s="1"/>
      <c r="CIV46" s="1"/>
      <c r="CIW46" s="1"/>
      <c r="CIX46" s="351"/>
      <c r="CIY46" s="352"/>
      <c r="CIZ46" s="58"/>
      <c r="CJA46" s="58"/>
      <c r="CJB46" s="58"/>
      <c r="CJC46" s="58"/>
      <c r="CJD46" s="58"/>
      <c r="CJE46" s="58"/>
      <c r="CJF46" s="169"/>
      <c r="CJG46" s="58"/>
      <c r="CJH46" s="1"/>
      <c r="CJI46" s="1"/>
      <c r="CJJ46" s="1"/>
      <c r="CJK46" s="1"/>
      <c r="CJL46" s="1"/>
      <c r="CJM46" s="1"/>
      <c r="CJN46" s="169"/>
      <c r="CJO46" s="58"/>
      <c r="CJP46" s="91"/>
      <c r="CJQ46" s="88"/>
      <c r="CJR46" s="88"/>
      <c r="CJS46" s="88"/>
      <c r="CJT46" s="88"/>
      <c r="CJU46" s="88"/>
      <c r="CJV46" s="94"/>
      <c r="CJW46" s="95"/>
      <c r="CJX46" s="91"/>
      <c r="CJY46" s="88"/>
      <c r="CJZ46" s="88"/>
      <c r="CKA46" s="88"/>
      <c r="CKB46" s="88"/>
      <c r="CKC46" s="88"/>
      <c r="CKD46" s="94"/>
      <c r="CKE46" s="95"/>
      <c r="CKF46" s="91"/>
      <c r="CKG46" s="88"/>
      <c r="CKH46" s="88"/>
      <c r="CKI46" s="88"/>
      <c r="CKJ46" s="88"/>
      <c r="CKK46" s="88"/>
      <c r="CKL46" s="94"/>
      <c r="CKM46" s="95"/>
      <c r="CKN46" s="91"/>
      <c r="CKO46" s="88"/>
      <c r="CKP46" s="88"/>
      <c r="CKQ46" s="88"/>
      <c r="CKR46" s="88"/>
      <c r="CKS46" s="256"/>
      <c r="CKT46" s="94"/>
      <c r="CKU46" s="95"/>
      <c r="CKV46" s="91"/>
      <c r="CKW46" s="88"/>
      <c r="CKX46" s="88"/>
      <c r="CKY46" s="88"/>
      <c r="CKZ46" s="88"/>
      <c r="CLA46" s="88"/>
      <c r="CLB46" s="94"/>
      <c r="CLC46" s="95"/>
      <c r="CLD46" s="91"/>
      <c r="CLE46" s="88"/>
      <c r="CLF46" s="88"/>
      <c r="CLG46" s="88"/>
      <c r="CLH46" s="88"/>
      <c r="CLI46" s="88"/>
      <c r="CLJ46" s="94"/>
      <c r="CLK46" s="95"/>
      <c r="CLL46" s="91"/>
      <c r="CLM46" s="88"/>
      <c r="CLN46" s="88"/>
      <c r="CLO46" s="88"/>
      <c r="CLP46" s="88"/>
      <c r="CLQ46" s="88"/>
      <c r="CLR46" s="94"/>
      <c r="CLS46" s="95"/>
      <c r="CLT46" s="91"/>
      <c r="CLU46" s="88"/>
      <c r="CLV46" s="88"/>
      <c r="CLW46" s="88"/>
      <c r="CLX46" s="88"/>
      <c r="CLY46" s="88"/>
      <c r="CLZ46" s="94"/>
      <c r="CMA46" s="95"/>
      <c r="CMB46" s="91"/>
      <c r="CMC46" s="88"/>
      <c r="CMD46" s="88"/>
      <c r="CME46" s="88"/>
      <c r="CMF46" s="88"/>
      <c r="CMG46" s="88"/>
      <c r="CMH46" s="94"/>
      <c r="CMI46" s="95"/>
      <c r="CMJ46" s="91"/>
      <c r="CMK46" s="88"/>
      <c r="CML46" s="88"/>
      <c r="CMM46" s="88"/>
      <c r="CMN46" s="88"/>
      <c r="CMO46" s="88"/>
      <c r="CMP46" s="94"/>
      <c r="CMQ46" s="95"/>
      <c r="CMR46" s="91"/>
      <c r="CMS46" s="88"/>
      <c r="CMT46" s="88"/>
      <c r="CMU46" s="88"/>
      <c r="CMV46" s="88"/>
      <c r="CMW46" s="88"/>
      <c r="CMX46" s="94"/>
      <c r="CMY46" s="95"/>
      <c r="CMZ46" s="91"/>
      <c r="CNA46" s="88"/>
      <c r="CNB46" s="88"/>
      <c r="CNC46" s="88"/>
      <c r="CND46" s="88"/>
      <c r="CNE46" s="88"/>
      <c r="CNF46" s="94"/>
      <c r="CNG46" s="95"/>
      <c r="CNH46" s="91"/>
      <c r="CNI46" s="88"/>
      <c r="CNJ46" s="88"/>
      <c r="CNK46" s="88"/>
      <c r="CNL46" s="88"/>
      <c r="CNM46" s="88"/>
      <c r="CNN46" s="94"/>
      <c r="CNO46" s="95"/>
      <c r="CNP46" s="91"/>
      <c r="CNQ46" s="88"/>
      <c r="CNR46" s="88"/>
      <c r="CNS46" s="88"/>
      <c r="CNT46" s="88"/>
      <c r="CNU46" s="88"/>
      <c r="CNV46" s="94"/>
      <c r="CNW46" s="95"/>
      <c r="CNX46" s="91"/>
      <c r="CNY46" s="88"/>
      <c r="CNZ46" s="88"/>
      <c r="COA46" s="88"/>
      <c r="COB46" s="88"/>
      <c r="COC46" s="88"/>
      <c r="COD46" s="94"/>
      <c r="COE46" s="95"/>
      <c r="COF46" s="48"/>
      <c r="COG46" s="49"/>
      <c r="COH46" s="49"/>
      <c r="COI46" s="49"/>
      <c r="COJ46" s="49"/>
      <c r="COK46" s="49"/>
      <c r="COL46" s="67"/>
      <c r="COM46" s="68"/>
      <c r="CON46" s="48"/>
      <c r="COO46" s="49"/>
      <c r="COP46" s="49"/>
      <c r="COQ46" s="49"/>
      <c r="COR46" s="49"/>
      <c r="COS46" s="49"/>
      <c r="COT46" s="67"/>
      <c r="COU46" s="68"/>
      <c r="COV46" s="48"/>
      <c r="COW46" s="49"/>
      <c r="COX46" s="49"/>
      <c r="COY46" s="49"/>
      <c r="COZ46" s="49"/>
      <c r="CPA46" s="49"/>
      <c r="CPB46" s="67"/>
      <c r="CPC46" s="68"/>
      <c r="CPD46" s="48"/>
      <c r="CPE46" s="49"/>
      <c r="CPF46" s="49"/>
      <c r="CPG46" s="49"/>
      <c r="CPH46" s="49"/>
      <c r="CPI46" s="49"/>
      <c r="CPJ46" s="67"/>
      <c r="CPK46" s="68"/>
      <c r="CPL46" s="48"/>
      <c r="CPM46" s="49"/>
      <c r="CPN46" s="49"/>
      <c r="CPO46" s="49"/>
      <c r="CPP46" s="49"/>
      <c r="CPQ46" s="49"/>
      <c r="CPR46" s="67"/>
      <c r="CPS46" s="68"/>
      <c r="CPT46" s="48"/>
      <c r="CPU46" s="49"/>
      <c r="CPV46" s="49"/>
      <c r="CPW46" s="49"/>
      <c r="CPX46" s="49"/>
      <c r="CPY46" s="49"/>
      <c r="CPZ46" s="67"/>
      <c r="CQA46" s="68"/>
      <c r="CQB46" s="48"/>
      <c r="CQC46" s="49"/>
      <c r="CQD46" s="49"/>
      <c r="CQE46" s="49"/>
      <c r="CQF46" s="49"/>
      <c r="CQG46" s="49"/>
      <c r="CQH46" s="67"/>
      <c r="CQI46" s="68"/>
      <c r="CQJ46" s="82"/>
      <c r="CQK46" s="83"/>
      <c r="CQL46" s="83"/>
      <c r="CQM46" s="83"/>
      <c r="CQN46" s="83"/>
      <c r="CQO46" s="83"/>
      <c r="CQP46" s="67"/>
      <c r="CQQ46" s="68"/>
      <c r="CQR46" s="239"/>
      <c r="CQS46" s="1"/>
      <c r="CQT46" s="1"/>
      <c r="CQU46" s="1"/>
      <c r="CQV46" s="1"/>
      <c r="CQW46" s="1"/>
      <c r="CQX46" s="67"/>
      <c r="CQY46" s="68"/>
      <c r="CQZ46" s="48"/>
      <c r="CRA46" s="49"/>
      <c r="CRB46" s="49"/>
      <c r="CRC46" s="49"/>
      <c r="CRD46" s="49"/>
      <c r="CRE46" s="49"/>
      <c r="CRF46" s="67"/>
      <c r="CRG46" s="68"/>
      <c r="CRH46" s="48"/>
      <c r="CRI46" s="49"/>
      <c r="CRJ46" s="49"/>
      <c r="CRK46" s="49"/>
      <c r="CRL46" s="49"/>
      <c r="CRM46" s="49"/>
      <c r="CRN46" s="67"/>
      <c r="CRO46" s="68"/>
      <c r="CRP46" s="48"/>
      <c r="CRQ46" s="49"/>
      <c r="CRR46" s="49"/>
      <c r="CRS46" s="49"/>
      <c r="CRT46" s="49"/>
      <c r="CRU46" s="49"/>
      <c r="CRV46" s="47"/>
      <c r="CRW46" s="68"/>
      <c r="CRX46" s="48"/>
      <c r="CRY46" s="49"/>
      <c r="CRZ46" s="49"/>
      <c r="CSA46" s="49"/>
      <c r="CSB46" s="49"/>
      <c r="CSC46" s="49"/>
      <c r="CSD46" s="67"/>
      <c r="CSE46" s="68"/>
      <c r="CSF46" s="48"/>
      <c r="CSG46" s="49"/>
      <c r="CSH46" s="49"/>
      <c r="CSI46" s="49"/>
      <c r="CSJ46" s="49"/>
      <c r="CSK46" s="360"/>
      <c r="CSL46" s="64"/>
      <c r="CSM46" s="68"/>
      <c r="CSN46" s="48"/>
      <c r="CSO46" s="49"/>
      <c r="CSP46" s="49"/>
      <c r="CSQ46" s="49"/>
      <c r="CSR46" s="49"/>
      <c r="CSS46" s="49"/>
      <c r="CST46" s="64"/>
      <c r="CSU46" s="68"/>
      <c r="CSV46" s="48"/>
      <c r="CSW46" s="49"/>
      <c r="CSX46" s="49"/>
      <c r="CSY46" s="49"/>
      <c r="CSZ46" s="49"/>
      <c r="CTA46" s="49"/>
      <c r="CTB46" s="64"/>
      <c r="CTC46" s="68"/>
      <c r="CTD46" s="48"/>
      <c r="CTE46" s="49"/>
      <c r="CTF46" s="49"/>
      <c r="CTG46" s="49"/>
      <c r="CTH46" s="49"/>
      <c r="CTI46" s="49"/>
      <c r="CTJ46" s="64"/>
      <c r="CTK46" s="68"/>
      <c r="CTL46" s="48"/>
      <c r="CTM46" s="49"/>
      <c r="CTN46" s="49"/>
      <c r="CTO46" s="49"/>
      <c r="CTP46" s="49"/>
      <c r="CTQ46" s="49"/>
      <c r="CTR46" s="64"/>
      <c r="CTS46" s="68"/>
      <c r="CTT46" s="48"/>
      <c r="CTU46" s="49"/>
      <c r="CTV46" s="49"/>
      <c r="CTW46" s="49"/>
      <c r="CTX46" s="49"/>
      <c r="CTY46" s="49"/>
      <c r="CTZ46" s="64"/>
      <c r="CUA46" s="68"/>
      <c r="CUB46" s="48"/>
      <c r="CUC46" s="49"/>
      <c r="CUD46" s="49"/>
      <c r="CUE46" s="49"/>
      <c r="CUF46" s="49"/>
      <c r="CUG46" s="49"/>
      <c r="CUH46" s="64"/>
      <c r="CUI46" s="68"/>
      <c r="CUJ46" s="48"/>
      <c r="CUK46" s="49"/>
      <c r="CUL46" s="49"/>
      <c r="CUM46" s="49"/>
      <c r="CUN46" s="49"/>
      <c r="CUO46" s="49"/>
      <c r="CUP46" s="64"/>
      <c r="CUQ46" s="68"/>
      <c r="CUR46" s="48"/>
      <c r="CUS46" s="49"/>
      <c r="CUT46" s="49"/>
      <c r="CUU46" s="49"/>
      <c r="CUV46" s="49"/>
      <c r="CUW46" s="49"/>
      <c r="CUX46" s="64"/>
      <c r="CUY46" s="68"/>
      <c r="CUZ46" s="48"/>
      <c r="CVA46" s="49"/>
      <c r="CVB46" s="49"/>
      <c r="CVC46" s="49"/>
      <c r="CVD46" s="49"/>
      <c r="CVE46" s="49"/>
      <c r="CVF46" s="64"/>
      <c r="CVG46" s="68"/>
      <c r="CVH46" s="48"/>
      <c r="CVI46" s="49"/>
      <c r="CVJ46" s="49"/>
      <c r="CVK46" s="49"/>
      <c r="CVL46" s="49"/>
      <c r="CVM46" s="49"/>
      <c r="CVN46" s="64"/>
      <c r="CVO46" s="68"/>
      <c r="CVP46" s="48"/>
      <c r="CVQ46" s="49"/>
      <c r="CVR46" s="49"/>
      <c r="CVS46" s="49"/>
      <c r="CVT46" s="49"/>
      <c r="CVU46" s="49"/>
      <c r="CVV46" s="64"/>
      <c r="CVW46" s="68"/>
      <c r="CVX46" s="48"/>
      <c r="CVY46" s="49"/>
      <c r="CVZ46" s="49"/>
      <c r="CWA46" s="49"/>
      <c r="CWB46" s="49"/>
      <c r="CWC46" s="49"/>
      <c r="CWD46" s="64"/>
      <c r="CWE46" s="68"/>
      <c r="CWF46" s="48"/>
      <c r="CWG46" s="49"/>
      <c r="CWH46" s="49"/>
      <c r="CWI46" s="49"/>
      <c r="CWJ46" s="49"/>
      <c r="CWK46" s="49"/>
      <c r="CWL46" s="64"/>
      <c r="CWM46" s="68"/>
      <c r="CWN46" s="48"/>
      <c r="CWO46" s="49"/>
      <c r="CWP46" s="49"/>
      <c r="CWQ46" s="49"/>
      <c r="CWR46" s="49"/>
      <c r="CWS46" s="49"/>
      <c r="CWT46" s="64"/>
      <c r="CWU46" s="68"/>
      <c r="CWV46" s="48"/>
      <c r="CWW46" s="49"/>
      <c r="CWX46" s="49"/>
      <c r="CWY46" s="49"/>
      <c r="CWZ46" s="49"/>
      <c r="CXA46" s="49"/>
      <c r="CXB46" s="127"/>
      <c r="CXC46" s="43"/>
      <c r="CXD46" s="48"/>
      <c r="CXE46" s="49"/>
      <c r="CXF46" s="49"/>
      <c r="CXG46" s="49"/>
      <c r="CXH46" s="49"/>
      <c r="CXI46" s="49"/>
      <c r="CXJ46" s="127"/>
      <c r="CXK46" s="43"/>
      <c r="CXL46" s="48"/>
      <c r="CXM46" s="49"/>
      <c r="CXN46" s="49"/>
      <c r="CXO46" s="49"/>
      <c r="CXP46" s="49"/>
      <c r="CXQ46" s="49"/>
      <c r="CXR46" s="127"/>
      <c r="CXS46" s="43"/>
      <c r="CXT46" s="48"/>
      <c r="CXU46" s="49"/>
      <c r="CXV46" s="49"/>
      <c r="CXW46" s="49"/>
      <c r="CXX46" s="49"/>
      <c r="CXY46" s="49"/>
      <c r="CXZ46" s="127"/>
      <c r="CYA46" s="43"/>
      <c r="CYB46" s="48"/>
      <c r="CYC46" s="49"/>
      <c r="CYD46" s="49"/>
      <c r="CYE46" s="49"/>
      <c r="CYF46" s="49"/>
      <c r="CYG46" s="49"/>
      <c r="CYH46" s="127"/>
      <c r="CYI46" s="43"/>
      <c r="CYJ46" s="48"/>
      <c r="CYK46" s="49"/>
      <c r="CYL46" s="49"/>
      <c r="CYM46" s="49"/>
      <c r="CYN46" s="49"/>
      <c r="CYO46" s="49"/>
      <c r="CYP46" s="127"/>
      <c r="CYQ46" s="43"/>
      <c r="CYR46" s="48"/>
      <c r="CYS46" s="49"/>
      <c r="CYT46" s="49"/>
      <c r="CYU46" s="49"/>
      <c r="CYV46" s="49"/>
      <c r="CYW46" s="49"/>
      <c r="CYX46" s="127"/>
      <c r="CYY46" s="43"/>
      <c r="CYZ46" s="48"/>
      <c r="CZA46" s="49"/>
      <c r="CZB46" s="49"/>
      <c r="CZC46" s="49"/>
      <c r="CZD46" s="49"/>
      <c r="CZE46" s="49"/>
      <c r="CZF46" s="127"/>
      <c r="CZG46" s="43"/>
      <c r="CZH46" s="48"/>
      <c r="CZI46" s="49"/>
      <c r="CZJ46" s="49"/>
      <c r="CZK46" s="49"/>
      <c r="CZL46" s="49"/>
      <c r="CZM46" s="49"/>
      <c r="CZN46" s="127"/>
      <c r="CZO46" s="43"/>
      <c r="CZP46" s="48"/>
      <c r="CZQ46" s="49"/>
      <c r="CZR46" s="49"/>
      <c r="CZS46" s="49"/>
      <c r="CZT46" s="49"/>
      <c r="CZU46" s="49"/>
      <c r="CZV46" s="127"/>
      <c r="CZW46" s="43"/>
      <c r="CZX46" s="48"/>
      <c r="CZY46" s="49"/>
      <c r="CZZ46" s="49"/>
      <c r="DAA46" s="49"/>
      <c r="DAB46" s="49"/>
      <c r="DAC46" s="49"/>
      <c r="DAD46" s="64"/>
      <c r="DAE46" s="68"/>
      <c r="DAF46" s="48"/>
      <c r="DAG46" s="49"/>
      <c r="DAH46" s="49"/>
      <c r="DAI46" s="49"/>
      <c r="DAJ46" s="49"/>
      <c r="DAK46" s="49"/>
      <c r="DAL46" s="64"/>
      <c r="DAM46" s="68"/>
      <c r="DAN46" s="48"/>
      <c r="DAO46" s="49"/>
      <c r="DAP46" s="49"/>
      <c r="DAQ46" s="49"/>
      <c r="DAR46" s="49"/>
      <c r="DAS46" s="49"/>
      <c r="DAT46" s="64"/>
      <c r="DAU46" s="68"/>
      <c r="DAV46" s="48"/>
      <c r="DAW46" s="49"/>
      <c r="DAX46" s="49"/>
      <c r="DAY46" s="49"/>
      <c r="DAZ46" s="49"/>
      <c r="DBA46" s="49"/>
      <c r="DBB46" s="64"/>
      <c r="DBC46" s="68"/>
      <c r="DBD46" s="48"/>
      <c r="DBE46" s="49"/>
      <c r="DBF46" s="49"/>
      <c r="DBG46" s="49"/>
      <c r="DBH46" s="49"/>
      <c r="DBI46" s="49"/>
      <c r="DBJ46" s="64"/>
      <c r="DBK46" s="68"/>
      <c r="DBL46" s="48"/>
      <c r="DBM46" s="49"/>
      <c r="DBN46" s="49"/>
      <c r="DBO46" s="49"/>
      <c r="DBP46" s="49"/>
      <c r="DBQ46" s="49"/>
      <c r="DBR46" s="64"/>
      <c r="DBS46" s="68"/>
      <c r="DBT46" s="48"/>
      <c r="DBU46" s="49"/>
      <c r="DBV46" s="49"/>
      <c r="DBW46" s="49"/>
      <c r="DBX46" s="49"/>
      <c r="DBY46" s="49"/>
      <c r="DBZ46" s="64"/>
      <c r="DCA46" s="68"/>
      <c r="DCB46" s="48"/>
      <c r="DCC46" s="49"/>
      <c r="DCD46" s="49"/>
      <c r="DCE46" s="49"/>
      <c r="DCF46" s="49"/>
      <c r="DCG46" s="49"/>
      <c r="DCH46" s="64"/>
      <c r="DCI46" s="68"/>
      <c r="DCJ46" s="48"/>
      <c r="DCK46" s="49"/>
      <c r="DCL46" s="49"/>
      <c r="DCM46" s="49"/>
      <c r="DCN46" s="49"/>
      <c r="DCO46" s="49"/>
      <c r="DCP46" s="64"/>
      <c r="DCQ46" s="68"/>
      <c r="DCR46" s="48"/>
      <c r="DCS46" s="49"/>
      <c r="DCT46" s="49"/>
      <c r="DCU46" s="49"/>
      <c r="DCV46" s="49"/>
      <c r="DCW46" s="49"/>
      <c r="DCX46" s="64"/>
      <c r="DCY46" s="68"/>
      <c r="DCZ46" s="48"/>
      <c r="DDA46" s="49"/>
      <c r="DDB46" s="49"/>
      <c r="DDC46" s="49"/>
      <c r="DDD46" s="49"/>
      <c r="DDE46" s="49"/>
      <c r="DDF46" s="64"/>
      <c r="DDG46" s="68"/>
      <c r="DDH46" s="48"/>
      <c r="DDI46" s="49"/>
      <c r="DDJ46" s="49"/>
      <c r="DDK46" s="49"/>
      <c r="DDL46" s="49"/>
      <c r="DDM46" s="49"/>
      <c r="DDN46" s="127"/>
      <c r="DDO46" s="43"/>
      <c r="DDP46" s="48"/>
      <c r="DDQ46" s="49"/>
      <c r="DDR46" s="49"/>
      <c r="DDS46" s="49"/>
      <c r="DDT46" s="49"/>
      <c r="DDU46" s="49"/>
      <c r="DDV46" s="127"/>
      <c r="DDW46" s="43"/>
      <c r="DDX46" s="48"/>
      <c r="DDY46" s="49"/>
      <c r="DDZ46" s="49"/>
      <c r="DEA46" s="49"/>
      <c r="DEB46" s="49"/>
      <c r="DEC46" s="49"/>
      <c r="DED46" s="127"/>
      <c r="DEE46" s="43"/>
      <c r="DEF46" s="48"/>
      <c r="DEG46" s="49"/>
      <c r="DEH46" s="49"/>
      <c r="DEI46" s="49"/>
      <c r="DEJ46" s="49"/>
      <c r="DEK46" s="49"/>
      <c r="DEL46" s="127"/>
      <c r="DEM46" s="43"/>
      <c r="DEN46" s="48"/>
      <c r="DEO46" s="49"/>
      <c r="DEP46" s="49">
        <v>0</v>
      </c>
      <c r="DEQ46" s="49">
        <v>0</v>
      </c>
      <c r="DER46" s="49"/>
      <c r="DES46" s="49"/>
      <c r="DET46" s="127"/>
      <c r="DEU46" s="43"/>
      <c r="DEV46" s="48">
        <v>0</v>
      </c>
      <c r="DEW46" s="49">
        <v>0</v>
      </c>
      <c r="DEX46" s="49"/>
      <c r="DEY46" s="49">
        <v>0</v>
      </c>
      <c r="DEZ46" s="49">
        <v>0</v>
      </c>
      <c r="DFA46" s="49">
        <v>0</v>
      </c>
      <c r="DFB46" s="127">
        <f t="shared" si="1810"/>
        <v>0</v>
      </c>
      <c r="DFC46" s="43">
        <f t="shared" si="1811"/>
        <v>0</v>
      </c>
      <c r="DFD46" s="48"/>
      <c r="DFE46" s="49"/>
      <c r="DFF46" s="49">
        <v>0</v>
      </c>
      <c r="DFG46" s="49">
        <v>0</v>
      </c>
      <c r="DFH46" s="49">
        <v>0</v>
      </c>
      <c r="DFI46" s="49">
        <v>0</v>
      </c>
      <c r="DFJ46" s="127">
        <f t="shared" si="1812"/>
        <v>0</v>
      </c>
      <c r="DFK46" s="43">
        <f t="shared" si="1813"/>
        <v>0</v>
      </c>
      <c r="DFL46" s="63">
        <v>0</v>
      </c>
      <c r="DFM46" s="64">
        <v>0</v>
      </c>
      <c r="DFN46" s="64">
        <v>0</v>
      </c>
      <c r="DFO46" s="64">
        <v>0</v>
      </c>
      <c r="DFP46" s="64">
        <v>0</v>
      </c>
      <c r="DFQ46" s="64">
        <v>0</v>
      </c>
      <c r="DFR46" s="64">
        <f t="shared" si="1814"/>
        <v>0</v>
      </c>
      <c r="DFS46" s="68">
        <f t="shared" si="1815"/>
        <v>0</v>
      </c>
      <c r="DFT46" s="48"/>
      <c r="DFU46" s="49">
        <v>0</v>
      </c>
      <c r="DFV46" s="49">
        <v>0</v>
      </c>
      <c r="DFW46" s="49">
        <v>0</v>
      </c>
      <c r="DFX46" s="49"/>
      <c r="DFY46" s="49"/>
      <c r="DFZ46" s="127">
        <f t="shared" si="1816"/>
        <v>0</v>
      </c>
      <c r="DGA46" s="43">
        <f t="shared" si="1817"/>
        <v>0</v>
      </c>
      <c r="DGB46" s="48">
        <v>0</v>
      </c>
      <c r="DGC46" s="49">
        <v>0</v>
      </c>
      <c r="DGD46" s="49">
        <v>0</v>
      </c>
      <c r="DGE46" s="49">
        <v>0</v>
      </c>
      <c r="DGF46" s="49"/>
      <c r="DGG46" s="49">
        <v>0</v>
      </c>
      <c r="DGH46" s="127">
        <f t="shared" si="1818"/>
        <v>0</v>
      </c>
      <c r="DGI46" s="43">
        <f t="shared" si="1819"/>
        <v>0</v>
      </c>
      <c r="DGJ46" s="48"/>
      <c r="DGK46" s="49">
        <v>0</v>
      </c>
      <c r="DGL46" s="49">
        <v>0</v>
      </c>
      <c r="DGM46" s="49">
        <v>0</v>
      </c>
      <c r="DGN46" s="49"/>
      <c r="DGO46" s="49">
        <v>0</v>
      </c>
      <c r="DGP46" s="64">
        <f t="shared" si="1820"/>
        <v>0</v>
      </c>
      <c r="DGQ46" s="68">
        <f t="shared" si="1821"/>
        <v>0</v>
      </c>
      <c r="DGR46" s="48">
        <v>0</v>
      </c>
      <c r="DGS46" s="49">
        <v>0</v>
      </c>
      <c r="DGT46" s="49">
        <v>0</v>
      </c>
      <c r="DGU46" s="49"/>
      <c r="DGV46" s="49"/>
      <c r="DGW46" s="49">
        <v>0</v>
      </c>
      <c r="DGX46" s="64">
        <f t="shared" si="1822"/>
        <v>0</v>
      </c>
      <c r="DGY46" s="68">
        <f t="shared" si="1823"/>
        <v>0</v>
      </c>
      <c r="DGZ46" s="48">
        <v>0</v>
      </c>
      <c r="DHA46" s="49"/>
      <c r="DHB46" s="49"/>
      <c r="DHC46" s="49"/>
      <c r="DHD46" s="49">
        <v>0</v>
      </c>
      <c r="DHE46" s="49">
        <v>0</v>
      </c>
      <c r="DHF46" s="64">
        <f t="shared" si="1824"/>
        <v>0</v>
      </c>
      <c r="DHG46" s="68">
        <f t="shared" si="1825"/>
        <v>0</v>
      </c>
      <c r="DHH46" s="63">
        <v>0</v>
      </c>
      <c r="DHI46" s="64">
        <v>0</v>
      </c>
      <c r="DHJ46" s="64">
        <v>0</v>
      </c>
      <c r="DHK46" s="64">
        <v>0</v>
      </c>
      <c r="DHL46" s="64">
        <v>0</v>
      </c>
      <c r="DHM46" s="64">
        <v>0</v>
      </c>
      <c r="DHN46" s="64">
        <f t="shared" si="1826"/>
        <v>0</v>
      </c>
      <c r="DHO46" s="68">
        <f t="shared" si="1827"/>
        <v>0</v>
      </c>
      <c r="DHP46" s="48">
        <v>0</v>
      </c>
      <c r="DHQ46" s="49">
        <v>0</v>
      </c>
      <c r="DHR46" s="49"/>
      <c r="DHS46" s="49">
        <v>0</v>
      </c>
      <c r="DHT46" s="49">
        <v>0</v>
      </c>
      <c r="DHU46" s="49">
        <v>0</v>
      </c>
      <c r="DHV46" s="64">
        <f t="shared" si="1828"/>
        <v>0</v>
      </c>
      <c r="DHW46" s="68">
        <f t="shared" si="1829"/>
        <v>0</v>
      </c>
      <c r="DHX46" s="48"/>
      <c r="DHY46" s="49"/>
      <c r="DHZ46" s="49"/>
      <c r="DIA46" s="49">
        <v>0</v>
      </c>
      <c r="DIB46" s="49"/>
      <c r="DIC46" s="49">
        <v>0</v>
      </c>
      <c r="DID46" s="64">
        <f t="shared" si="1830"/>
        <v>0</v>
      </c>
      <c r="DIE46" s="68">
        <f t="shared" si="1831"/>
        <v>0</v>
      </c>
      <c r="DIF46" s="48">
        <v>0</v>
      </c>
      <c r="DIG46" s="49">
        <v>0</v>
      </c>
      <c r="DIH46" s="49"/>
      <c r="DII46" s="49">
        <v>0</v>
      </c>
      <c r="DIJ46" s="49">
        <v>0</v>
      </c>
      <c r="DIK46" s="49"/>
      <c r="DIL46" s="64">
        <f t="shared" si="1832"/>
        <v>0</v>
      </c>
      <c r="DIM46" s="68">
        <f t="shared" si="1833"/>
        <v>0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34"/>
        <v>0</v>
      </c>
      <c r="DIU46" s="68">
        <f t="shared" si="1835"/>
        <v>0</v>
      </c>
      <c r="DIV46" s="48">
        <v>0</v>
      </c>
      <c r="DIW46" s="49">
        <v>200</v>
      </c>
      <c r="DIX46" s="49"/>
      <c r="DIY46" s="49">
        <v>0</v>
      </c>
      <c r="DIZ46" s="49">
        <v>0</v>
      </c>
      <c r="DJA46" s="49">
        <v>0</v>
      </c>
      <c r="DJB46" s="64">
        <f t="shared" si="1836"/>
        <v>200</v>
      </c>
      <c r="DJC46" s="68">
        <f t="shared" si="1837"/>
        <v>33.333333333333336</v>
      </c>
      <c r="DJD46" s="48">
        <v>0</v>
      </c>
      <c r="DJE46" s="49">
        <v>0</v>
      </c>
      <c r="DJF46" s="49">
        <v>0</v>
      </c>
      <c r="DJG46" s="49">
        <v>0</v>
      </c>
      <c r="DJH46" s="49">
        <v>219</v>
      </c>
      <c r="DJI46" s="49"/>
      <c r="DJJ46" s="64">
        <f t="shared" si="1838"/>
        <v>219</v>
      </c>
      <c r="DJK46" s="68">
        <f t="shared" si="1839"/>
        <v>36.5</v>
      </c>
      <c r="DJL46" s="48">
        <v>0</v>
      </c>
      <c r="DJM46" s="49">
        <v>0</v>
      </c>
      <c r="DJN46" s="49">
        <v>0</v>
      </c>
      <c r="DJO46" s="49">
        <v>0</v>
      </c>
      <c r="DJP46" s="49">
        <v>204</v>
      </c>
      <c r="DJQ46" s="49">
        <v>120</v>
      </c>
      <c r="DJR46" s="64">
        <f t="shared" si="1840"/>
        <v>324</v>
      </c>
      <c r="DJS46" s="68">
        <f t="shared" si="1841"/>
        <v>54</v>
      </c>
      <c r="DJT46" s="48"/>
      <c r="DJU46" s="49">
        <v>0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42"/>
        <v>0</v>
      </c>
      <c r="DKA46" s="68">
        <f t="shared" si="1843"/>
        <v>0</v>
      </c>
      <c r="DKB46" s="48">
        <v>0</v>
      </c>
      <c r="DKC46" s="49">
        <v>0</v>
      </c>
      <c r="DKD46" s="49">
        <v>0</v>
      </c>
      <c r="DKE46" s="49">
        <v>0</v>
      </c>
      <c r="DKF46" s="49">
        <v>0</v>
      </c>
      <c r="DKG46" s="49">
        <v>0</v>
      </c>
      <c r="DKH46" s="64">
        <f t="shared" si="1844"/>
        <v>0</v>
      </c>
      <c r="DKI46" s="68">
        <f t="shared" si="1845"/>
        <v>0</v>
      </c>
      <c r="DKJ46" s="48"/>
      <c r="DKK46" s="49">
        <v>0</v>
      </c>
      <c r="DKL46" s="49">
        <v>0</v>
      </c>
      <c r="DKM46" s="49"/>
      <c r="DKN46" s="49">
        <v>0</v>
      </c>
      <c r="DKO46" s="49"/>
      <c r="DKP46" s="64">
        <f t="shared" si="1846"/>
        <v>0</v>
      </c>
      <c r="DKQ46" s="68">
        <f t="shared" si="1847"/>
        <v>0</v>
      </c>
      <c r="DKR46" s="48">
        <v>0</v>
      </c>
      <c r="DKS46" s="49">
        <v>0</v>
      </c>
      <c r="DKT46" s="49"/>
      <c r="DKU46" s="49">
        <v>0</v>
      </c>
      <c r="DKV46" s="49">
        <v>0</v>
      </c>
      <c r="DKW46" s="49"/>
      <c r="DKX46" s="64">
        <f t="shared" si="1848"/>
        <v>0</v>
      </c>
      <c r="DKY46" s="68">
        <f t="shared" si="1849"/>
        <v>0</v>
      </c>
      <c r="DKZ46" s="48"/>
      <c r="DLA46" s="49">
        <v>0</v>
      </c>
      <c r="DLB46" s="49">
        <v>0</v>
      </c>
      <c r="DLC46" s="49">
        <v>0</v>
      </c>
      <c r="DLD46" s="49"/>
      <c r="DLE46" s="49">
        <v>0</v>
      </c>
      <c r="DLF46" s="64">
        <f t="shared" si="1850"/>
        <v>0</v>
      </c>
      <c r="DLG46" s="68">
        <f t="shared" si="1851"/>
        <v>0</v>
      </c>
      <c r="DLH46" s="48"/>
      <c r="DLI46" s="49">
        <v>0</v>
      </c>
      <c r="DLJ46" s="49">
        <v>0</v>
      </c>
      <c r="DLK46" s="49"/>
      <c r="DLL46" s="49"/>
      <c r="DLM46" s="49"/>
      <c r="DLN46" s="64">
        <f t="shared" si="1852"/>
        <v>0</v>
      </c>
      <c r="DLO46" s="68">
        <f t="shared" si="1853"/>
        <v>0</v>
      </c>
      <c r="DLP46" s="48">
        <v>0</v>
      </c>
      <c r="DLQ46" s="49"/>
      <c r="DLR46" s="49">
        <v>0</v>
      </c>
      <c r="DLS46" s="49">
        <v>0</v>
      </c>
      <c r="DLT46" s="49">
        <v>0</v>
      </c>
      <c r="DLU46" s="49"/>
      <c r="DLV46" s="64">
        <f t="shared" si="1854"/>
        <v>0</v>
      </c>
      <c r="DLW46" s="68">
        <f t="shared" si="1855"/>
        <v>0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56"/>
        <v>0</v>
      </c>
      <c r="DME46" s="68">
        <f t="shared" si="1857"/>
        <v>0</v>
      </c>
      <c r="DMF46" s="48"/>
      <c r="DMG46" s="49"/>
      <c r="DMH46" s="49"/>
      <c r="DMI46" s="49">
        <v>0</v>
      </c>
      <c r="DMJ46" s="49">
        <v>0</v>
      </c>
      <c r="DMK46" s="49">
        <v>0</v>
      </c>
      <c r="DML46" s="64">
        <f t="shared" si="1858"/>
        <v>0</v>
      </c>
      <c r="DMM46" s="68">
        <f t="shared" si="1859"/>
        <v>0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60"/>
        <v>0</v>
      </c>
      <c r="DMU46" s="68">
        <f t="shared" si="1861"/>
        <v>0</v>
      </c>
      <c r="DMV46" s="48">
        <v>0</v>
      </c>
      <c r="DMW46" s="49">
        <v>0</v>
      </c>
      <c r="DMX46" s="49">
        <v>0</v>
      </c>
      <c r="DMY46" s="49">
        <v>0</v>
      </c>
      <c r="DMZ46" s="49">
        <v>0</v>
      </c>
      <c r="DNA46" s="49">
        <v>0</v>
      </c>
      <c r="DNB46" s="64">
        <f t="shared" si="1862"/>
        <v>0</v>
      </c>
      <c r="DNC46" s="68">
        <f t="shared" si="1863"/>
        <v>0</v>
      </c>
      <c r="DND46" s="48"/>
      <c r="DNE46" s="49">
        <v>0</v>
      </c>
      <c r="DNF46" s="49">
        <v>0</v>
      </c>
      <c r="DNG46" s="49"/>
      <c r="DNH46" s="49">
        <v>0</v>
      </c>
      <c r="DNI46" s="49"/>
      <c r="DNJ46" s="64">
        <f t="shared" si="1864"/>
        <v>0</v>
      </c>
      <c r="DNK46" s="68">
        <f t="shared" si="1865"/>
        <v>0</v>
      </c>
      <c r="DNL46" s="48"/>
      <c r="DNM46" s="49"/>
      <c r="DNN46" s="49">
        <v>0</v>
      </c>
      <c r="DNO46" s="49">
        <v>0</v>
      </c>
      <c r="DNP46" s="49"/>
      <c r="DNQ46" s="49">
        <v>0</v>
      </c>
      <c r="DNR46" s="64">
        <f t="shared" si="1866"/>
        <v>0</v>
      </c>
      <c r="DNS46" s="68">
        <f t="shared" si="1867"/>
        <v>0</v>
      </c>
      <c r="DNT46" s="48">
        <v>0</v>
      </c>
      <c r="DNU46" s="49"/>
      <c r="DNV46" s="49">
        <v>0</v>
      </c>
      <c r="DNW46" s="49">
        <v>0</v>
      </c>
      <c r="DNX46" s="49">
        <v>0</v>
      </c>
      <c r="DNY46" s="49">
        <v>0</v>
      </c>
      <c r="DNZ46" s="64">
        <f t="shared" si="1868"/>
        <v>0</v>
      </c>
      <c r="DOA46" s="68">
        <f t="shared" si="1869"/>
        <v>0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70"/>
        <v>0</v>
      </c>
      <c r="DOI46" s="68">
        <f t="shared" si="1871"/>
        <v>0</v>
      </c>
      <c r="DOJ46" s="48"/>
      <c r="DOK46" s="49">
        <v>0</v>
      </c>
      <c r="DOL46" s="49">
        <v>0</v>
      </c>
      <c r="DOM46" s="49"/>
      <c r="DON46" s="49">
        <v>0</v>
      </c>
      <c r="DOO46" s="49">
        <v>0</v>
      </c>
      <c r="DOP46" s="64">
        <f t="shared" si="1872"/>
        <v>0</v>
      </c>
      <c r="DOQ46" s="68">
        <f t="shared" si="1873"/>
        <v>0</v>
      </c>
      <c r="DOR46" s="48">
        <v>0</v>
      </c>
      <c r="DOS46" s="49">
        <v>0</v>
      </c>
      <c r="DOT46" s="49">
        <v>0</v>
      </c>
      <c r="DOU46" s="49">
        <v>0</v>
      </c>
      <c r="DOV46" s="49"/>
      <c r="DOW46" s="49">
        <v>0</v>
      </c>
      <c r="DOX46" s="64">
        <f t="shared" si="1874"/>
        <v>0</v>
      </c>
      <c r="DOY46" s="68">
        <f t="shared" si="1875"/>
        <v>0</v>
      </c>
      <c r="DOZ46" s="48"/>
      <c r="DPA46" s="49">
        <v>0</v>
      </c>
      <c r="DPB46" s="49"/>
      <c r="DPC46" s="49">
        <v>0</v>
      </c>
      <c r="DPD46" s="49"/>
      <c r="DPE46" s="49">
        <v>0</v>
      </c>
      <c r="DPF46" s="64">
        <f t="shared" si="1876"/>
        <v>0</v>
      </c>
      <c r="DPG46" s="68">
        <f t="shared" si="1877"/>
        <v>0</v>
      </c>
      <c r="DPH46" s="48">
        <v>0</v>
      </c>
      <c r="DPI46" s="49"/>
      <c r="DPJ46" s="49">
        <v>0</v>
      </c>
      <c r="DPK46" s="49"/>
      <c r="DPL46" s="49"/>
      <c r="DPM46" s="49"/>
      <c r="DPN46" s="64">
        <f t="shared" si="1878"/>
        <v>0</v>
      </c>
      <c r="DPO46" s="68">
        <f t="shared" si="1879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0</v>
      </c>
      <c r="DPV46" s="491">
        <f t="shared" si="1880"/>
        <v>0</v>
      </c>
      <c r="DPW46" s="492">
        <f t="shared" si="1881"/>
        <v>0</v>
      </c>
      <c r="DPX46" s="48">
        <v>0</v>
      </c>
      <c r="DPY46" s="49"/>
      <c r="DPZ46" s="49">
        <v>0</v>
      </c>
      <c r="DQA46" s="49">
        <v>0</v>
      </c>
      <c r="DQB46" s="49">
        <v>0</v>
      </c>
      <c r="DQC46" s="49">
        <v>0</v>
      </c>
      <c r="DQD46" s="491">
        <f t="shared" si="1882"/>
        <v>0</v>
      </c>
      <c r="DQE46" s="492">
        <f t="shared" si="1883"/>
        <v>0</v>
      </c>
      <c r="DQF46" s="48"/>
      <c r="DQG46" s="49">
        <v>0</v>
      </c>
      <c r="DQH46" s="49"/>
      <c r="DQI46" s="49"/>
      <c r="DQJ46" s="49">
        <v>0</v>
      </c>
      <c r="DQK46" s="49"/>
      <c r="DQL46" s="489">
        <f t="shared" si="1884"/>
        <v>0</v>
      </c>
      <c r="DQM46" s="492">
        <f t="shared" si="1885"/>
        <v>0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886"/>
        <v>0</v>
      </c>
      <c r="DQU46" s="68">
        <f t="shared" si="1887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888"/>
        <v>0</v>
      </c>
      <c r="DRC46" s="492">
        <f t="shared" si="1889"/>
        <v>0</v>
      </c>
      <c r="DRD46" s="48">
        <v>0</v>
      </c>
      <c r="DRE46" s="49"/>
      <c r="DRF46" s="49">
        <v>0</v>
      </c>
      <c r="DRG46" s="49">
        <v>0</v>
      </c>
      <c r="DRH46" s="49">
        <v>0</v>
      </c>
      <c r="DRI46" s="49"/>
      <c r="DRJ46" s="491">
        <f t="shared" si="1890"/>
        <v>0</v>
      </c>
      <c r="DRK46" s="492">
        <f t="shared" si="1891"/>
        <v>0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587"/>
        <v>0</v>
      </c>
      <c r="DRS46" s="68">
        <f t="shared" si="1588"/>
        <v>0</v>
      </c>
      <c r="DRT46" s="48">
        <v>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589"/>
        <v>0</v>
      </c>
      <c r="DSA46" s="68">
        <f t="shared" si="1590"/>
        <v>0</v>
      </c>
      <c r="DSB46" s="82"/>
      <c r="DSC46" s="83">
        <v>0</v>
      </c>
      <c r="DSD46" s="83">
        <v>0</v>
      </c>
      <c r="DSE46" s="83"/>
      <c r="DSF46" s="83">
        <v>0</v>
      </c>
      <c r="DSG46" s="83">
        <v>0</v>
      </c>
      <c r="DSH46" s="64">
        <f t="shared" si="1591"/>
        <v>0</v>
      </c>
      <c r="DSI46" s="68">
        <f t="shared" si="1592"/>
        <v>0</v>
      </c>
      <c r="DSJ46" s="48">
        <v>0</v>
      </c>
      <c r="DSK46" s="49">
        <v>0</v>
      </c>
      <c r="DSL46" s="49">
        <v>0</v>
      </c>
      <c r="DSM46" s="49">
        <v>0</v>
      </c>
      <c r="DSN46" s="49"/>
      <c r="DSO46" s="49">
        <v>0</v>
      </c>
      <c r="DSP46" s="64">
        <f t="shared" si="1593"/>
        <v>0</v>
      </c>
      <c r="DSQ46" s="68">
        <f t="shared" si="1594"/>
        <v>0</v>
      </c>
      <c r="DSR46" s="48"/>
      <c r="DSS46" s="49"/>
      <c r="DST46" s="49">
        <v>0</v>
      </c>
      <c r="DSU46" s="49">
        <v>0</v>
      </c>
      <c r="DSV46" s="49">
        <v>0</v>
      </c>
      <c r="DSW46" s="49"/>
      <c r="DSX46" s="64">
        <f t="shared" si="1595"/>
        <v>0</v>
      </c>
      <c r="DSY46" s="68">
        <f t="shared" si="1596"/>
        <v>0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597"/>
        <v>0</v>
      </c>
      <c r="DTG46" s="68">
        <f t="shared" si="1598"/>
        <v>0</v>
      </c>
      <c r="DTH46" s="48">
        <v>0</v>
      </c>
      <c r="DTI46" s="49"/>
      <c r="DTJ46" s="49">
        <v>0</v>
      </c>
      <c r="DTK46" s="49">
        <v>0</v>
      </c>
      <c r="DTL46" s="49">
        <v>0</v>
      </c>
      <c r="DTM46" s="49">
        <v>0</v>
      </c>
      <c r="DTN46" s="64">
        <f t="shared" si="1599"/>
        <v>0</v>
      </c>
      <c r="DTO46" s="68">
        <f t="shared" si="1600"/>
        <v>0</v>
      </c>
      <c r="DTP46" s="48">
        <v>0</v>
      </c>
      <c r="DTQ46" s="49"/>
      <c r="DTR46" s="49"/>
      <c r="DTS46" s="49"/>
      <c r="DTT46" s="49">
        <v>0</v>
      </c>
      <c r="DTU46" s="49">
        <v>0</v>
      </c>
      <c r="DTV46" s="64">
        <f t="shared" si="1601"/>
        <v>0</v>
      </c>
      <c r="DTW46" s="68">
        <f t="shared" si="1602"/>
        <v>0</v>
      </c>
      <c r="DTX46" s="48">
        <v>0</v>
      </c>
      <c r="DTY46" s="49">
        <v>0</v>
      </c>
      <c r="DTZ46" s="49">
        <v>0</v>
      </c>
      <c r="DUA46" s="49">
        <v>0</v>
      </c>
      <c r="DUB46" s="49">
        <v>0</v>
      </c>
      <c r="DUC46" s="49">
        <v>0</v>
      </c>
      <c r="DUD46" s="64">
        <f t="shared" si="1603"/>
        <v>0</v>
      </c>
      <c r="DUE46" s="68">
        <f t="shared" si="1604"/>
        <v>0</v>
      </c>
      <c r="DUF46" s="48">
        <v>0</v>
      </c>
      <c r="DUG46" s="49">
        <v>0</v>
      </c>
      <c r="DUH46" s="49"/>
      <c r="DUI46" s="49">
        <v>0</v>
      </c>
      <c r="DUJ46" s="49">
        <v>0</v>
      </c>
      <c r="DUK46" s="49">
        <v>0</v>
      </c>
      <c r="DUL46" s="64">
        <f t="shared" si="1605"/>
        <v>0</v>
      </c>
      <c r="DUM46" s="68">
        <f t="shared" si="1606"/>
        <v>0</v>
      </c>
      <c r="DUN46" s="48"/>
      <c r="DUO46" s="49">
        <v>0</v>
      </c>
      <c r="DUP46" s="49">
        <v>0</v>
      </c>
      <c r="DUQ46" s="49">
        <v>0</v>
      </c>
      <c r="DUR46" s="49"/>
      <c r="DUS46" s="49">
        <v>0</v>
      </c>
      <c r="DUT46" s="64">
        <f t="shared" si="1607"/>
        <v>0</v>
      </c>
      <c r="DUU46" s="68">
        <f t="shared" si="1608"/>
        <v>0</v>
      </c>
      <c r="DUV46" s="48"/>
      <c r="DUW46" s="49">
        <v>0</v>
      </c>
      <c r="DUX46" s="49">
        <v>0</v>
      </c>
      <c r="DUY46" s="49">
        <v>0</v>
      </c>
      <c r="DUZ46" s="49">
        <v>0</v>
      </c>
      <c r="DVA46" s="49">
        <v>0</v>
      </c>
      <c r="DVB46" s="64">
        <f t="shared" si="1609"/>
        <v>0</v>
      </c>
      <c r="DVC46" s="68">
        <f t="shared" si="1610"/>
        <v>0</v>
      </c>
      <c r="DVD46" s="48"/>
      <c r="DVE46" s="49">
        <v>0</v>
      </c>
      <c r="DVF46" s="49">
        <v>0</v>
      </c>
      <c r="DVG46" s="49">
        <v>0</v>
      </c>
      <c r="DVH46" s="49">
        <v>0</v>
      </c>
      <c r="DVI46" s="49">
        <v>0</v>
      </c>
      <c r="DVJ46" s="64">
        <f t="shared" si="1611"/>
        <v>0</v>
      </c>
      <c r="DVK46" s="68">
        <f t="shared" si="1612"/>
        <v>0</v>
      </c>
      <c r="DVL46" s="48"/>
      <c r="DVM46" s="49">
        <v>0</v>
      </c>
      <c r="DVN46" s="49">
        <v>1621</v>
      </c>
      <c r="DVO46" s="49">
        <v>1356</v>
      </c>
      <c r="DVP46" s="49">
        <v>0</v>
      </c>
      <c r="DVQ46" s="49">
        <v>0</v>
      </c>
      <c r="DVR46" s="64">
        <f t="shared" si="1613"/>
        <v>2977</v>
      </c>
      <c r="DVS46" s="68">
        <f t="shared" si="1614"/>
        <v>496.16666666666669</v>
      </c>
      <c r="DVT46" s="48"/>
      <c r="DVU46" s="49">
        <v>0</v>
      </c>
      <c r="DVV46" s="49">
        <v>0</v>
      </c>
      <c r="DVW46" s="49">
        <v>0</v>
      </c>
      <c r="DVX46" s="49">
        <v>703</v>
      </c>
      <c r="DVY46" s="49">
        <v>2</v>
      </c>
      <c r="DVZ46" s="64">
        <f t="shared" si="1615"/>
        <v>705</v>
      </c>
      <c r="DWA46" s="68">
        <f t="shared" si="1616"/>
        <v>117.5</v>
      </c>
      <c r="DWB46" s="48">
        <v>0</v>
      </c>
      <c r="DWC46" s="49">
        <v>1680</v>
      </c>
      <c r="DWD46" s="49">
        <v>0</v>
      </c>
      <c r="DWE46" s="49">
        <v>0</v>
      </c>
      <c r="DWF46" s="49">
        <v>674</v>
      </c>
      <c r="DWG46" s="49"/>
      <c r="DWH46" s="64">
        <f t="shared" si="1617"/>
        <v>2354</v>
      </c>
      <c r="DWI46" s="68">
        <f t="shared" si="1618"/>
        <v>392.33333333333331</v>
      </c>
      <c r="DWJ46" s="48">
        <v>0</v>
      </c>
      <c r="DWK46" s="49">
        <v>0</v>
      </c>
      <c r="DWL46" s="49">
        <v>0</v>
      </c>
      <c r="DWM46" s="49">
        <v>0</v>
      </c>
      <c r="DWN46" s="49">
        <v>1118</v>
      </c>
      <c r="DWO46" s="49"/>
      <c r="DWP46" s="64">
        <f t="shared" si="1619"/>
        <v>1118</v>
      </c>
      <c r="DWQ46" s="68">
        <f t="shared" si="1620"/>
        <v>186.33333333333334</v>
      </c>
      <c r="DWR46" s="48">
        <v>1294</v>
      </c>
      <c r="DWS46" s="49"/>
      <c r="DWT46" s="49">
        <v>1015</v>
      </c>
      <c r="DWU46" s="49">
        <v>0</v>
      </c>
      <c r="DWV46" s="49">
        <v>0</v>
      </c>
      <c r="DWW46" s="49">
        <v>956</v>
      </c>
      <c r="DWX46" s="64">
        <f t="shared" si="1621"/>
        <v>3265</v>
      </c>
      <c r="DWY46" s="68">
        <f t="shared" si="1622"/>
        <v>544.16666666666663</v>
      </c>
      <c r="DWZ46" s="48">
        <v>0</v>
      </c>
      <c r="DXA46" s="49">
        <v>1040</v>
      </c>
      <c r="DXB46" s="49"/>
      <c r="DXC46" s="49">
        <v>1935</v>
      </c>
      <c r="DXD46" s="49"/>
      <c r="DXE46" s="49"/>
      <c r="DXF46" s="64">
        <f t="shared" si="1623"/>
        <v>2975</v>
      </c>
      <c r="DXG46" s="68">
        <f t="shared" si="1624"/>
        <v>495.83333333333331</v>
      </c>
      <c r="DXH46" s="48">
        <v>0</v>
      </c>
      <c r="DXI46" s="49">
        <v>0</v>
      </c>
      <c r="DXJ46" s="49">
        <v>1960</v>
      </c>
      <c r="DXK46" s="49">
        <v>0</v>
      </c>
      <c r="DXL46" s="49">
        <v>0</v>
      </c>
      <c r="DXM46" s="49">
        <v>0</v>
      </c>
      <c r="DXN46" s="64">
        <f t="shared" si="1625"/>
        <v>1960</v>
      </c>
      <c r="DXO46" s="68">
        <f t="shared" si="1626"/>
        <v>326.66666666666669</v>
      </c>
      <c r="DXP46" s="48">
        <v>0</v>
      </c>
      <c r="DXQ46" s="49">
        <v>0</v>
      </c>
      <c r="DXR46" s="49">
        <v>0</v>
      </c>
      <c r="DXS46" s="49">
        <v>2120</v>
      </c>
      <c r="DXT46" s="49">
        <v>0</v>
      </c>
      <c r="DXU46" s="49">
        <v>0</v>
      </c>
      <c r="DXV46" s="64">
        <f t="shared" si="1320"/>
        <v>2120</v>
      </c>
      <c r="DXW46" s="68">
        <f t="shared" si="1321"/>
        <v>353.33333333333331</v>
      </c>
      <c r="DXX46" s="48">
        <v>0</v>
      </c>
      <c r="DXY46" s="49">
        <v>0</v>
      </c>
      <c r="DXZ46" s="49">
        <v>1958</v>
      </c>
      <c r="DYA46" s="49">
        <v>0</v>
      </c>
      <c r="DYB46" s="49">
        <v>694</v>
      </c>
      <c r="DYC46" s="49">
        <v>1687</v>
      </c>
      <c r="DYD46" s="64">
        <f t="shared" si="1322"/>
        <v>4339</v>
      </c>
      <c r="DYE46" s="68">
        <f t="shared" si="1323"/>
        <v>723.16666666666663</v>
      </c>
      <c r="DYF46" s="48">
        <v>0</v>
      </c>
      <c r="DYG46" s="49">
        <v>0</v>
      </c>
      <c r="DYH46" s="49">
        <v>0</v>
      </c>
      <c r="DYI46" s="49">
        <v>0</v>
      </c>
      <c r="DYJ46" s="49">
        <v>1653</v>
      </c>
      <c r="DYK46" s="49">
        <v>799</v>
      </c>
      <c r="DYL46" s="64">
        <f t="shared" si="1324"/>
        <v>2452</v>
      </c>
      <c r="DYM46" s="68">
        <f t="shared" si="1325"/>
        <v>408.66666666666669</v>
      </c>
      <c r="DYN46" s="48">
        <v>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26"/>
        <v>0</v>
      </c>
      <c r="DYU46" s="68">
        <f t="shared" si="1327"/>
        <v>0</v>
      </c>
      <c r="DYV46" s="48">
        <v>3664</v>
      </c>
      <c r="DYW46" s="49">
        <v>0</v>
      </c>
      <c r="DYX46" s="49">
        <v>0</v>
      </c>
      <c r="DYY46" s="49">
        <v>0</v>
      </c>
      <c r="DYZ46" s="49">
        <v>0</v>
      </c>
      <c r="DZA46" s="49">
        <v>0</v>
      </c>
      <c r="DZB46" s="64">
        <f t="shared" si="1328"/>
        <v>3664</v>
      </c>
      <c r="DZC46" s="68">
        <f t="shared" si="1329"/>
        <v>610.66666666666663</v>
      </c>
      <c r="DZD46" s="48">
        <v>0</v>
      </c>
      <c r="DZE46" s="49">
        <v>0</v>
      </c>
      <c r="DZF46" s="49">
        <v>0</v>
      </c>
      <c r="DZG46" s="49">
        <v>0</v>
      </c>
      <c r="DZH46" s="49">
        <v>0</v>
      </c>
      <c r="DZI46" s="49">
        <v>0</v>
      </c>
      <c r="DZJ46" s="64">
        <f t="shared" si="1330"/>
        <v>0</v>
      </c>
      <c r="DZK46" s="68">
        <f t="shared" si="1331"/>
        <v>0</v>
      </c>
      <c r="DZL46" s="48">
        <v>0</v>
      </c>
      <c r="DZM46" s="49">
        <v>0</v>
      </c>
      <c r="DZN46" s="49"/>
      <c r="DZO46" s="49">
        <v>0</v>
      </c>
      <c r="DZP46" s="49">
        <v>558</v>
      </c>
      <c r="DZQ46" s="49">
        <v>0</v>
      </c>
      <c r="DZR46" s="64">
        <f t="shared" si="1332"/>
        <v>558</v>
      </c>
      <c r="DZS46" s="68">
        <f t="shared" si="1333"/>
        <v>93</v>
      </c>
      <c r="DZT46" s="48">
        <v>0</v>
      </c>
      <c r="DZU46" s="49">
        <v>330</v>
      </c>
      <c r="DZV46" s="49"/>
      <c r="DZW46" s="49">
        <v>660</v>
      </c>
      <c r="DZX46" s="49">
        <v>0</v>
      </c>
      <c r="DZY46" s="49"/>
      <c r="DZZ46" s="64">
        <f t="shared" si="1334"/>
        <v>990</v>
      </c>
      <c r="EAA46" s="68">
        <f t="shared" si="1335"/>
        <v>165</v>
      </c>
      <c r="EAB46" s="48"/>
      <c r="EAC46" s="49">
        <v>0</v>
      </c>
      <c r="EAD46" s="49">
        <v>0</v>
      </c>
      <c r="EAE46" s="49"/>
      <c r="EAF46" s="49">
        <v>0</v>
      </c>
      <c r="EAG46" s="49">
        <v>0</v>
      </c>
      <c r="EAH46" s="64">
        <f t="shared" si="1336"/>
        <v>0</v>
      </c>
      <c r="EAI46" s="68">
        <f t="shared" si="1337"/>
        <v>0</v>
      </c>
      <c r="EAJ46" s="48">
        <v>0</v>
      </c>
      <c r="EAK46" s="49"/>
      <c r="EAL46" s="49"/>
      <c r="EAM46" s="49"/>
      <c r="EAN46" s="49">
        <v>400</v>
      </c>
      <c r="EAO46" s="49">
        <v>0</v>
      </c>
      <c r="EAP46" s="64">
        <f t="shared" si="1338"/>
        <v>400</v>
      </c>
      <c r="EAQ46" s="68">
        <f t="shared" si="1339"/>
        <v>66.666666666666671</v>
      </c>
      <c r="EAR46" s="48">
        <v>0</v>
      </c>
      <c r="EAS46" s="49">
        <v>0</v>
      </c>
      <c r="EAT46" s="49">
        <v>0</v>
      </c>
      <c r="EAU46" s="49">
        <v>400</v>
      </c>
      <c r="EAV46" s="49">
        <v>0</v>
      </c>
      <c r="EAW46" s="49"/>
      <c r="EAX46" s="64">
        <f t="shared" si="1340"/>
        <v>400</v>
      </c>
      <c r="EAY46" s="68">
        <f t="shared" si="1341"/>
        <v>66.666666666666671</v>
      </c>
      <c r="EAZ46" s="48">
        <v>0</v>
      </c>
      <c r="EBA46" s="49"/>
      <c r="EBB46" s="49">
        <v>0</v>
      </c>
      <c r="EBC46" s="49">
        <v>0</v>
      </c>
      <c r="EBD46" s="49">
        <v>0</v>
      </c>
      <c r="EBE46" s="49">
        <v>0</v>
      </c>
      <c r="EBF46" s="64">
        <f t="shared" si="1342"/>
        <v>0</v>
      </c>
      <c r="EBG46" s="68">
        <f t="shared" si="1343"/>
        <v>0</v>
      </c>
      <c r="EBH46" s="48">
        <v>0</v>
      </c>
      <c r="EBI46" s="49">
        <v>0</v>
      </c>
      <c r="EBJ46" s="49">
        <v>0</v>
      </c>
      <c r="EBK46" s="49">
        <v>0</v>
      </c>
      <c r="EBL46" s="49">
        <v>0</v>
      </c>
      <c r="EBM46" s="49">
        <v>0</v>
      </c>
      <c r="EBN46" s="64">
        <f t="shared" si="1344"/>
        <v>0</v>
      </c>
      <c r="EBO46" s="68">
        <f t="shared" si="1345"/>
        <v>0</v>
      </c>
      <c r="EBP46" s="48">
        <v>0</v>
      </c>
      <c r="EBQ46" s="49">
        <v>0</v>
      </c>
      <c r="EBR46" s="49"/>
      <c r="EBS46" s="49">
        <v>0</v>
      </c>
      <c r="EBT46" s="49"/>
      <c r="EBU46" s="49"/>
      <c r="EBV46" s="64">
        <f t="shared" si="1346"/>
        <v>0</v>
      </c>
      <c r="EBW46" s="68">
        <f t="shared" si="1347"/>
        <v>0</v>
      </c>
      <c r="EBX46" s="48">
        <v>0</v>
      </c>
      <c r="EBY46" s="49"/>
      <c r="EBZ46" s="49">
        <v>0</v>
      </c>
      <c r="ECA46" s="49"/>
      <c r="ECB46" s="49">
        <v>0</v>
      </c>
      <c r="ECC46" s="49">
        <v>0</v>
      </c>
      <c r="ECD46" s="64">
        <f t="shared" si="1348"/>
        <v>0</v>
      </c>
      <c r="ECE46" s="68">
        <f t="shared" si="1349"/>
        <v>0</v>
      </c>
      <c r="ECF46" s="48">
        <v>0</v>
      </c>
      <c r="ECG46" s="49"/>
      <c r="ECH46" s="49">
        <v>0</v>
      </c>
      <c r="ECI46" s="49">
        <v>0</v>
      </c>
      <c r="ECJ46" s="49">
        <v>0</v>
      </c>
      <c r="ECK46" s="49"/>
      <c r="ECL46" s="64">
        <f t="shared" si="1350"/>
        <v>0</v>
      </c>
      <c r="ECM46" s="68">
        <f t="shared" si="1351"/>
        <v>0</v>
      </c>
      <c r="ECN46" s="48">
        <v>0</v>
      </c>
      <c r="ECO46" s="49">
        <v>0</v>
      </c>
      <c r="ECP46" s="49">
        <v>0</v>
      </c>
      <c r="ECQ46" s="49"/>
      <c r="ECR46" s="49">
        <v>0</v>
      </c>
      <c r="ECS46" s="49">
        <v>0</v>
      </c>
      <c r="ECT46" s="64">
        <f t="shared" si="1352"/>
        <v>0</v>
      </c>
      <c r="ECU46" s="68">
        <f t="shared" si="1353"/>
        <v>0</v>
      </c>
      <c r="ECV46" s="48">
        <v>0</v>
      </c>
      <c r="ECW46" s="49"/>
      <c r="ECX46" s="49">
        <v>0</v>
      </c>
      <c r="ECY46" s="49">
        <v>0</v>
      </c>
      <c r="ECZ46" s="49"/>
      <c r="EDA46" s="49"/>
      <c r="EDB46" s="64">
        <f t="shared" si="1354"/>
        <v>0</v>
      </c>
      <c r="EDC46" s="68">
        <f t="shared" si="1355"/>
        <v>0</v>
      </c>
      <c r="EDD46" s="48"/>
      <c r="EDE46" s="49">
        <v>0</v>
      </c>
      <c r="EDF46" s="49">
        <v>0</v>
      </c>
      <c r="EDG46" s="49">
        <v>0</v>
      </c>
      <c r="EDH46" s="49"/>
      <c r="EDI46" s="49"/>
      <c r="EDJ46" s="64">
        <f t="shared" si="1356"/>
        <v>0</v>
      </c>
      <c r="EDK46" s="68">
        <f t="shared" si="1357"/>
        <v>0</v>
      </c>
      <c r="EDL46" s="48"/>
      <c r="EDM46" s="49">
        <v>0</v>
      </c>
      <c r="EDN46" s="49"/>
      <c r="EDO46" s="49">
        <v>0</v>
      </c>
      <c r="EDP46" s="49">
        <v>0</v>
      </c>
      <c r="EDQ46" s="49">
        <v>0</v>
      </c>
      <c r="EDR46" s="64">
        <f t="shared" si="1358"/>
        <v>0</v>
      </c>
      <c r="EDS46" s="68">
        <f t="shared" si="1359"/>
        <v>0</v>
      </c>
      <c r="EDT46" s="48">
        <v>0</v>
      </c>
      <c r="EDU46" s="49">
        <v>0</v>
      </c>
      <c r="EDV46" s="49"/>
      <c r="EDW46" s="49">
        <v>0</v>
      </c>
      <c r="EDX46" s="49">
        <v>0</v>
      </c>
      <c r="EDY46" s="49"/>
      <c r="EDZ46" s="64">
        <f t="shared" si="1360"/>
        <v>0</v>
      </c>
      <c r="EEA46" s="68">
        <f t="shared" si="1361"/>
        <v>0</v>
      </c>
      <c r="EEB46" s="48">
        <v>0</v>
      </c>
      <c r="EEC46" s="49">
        <v>0</v>
      </c>
      <c r="EED46" s="49">
        <v>0</v>
      </c>
      <c r="EEE46" s="49">
        <v>0</v>
      </c>
      <c r="EEF46" s="49">
        <v>0</v>
      </c>
      <c r="EEG46" s="49"/>
      <c r="EEH46" s="64">
        <f t="shared" si="1362"/>
        <v>0</v>
      </c>
      <c r="EEI46" s="68">
        <f t="shared" si="1363"/>
        <v>0</v>
      </c>
      <c r="EEJ46" s="48">
        <v>0</v>
      </c>
      <c r="EEK46" s="49">
        <v>0</v>
      </c>
      <c r="EEL46" s="49">
        <v>0</v>
      </c>
      <c r="EEM46" s="49">
        <v>0</v>
      </c>
      <c r="EEN46" s="49">
        <v>0</v>
      </c>
      <c r="EEO46" s="49">
        <v>0</v>
      </c>
      <c r="EEP46" s="64">
        <f t="shared" si="1364"/>
        <v>0</v>
      </c>
      <c r="EEQ46" s="68">
        <f t="shared" si="1365"/>
        <v>0</v>
      </c>
      <c r="EER46" s="48">
        <v>0</v>
      </c>
      <c r="EES46" s="49">
        <v>0</v>
      </c>
      <c r="EET46" s="49">
        <v>0</v>
      </c>
      <c r="EEU46" s="49">
        <v>0</v>
      </c>
      <c r="EEV46" s="49">
        <v>0</v>
      </c>
      <c r="EEW46" s="49"/>
      <c r="EEX46" s="64">
        <f t="shared" si="1366"/>
        <v>0</v>
      </c>
      <c r="EEY46" s="68">
        <f t="shared" si="1367"/>
        <v>0</v>
      </c>
      <c r="EEZ46" s="48">
        <v>0</v>
      </c>
      <c r="EFA46" s="49"/>
      <c r="EFB46" s="49">
        <v>0</v>
      </c>
      <c r="EFC46" s="49">
        <v>0</v>
      </c>
      <c r="EFD46" s="49">
        <v>0</v>
      </c>
      <c r="EFE46" s="49">
        <v>0</v>
      </c>
      <c r="EFF46" s="64">
        <f t="shared" si="1368"/>
        <v>0</v>
      </c>
      <c r="EFG46" s="68">
        <f t="shared" si="1369"/>
        <v>0</v>
      </c>
      <c r="EFH46" s="48">
        <v>0</v>
      </c>
      <c r="EFI46" s="49">
        <v>0</v>
      </c>
      <c r="EFJ46" s="49">
        <v>0</v>
      </c>
      <c r="EFK46" s="49">
        <v>0</v>
      </c>
      <c r="EFL46" s="49">
        <v>0</v>
      </c>
      <c r="EFM46" s="49">
        <v>0</v>
      </c>
      <c r="EFN46" s="64">
        <f t="shared" si="1370"/>
        <v>0</v>
      </c>
      <c r="EFO46" s="68">
        <f t="shared" si="1371"/>
        <v>0</v>
      </c>
      <c r="EFP46" s="48"/>
      <c r="EFQ46" s="49"/>
      <c r="EFR46" s="49"/>
      <c r="EFS46" s="49">
        <v>0</v>
      </c>
      <c r="EFT46" s="49">
        <v>0</v>
      </c>
      <c r="EFU46" s="49"/>
      <c r="EFV46" s="64">
        <f t="shared" si="1372"/>
        <v>0</v>
      </c>
      <c r="EFW46" s="68">
        <f t="shared" si="1373"/>
        <v>0</v>
      </c>
      <c r="EFX46" s="48"/>
      <c r="EFY46" s="49"/>
      <c r="EFZ46" s="49"/>
      <c r="EGA46" s="49"/>
      <c r="EGB46" s="49"/>
      <c r="EGC46" s="49"/>
      <c r="EGD46" s="64">
        <f t="shared" si="1374"/>
        <v>0</v>
      </c>
      <c r="EGE46" s="68">
        <f t="shared" si="1375"/>
        <v>0</v>
      </c>
      <c r="EGF46" s="48"/>
      <c r="EGG46" s="49">
        <v>1405</v>
      </c>
      <c r="EGH46" s="49"/>
      <c r="EGI46" s="49">
        <v>0</v>
      </c>
      <c r="EGJ46" s="49">
        <v>0</v>
      </c>
      <c r="EGK46" s="49">
        <v>0</v>
      </c>
      <c r="EGL46" s="64">
        <f t="shared" si="1376"/>
        <v>1405</v>
      </c>
      <c r="EGM46" s="68">
        <f t="shared" si="1377"/>
        <v>234.16666666666666</v>
      </c>
      <c r="EGN46" s="48">
        <v>0</v>
      </c>
      <c r="EGO46" s="49">
        <v>0</v>
      </c>
      <c r="EGP46" s="49"/>
      <c r="EGQ46" s="49">
        <v>0</v>
      </c>
      <c r="EGR46" s="49">
        <v>1372</v>
      </c>
      <c r="EGS46" s="49">
        <v>0</v>
      </c>
      <c r="EGT46" s="64">
        <f t="shared" si="1378"/>
        <v>1372</v>
      </c>
      <c r="EGU46" s="68">
        <f t="shared" si="1379"/>
        <v>228.66666666666666</v>
      </c>
      <c r="EGV46" s="48">
        <v>0</v>
      </c>
      <c r="EGW46" s="49">
        <v>0</v>
      </c>
      <c r="EGX46" s="49">
        <v>0</v>
      </c>
      <c r="EGY46" s="49">
        <v>0</v>
      </c>
      <c r="EGZ46" s="49">
        <v>0</v>
      </c>
      <c r="EHA46" s="49">
        <v>644</v>
      </c>
      <c r="EHB46" s="64">
        <f t="shared" si="1380"/>
        <v>644</v>
      </c>
      <c r="EHC46" s="68">
        <f t="shared" si="1381"/>
        <v>107.33333333333333</v>
      </c>
      <c r="EHD46" s="48">
        <v>0</v>
      </c>
      <c r="EHE46" s="49">
        <v>0</v>
      </c>
      <c r="EHF46" s="49"/>
      <c r="EHG46" s="49">
        <v>2249</v>
      </c>
      <c r="EHH46" s="49">
        <v>0</v>
      </c>
      <c r="EHI46" s="49">
        <v>0</v>
      </c>
      <c r="EHJ46" s="64">
        <f t="shared" si="1382"/>
        <v>2249</v>
      </c>
      <c r="EHK46" s="68">
        <f t="shared" si="1383"/>
        <v>374.83333333333331</v>
      </c>
      <c r="EHL46" s="48">
        <v>0</v>
      </c>
      <c r="EHM46" s="49">
        <v>1350</v>
      </c>
      <c r="EHN46" s="49"/>
      <c r="EHO46" s="49">
        <v>0</v>
      </c>
      <c r="EHP46" s="49"/>
      <c r="EHQ46" s="49">
        <v>0</v>
      </c>
      <c r="EHR46" s="64">
        <f t="shared" si="1384"/>
        <v>1350</v>
      </c>
      <c r="EHS46" s="68">
        <f t="shared" si="1385"/>
        <v>225</v>
      </c>
      <c r="EHT46" s="48"/>
      <c r="EHU46" s="49">
        <v>2019</v>
      </c>
      <c r="EHV46" s="49"/>
      <c r="EHW46" s="49">
        <v>0</v>
      </c>
      <c r="EHX46" s="49">
        <v>0</v>
      </c>
      <c r="EHY46" s="49">
        <v>0</v>
      </c>
      <c r="EHZ46" s="64">
        <f t="shared" si="1386"/>
        <v>2019</v>
      </c>
      <c r="EIA46" s="68">
        <f t="shared" si="1387"/>
        <v>336.5</v>
      </c>
      <c r="EIB46" s="48">
        <v>0</v>
      </c>
      <c r="EIC46" s="49">
        <v>0</v>
      </c>
      <c r="EID46" s="49">
        <v>0</v>
      </c>
      <c r="EIE46" s="49">
        <v>0</v>
      </c>
      <c r="EIF46" s="49"/>
      <c r="EIG46" s="49"/>
      <c r="EIH46" s="64">
        <f t="shared" si="1388"/>
        <v>0</v>
      </c>
      <c r="EII46" s="68">
        <f t="shared" si="1389"/>
        <v>0</v>
      </c>
      <c r="EIJ46" s="48">
        <v>1414</v>
      </c>
      <c r="EIK46" s="49"/>
      <c r="EIL46" s="49">
        <v>0</v>
      </c>
      <c r="EIM46" s="49">
        <v>0</v>
      </c>
      <c r="EIN46" s="49">
        <v>699</v>
      </c>
      <c r="EIO46" s="49"/>
      <c r="EIP46" s="64">
        <f t="shared" si="1390"/>
        <v>2113</v>
      </c>
      <c r="EIQ46" s="68">
        <f t="shared" si="1391"/>
        <v>352.16666666666669</v>
      </c>
      <c r="EIR46" s="48"/>
      <c r="EIS46" s="49"/>
      <c r="EIT46" s="49">
        <v>1584</v>
      </c>
      <c r="EIU46" s="49">
        <v>0</v>
      </c>
      <c r="EIV46" s="49">
        <v>0</v>
      </c>
      <c r="EIW46" s="49">
        <v>0</v>
      </c>
      <c r="EIX46" s="64">
        <f t="shared" si="1392"/>
        <v>1584</v>
      </c>
      <c r="EIY46" s="68">
        <f t="shared" si="1393"/>
        <v>264</v>
      </c>
      <c r="EIZ46" s="48">
        <v>726</v>
      </c>
      <c r="EJA46" s="49">
        <v>2075</v>
      </c>
      <c r="EJB46" s="49">
        <v>1466</v>
      </c>
      <c r="EJC46" s="49">
        <v>0</v>
      </c>
      <c r="EJD46" s="49"/>
      <c r="EJE46" s="49">
        <v>0</v>
      </c>
      <c r="EJF46" s="64">
        <f t="shared" si="1394"/>
        <v>4267</v>
      </c>
      <c r="EJG46" s="68">
        <f t="shared" si="1395"/>
        <v>711.16666666666663</v>
      </c>
      <c r="EJH46" s="48">
        <v>0</v>
      </c>
      <c r="EJI46" s="49"/>
      <c r="EJJ46" s="49"/>
      <c r="EJK46" s="49">
        <v>1902</v>
      </c>
      <c r="EJL46" s="49"/>
      <c r="EJM46" s="49"/>
      <c r="EJN46" s="64">
        <f t="shared" si="1396"/>
        <v>1902</v>
      </c>
      <c r="EJO46" s="68">
        <f t="shared" si="1397"/>
        <v>317</v>
      </c>
      <c r="EJP46" s="48">
        <v>2000</v>
      </c>
      <c r="EJQ46" s="49">
        <v>2849</v>
      </c>
      <c r="EJR46" s="49">
        <v>0</v>
      </c>
      <c r="EJS46" s="49">
        <v>1677</v>
      </c>
      <c r="EJT46" s="49">
        <v>0</v>
      </c>
      <c r="EJU46" s="49">
        <v>1200</v>
      </c>
      <c r="EJV46" s="64">
        <f t="shared" si="1398"/>
        <v>7726</v>
      </c>
      <c r="EJW46" s="68">
        <f t="shared" si="1399"/>
        <v>1287.6666666666667</v>
      </c>
      <c r="EJX46" s="48">
        <v>0</v>
      </c>
      <c r="EJY46" s="49"/>
      <c r="EJZ46" s="49"/>
      <c r="EKA46" s="49"/>
      <c r="EKB46" s="49"/>
      <c r="EKC46" s="49"/>
      <c r="EKD46" s="64">
        <f t="shared" si="1400"/>
        <v>0</v>
      </c>
      <c r="EKE46" s="68">
        <f t="shared" si="1401"/>
        <v>0</v>
      </c>
      <c r="EKF46" s="48">
        <v>2014</v>
      </c>
      <c r="EKG46" s="49"/>
      <c r="EKH46" s="49">
        <v>0</v>
      </c>
      <c r="EKI46" s="49">
        <v>0</v>
      </c>
      <c r="EKJ46" s="49">
        <v>0</v>
      </c>
      <c r="EKK46" s="49">
        <v>313</v>
      </c>
      <c r="EKL46" s="64">
        <f t="shared" si="1402"/>
        <v>2327</v>
      </c>
      <c r="EKM46" s="68">
        <f t="shared" si="1403"/>
        <v>387.83333333333331</v>
      </c>
      <c r="EKN46" s="48">
        <v>0</v>
      </c>
      <c r="EKO46" s="49">
        <v>1588</v>
      </c>
      <c r="EKP46" s="49">
        <v>0</v>
      </c>
      <c r="EKQ46" s="49">
        <v>0</v>
      </c>
      <c r="EKR46" s="49">
        <v>0</v>
      </c>
      <c r="EKS46" s="49">
        <v>771</v>
      </c>
      <c r="EKT46" s="64">
        <f t="shared" si="1404"/>
        <v>2359</v>
      </c>
      <c r="EKU46" s="184">
        <f t="shared" si="1405"/>
        <v>393.16666666666669</v>
      </c>
      <c r="EKV46" s="665"/>
      <c r="EKW46" s="195">
        <v>0</v>
      </c>
      <c r="EKX46" s="49">
        <v>0</v>
      </c>
      <c r="EKY46" s="49">
        <v>1562</v>
      </c>
      <c r="EKZ46" s="49"/>
      <c r="ELA46" s="49">
        <v>1694</v>
      </c>
      <c r="ELB46" s="49">
        <v>0</v>
      </c>
      <c r="ELC46" s="64">
        <f t="shared" si="1406"/>
        <v>3256</v>
      </c>
      <c r="ELD46" s="211">
        <f t="shared" si="1407"/>
        <v>542.66666666666663</v>
      </c>
      <c r="ELE46" s="195">
        <v>0</v>
      </c>
      <c r="ELF46" s="49">
        <v>0</v>
      </c>
      <c r="ELG46" s="49">
        <v>0</v>
      </c>
      <c r="ELH46" s="49"/>
      <c r="ELI46" s="49">
        <v>0</v>
      </c>
      <c r="ELJ46" s="49">
        <v>0</v>
      </c>
      <c r="ELK46" s="64">
        <f t="shared" si="1408"/>
        <v>0</v>
      </c>
      <c r="ELL46" s="211">
        <f t="shared" si="1409"/>
        <v>0</v>
      </c>
      <c r="ELM46" s="195">
        <v>2054</v>
      </c>
      <c r="ELN46" s="49">
        <v>0</v>
      </c>
      <c r="ELO46" s="49">
        <v>0</v>
      </c>
      <c r="ELP46" s="49">
        <v>0</v>
      </c>
      <c r="ELQ46" s="49">
        <v>0</v>
      </c>
      <c r="ELR46" s="49">
        <v>0</v>
      </c>
      <c r="ELS46" s="64">
        <f t="shared" si="1410"/>
        <v>2054</v>
      </c>
      <c r="ELT46" s="211">
        <f t="shared" si="1411"/>
        <v>342.33333333333331</v>
      </c>
      <c r="ELU46" s="195">
        <v>110</v>
      </c>
      <c r="ELV46" s="49">
        <v>1557</v>
      </c>
      <c r="ELW46" s="49">
        <v>1101</v>
      </c>
      <c r="ELX46" s="49">
        <v>0</v>
      </c>
      <c r="ELY46" s="49">
        <v>0</v>
      </c>
      <c r="ELZ46" s="49">
        <v>2287</v>
      </c>
      <c r="EMA46" s="64">
        <f t="shared" si="1412"/>
        <v>5055</v>
      </c>
      <c r="EMB46" s="211">
        <f t="shared" si="1413"/>
        <v>842.5</v>
      </c>
      <c r="EMC46" s="195">
        <v>0</v>
      </c>
      <c r="EMD46" s="49"/>
      <c r="EME46" s="49">
        <v>0</v>
      </c>
      <c r="EMF46" s="49">
        <v>762</v>
      </c>
      <c r="EMG46" s="49"/>
      <c r="EMH46" s="49">
        <v>0</v>
      </c>
      <c r="EMI46" s="64">
        <f t="shared" si="1414"/>
        <v>762</v>
      </c>
      <c r="EMJ46" s="211">
        <f t="shared" si="1415"/>
        <v>127</v>
      </c>
      <c r="EMK46" s="195">
        <v>0</v>
      </c>
      <c r="EML46" s="49">
        <v>2374</v>
      </c>
      <c r="EMM46" s="49">
        <v>0</v>
      </c>
      <c r="EMN46" s="49">
        <v>0</v>
      </c>
      <c r="EMO46" s="49">
        <v>0</v>
      </c>
      <c r="EMP46" s="49">
        <v>0</v>
      </c>
      <c r="EMQ46" s="64">
        <f t="shared" si="1416"/>
        <v>2374</v>
      </c>
      <c r="EMR46" s="211">
        <f t="shared" si="1417"/>
        <v>395.66666666666669</v>
      </c>
      <c r="EMS46" s="195">
        <v>3501</v>
      </c>
      <c r="EMT46" s="49">
        <v>411</v>
      </c>
      <c r="EMU46" s="49">
        <v>0</v>
      </c>
      <c r="EMV46" s="49">
        <v>0</v>
      </c>
      <c r="EMW46" s="49">
        <v>0</v>
      </c>
      <c r="EMX46" s="49">
        <v>0</v>
      </c>
      <c r="EMY46" s="64">
        <f t="shared" si="1418"/>
        <v>3912</v>
      </c>
      <c r="EMZ46" s="211">
        <f t="shared" si="1419"/>
        <v>652</v>
      </c>
      <c r="ENA46" s="195"/>
      <c r="ENB46" s="49">
        <v>0</v>
      </c>
      <c r="ENC46" s="49">
        <v>0</v>
      </c>
      <c r="END46" s="49">
        <v>3290</v>
      </c>
      <c r="ENE46" s="49">
        <v>0</v>
      </c>
      <c r="ENF46" s="49">
        <v>1440</v>
      </c>
      <c r="ENG46" s="64">
        <f t="shared" si="1420"/>
        <v>4730</v>
      </c>
      <c r="ENH46" s="211">
        <f t="shared" si="1421"/>
        <v>788.33333333333337</v>
      </c>
      <c r="ENI46" s="195">
        <v>1299</v>
      </c>
      <c r="ENJ46" s="49"/>
      <c r="ENK46" s="49">
        <v>0</v>
      </c>
      <c r="ENL46" s="49">
        <v>0</v>
      </c>
      <c r="ENM46" s="49">
        <v>0</v>
      </c>
      <c r="ENN46" s="49">
        <v>0</v>
      </c>
      <c r="ENO46" s="64">
        <f t="shared" si="1422"/>
        <v>1299</v>
      </c>
      <c r="ENP46" s="211">
        <f t="shared" si="1423"/>
        <v>216.5</v>
      </c>
      <c r="ENQ46" s="195"/>
      <c r="ENR46" s="49"/>
      <c r="ENS46" s="49"/>
      <c r="ENT46" s="49">
        <v>3996</v>
      </c>
      <c r="ENU46" s="49">
        <v>0</v>
      </c>
      <c r="ENV46" s="49">
        <v>0</v>
      </c>
      <c r="ENW46" s="64">
        <f t="shared" si="1424"/>
        <v>3996</v>
      </c>
      <c r="ENX46" s="211">
        <f t="shared" si="1425"/>
        <v>666</v>
      </c>
      <c r="ENY46" s="195"/>
      <c r="ENZ46" s="49"/>
      <c r="EOA46" s="49"/>
      <c r="EOB46" s="49">
        <v>3007</v>
      </c>
      <c r="EOC46" s="49">
        <v>0</v>
      </c>
      <c r="EOD46" s="49">
        <v>0</v>
      </c>
      <c r="EOE46" s="64">
        <f t="shared" si="1426"/>
        <v>3007</v>
      </c>
      <c r="EOF46" s="211">
        <f t="shared" si="1427"/>
        <v>501.16666666666669</v>
      </c>
      <c r="EOG46" s="1"/>
      <c r="EOH46" s="195"/>
      <c r="EOI46" s="49">
        <v>0</v>
      </c>
      <c r="EOJ46" s="49">
        <v>0</v>
      </c>
      <c r="EOK46" s="49">
        <v>1100</v>
      </c>
      <c r="EOL46" s="49">
        <v>2760</v>
      </c>
      <c r="EOM46" s="49"/>
      <c r="EON46" s="184">
        <f t="shared" si="1428"/>
        <v>3860</v>
      </c>
      <c r="EOO46" s="244">
        <v>601</v>
      </c>
      <c r="EOP46" s="49">
        <v>1664</v>
      </c>
      <c r="EOQ46" s="49">
        <v>0</v>
      </c>
      <c r="EOR46" s="49">
        <v>2750</v>
      </c>
      <c r="EOS46" s="49">
        <v>157</v>
      </c>
      <c r="EOT46" s="49"/>
      <c r="EOU46" s="64">
        <f t="shared" si="1429"/>
        <v>5172</v>
      </c>
      <c r="EOV46" s="211">
        <f t="shared" si="1430"/>
        <v>862</v>
      </c>
      <c r="EOW46" s="195"/>
      <c r="EOX46" s="49">
        <v>1650</v>
      </c>
      <c r="EOY46" s="49">
        <v>1444</v>
      </c>
      <c r="EOZ46" s="49"/>
      <c r="EPA46" s="49">
        <v>0</v>
      </c>
      <c r="EPB46" s="49">
        <v>2266</v>
      </c>
      <c r="EPC46" s="64">
        <f t="shared" si="1431"/>
        <v>5360</v>
      </c>
      <c r="EPD46" s="211">
        <f t="shared" si="1432"/>
        <v>893.33333333333337</v>
      </c>
      <c r="EPE46" s="195">
        <v>0</v>
      </c>
      <c r="EPF46" s="49">
        <v>0</v>
      </c>
      <c r="EPG46" s="49"/>
      <c r="EPH46" s="49"/>
      <c r="EPI46" s="49">
        <v>1249</v>
      </c>
      <c r="EPJ46" s="49">
        <v>0</v>
      </c>
      <c r="EPK46" s="64">
        <f t="shared" si="1433"/>
        <v>1249</v>
      </c>
      <c r="EPL46" s="211">
        <f t="shared" si="1434"/>
        <v>208.16666666666666</v>
      </c>
      <c r="EPM46" s="195">
        <v>0</v>
      </c>
      <c r="EPN46" s="49">
        <v>0</v>
      </c>
      <c r="EPO46" s="49">
        <v>4343</v>
      </c>
      <c r="EPP46" s="49">
        <v>0</v>
      </c>
      <c r="EPQ46" s="49"/>
      <c r="EPR46" s="49"/>
      <c r="EPS46" s="64">
        <f t="shared" si="1435"/>
        <v>4343</v>
      </c>
      <c r="EPT46" s="211">
        <f t="shared" si="1436"/>
        <v>723.83333333333337</v>
      </c>
      <c r="EPU46" s="195">
        <v>2775</v>
      </c>
      <c r="EPV46" s="49">
        <v>847</v>
      </c>
      <c r="EPW46" s="49">
        <v>0</v>
      </c>
      <c r="EPX46" s="49">
        <v>0</v>
      </c>
      <c r="EPY46" s="49">
        <f>SUMIF(SUMPK!$B:$B,$B:$B,SUMPK!$O:$O)</f>
        <v>0</v>
      </c>
      <c r="EPZ46" s="49"/>
      <c r="EQA46" s="64">
        <f t="shared" si="1437"/>
        <v>3622</v>
      </c>
      <c r="EQB46" s="211">
        <f t="shared" si="1438"/>
        <v>603.66666666666663</v>
      </c>
      <c r="EQC46" s="195">
        <v>1542</v>
      </c>
      <c r="EQD46" s="49">
        <v>0</v>
      </c>
      <c r="EQE46" s="49">
        <v>0</v>
      </c>
      <c r="EQF46" s="49">
        <v>3620</v>
      </c>
      <c r="EQG46" s="49">
        <v>0</v>
      </c>
      <c r="EQH46" s="49"/>
      <c r="EQI46" s="64">
        <f t="shared" si="1439"/>
        <v>5162</v>
      </c>
      <c r="EQJ46" s="211">
        <f t="shared" si="1440"/>
        <v>860.33333333333337</v>
      </c>
      <c r="EQK46" s="195">
        <v>0</v>
      </c>
      <c r="EQL46" s="49">
        <v>0</v>
      </c>
      <c r="EQM46" s="49">
        <v>1614</v>
      </c>
      <c r="EQN46" s="49"/>
      <c r="EQO46" s="49">
        <v>0</v>
      </c>
      <c r="EQP46" s="49">
        <v>2705</v>
      </c>
      <c r="EQQ46" s="64">
        <f t="shared" si="1441"/>
        <v>4319</v>
      </c>
      <c r="EQR46" s="211">
        <f t="shared" si="1442"/>
        <v>719.83333333333337</v>
      </c>
      <c r="EQS46" s="195">
        <v>0</v>
      </c>
      <c r="EQT46" s="49">
        <v>0</v>
      </c>
      <c r="EQU46" s="49">
        <v>220</v>
      </c>
      <c r="EQV46" s="49">
        <v>1581</v>
      </c>
      <c r="EQW46" s="49"/>
      <c r="EQX46" s="49">
        <v>0</v>
      </c>
      <c r="EQY46" s="64">
        <f t="shared" si="1443"/>
        <v>1801</v>
      </c>
      <c r="EQZ46" s="211">
        <f t="shared" si="1444"/>
        <v>300.16666666666669</v>
      </c>
      <c r="ERA46" s="195">
        <v>0</v>
      </c>
      <c r="ERB46" s="49">
        <v>0</v>
      </c>
      <c r="ERC46" s="49"/>
      <c r="ERD46" s="49">
        <v>3347</v>
      </c>
      <c r="ERE46" s="49">
        <v>0</v>
      </c>
      <c r="ERF46" s="49"/>
      <c r="ERG46" s="64">
        <f t="shared" si="1445"/>
        <v>3347</v>
      </c>
      <c r="ERH46" s="211">
        <f t="shared" si="1446"/>
        <v>557.83333333333337</v>
      </c>
      <c r="ERI46" s="195">
        <v>3807</v>
      </c>
      <c r="ERJ46" s="49">
        <v>0</v>
      </c>
      <c r="ERK46" s="49">
        <v>0</v>
      </c>
      <c r="ERL46" s="49">
        <v>3062</v>
      </c>
      <c r="ERM46" s="49"/>
      <c r="ERN46" s="49"/>
      <c r="ERO46" s="64">
        <f t="shared" si="1447"/>
        <v>6869</v>
      </c>
      <c r="ERP46" s="211">
        <f t="shared" si="1448"/>
        <v>1144.8333333333333</v>
      </c>
      <c r="ERQ46" s="195"/>
      <c r="ERR46" s="49"/>
      <c r="ERS46" s="49"/>
      <c r="ERT46" s="49"/>
      <c r="ERU46" s="49"/>
      <c r="ERV46" s="49"/>
      <c r="ERW46" s="64">
        <f t="shared" si="1449"/>
        <v>0</v>
      </c>
      <c r="ERX46" s="211">
        <f t="shared" si="1450"/>
        <v>0</v>
      </c>
      <c r="ERY46" s="195"/>
      <c r="ERZ46" s="49">
        <v>2423</v>
      </c>
      <c r="ESA46" s="49"/>
      <c r="ESB46" s="49">
        <v>0</v>
      </c>
      <c r="ESC46" s="49">
        <v>0</v>
      </c>
      <c r="ESD46" s="49">
        <v>990</v>
      </c>
      <c r="ESE46" s="64">
        <f t="shared" si="1451"/>
        <v>3413</v>
      </c>
      <c r="ESF46" s="211">
        <f t="shared" si="1452"/>
        <v>568.83333333333337</v>
      </c>
      <c r="ESG46" s="195">
        <v>1150</v>
      </c>
      <c r="ESH46" s="49">
        <v>0</v>
      </c>
      <c r="ESI46" s="49"/>
      <c r="ESJ46" s="49"/>
      <c r="ESK46" s="49"/>
      <c r="ESL46" s="49"/>
      <c r="ESM46" s="64">
        <f t="shared" si="1453"/>
        <v>1150</v>
      </c>
      <c r="ESN46" s="211">
        <f t="shared" si="1454"/>
        <v>191.66666666666666</v>
      </c>
      <c r="ESO46" s="458"/>
      <c r="ESP46" s="83">
        <v>5730</v>
      </c>
      <c r="ESQ46" s="83">
        <v>0</v>
      </c>
      <c r="ESR46" s="83">
        <v>0</v>
      </c>
      <c r="ESS46" s="83">
        <v>0</v>
      </c>
      <c r="EST46" s="83"/>
      <c r="ESU46" s="64">
        <f t="shared" si="1455"/>
        <v>5730</v>
      </c>
      <c r="ESV46" s="211">
        <f t="shared" si="1456"/>
        <v>955</v>
      </c>
      <c r="ESW46" s="195"/>
      <c r="ESX46" s="49">
        <v>0</v>
      </c>
      <c r="ESY46" s="49">
        <v>0</v>
      </c>
      <c r="ESZ46" s="49">
        <v>0</v>
      </c>
      <c r="ETA46" s="49">
        <v>0</v>
      </c>
      <c r="ETB46" s="49"/>
      <c r="ETC46" s="808">
        <f t="shared" si="1457"/>
        <v>0</v>
      </c>
      <c r="ETD46" s="211">
        <f t="shared" si="1458"/>
        <v>0</v>
      </c>
      <c r="ETE46" s="195">
        <v>5390</v>
      </c>
      <c r="ETF46" s="49">
        <v>438</v>
      </c>
      <c r="ETG46" s="49">
        <v>0</v>
      </c>
      <c r="ETH46" s="49">
        <v>0</v>
      </c>
      <c r="ETI46" s="49">
        <v>999</v>
      </c>
      <c r="ETJ46" s="49">
        <v>0</v>
      </c>
      <c r="ETK46" s="808">
        <f t="shared" si="1459"/>
        <v>6827</v>
      </c>
      <c r="ETL46" s="211">
        <f t="shared" si="1460"/>
        <v>1137.8333333333333</v>
      </c>
      <c r="ETM46" s="814">
        <v>0</v>
      </c>
      <c r="ETN46" s="815">
        <v>0</v>
      </c>
      <c r="ETO46" s="815">
        <v>0</v>
      </c>
      <c r="ETP46" s="815">
        <v>0</v>
      </c>
      <c r="ETQ46" s="815"/>
      <c r="ETR46" s="815"/>
      <c r="ETS46" s="808">
        <f t="shared" si="1461"/>
        <v>0</v>
      </c>
      <c r="ETT46" s="211">
        <f t="shared" si="1462"/>
        <v>0</v>
      </c>
      <c r="ETU46" s="458">
        <v>700</v>
      </c>
      <c r="ETV46" s="83">
        <v>1970</v>
      </c>
      <c r="ETW46" s="83">
        <v>416</v>
      </c>
      <c r="ETX46" s="83">
        <v>0</v>
      </c>
      <c r="ETY46" s="83">
        <v>0</v>
      </c>
      <c r="ETZ46" s="83">
        <v>0</v>
      </c>
      <c r="EUA46" s="808">
        <f t="shared" si="1463"/>
        <v>3086</v>
      </c>
      <c r="EUB46" s="211">
        <f t="shared" si="1464"/>
        <v>514.33333333333337</v>
      </c>
      <c r="EUC46" s="458">
        <v>2657</v>
      </c>
      <c r="EUD46" s="83">
        <v>0</v>
      </c>
      <c r="EUE46" s="83"/>
      <c r="EUF46" s="83">
        <v>0</v>
      </c>
      <c r="EUG46" s="83">
        <v>990</v>
      </c>
      <c r="EUH46" s="83">
        <v>310</v>
      </c>
      <c r="EUI46" s="808">
        <f t="shared" si="1465"/>
        <v>3957</v>
      </c>
      <c r="EUJ46" s="211">
        <f t="shared" si="1466"/>
        <v>659.5</v>
      </c>
      <c r="EUK46" s="195"/>
      <c r="EUL46" s="49">
        <v>997</v>
      </c>
      <c r="EUM46" s="49">
        <v>0</v>
      </c>
      <c r="EUN46" s="49">
        <v>0</v>
      </c>
      <c r="EUO46" s="49">
        <v>0</v>
      </c>
      <c r="EUP46" s="49">
        <v>2876</v>
      </c>
      <c r="EUQ46" s="808">
        <f t="shared" si="1467"/>
        <v>3873</v>
      </c>
      <c r="EUR46" s="211">
        <f t="shared" si="1468"/>
        <v>645.5</v>
      </c>
      <c r="EUS46" s="195">
        <v>1107</v>
      </c>
      <c r="EUT46" s="49">
        <v>0</v>
      </c>
      <c r="EUU46" s="49"/>
      <c r="EUV46" s="49">
        <v>0</v>
      </c>
      <c r="EUW46" s="49">
        <v>5479</v>
      </c>
      <c r="EUX46" s="49"/>
      <c r="EUY46" s="808">
        <f t="shared" si="1469"/>
        <v>6586</v>
      </c>
      <c r="EUZ46" s="211">
        <f t="shared" si="1470"/>
        <v>1097.6666666666667</v>
      </c>
      <c r="EVA46" s="195"/>
      <c r="EVB46" s="49"/>
      <c r="EVC46" s="49"/>
      <c r="EVD46" s="49"/>
      <c r="EVE46" s="49"/>
      <c r="EVF46" s="49"/>
      <c r="EVG46" s="808">
        <f t="shared" si="1471"/>
        <v>0</v>
      </c>
      <c r="EVH46" s="211">
        <f t="shared" si="1472"/>
        <v>0</v>
      </c>
      <c r="EVI46" s="195">
        <v>0</v>
      </c>
      <c r="EVJ46" s="49"/>
      <c r="EVK46" s="49"/>
      <c r="EVL46" s="49"/>
      <c r="EVM46" s="49"/>
      <c r="EVN46" s="49"/>
      <c r="EVO46" s="808">
        <f t="shared" si="1473"/>
        <v>0</v>
      </c>
      <c r="EVP46" s="211">
        <f t="shared" si="1474"/>
        <v>0</v>
      </c>
      <c r="EVQ46" s="195"/>
      <c r="EVR46" s="49">
        <v>3844</v>
      </c>
      <c r="EVS46" s="49">
        <v>0</v>
      </c>
      <c r="EVT46" s="49"/>
      <c r="EVU46" s="49">
        <v>0</v>
      </c>
      <c r="EVV46" s="49">
        <v>1337</v>
      </c>
      <c r="EVW46" s="808">
        <f t="shared" si="1475"/>
        <v>5181</v>
      </c>
      <c r="EVX46" s="211">
        <f t="shared" si="1476"/>
        <v>863.5</v>
      </c>
      <c r="EVY46" s="195">
        <v>0</v>
      </c>
      <c r="EVZ46" s="49"/>
      <c r="EWA46" s="49">
        <v>1290</v>
      </c>
      <c r="EWB46" s="49">
        <v>0</v>
      </c>
      <c r="EWC46" s="49">
        <v>0</v>
      </c>
      <c r="EWD46" s="49"/>
      <c r="EWE46" s="808">
        <f t="shared" si="1477"/>
        <v>1290</v>
      </c>
      <c r="EWF46" s="211">
        <f t="shared" si="1478"/>
        <v>215</v>
      </c>
      <c r="EWG46" s="195"/>
      <c r="EWH46" s="49">
        <v>0</v>
      </c>
      <c r="EWI46" s="49"/>
      <c r="EWJ46" s="49">
        <v>0</v>
      </c>
      <c r="EWK46" s="49"/>
      <c r="EWL46" s="49"/>
      <c r="EWM46" s="808">
        <f t="shared" si="1479"/>
        <v>0</v>
      </c>
      <c r="EWN46" s="211">
        <f t="shared" si="1480"/>
        <v>0</v>
      </c>
      <c r="EWO46" s="195"/>
      <c r="EWP46" s="49"/>
      <c r="EWQ46" s="49"/>
      <c r="EWR46" s="49">
        <v>0</v>
      </c>
      <c r="EWS46" s="49">
        <v>2078</v>
      </c>
      <c r="EWT46" s="49">
        <v>0</v>
      </c>
      <c r="EWU46" s="808">
        <f t="shared" si="1481"/>
        <v>2078</v>
      </c>
      <c r="EWV46" s="211">
        <f t="shared" si="1482"/>
        <v>346.33333333333331</v>
      </c>
      <c r="EWW46" s="195"/>
      <c r="EWX46" s="49"/>
      <c r="EWY46" s="49">
        <v>0</v>
      </c>
      <c r="EWZ46" s="49">
        <v>1029</v>
      </c>
      <c r="EXA46" s="49">
        <v>680</v>
      </c>
      <c r="EXB46" s="49"/>
      <c r="EXC46" s="808">
        <f t="shared" si="1483"/>
        <v>1709</v>
      </c>
      <c r="EXD46" s="211">
        <f t="shared" si="1484"/>
        <v>284.83333333333331</v>
      </c>
      <c r="EXE46" s="195"/>
      <c r="EXF46" s="49">
        <v>0</v>
      </c>
      <c r="EXG46" s="49">
        <v>4158</v>
      </c>
      <c r="EXH46" s="49"/>
      <c r="EXI46" s="49">
        <v>0</v>
      </c>
      <c r="EXJ46" s="49">
        <v>0</v>
      </c>
      <c r="EXK46" s="808">
        <f t="shared" si="1485"/>
        <v>4158</v>
      </c>
      <c r="EXL46" s="211">
        <f t="shared" si="1486"/>
        <v>693</v>
      </c>
      <c r="EXM46" s="458">
        <v>0</v>
      </c>
      <c r="EXN46" s="83">
        <v>0</v>
      </c>
      <c r="EXO46" s="83"/>
      <c r="EXP46" s="83"/>
      <c r="EXQ46" s="83"/>
      <c r="EXR46" s="83">
        <v>0</v>
      </c>
      <c r="EXS46" s="808">
        <f t="shared" si="1487"/>
        <v>0</v>
      </c>
      <c r="EXT46" s="211">
        <f t="shared" si="1488"/>
        <v>0</v>
      </c>
      <c r="EXU46" s="195">
        <v>0</v>
      </c>
      <c r="EXV46" s="49">
        <v>0</v>
      </c>
      <c r="EXW46" s="49">
        <v>2143</v>
      </c>
      <c r="EXX46" s="49">
        <v>358</v>
      </c>
      <c r="EXY46" s="49">
        <v>1506</v>
      </c>
      <c r="EXZ46" s="49"/>
      <c r="EYA46" s="808">
        <f t="shared" si="1489"/>
        <v>4007</v>
      </c>
      <c r="EYB46" s="211">
        <f t="shared" si="1490"/>
        <v>667.83333333333337</v>
      </c>
      <c r="EYC46" s="195"/>
      <c r="EYD46" s="49"/>
      <c r="EYE46" s="49"/>
      <c r="EYF46" s="49"/>
      <c r="EYG46" s="49"/>
      <c r="EYH46" s="49"/>
      <c r="EYI46" s="808">
        <f t="shared" si="1491"/>
        <v>0</v>
      </c>
      <c r="EYJ46" s="211">
        <f t="shared" si="1492"/>
        <v>0</v>
      </c>
      <c r="EYK46" s="195"/>
      <c r="EYL46" s="49"/>
      <c r="EYM46" s="49">
        <v>4935</v>
      </c>
      <c r="EYN46" s="49">
        <v>0</v>
      </c>
      <c r="EYO46" s="49">
        <v>0</v>
      </c>
      <c r="EYP46" s="49">
        <v>0</v>
      </c>
      <c r="EYQ46" s="808">
        <f t="shared" si="1493"/>
        <v>4935</v>
      </c>
      <c r="EYR46" s="211">
        <f t="shared" si="1494"/>
        <v>822.5</v>
      </c>
      <c r="EYS46" s="195">
        <v>0</v>
      </c>
      <c r="EYT46" s="49">
        <v>0</v>
      </c>
      <c r="EYU46" s="49"/>
      <c r="EYV46" s="49">
        <v>1990</v>
      </c>
      <c r="EYW46" s="49"/>
      <c r="EYX46" s="49"/>
      <c r="EYY46" s="872">
        <f t="shared" si="1495"/>
        <v>1990</v>
      </c>
      <c r="EYZ46" s="873">
        <f t="shared" si="1496"/>
        <v>331.66666666666669</v>
      </c>
      <c r="EZA46" s="195">
        <v>0</v>
      </c>
      <c r="EZB46" s="49">
        <v>0</v>
      </c>
      <c r="EZC46" s="49">
        <v>0</v>
      </c>
      <c r="EZD46" s="49"/>
      <c r="EZE46" s="49">
        <v>1677</v>
      </c>
      <c r="EZF46" s="49">
        <v>0</v>
      </c>
      <c r="EZG46" s="872">
        <f t="shared" si="1497"/>
        <v>1677</v>
      </c>
      <c r="EZH46" s="873">
        <f t="shared" si="1498"/>
        <v>279.5</v>
      </c>
      <c r="EZI46" s="195">
        <v>0</v>
      </c>
      <c r="EZJ46" s="49"/>
      <c r="EZK46" s="49"/>
      <c r="EZL46" s="49"/>
      <c r="EZM46" s="49"/>
      <c r="EZN46" s="49"/>
      <c r="EZO46" s="872">
        <f t="shared" si="1499"/>
        <v>0</v>
      </c>
      <c r="EZP46" s="873">
        <f t="shared" si="1500"/>
        <v>0</v>
      </c>
    </row>
    <row r="47" spans="1:4072" s="8" customFormat="1" ht="13.5" thickBot="1" x14ac:dyDescent="0.25">
      <c r="A47" s="21">
        <v>18</v>
      </c>
      <c r="B47" s="297" t="s">
        <v>196</v>
      </c>
      <c r="C47" s="730" t="s">
        <v>311</v>
      </c>
      <c r="D47" s="297">
        <v>25</v>
      </c>
      <c r="E47" s="24"/>
      <c r="F47" s="24">
        <v>3207</v>
      </c>
      <c r="G47" s="24"/>
      <c r="H47" s="24"/>
      <c r="I47" s="24"/>
      <c r="J47" s="360">
        <f>SUMIF(SUMPK!$B:$B,$B:$B,SUMPK!$O:$O)</f>
        <v>0</v>
      </c>
      <c r="K47" s="24">
        <f t="shared" si="1220"/>
        <v>0</v>
      </c>
      <c r="L47" s="24">
        <f t="shared" ref="L47" si="2413">F47+H47-J47</f>
        <v>3207</v>
      </c>
      <c r="M47" s="15">
        <f t="shared" ref="M47" si="2414">K47+L47</f>
        <v>3207</v>
      </c>
      <c r="N47" s="15">
        <v>0</v>
      </c>
      <c r="O47" s="276">
        <f t="shared" si="1223"/>
        <v>0</v>
      </c>
      <c r="P47" s="712"/>
      <c r="Q47" s="276">
        <f t="shared" si="1506"/>
        <v>0</v>
      </c>
      <c r="R47" s="277">
        <f t="shared" si="1507"/>
        <v>0</v>
      </c>
      <c r="S47" s="222"/>
      <c r="T47" s="276">
        <f t="shared" si="1628"/>
        <v>0</v>
      </c>
      <c r="U47" s="278"/>
      <c r="V47" s="276">
        <f t="shared" si="1227"/>
        <v>0</v>
      </c>
      <c r="W47" s="279">
        <f t="shared" si="1228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/>
      <c r="DEQ47" s="49"/>
      <c r="DER47" s="49"/>
      <c r="DES47" s="49"/>
      <c r="DET47" s="127"/>
      <c r="DEU47" s="43"/>
      <c r="DEV47" s="48"/>
      <c r="DEW47" s="49"/>
      <c r="DEX47" s="49"/>
      <c r="DEY47" s="49"/>
      <c r="DEZ47" s="49"/>
      <c r="DFA47" s="49"/>
      <c r="DFB47" s="127"/>
      <c r="DFC47" s="43"/>
      <c r="DFD47" s="48"/>
      <c r="DFE47" s="49"/>
      <c r="DFF47" s="49"/>
      <c r="DFG47" s="49"/>
      <c r="DFH47" s="49"/>
      <c r="DFI47" s="49"/>
      <c r="DFJ47" s="127"/>
      <c r="DFK47" s="43"/>
      <c r="DFL47" s="63"/>
      <c r="DFM47" s="64"/>
      <c r="DFN47" s="64"/>
      <c r="DFO47" s="64"/>
      <c r="DFP47" s="64"/>
      <c r="DFQ47" s="64"/>
      <c r="DFR47" s="64"/>
      <c r="DFS47" s="68"/>
      <c r="DFT47" s="48"/>
      <c r="DFU47" s="49"/>
      <c r="DFV47" s="49"/>
      <c r="DFW47" s="49"/>
      <c r="DFX47" s="49"/>
      <c r="DFY47" s="49"/>
      <c r="DFZ47" s="127"/>
      <c r="DGA47" s="43"/>
      <c r="DGB47" s="48"/>
      <c r="DGC47" s="49"/>
      <c r="DGD47" s="49"/>
      <c r="DGE47" s="49"/>
      <c r="DGF47" s="49"/>
      <c r="DGG47" s="49"/>
      <c r="DGH47" s="127"/>
      <c r="DGI47" s="43"/>
      <c r="DGJ47" s="48"/>
      <c r="DGK47" s="49"/>
      <c r="DGL47" s="49"/>
      <c r="DGM47" s="49"/>
      <c r="DGN47" s="49"/>
      <c r="DGO47" s="49"/>
      <c r="DGP47" s="64"/>
      <c r="DGQ47" s="68"/>
      <c r="DGR47" s="48"/>
      <c r="DGS47" s="49"/>
      <c r="DGT47" s="49"/>
      <c r="DGU47" s="49"/>
      <c r="DGV47" s="49"/>
      <c r="DGW47" s="49"/>
      <c r="DGX47" s="64"/>
      <c r="DGY47" s="68"/>
      <c r="DGZ47" s="48"/>
      <c r="DHA47" s="49"/>
      <c r="DHB47" s="49"/>
      <c r="DHC47" s="49"/>
      <c r="DHD47" s="49"/>
      <c r="DHE47" s="49"/>
      <c r="DHF47" s="64"/>
      <c r="DHG47" s="68"/>
      <c r="DHH47" s="63"/>
      <c r="DHI47" s="64"/>
      <c r="DHJ47" s="64"/>
      <c r="DHK47" s="64"/>
      <c r="DHL47" s="64"/>
      <c r="DHM47" s="64"/>
      <c r="DHN47" s="64"/>
      <c r="DHO47" s="68"/>
      <c r="DHP47" s="48"/>
      <c r="DHQ47" s="49"/>
      <c r="DHR47" s="49"/>
      <c r="DHS47" s="49"/>
      <c r="DHT47" s="49"/>
      <c r="DHU47" s="49"/>
      <c r="DHV47" s="64"/>
      <c r="DHW47" s="68"/>
      <c r="DHX47" s="48"/>
      <c r="DHY47" s="49"/>
      <c r="DHZ47" s="49"/>
      <c r="DIA47" s="49"/>
      <c r="DIB47" s="49"/>
      <c r="DIC47" s="49"/>
      <c r="DID47" s="64"/>
      <c r="DIE47" s="68"/>
      <c r="DIF47" s="48"/>
      <c r="DIG47" s="49"/>
      <c r="DIH47" s="49"/>
      <c r="DII47" s="49"/>
      <c r="DIJ47" s="49"/>
      <c r="DIK47" s="49"/>
      <c r="DIL47" s="64"/>
      <c r="DIM47" s="68"/>
      <c r="DIN47" s="48"/>
      <c r="DIO47" s="49"/>
      <c r="DIP47" s="49"/>
      <c r="DIQ47" s="49"/>
      <c r="DIR47" s="49"/>
      <c r="DIS47" s="49"/>
      <c r="DIT47" s="64"/>
      <c r="DIU47" s="68"/>
      <c r="DIV47" s="48"/>
      <c r="DIW47" s="49"/>
      <c r="DIX47" s="49"/>
      <c r="DIY47" s="49"/>
      <c r="DIZ47" s="49"/>
      <c r="DJA47" s="49"/>
      <c r="DJB47" s="64"/>
      <c r="DJC47" s="68"/>
      <c r="DJD47" s="48"/>
      <c r="DJE47" s="49"/>
      <c r="DJF47" s="49"/>
      <c r="DJG47" s="49"/>
      <c r="DJH47" s="49"/>
      <c r="DJI47" s="49"/>
      <c r="DJJ47" s="64"/>
      <c r="DJK47" s="68"/>
      <c r="DJL47" s="48"/>
      <c r="DJM47" s="49"/>
      <c r="DJN47" s="49"/>
      <c r="DJO47" s="49"/>
      <c r="DJP47" s="49"/>
      <c r="DJQ47" s="49"/>
      <c r="DJR47" s="64"/>
      <c r="DJS47" s="68"/>
      <c r="DJT47" s="48"/>
      <c r="DJU47" s="49"/>
      <c r="DJV47" s="49"/>
      <c r="DJW47" s="49"/>
      <c r="DJX47" s="49"/>
      <c r="DJY47" s="49"/>
      <c r="DJZ47" s="64"/>
      <c r="DKA47" s="68"/>
      <c r="DKB47" s="48"/>
      <c r="DKC47" s="49"/>
      <c r="DKD47" s="49"/>
      <c r="DKE47" s="49"/>
      <c r="DKF47" s="49"/>
      <c r="DKG47" s="49"/>
      <c r="DKH47" s="64"/>
      <c r="DKI47" s="68"/>
      <c r="DKJ47" s="48"/>
      <c r="DKK47" s="49"/>
      <c r="DKL47" s="49"/>
      <c r="DKM47" s="49"/>
      <c r="DKN47" s="49"/>
      <c r="DKO47" s="49"/>
      <c r="DKP47" s="64"/>
      <c r="DKQ47" s="68"/>
      <c r="DKR47" s="48"/>
      <c r="DKS47" s="49"/>
      <c r="DKT47" s="49"/>
      <c r="DKU47" s="49"/>
      <c r="DKV47" s="49"/>
      <c r="DKW47" s="49"/>
      <c r="DKX47" s="64"/>
      <c r="DKY47" s="68"/>
      <c r="DKZ47" s="48"/>
      <c r="DLA47" s="49"/>
      <c r="DLB47" s="49"/>
      <c r="DLC47" s="49"/>
      <c r="DLD47" s="49"/>
      <c r="DLE47" s="49"/>
      <c r="DLF47" s="64"/>
      <c r="DLG47" s="68"/>
      <c r="DLH47" s="48"/>
      <c r="DLI47" s="49"/>
      <c r="DLJ47" s="49"/>
      <c r="DLK47" s="49"/>
      <c r="DLL47" s="49"/>
      <c r="DLM47" s="49"/>
      <c r="DLN47" s="64"/>
      <c r="DLO47" s="68"/>
      <c r="DLP47" s="48"/>
      <c r="DLQ47" s="49"/>
      <c r="DLR47" s="49"/>
      <c r="DLS47" s="49"/>
      <c r="DLT47" s="49"/>
      <c r="DLU47" s="49"/>
      <c r="DLV47" s="64"/>
      <c r="DLW47" s="68"/>
      <c r="DLX47" s="48"/>
      <c r="DLY47" s="49"/>
      <c r="DLZ47" s="49"/>
      <c r="DMA47" s="49"/>
      <c r="DMB47" s="49"/>
      <c r="DMC47" s="49"/>
      <c r="DMD47" s="64"/>
      <c r="DME47" s="68"/>
      <c r="DMF47" s="48"/>
      <c r="DMG47" s="49"/>
      <c r="DMH47" s="49"/>
      <c r="DMI47" s="49"/>
      <c r="DMJ47" s="49"/>
      <c r="DMK47" s="49"/>
      <c r="DML47" s="64"/>
      <c r="DMM47" s="68"/>
      <c r="DMN47" s="48"/>
      <c r="DMO47" s="49"/>
      <c r="DMP47" s="49"/>
      <c r="DMQ47" s="49"/>
      <c r="DMR47" s="49"/>
      <c r="DMS47" s="49"/>
      <c r="DMT47" s="64"/>
      <c r="DMU47" s="68"/>
      <c r="DMV47" s="48"/>
      <c r="DMW47" s="49"/>
      <c r="DMX47" s="49"/>
      <c r="DMY47" s="49"/>
      <c r="DMZ47" s="49"/>
      <c r="DNA47" s="49"/>
      <c r="DNB47" s="64"/>
      <c r="DNC47" s="68"/>
      <c r="DND47" s="48"/>
      <c r="DNE47" s="49"/>
      <c r="DNF47" s="49"/>
      <c r="DNG47" s="49"/>
      <c r="DNH47" s="49"/>
      <c r="DNI47" s="49"/>
      <c r="DNJ47" s="64"/>
      <c r="DNK47" s="68"/>
      <c r="DNL47" s="48"/>
      <c r="DNM47" s="49"/>
      <c r="DNN47" s="49"/>
      <c r="DNO47" s="49"/>
      <c r="DNP47" s="49"/>
      <c r="DNQ47" s="49"/>
      <c r="DNR47" s="64"/>
      <c r="DNS47" s="68"/>
      <c r="DNT47" s="48"/>
      <c r="DNU47" s="49"/>
      <c r="DNV47" s="49"/>
      <c r="DNW47" s="49"/>
      <c r="DNX47" s="49"/>
      <c r="DNY47" s="49"/>
      <c r="DNZ47" s="64"/>
      <c r="DOA47" s="68"/>
      <c r="DOB47" s="48"/>
      <c r="DOC47" s="49"/>
      <c r="DOD47" s="49"/>
      <c r="DOE47" s="49"/>
      <c r="DOF47" s="49"/>
      <c r="DOG47" s="49"/>
      <c r="DOH47" s="64"/>
      <c r="DOI47" s="68"/>
      <c r="DOJ47" s="48"/>
      <c r="DOK47" s="49"/>
      <c r="DOL47" s="49"/>
      <c r="DOM47" s="49"/>
      <c r="DON47" s="49"/>
      <c r="DOO47" s="49"/>
      <c r="DOP47" s="64"/>
      <c r="DOQ47" s="68"/>
      <c r="DOR47" s="48"/>
      <c r="DOS47" s="49"/>
      <c r="DOT47" s="49"/>
      <c r="DOU47" s="49"/>
      <c r="DOV47" s="49"/>
      <c r="DOW47" s="49"/>
      <c r="DOX47" s="64"/>
      <c r="DOY47" s="68"/>
      <c r="DOZ47" s="48"/>
      <c r="DPA47" s="49"/>
      <c r="DPB47" s="49"/>
      <c r="DPC47" s="49"/>
      <c r="DPD47" s="49"/>
      <c r="DPE47" s="49"/>
      <c r="DPF47" s="64"/>
      <c r="DPG47" s="68"/>
      <c r="DPH47" s="48"/>
      <c r="DPI47" s="49"/>
      <c r="DPJ47" s="49"/>
      <c r="DPK47" s="49"/>
      <c r="DPL47" s="49"/>
      <c r="DPM47" s="49"/>
      <c r="DPN47" s="64"/>
      <c r="DPO47" s="68"/>
      <c r="DPP47" s="48"/>
      <c r="DPQ47" s="49"/>
      <c r="DPR47" s="49"/>
      <c r="DPS47" s="49"/>
      <c r="DPT47" s="49"/>
      <c r="DPU47" s="49"/>
      <c r="DPV47" s="491"/>
      <c r="DPW47" s="492"/>
      <c r="DPX47" s="48"/>
      <c r="DPY47" s="49"/>
      <c r="DPZ47" s="49"/>
      <c r="DQA47" s="49"/>
      <c r="DQB47" s="49"/>
      <c r="DQC47" s="49"/>
      <c r="DQD47" s="491"/>
      <c r="DQE47" s="492"/>
      <c r="DQF47" s="48"/>
      <c r="DQG47" s="49"/>
      <c r="DQH47" s="49"/>
      <c r="DQI47" s="49"/>
      <c r="DQJ47" s="49"/>
      <c r="DQK47" s="49"/>
      <c r="DQL47" s="489"/>
      <c r="DQM47" s="492"/>
      <c r="DQN47" s="48"/>
      <c r="DQO47" s="49"/>
      <c r="DQP47" s="49"/>
      <c r="DQQ47" s="49"/>
      <c r="DQR47" s="49"/>
      <c r="DQS47" s="49"/>
      <c r="DQT47" s="64"/>
      <c r="DQU47" s="68"/>
      <c r="DQV47" s="48"/>
      <c r="DQW47" s="49"/>
      <c r="DQX47" s="49"/>
      <c r="DQY47" s="49"/>
      <c r="DQZ47" s="49"/>
      <c r="DRA47" s="49"/>
      <c r="DRB47" s="491"/>
      <c r="DRC47" s="492"/>
      <c r="DRD47" s="48"/>
      <c r="DRE47" s="49"/>
      <c r="DRF47" s="49"/>
      <c r="DRG47" s="49"/>
      <c r="DRH47" s="49"/>
      <c r="DRI47" s="49"/>
      <c r="DRJ47" s="491"/>
      <c r="DRK47" s="492"/>
      <c r="DRL47" s="48"/>
      <c r="DRM47" s="49"/>
      <c r="DRN47" s="49"/>
      <c r="DRO47" s="49"/>
      <c r="DRP47" s="49"/>
      <c r="DRQ47" s="49"/>
      <c r="DRR47" s="64"/>
      <c r="DRS47" s="68"/>
      <c r="DRT47" s="48"/>
      <c r="DRU47" s="49"/>
      <c r="DRV47" s="49"/>
      <c r="DRW47" s="49"/>
      <c r="DRX47" s="49"/>
      <c r="DRY47" s="49"/>
      <c r="DRZ47" s="491"/>
      <c r="DSA47" s="68"/>
      <c r="DSB47" s="82"/>
      <c r="DSC47" s="83"/>
      <c r="DSD47" s="83"/>
      <c r="DSE47" s="83"/>
      <c r="DSF47" s="83"/>
      <c r="DSG47" s="83"/>
      <c r="DSH47" s="64"/>
      <c r="DSI47" s="68"/>
      <c r="DSJ47" s="48"/>
      <c r="DSK47" s="49"/>
      <c r="DSL47" s="49"/>
      <c r="DSM47" s="49"/>
      <c r="DSN47" s="49"/>
      <c r="DSO47" s="49"/>
      <c r="DSP47" s="64"/>
      <c r="DSQ47" s="68"/>
      <c r="DSR47" s="48"/>
      <c r="DSS47" s="49"/>
      <c r="DST47" s="49"/>
      <c r="DSU47" s="49"/>
      <c r="DSV47" s="49"/>
      <c r="DSW47" s="49"/>
      <c r="DSX47" s="64"/>
      <c r="DSY47" s="68"/>
      <c r="DSZ47" s="48"/>
      <c r="DTA47" s="49"/>
      <c r="DTB47" s="49"/>
      <c r="DTC47" s="49"/>
      <c r="DTD47" s="49"/>
      <c r="DTE47" s="49"/>
      <c r="DTF47" s="64"/>
      <c r="DTG47" s="68"/>
      <c r="DTH47" s="48"/>
      <c r="DTI47" s="49"/>
      <c r="DTJ47" s="49"/>
      <c r="DTK47" s="49"/>
      <c r="DTL47" s="49"/>
      <c r="DTM47" s="49"/>
      <c r="DTN47" s="64"/>
      <c r="DTO47" s="68"/>
      <c r="DTP47" s="48"/>
      <c r="DTQ47" s="49"/>
      <c r="DTR47" s="49"/>
      <c r="DTS47" s="49"/>
      <c r="DTT47" s="49"/>
      <c r="DTU47" s="49"/>
      <c r="DTV47" s="64"/>
      <c r="DTW47" s="68"/>
      <c r="DTX47" s="48"/>
      <c r="DTY47" s="49"/>
      <c r="DTZ47" s="49"/>
      <c r="DUA47" s="49"/>
      <c r="DUB47" s="49"/>
      <c r="DUC47" s="49"/>
      <c r="DUD47" s="64"/>
      <c r="DUE47" s="68"/>
      <c r="DUF47" s="48"/>
      <c r="DUG47" s="49"/>
      <c r="DUH47" s="49"/>
      <c r="DUI47" s="49"/>
      <c r="DUJ47" s="49"/>
      <c r="DUK47" s="49"/>
      <c r="DUL47" s="64"/>
      <c r="DUM47" s="68"/>
      <c r="DUN47" s="48"/>
      <c r="DUO47" s="49"/>
      <c r="DUP47" s="49"/>
      <c r="DUQ47" s="49"/>
      <c r="DUR47" s="49"/>
      <c r="DUS47" s="49"/>
      <c r="DUT47" s="64"/>
      <c r="DUU47" s="68"/>
      <c r="DUV47" s="48"/>
      <c r="DUW47" s="49"/>
      <c r="DUX47" s="49"/>
      <c r="DUY47" s="49"/>
      <c r="DUZ47" s="49"/>
      <c r="DVA47" s="49"/>
      <c r="DVB47" s="64"/>
      <c r="DVC47" s="68"/>
      <c r="DVD47" s="48"/>
      <c r="DVE47" s="49"/>
      <c r="DVF47" s="49"/>
      <c r="DVG47" s="49"/>
      <c r="DVH47" s="49"/>
      <c r="DVI47" s="49"/>
      <c r="DVJ47" s="64"/>
      <c r="DVK47" s="68"/>
      <c r="DVL47" s="48"/>
      <c r="DVM47" s="49"/>
      <c r="DVN47" s="49"/>
      <c r="DVO47" s="49"/>
      <c r="DVP47" s="49"/>
      <c r="DVQ47" s="49"/>
      <c r="DVR47" s="64"/>
      <c r="DVS47" s="68"/>
      <c r="DVT47" s="48"/>
      <c r="DVU47" s="49"/>
      <c r="DVV47" s="49"/>
      <c r="DVW47" s="49"/>
      <c r="DVX47" s="49"/>
      <c r="DVY47" s="49"/>
      <c r="DVZ47" s="64"/>
      <c r="DWA47" s="68"/>
      <c r="DWB47" s="48"/>
      <c r="DWC47" s="49"/>
      <c r="DWD47" s="49"/>
      <c r="DWE47" s="49"/>
      <c r="DWF47" s="49"/>
      <c r="DWG47" s="49"/>
      <c r="DWH47" s="64"/>
      <c r="DWI47" s="68"/>
      <c r="DWJ47" s="48"/>
      <c r="DWK47" s="49"/>
      <c r="DWL47" s="49"/>
      <c r="DWM47" s="49"/>
      <c r="DWN47" s="49"/>
      <c r="DWO47" s="49"/>
      <c r="DWP47" s="64"/>
      <c r="DWQ47" s="68"/>
      <c r="DWR47" s="48"/>
      <c r="DWS47" s="49"/>
      <c r="DWT47" s="49"/>
      <c r="DWU47" s="49"/>
      <c r="DWV47" s="49"/>
      <c r="DWW47" s="49"/>
      <c r="DWX47" s="64"/>
      <c r="DWY47" s="68"/>
      <c r="DWZ47" s="48"/>
      <c r="DXA47" s="49"/>
      <c r="DXB47" s="49"/>
      <c r="DXC47" s="49"/>
      <c r="DXD47" s="49"/>
      <c r="DXE47" s="49"/>
      <c r="DXF47" s="64"/>
      <c r="DXG47" s="68"/>
      <c r="DXH47" s="48"/>
      <c r="DXI47" s="49"/>
      <c r="DXJ47" s="49"/>
      <c r="DXK47" s="49"/>
      <c r="DXL47" s="49"/>
      <c r="DXM47" s="49"/>
      <c r="DXN47" s="64"/>
      <c r="DXO47" s="68"/>
      <c r="DXP47" s="48"/>
      <c r="DXQ47" s="49"/>
      <c r="DXR47" s="49"/>
      <c r="DXS47" s="49"/>
      <c r="DXT47" s="49"/>
      <c r="DXU47" s="49"/>
      <c r="DXV47" s="64"/>
      <c r="DXW47" s="68"/>
      <c r="DXX47" s="48"/>
      <c r="DXY47" s="49"/>
      <c r="DXZ47" s="49"/>
      <c r="DYA47" s="49"/>
      <c r="DYB47" s="49"/>
      <c r="DYC47" s="49"/>
      <c r="DYD47" s="64"/>
      <c r="DYE47" s="68"/>
      <c r="DYF47" s="48"/>
      <c r="DYG47" s="49"/>
      <c r="DYH47" s="49"/>
      <c r="DYI47" s="49"/>
      <c r="DYJ47" s="49"/>
      <c r="DYK47" s="49"/>
      <c r="DYL47" s="64"/>
      <c r="DYM47" s="68"/>
      <c r="DYN47" s="48"/>
      <c r="DYO47" s="49"/>
      <c r="DYP47" s="49"/>
      <c r="DYQ47" s="49"/>
      <c r="DYR47" s="49"/>
      <c r="DYS47" s="49"/>
      <c r="DYT47" s="64"/>
      <c r="DYU47" s="68"/>
      <c r="DYV47" s="48"/>
      <c r="DYW47" s="49"/>
      <c r="DYX47" s="49"/>
      <c r="DYY47" s="49"/>
      <c r="DYZ47" s="49"/>
      <c r="DZA47" s="49"/>
      <c r="DZB47" s="64"/>
      <c r="DZC47" s="68"/>
      <c r="DZD47" s="48"/>
      <c r="DZE47" s="49"/>
      <c r="DZF47" s="49"/>
      <c r="DZG47" s="49"/>
      <c r="DZH47" s="49"/>
      <c r="DZI47" s="49"/>
      <c r="DZJ47" s="64"/>
      <c r="DZK47" s="68"/>
      <c r="DZL47" s="48"/>
      <c r="DZM47" s="49"/>
      <c r="DZN47" s="49"/>
      <c r="DZO47" s="49"/>
      <c r="DZP47" s="49"/>
      <c r="DZQ47" s="49"/>
      <c r="DZR47" s="64"/>
      <c r="DZS47" s="68"/>
      <c r="DZT47" s="48"/>
      <c r="DZU47" s="49"/>
      <c r="DZV47" s="49"/>
      <c r="DZW47" s="49"/>
      <c r="DZX47" s="49"/>
      <c r="DZY47" s="49"/>
      <c r="DZZ47" s="64"/>
      <c r="EAA47" s="68"/>
      <c r="EAB47" s="48"/>
      <c r="EAC47" s="49"/>
      <c r="EAD47" s="49"/>
      <c r="EAE47" s="49"/>
      <c r="EAF47" s="49"/>
      <c r="EAG47" s="49"/>
      <c r="EAH47" s="64"/>
      <c r="EAI47" s="68"/>
      <c r="EAJ47" s="48"/>
      <c r="EAK47" s="49"/>
      <c r="EAL47" s="49"/>
      <c r="EAM47" s="49"/>
      <c r="EAN47" s="49"/>
      <c r="EAO47" s="49"/>
      <c r="EAP47" s="64"/>
      <c r="EAQ47" s="68"/>
      <c r="EAR47" s="48"/>
      <c r="EAS47" s="49"/>
      <c r="EAT47" s="49"/>
      <c r="EAU47" s="49"/>
      <c r="EAV47" s="49"/>
      <c r="EAW47" s="49"/>
      <c r="EAX47" s="64"/>
      <c r="EAY47" s="68"/>
      <c r="EAZ47" s="48"/>
      <c r="EBA47" s="49"/>
      <c r="EBB47" s="49"/>
      <c r="EBC47" s="49"/>
      <c r="EBD47" s="49"/>
      <c r="EBE47" s="49"/>
      <c r="EBF47" s="64"/>
      <c r="EBG47" s="68"/>
      <c r="EBH47" s="48"/>
      <c r="EBI47" s="49"/>
      <c r="EBJ47" s="49"/>
      <c r="EBK47" s="49"/>
      <c r="EBL47" s="49"/>
      <c r="EBM47" s="49"/>
      <c r="EBN47" s="64"/>
      <c r="EBO47" s="68"/>
      <c r="EBP47" s="48"/>
      <c r="EBQ47" s="49"/>
      <c r="EBR47" s="49"/>
      <c r="EBS47" s="49"/>
      <c r="EBT47" s="49"/>
      <c r="EBU47" s="49"/>
      <c r="EBV47" s="64"/>
      <c r="EBW47" s="68"/>
      <c r="EBX47" s="48"/>
      <c r="EBY47" s="49"/>
      <c r="EBZ47" s="49"/>
      <c r="ECA47" s="49"/>
      <c r="ECB47" s="49"/>
      <c r="ECC47" s="49"/>
      <c r="ECD47" s="64"/>
      <c r="ECE47" s="68"/>
      <c r="ECF47" s="48"/>
      <c r="ECG47" s="49"/>
      <c r="ECH47" s="49"/>
      <c r="ECI47" s="49"/>
      <c r="ECJ47" s="49"/>
      <c r="ECK47" s="49"/>
      <c r="ECL47" s="64"/>
      <c r="ECM47" s="68"/>
      <c r="ECN47" s="48"/>
      <c r="ECO47" s="49"/>
      <c r="ECP47" s="49"/>
      <c r="ECQ47" s="49"/>
      <c r="ECR47" s="49"/>
      <c r="ECS47" s="49"/>
      <c r="ECT47" s="64"/>
      <c r="ECU47" s="68"/>
      <c r="ECV47" s="48"/>
      <c r="ECW47" s="49"/>
      <c r="ECX47" s="49"/>
      <c r="ECY47" s="49"/>
      <c r="ECZ47" s="49"/>
      <c r="EDA47" s="49"/>
      <c r="EDB47" s="64"/>
      <c r="EDC47" s="68"/>
      <c r="EDD47" s="48"/>
      <c r="EDE47" s="49"/>
      <c r="EDF47" s="49"/>
      <c r="EDG47" s="49"/>
      <c r="EDH47" s="49"/>
      <c r="EDI47" s="49"/>
      <c r="EDJ47" s="64"/>
      <c r="EDK47" s="68"/>
      <c r="EDL47" s="48"/>
      <c r="EDM47" s="49"/>
      <c r="EDN47" s="49"/>
      <c r="EDO47" s="49"/>
      <c r="EDP47" s="49"/>
      <c r="EDQ47" s="49"/>
      <c r="EDR47" s="64"/>
      <c r="EDS47" s="68"/>
      <c r="EDT47" s="48"/>
      <c r="EDU47" s="49"/>
      <c r="EDV47" s="49"/>
      <c r="EDW47" s="49"/>
      <c r="EDX47" s="49"/>
      <c r="EDY47" s="49"/>
      <c r="EDZ47" s="64"/>
      <c r="EEA47" s="68"/>
      <c r="EEB47" s="48"/>
      <c r="EEC47" s="49"/>
      <c r="EED47" s="49"/>
      <c r="EEE47" s="49"/>
      <c r="EEF47" s="49"/>
      <c r="EEG47" s="49"/>
      <c r="EEH47" s="64"/>
      <c r="EEI47" s="68"/>
      <c r="EEJ47" s="48"/>
      <c r="EEK47" s="49"/>
      <c r="EEL47" s="49"/>
      <c r="EEM47" s="49"/>
      <c r="EEN47" s="49"/>
      <c r="EEO47" s="49"/>
      <c r="EEP47" s="64"/>
      <c r="EEQ47" s="68"/>
      <c r="EER47" s="48"/>
      <c r="EES47" s="49"/>
      <c r="EET47" s="49"/>
      <c r="EEU47" s="49"/>
      <c r="EEV47" s="49"/>
      <c r="EEW47" s="49"/>
      <c r="EEX47" s="64"/>
      <c r="EEY47" s="68"/>
      <c r="EEZ47" s="48"/>
      <c r="EFA47" s="49"/>
      <c r="EFB47" s="49"/>
      <c r="EFC47" s="49"/>
      <c r="EFD47" s="49"/>
      <c r="EFE47" s="49"/>
      <c r="EFF47" s="64"/>
      <c r="EFG47" s="68"/>
      <c r="EFH47" s="48"/>
      <c r="EFI47" s="49"/>
      <c r="EFJ47" s="49"/>
      <c r="EFK47" s="49"/>
      <c r="EFL47" s="49"/>
      <c r="EFM47" s="49"/>
      <c r="EFN47" s="64"/>
      <c r="EFO47" s="68"/>
      <c r="EFP47" s="48"/>
      <c r="EFQ47" s="49"/>
      <c r="EFR47" s="49"/>
      <c r="EFS47" s="49"/>
      <c r="EFT47" s="49"/>
      <c r="EFU47" s="49">
        <v>1878</v>
      </c>
      <c r="EFV47" s="64">
        <f t="shared" si="1372"/>
        <v>1878</v>
      </c>
      <c r="EFW47" s="68">
        <f t="shared" si="1373"/>
        <v>313</v>
      </c>
      <c r="EFX47" s="48">
        <v>0</v>
      </c>
      <c r="EFY47" s="49"/>
      <c r="EFZ47" s="49"/>
      <c r="EGA47" s="49">
        <v>0</v>
      </c>
      <c r="EGB47" s="49">
        <v>0</v>
      </c>
      <c r="EGC47" s="49">
        <v>1598</v>
      </c>
      <c r="EGD47" s="64">
        <f t="shared" si="1374"/>
        <v>1598</v>
      </c>
      <c r="EGE47" s="68">
        <f t="shared" si="1375"/>
        <v>266.33333333333331</v>
      </c>
      <c r="EGF47" s="48">
        <v>0</v>
      </c>
      <c r="EGG47" s="49"/>
      <c r="EGH47" s="49"/>
      <c r="EGI47" s="49"/>
      <c r="EGJ47" s="49"/>
      <c r="EGK47" s="49">
        <v>0</v>
      </c>
      <c r="EGL47" s="64">
        <f t="shared" si="1376"/>
        <v>0</v>
      </c>
      <c r="EGM47" s="68">
        <f t="shared" si="1377"/>
        <v>0</v>
      </c>
      <c r="EGN47" s="48">
        <v>0</v>
      </c>
      <c r="EGO47" s="49"/>
      <c r="EGP47" s="49"/>
      <c r="EGQ47" s="49">
        <v>0</v>
      </c>
      <c r="EGR47" s="49"/>
      <c r="EGS47" s="49"/>
      <c r="EGT47" s="64">
        <f t="shared" si="1378"/>
        <v>0</v>
      </c>
      <c r="EGU47" s="68">
        <f t="shared" si="1379"/>
        <v>0</v>
      </c>
      <c r="EGV47" s="48"/>
      <c r="EGW47" s="49"/>
      <c r="EGX47" s="49"/>
      <c r="EGY47" s="49">
        <v>0</v>
      </c>
      <c r="EGZ47" s="49">
        <v>0</v>
      </c>
      <c r="EHA47" s="49"/>
      <c r="EHB47" s="64">
        <f t="shared" si="1380"/>
        <v>0</v>
      </c>
      <c r="EHC47" s="68">
        <f t="shared" si="1381"/>
        <v>0</v>
      </c>
      <c r="EHD47" s="48"/>
      <c r="EHE47" s="49"/>
      <c r="EHF47" s="49"/>
      <c r="EHG47" s="49">
        <v>1957</v>
      </c>
      <c r="EHH47" s="49"/>
      <c r="EHI47" s="49"/>
      <c r="EHJ47" s="64">
        <f t="shared" si="1382"/>
        <v>1957</v>
      </c>
      <c r="EHK47" s="68">
        <f t="shared" si="1383"/>
        <v>326.16666666666669</v>
      </c>
      <c r="EHL47" s="48"/>
      <c r="EHM47" s="49">
        <v>1433</v>
      </c>
      <c r="EHN47" s="49"/>
      <c r="EHO47" s="49">
        <v>0</v>
      </c>
      <c r="EHP47" s="49"/>
      <c r="EHQ47" s="49">
        <v>0</v>
      </c>
      <c r="EHR47" s="64">
        <f t="shared" si="1384"/>
        <v>1433</v>
      </c>
      <c r="EHS47" s="68">
        <f t="shared" si="1385"/>
        <v>238.83333333333334</v>
      </c>
      <c r="EHT47" s="48">
        <v>2019</v>
      </c>
      <c r="EHU47" s="49"/>
      <c r="EHV47" s="49"/>
      <c r="EHW47" s="49"/>
      <c r="EHX47" s="49"/>
      <c r="EHY47" s="49"/>
      <c r="EHZ47" s="64">
        <f t="shared" si="1386"/>
        <v>2019</v>
      </c>
      <c r="EIA47" s="68">
        <f t="shared" si="1387"/>
        <v>336.5</v>
      </c>
      <c r="EIB47" s="48"/>
      <c r="EIC47" s="49"/>
      <c r="EID47" s="49"/>
      <c r="EIE47" s="49"/>
      <c r="EIF47" s="49"/>
      <c r="EIG47" s="49">
        <v>1584</v>
      </c>
      <c r="EIH47" s="64">
        <f t="shared" si="1388"/>
        <v>1584</v>
      </c>
      <c r="EII47" s="68">
        <f t="shared" si="1389"/>
        <v>264</v>
      </c>
      <c r="EIJ47" s="48"/>
      <c r="EIK47" s="49">
        <v>1125</v>
      </c>
      <c r="EIL47" s="49"/>
      <c r="EIM47" s="49"/>
      <c r="EIN47" s="49"/>
      <c r="EIO47" s="49">
        <v>2368</v>
      </c>
      <c r="EIP47" s="64">
        <f t="shared" si="1390"/>
        <v>3493</v>
      </c>
      <c r="EIQ47" s="68">
        <f t="shared" si="1391"/>
        <v>582.16666666666663</v>
      </c>
      <c r="EIR47" s="48">
        <v>0</v>
      </c>
      <c r="EIS47" s="49">
        <v>122</v>
      </c>
      <c r="EIT47" s="49"/>
      <c r="EIU47" s="49"/>
      <c r="EIV47" s="49"/>
      <c r="EIW47" s="49"/>
      <c r="EIX47" s="64">
        <f t="shared" si="1392"/>
        <v>122</v>
      </c>
      <c r="EIY47" s="68">
        <f t="shared" si="1393"/>
        <v>20.333333333333332</v>
      </c>
      <c r="EIZ47" s="48"/>
      <c r="EJA47" s="49"/>
      <c r="EJB47" s="49"/>
      <c r="EJC47" s="49"/>
      <c r="EJD47" s="49"/>
      <c r="EJE47" s="49"/>
      <c r="EJF47" s="64">
        <f t="shared" si="1394"/>
        <v>0</v>
      </c>
      <c r="EJG47" s="68">
        <f t="shared" si="1395"/>
        <v>0</v>
      </c>
      <c r="EJH47" s="48"/>
      <c r="EJI47" s="49">
        <v>960</v>
      </c>
      <c r="EJJ47" s="49"/>
      <c r="EJK47" s="49"/>
      <c r="EJL47" s="49"/>
      <c r="EJM47" s="49"/>
      <c r="EJN47" s="64">
        <f t="shared" si="1396"/>
        <v>960</v>
      </c>
      <c r="EJO47" s="68">
        <f t="shared" si="1397"/>
        <v>160</v>
      </c>
      <c r="EJP47" s="48"/>
      <c r="EJQ47" s="49"/>
      <c r="EJR47" s="49"/>
      <c r="EJS47" s="49"/>
      <c r="EJT47" s="49"/>
      <c r="EJU47" s="49">
        <v>800</v>
      </c>
      <c r="EJV47" s="64">
        <f t="shared" si="1398"/>
        <v>800</v>
      </c>
      <c r="EJW47" s="68">
        <f t="shared" si="1399"/>
        <v>133.33333333333334</v>
      </c>
      <c r="EJX47" s="48"/>
      <c r="EJY47" s="49">
        <v>3039</v>
      </c>
      <c r="EJZ47" s="49">
        <v>247</v>
      </c>
      <c r="EKA47" s="49"/>
      <c r="EKB47" s="49">
        <v>0</v>
      </c>
      <c r="EKC47" s="49"/>
      <c r="EKD47" s="64">
        <f t="shared" si="1400"/>
        <v>3286</v>
      </c>
      <c r="EKE47" s="68">
        <f t="shared" si="1401"/>
        <v>547.66666666666663</v>
      </c>
      <c r="EKF47" s="48"/>
      <c r="EKG47" s="49">
        <v>2024</v>
      </c>
      <c r="EKH47" s="49">
        <v>0</v>
      </c>
      <c r="EKI47" s="49">
        <v>479</v>
      </c>
      <c r="EKJ47" s="49">
        <v>0</v>
      </c>
      <c r="EKK47" s="49"/>
      <c r="EKL47" s="64">
        <f t="shared" si="1402"/>
        <v>2503</v>
      </c>
      <c r="EKM47" s="68">
        <f t="shared" si="1403"/>
        <v>417.16666666666669</v>
      </c>
      <c r="EKN47" s="48">
        <v>0</v>
      </c>
      <c r="EKO47" s="49"/>
      <c r="EKP47" s="49"/>
      <c r="EKQ47" s="49"/>
      <c r="EKR47" s="49">
        <v>0</v>
      </c>
      <c r="EKS47" s="49"/>
      <c r="EKT47" s="64">
        <f t="shared" si="1404"/>
        <v>0</v>
      </c>
      <c r="EKU47" s="184">
        <f t="shared" si="1405"/>
        <v>0</v>
      </c>
      <c r="EKV47" s="665"/>
      <c r="EKW47" s="195"/>
      <c r="EKX47" s="49"/>
      <c r="EKY47" s="49"/>
      <c r="EKZ47" s="49">
        <v>1776</v>
      </c>
      <c r="ELA47" s="49"/>
      <c r="ELB47" s="49">
        <v>0</v>
      </c>
      <c r="ELC47" s="64">
        <f t="shared" si="1406"/>
        <v>1776</v>
      </c>
      <c r="ELD47" s="211">
        <f t="shared" si="1407"/>
        <v>296</v>
      </c>
      <c r="ELE47" s="195">
        <v>0</v>
      </c>
      <c r="ELF47" s="49">
        <v>0</v>
      </c>
      <c r="ELG47" s="49">
        <v>0</v>
      </c>
      <c r="ELH47" s="49">
        <v>2342</v>
      </c>
      <c r="ELI47" s="49">
        <v>0</v>
      </c>
      <c r="ELJ47" s="49">
        <v>0</v>
      </c>
      <c r="ELK47" s="64">
        <f t="shared" si="1408"/>
        <v>2342</v>
      </c>
      <c r="ELL47" s="211">
        <f t="shared" si="1409"/>
        <v>390.33333333333331</v>
      </c>
      <c r="ELM47" s="195"/>
      <c r="ELN47" s="49"/>
      <c r="ELO47" s="49">
        <v>0</v>
      </c>
      <c r="ELP47" s="49">
        <v>0</v>
      </c>
      <c r="ELQ47" s="49">
        <v>0</v>
      </c>
      <c r="ELR47" s="49">
        <v>0</v>
      </c>
      <c r="ELS47" s="64">
        <f t="shared" si="1410"/>
        <v>0</v>
      </c>
      <c r="ELT47" s="211">
        <f t="shared" si="1411"/>
        <v>0</v>
      </c>
      <c r="ELU47" s="195"/>
      <c r="ELV47" s="49"/>
      <c r="ELW47" s="49"/>
      <c r="ELX47" s="49"/>
      <c r="ELY47" s="49">
        <v>0</v>
      </c>
      <c r="ELZ47" s="49"/>
      <c r="EMA47" s="64">
        <f t="shared" si="1412"/>
        <v>0</v>
      </c>
      <c r="EMB47" s="211">
        <f t="shared" si="1413"/>
        <v>0</v>
      </c>
      <c r="EMC47" s="195"/>
      <c r="EMD47" s="49"/>
      <c r="EME47" s="49"/>
      <c r="EMF47" s="49"/>
      <c r="EMG47" s="49"/>
      <c r="EMH47" s="49"/>
      <c r="EMI47" s="64">
        <f t="shared" si="1414"/>
        <v>0</v>
      </c>
      <c r="EMJ47" s="211">
        <f t="shared" si="1415"/>
        <v>0</v>
      </c>
      <c r="EMK47" s="195"/>
      <c r="EML47" s="49"/>
      <c r="EMM47" s="49"/>
      <c r="EMN47" s="49"/>
      <c r="EMO47" s="49"/>
      <c r="EMP47" s="49">
        <v>0</v>
      </c>
      <c r="EMQ47" s="64">
        <f t="shared" si="1416"/>
        <v>0</v>
      </c>
      <c r="EMR47" s="211">
        <f t="shared" si="1417"/>
        <v>0</v>
      </c>
      <c r="EMS47" s="195">
        <v>1306</v>
      </c>
      <c r="EMT47" s="49"/>
      <c r="EMU47" s="49">
        <v>0</v>
      </c>
      <c r="EMV47" s="49">
        <v>0</v>
      </c>
      <c r="EMW47" s="49">
        <v>0</v>
      </c>
      <c r="EMX47" s="49">
        <v>0</v>
      </c>
      <c r="EMY47" s="64">
        <f t="shared" si="1418"/>
        <v>1306</v>
      </c>
      <c r="EMZ47" s="211">
        <f t="shared" si="1419"/>
        <v>217.66666666666666</v>
      </c>
      <c r="ENA47" s="195">
        <v>1038</v>
      </c>
      <c r="ENB47" s="49"/>
      <c r="ENC47" s="49"/>
      <c r="END47" s="49"/>
      <c r="ENE47" s="49">
        <v>0</v>
      </c>
      <c r="ENF47" s="49"/>
      <c r="ENG47" s="64">
        <f t="shared" si="1420"/>
        <v>1038</v>
      </c>
      <c r="ENH47" s="211">
        <f t="shared" si="1421"/>
        <v>173</v>
      </c>
      <c r="ENI47" s="195"/>
      <c r="ENJ47" s="49"/>
      <c r="ENK47" s="49"/>
      <c r="ENL47" s="49"/>
      <c r="ENM47" s="49"/>
      <c r="ENN47" s="49"/>
      <c r="ENO47" s="64">
        <f t="shared" si="1422"/>
        <v>0</v>
      </c>
      <c r="ENP47" s="211">
        <f t="shared" si="1423"/>
        <v>0</v>
      </c>
      <c r="ENQ47" s="195">
        <v>184</v>
      </c>
      <c r="ENR47" s="49"/>
      <c r="ENS47" s="49">
        <v>1203</v>
      </c>
      <c r="ENT47" s="49"/>
      <c r="ENU47" s="49"/>
      <c r="ENV47" s="49"/>
      <c r="ENW47" s="64">
        <f t="shared" si="1424"/>
        <v>1387</v>
      </c>
      <c r="ENX47" s="211">
        <f t="shared" si="1425"/>
        <v>231.16666666666666</v>
      </c>
      <c r="ENY47" s="195">
        <v>218</v>
      </c>
      <c r="ENZ47" s="49"/>
      <c r="EOA47" s="49">
        <v>1980</v>
      </c>
      <c r="EOB47" s="49"/>
      <c r="EOC47" s="49"/>
      <c r="EOD47" s="49"/>
      <c r="EOE47" s="64">
        <f t="shared" si="1426"/>
        <v>2198</v>
      </c>
      <c r="EOF47" s="211">
        <f t="shared" si="1427"/>
        <v>366.33333333333331</v>
      </c>
      <c r="EOG47" s="1"/>
      <c r="EOH47" s="195"/>
      <c r="EOI47" s="49"/>
      <c r="EOJ47" s="49"/>
      <c r="EOK47" s="49"/>
      <c r="EOL47" s="49"/>
      <c r="EOM47" s="49"/>
      <c r="EON47" s="184">
        <f t="shared" si="1428"/>
        <v>0</v>
      </c>
      <c r="EOO47" s="244"/>
      <c r="EOP47" s="49"/>
      <c r="EOQ47" s="49"/>
      <c r="EOR47" s="49"/>
      <c r="EOS47" s="49"/>
      <c r="EOT47" s="49">
        <v>999</v>
      </c>
      <c r="EOU47" s="64">
        <f t="shared" si="1429"/>
        <v>999</v>
      </c>
      <c r="EOV47" s="211">
        <f t="shared" si="1430"/>
        <v>166.5</v>
      </c>
      <c r="EOW47" s="195">
        <v>200</v>
      </c>
      <c r="EOX47" s="49"/>
      <c r="EOY47" s="49"/>
      <c r="EOZ47" s="49"/>
      <c r="EPA47" s="49"/>
      <c r="EPB47" s="49">
        <v>766</v>
      </c>
      <c r="EPC47" s="64">
        <f t="shared" si="1431"/>
        <v>966</v>
      </c>
      <c r="EPD47" s="211">
        <f t="shared" si="1432"/>
        <v>161</v>
      </c>
      <c r="EPE47" s="195"/>
      <c r="EPF47" s="49"/>
      <c r="EPG47" s="49">
        <v>868</v>
      </c>
      <c r="EPH47" s="49">
        <v>0</v>
      </c>
      <c r="EPI47" s="49"/>
      <c r="EPJ47" s="49"/>
      <c r="EPK47" s="64">
        <f t="shared" si="1433"/>
        <v>868</v>
      </c>
      <c r="EPL47" s="211">
        <f t="shared" si="1434"/>
        <v>144.66666666666666</v>
      </c>
      <c r="EPM47" s="195"/>
      <c r="EPN47" s="49"/>
      <c r="EPO47" s="49"/>
      <c r="EPP47" s="49"/>
      <c r="EPQ47" s="49">
        <v>1419</v>
      </c>
      <c r="EPR47" s="49">
        <v>822</v>
      </c>
      <c r="EPS47" s="64">
        <f t="shared" si="1435"/>
        <v>2241</v>
      </c>
      <c r="EPT47" s="211">
        <f t="shared" si="1436"/>
        <v>373.5</v>
      </c>
      <c r="EPU47" s="195"/>
      <c r="EPV47" s="49"/>
      <c r="EPW47" s="49"/>
      <c r="EPX47" s="49"/>
      <c r="EPY47" s="49"/>
      <c r="EPZ47" s="49"/>
      <c r="EQA47" s="64">
        <f t="shared" si="1437"/>
        <v>0</v>
      </c>
      <c r="EQB47" s="211">
        <f t="shared" si="1438"/>
        <v>0</v>
      </c>
      <c r="EQC47" s="195"/>
      <c r="EQD47" s="49"/>
      <c r="EQE47" s="49"/>
      <c r="EQF47" s="49"/>
      <c r="EQG47" s="49"/>
      <c r="EQH47" s="49"/>
      <c r="EQI47" s="64">
        <f t="shared" si="1439"/>
        <v>0</v>
      </c>
      <c r="EQJ47" s="211">
        <f t="shared" si="1440"/>
        <v>0</v>
      </c>
      <c r="EQK47" s="195"/>
      <c r="EQL47" s="49"/>
      <c r="EQM47" s="49"/>
      <c r="EQN47" s="49"/>
      <c r="EQO47" s="49"/>
      <c r="EQP47" s="49"/>
      <c r="EQQ47" s="64">
        <f t="shared" si="1441"/>
        <v>0</v>
      </c>
      <c r="EQR47" s="211">
        <f t="shared" si="1442"/>
        <v>0</v>
      </c>
      <c r="EQS47" s="195"/>
      <c r="EQT47" s="49"/>
      <c r="EQU47" s="49"/>
      <c r="EQV47" s="49">
        <v>108</v>
      </c>
      <c r="EQW47" s="49"/>
      <c r="EQX47" s="49"/>
      <c r="EQY47" s="64">
        <f t="shared" si="1443"/>
        <v>108</v>
      </c>
      <c r="EQZ47" s="211">
        <f t="shared" si="1444"/>
        <v>18</v>
      </c>
      <c r="ERA47" s="195"/>
      <c r="ERB47" s="49"/>
      <c r="ERC47" s="49"/>
      <c r="ERD47" s="49"/>
      <c r="ERE47" s="49"/>
      <c r="ERF47" s="49"/>
      <c r="ERG47" s="64">
        <f t="shared" si="1445"/>
        <v>0</v>
      </c>
      <c r="ERH47" s="211">
        <f t="shared" si="1446"/>
        <v>0</v>
      </c>
      <c r="ERI47" s="195"/>
      <c r="ERJ47" s="49"/>
      <c r="ERK47" s="49"/>
      <c r="ERL47" s="49"/>
      <c r="ERM47" s="49">
        <v>1642</v>
      </c>
      <c r="ERN47" s="49"/>
      <c r="ERO47" s="64">
        <f t="shared" si="1447"/>
        <v>1642</v>
      </c>
      <c r="ERP47" s="211">
        <f t="shared" si="1448"/>
        <v>273.66666666666669</v>
      </c>
      <c r="ERQ47" s="195"/>
      <c r="ERR47" s="49">
        <v>0</v>
      </c>
      <c r="ERS47" s="49"/>
      <c r="ERT47" s="49">
        <v>0</v>
      </c>
      <c r="ERU47" s="49">
        <v>0</v>
      </c>
      <c r="ERV47" s="49">
        <v>0</v>
      </c>
      <c r="ERW47" s="64">
        <f t="shared" si="1449"/>
        <v>0</v>
      </c>
      <c r="ERX47" s="211">
        <f t="shared" si="1450"/>
        <v>0</v>
      </c>
      <c r="ERY47" s="195">
        <v>2729</v>
      </c>
      <c r="ERZ47" s="49">
        <v>358</v>
      </c>
      <c r="ESA47" s="49"/>
      <c r="ESB47" s="49"/>
      <c r="ESC47" s="49">
        <v>0</v>
      </c>
      <c r="ESD47" s="49"/>
      <c r="ESE47" s="64">
        <f t="shared" si="1451"/>
        <v>3087</v>
      </c>
      <c r="ESF47" s="211">
        <f t="shared" si="1452"/>
        <v>514.5</v>
      </c>
      <c r="ESG47" s="195"/>
      <c r="ESH47" s="49"/>
      <c r="ESI47" s="49">
        <v>1239</v>
      </c>
      <c r="ESJ47" s="49">
        <v>0</v>
      </c>
      <c r="ESK47" s="49"/>
      <c r="ESL47" s="49">
        <v>0</v>
      </c>
      <c r="ESM47" s="64">
        <f t="shared" si="1453"/>
        <v>1239</v>
      </c>
      <c r="ESN47" s="211">
        <f t="shared" si="1454"/>
        <v>206.5</v>
      </c>
      <c r="ESO47" s="458">
        <v>0</v>
      </c>
      <c r="ESP47" s="83"/>
      <c r="ESQ47" s="83"/>
      <c r="ESR47" s="83"/>
      <c r="ESS47" s="83"/>
      <c r="EST47" s="83"/>
      <c r="ESU47" s="64">
        <f t="shared" si="1455"/>
        <v>0</v>
      </c>
      <c r="ESV47" s="211">
        <f t="shared" si="1456"/>
        <v>0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>
        <v>984</v>
      </c>
      <c r="ETC47" s="808">
        <f t="shared" si="1457"/>
        <v>984</v>
      </c>
      <c r="ETD47" s="211">
        <f t="shared" si="1458"/>
        <v>164</v>
      </c>
      <c r="ETE47" s="195"/>
      <c r="ETF47" s="49">
        <v>700</v>
      </c>
      <c r="ETG47" s="49">
        <v>0</v>
      </c>
      <c r="ETH47" s="49">
        <v>0</v>
      </c>
      <c r="ETI47" s="49">
        <v>2579</v>
      </c>
      <c r="ETJ47" s="49"/>
      <c r="ETK47" s="808">
        <f t="shared" si="1459"/>
        <v>3279</v>
      </c>
      <c r="ETL47" s="211">
        <f t="shared" si="1460"/>
        <v>546.5</v>
      </c>
      <c r="ETM47" s="814">
        <v>0</v>
      </c>
      <c r="ETN47" s="815">
        <v>0</v>
      </c>
      <c r="ETO47" s="815">
        <v>0</v>
      </c>
      <c r="ETP47" s="815">
        <v>0</v>
      </c>
      <c r="ETQ47" s="815">
        <v>1930</v>
      </c>
      <c r="ETR47" s="815">
        <v>0</v>
      </c>
      <c r="ETS47" s="808">
        <f t="shared" si="1461"/>
        <v>1930</v>
      </c>
      <c r="ETT47" s="211">
        <f t="shared" si="1462"/>
        <v>321.66666666666669</v>
      </c>
      <c r="ETU47" s="458"/>
      <c r="ETV47" s="83"/>
      <c r="ETW47" s="83"/>
      <c r="ETX47" s="83">
        <v>0</v>
      </c>
      <c r="ETY47" s="83">
        <v>0</v>
      </c>
      <c r="ETZ47" s="83">
        <v>0</v>
      </c>
      <c r="EUA47" s="808">
        <f t="shared" si="1463"/>
        <v>0</v>
      </c>
      <c r="EUB47" s="211">
        <f t="shared" si="1464"/>
        <v>0</v>
      </c>
      <c r="EUC47" s="458"/>
      <c r="EUD47" s="83"/>
      <c r="EUE47" s="83"/>
      <c r="EUF47" s="83"/>
      <c r="EUG47" s="83"/>
      <c r="EUH47" s="83"/>
      <c r="EUI47" s="808">
        <f t="shared" si="1465"/>
        <v>0</v>
      </c>
      <c r="EUJ47" s="211">
        <f t="shared" si="1466"/>
        <v>0</v>
      </c>
      <c r="EUK47" s="195"/>
      <c r="EUL47" s="49"/>
      <c r="EUM47" s="49"/>
      <c r="EUN47" s="49">
        <v>0</v>
      </c>
      <c r="EUO47" s="49">
        <v>0</v>
      </c>
      <c r="EUP47" s="49"/>
      <c r="EUQ47" s="808">
        <f t="shared" si="1467"/>
        <v>0</v>
      </c>
      <c r="EUR47" s="211">
        <f t="shared" si="1468"/>
        <v>0</v>
      </c>
      <c r="EUS47" s="195"/>
      <c r="EUT47" s="49">
        <v>0</v>
      </c>
      <c r="EUU47" s="49"/>
      <c r="EUV47" s="49">
        <v>0</v>
      </c>
      <c r="EUW47" s="49"/>
      <c r="EUX47" s="49"/>
      <c r="EUY47" s="808">
        <f t="shared" si="1469"/>
        <v>0</v>
      </c>
      <c r="EUZ47" s="211">
        <f t="shared" si="1470"/>
        <v>0</v>
      </c>
      <c r="EVA47" s="195">
        <v>1024</v>
      </c>
      <c r="EVB47" s="49"/>
      <c r="EVC47" s="49">
        <v>0</v>
      </c>
      <c r="EVD47" s="49"/>
      <c r="EVE47" s="49"/>
      <c r="EVF47" s="49"/>
      <c r="EVG47" s="808">
        <f t="shared" si="1471"/>
        <v>1024</v>
      </c>
      <c r="EVH47" s="211">
        <f t="shared" si="1472"/>
        <v>170.66666666666666</v>
      </c>
      <c r="EVI47" s="195">
        <v>0</v>
      </c>
      <c r="EVJ47" s="49">
        <v>898</v>
      </c>
      <c r="EVK47" s="49">
        <f>SUMIF(SUMPK!$B:$B,$B:$B,SUMPK!$O:$O)</f>
        <v>0</v>
      </c>
      <c r="EVL47" s="49"/>
      <c r="EVM47" s="49"/>
      <c r="EVN47" s="49">
        <v>0</v>
      </c>
      <c r="EVO47" s="808">
        <f t="shared" si="1473"/>
        <v>898</v>
      </c>
      <c r="EVP47" s="211">
        <f t="shared" si="1474"/>
        <v>149.66666666666666</v>
      </c>
      <c r="EVQ47" s="195">
        <v>0</v>
      </c>
      <c r="EVR47" s="49">
        <v>2664</v>
      </c>
      <c r="EVS47" s="49"/>
      <c r="EVT47" s="49"/>
      <c r="EVU47" s="49">
        <v>0</v>
      </c>
      <c r="EVV47" s="49"/>
      <c r="EVW47" s="808">
        <f t="shared" si="1475"/>
        <v>2664</v>
      </c>
      <c r="EVX47" s="211">
        <f t="shared" si="1476"/>
        <v>444</v>
      </c>
      <c r="EVY47" s="195"/>
      <c r="EVZ47" s="49"/>
      <c r="EWA47" s="49"/>
      <c r="EWB47" s="49"/>
      <c r="EWC47" s="49"/>
      <c r="EWD47" s="49"/>
      <c r="EWE47" s="808">
        <f t="shared" si="1477"/>
        <v>0</v>
      </c>
      <c r="EWF47" s="211">
        <f t="shared" si="1478"/>
        <v>0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79"/>
        <v>0</v>
      </c>
      <c r="EWN47" s="211">
        <f t="shared" si="1480"/>
        <v>0</v>
      </c>
      <c r="EWO47" s="195">
        <v>696</v>
      </c>
      <c r="EWP47" s="49"/>
      <c r="EWQ47" s="49"/>
      <c r="EWR47" s="49">
        <v>0</v>
      </c>
      <c r="EWS47" s="49"/>
      <c r="EWT47" s="49"/>
      <c r="EWU47" s="808">
        <f t="shared" si="1481"/>
        <v>696</v>
      </c>
      <c r="EWV47" s="211">
        <f t="shared" si="1482"/>
        <v>116</v>
      </c>
      <c r="EWW47" s="195"/>
      <c r="EWX47" s="49"/>
      <c r="EWY47" s="49"/>
      <c r="EWZ47" s="49"/>
      <c r="EXA47" s="49"/>
      <c r="EXB47" s="49"/>
      <c r="EXC47" s="808">
        <f t="shared" si="1483"/>
        <v>0</v>
      </c>
      <c r="EXD47" s="211">
        <f t="shared" si="1484"/>
        <v>0</v>
      </c>
      <c r="EXE47" s="195"/>
      <c r="EXF47" s="49"/>
      <c r="EXG47" s="49"/>
      <c r="EXH47" s="49"/>
      <c r="EXI47" s="49"/>
      <c r="EXJ47" s="49"/>
      <c r="EXK47" s="808">
        <f t="shared" si="1485"/>
        <v>0</v>
      </c>
      <c r="EXL47" s="211">
        <f t="shared" si="1486"/>
        <v>0</v>
      </c>
      <c r="EXM47" s="458"/>
      <c r="EXN47" s="83">
        <v>0</v>
      </c>
      <c r="EXO47" s="83">
        <v>1184</v>
      </c>
      <c r="EXP47" s="83">
        <v>0</v>
      </c>
      <c r="EXQ47" s="83"/>
      <c r="EXR47" s="83">
        <v>0</v>
      </c>
      <c r="EXS47" s="808">
        <f t="shared" si="1487"/>
        <v>1184</v>
      </c>
      <c r="EXT47" s="211">
        <f t="shared" si="1488"/>
        <v>197.33333333333334</v>
      </c>
      <c r="EXU47" s="195">
        <v>0</v>
      </c>
      <c r="EXV47" s="49">
        <v>0</v>
      </c>
      <c r="EXW47" s="49"/>
      <c r="EXX47" s="49"/>
      <c r="EXY47" s="49"/>
      <c r="EXZ47" s="49">
        <v>0</v>
      </c>
      <c r="EYA47" s="808">
        <f t="shared" si="1489"/>
        <v>0</v>
      </c>
      <c r="EYB47" s="211">
        <f t="shared" si="1490"/>
        <v>0</v>
      </c>
      <c r="EYC47" s="195">
        <v>0</v>
      </c>
      <c r="EYD47" s="49"/>
      <c r="EYE47" s="49">
        <v>0</v>
      </c>
      <c r="EYF47" s="49"/>
      <c r="EYG47" s="49">
        <v>0</v>
      </c>
      <c r="EYH47" s="49">
        <v>0</v>
      </c>
      <c r="EYI47" s="808">
        <f t="shared" si="1491"/>
        <v>0</v>
      </c>
      <c r="EYJ47" s="211">
        <f t="shared" si="1492"/>
        <v>0</v>
      </c>
      <c r="EYK47" s="195">
        <v>638</v>
      </c>
      <c r="EYL47" s="49">
        <v>0</v>
      </c>
      <c r="EYM47" s="49"/>
      <c r="EYN47" s="49"/>
      <c r="EYO47" s="49"/>
      <c r="EYP47" s="49"/>
      <c r="EYQ47" s="808">
        <f t="shared" si="1493"/>
        <v>638</v>
      </c>
      <c r="EYR47" s="211">
        <f t="shared" si="1494"/>
        <v>106.33333333333333</v>
      </c>
      <c r="EYS47" s="195"/>
      <c r="EYT47" s="49"/>
      <c r="EYU47" s="49">
        <v>814</v>
      </c>
      <c r="EYV47" s="49"/>
      <c r="EYW47" s="49"/>
      <c r="EYX47" s="49"/>
      <c r="EYY47" s="872">
        <f t="shared" si="1495"/>
        <v>814</v>
      </c>
      <c r="EYZ47" s="873">
        <f t="shared" si="1496"/>
        <v>135.66666666666666</v>
      </c>
      <c r="EZA47" s="195"/>
      <c r="EZB47" s="49"/>
      <c r="EZC47" s="49"/>
      <c r="EZD47" s="49"/>
      <c r="EZE47" s="49"/>
      <c r="EZF47" s="49">
        <v>0</v>
      </c>
      <c r="EZG47" s="872">
        <f t="shared" si="1497"/>
        <v>0</v>
      </c>
      <c r="EZH47" s="873">
        <f t="shared" si="1498"/>
        <v>0</v>
      </c>
      <c r="EZI47" s="195">
        <v>0</v>
      </c>
      <c r="EZJ47" s="49">
        <v>920</v>
      </c>
      <c r="EZK47" s="49"/>
      <c r="EZL47" s="49"/>
      <c r="EZM47" s="49"/>
      <c r="EZN47" s="49"/>
      <c r="EZO47" s="872">
        <f t="shared" si="1499"/>
        <v>920</v>
      </c>
      <c r="EZP47" s="873">
        <f t="shared" si="1500"/>
        <v>153.33333333333334</v>
      </c>
    </row>
    <row r="48" spans="1:4072" s="8" customFormat="1" ht="13.5" thickBot="1" x14ac:dyDescent="0.25">
      <c r="A48" s="21">
        <v>19</v>
      </c>
      <c r="B48" s="297" t="s">
        <v>149</v>
      </c>
      <c r="C48" s="730" t="s">
        <v>296</v>
      </c>
      <c r="D48" s="297">
        <v>25</v>
      </c>
      <c r="E48" s="24"/>
      <c r="F48" s="24">
        <v>6217</v>
      </c>
      <c r="G48" s="24"/>
      <c r="H48" s="24"/>
      <c r="I48" s="360"/>
      <c r="J48" s="360">
        <f>SUMIF(SUMPK!$B:$B,$B:$B,SUMPK!$O:$O)</f>
        <v>0</v>
      </c>
      <c r="K48" s="24">
        <f t="shared" si="1220"/>
        <v>0</v>
      </c>
      <c r="L48" s="24">
        <f t="shared" si="1505"/>
        <v>6217</v>
      </c>
      <c r="M48" s="15">
        <f t="shared" si="1627"/>
        <v>6217</v>
      </c>
      <c r="N48" s="15">
        <v>48.166666666666664</v>
      </c>
      <c r="O48" s="276">
        <f t="shared" si="1223"/>
        <v>129.07266435986159</v>
      </c>
      <c r="P48" s="712">
        <v>0</v>
      </c>
      <c r="Q48" s="276">
        <f t="shared" si="1506"/>
        <v>0</v>
      </c>
      <c r="R48" s="277">
        <f t="shared" si="1507"/>
        <v>373.84615384615387</v>
      </c>
      <c r="S48" s="222">
        <v>9720</v>
      </c>
      <c r="T48" s="276">
        <f t="shared" si="1628"/>
        <v>16.6298353909465</v>
      </c>
      <c r="U48" s="278"/>
      <c r="V48" s="276">
        <f t="shared" si="1227"/>
        <v>16.6298353909465</v>
      </c>
      <c r="W48" s="279">
        <f>F48/(E48+F48)</f>
        <v>1</v>
      </c>
      <c r="X48" s="278"/>
      <c r="Y48" s="7"/>
      <c r="Z48" s="7"/>
      <c r="AA48" s="7"/>
      <c r="AB48" s="7"/>
      <c r="AC48" s="662">
        <v>20.5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>
        <v>577</v>
      </c>
      <c r="COC48" s="88"/>
      <c r="COD48" s="94"/>
      <c r="COE48" s="95"/>
      <c r="COF48" s="48"/>
      <c r="COG48" s="49"/>
      <c r="COH48" s="49"/>
      <c r="COI48" s="49"/>
      <c r="COJ48" s="49"/>
      <c r="COK48" s="49"/>
      <c r="COL48" s="67">
        <f t="shared" si="1702"/>
        <v>0</v>
      </c>
      <c r="COM48" s="68">
        <f t="shared" si="1703"/>
        <v>0</v>
      </c>
      <c r="CON48" s="48"/>
      <c r="COO48" s="49"/>
      <c r="COP48" s="49"/>
      <c r="COQ48" s="49"/>
      <c r="COR48" s="49"/>
      <c r="COS48" s="49"/>
      <c r="COT48" s="67">
        <f t="shared" si="1704"/>
        <v>0</v>
      </c>
      <c r="COU48" s="68">
        <f t="shared" si="1705"/>
        <v>0</v>
      </c>
      <c r="COV48" s="48"/>
      <c r="COW48" s="49"/>
      <c r="COX48" s="49"/>
      <c r="COY48" s="49"/>
      <c r="COZ48" s="49"/>
      <c r="CPA48" s="49"/>
      <c r="CPB48" s="67">
        <f t="shared" si="1706"/>
        <v>0</v>
      </c>
      <c r="CPC48" s="68">
        <f t="shared" si="1707"/>
        <v>0</v>
      </c>
      <c r="CPD48" s="48"/>
      <c r="CPE48" s="49">
        <v>0</v>
      </c>
      <c r="CPF48" s="49">
        <v>0</v>
      </c>
      <c r="CPG48" s="49">
        <v>0</v>
      </c>
      <c r="CPH48" s="49"/>
      <c r="CPI48" s="49"/>
      <c r="CPJ48" s="67">
        <f t="shared" si="1708"/>
        <v>0</v>
      </c>
      <c r="CPK48" s="68">
        <f t="shared" si="1709"/>
        <v>0</v>
      </c>
      <c r="CPL48" s="48"/>
      <c r="CPM48" s="49">
        <v>386</v>
      </c>
      <c r="CPN48" s="49">
        <v>0</v>
      </c>
      <c r="CPO48" s="49"/>
      <c r="CPP48" s="49">
        <v>933</v>
      </c>
      <c r="CPQ48" s="49"/>
      <c r="CPR48" s="67">
        <f t="shared" si="1710"/>
        <v>1319</v>
      </c>
      <c r="CPS48" s="68">
        <f t="shared" si="1711"/>
        <v>219.83333333333334</v>
      </c>
      <c r="CPT48" s="48">
        <v>0</v>
      </c>
      <c r="CPU48" s="49">
        <v>269</v>
      </c>
      <c r="CPV48" s="49">
        <v>0</v>
      </c>
      <c r="CPW48" s="49"/>
      <c r="CPX48" s="49"/>
      <c r="CPY48" s="49">
        <v>566</v>
      </c>
      <c r="CPZ48" s="67">
        <f t="shared" si="1712"/>
        <v>835</v>
      </c>
      <c r="CQA48" s="68">
        <f t="shared" si="1713"/>
        <v>139.16666666666666</v>
      </c>
      <c r="CQB48" s="48">
        <v>0</v>
      </c>
      <c r="CQC48" s="49">
        <v>0</v>
      </c>
      <c r="CQD48" s="49">
        <v>0</v>
      </c>
      <c r="CQE48" s="49">
        <v>1565</v>
      </c>
      <c r="CQF48" s="49">
        <v>0</v>
      </c>
      <c r="CQG48" s="49">
        <v>0</v>
      </c>
      <c r="CQH48" s="67">
        <f t="shared" si="1714"/>
        <v>1565</v>
      </c>
      <c r="CQI48" s="68">
        <f t="shared" si="1715"/>
        <v>260.83333333333331</v>
      </c>
      <c r="CQJ48" s="82">
        <v>0</v>
      </c>
      <c r="CQK48" s="83">
        <v>0</v>
      </c>
      <c r="CQL48" s="83">
        <v>0</v>
      </c>
      <c r="CQM48" s="83">
        <v>907</v>
      </c>
      <c r="CQN48" s="83"/>
      <c r="CQO48" s="83"/>
      <c r="CQP48" s="67">
        <f t="shared" si="1716"/>
        <v>907</v>
      </c>
      <c r="CQQ48" s="68">
        <f t="shared" si="1717"/>
        <v>151.16666666666666</v>
      </c>
      <c r="CQR48" s="239"/>
      <c r="CQS48" s="1">
        <v>0</v>
      </c>
      <c r="CQT48" s="1">
        <v>0</v>
      </c>
      <c r="CQU48" s="1">
        <v>0</v>
      </c>
      <c r="CQV48" s="1">
        <v>0</v>
      </c>
      <c r="CQW48" s="1"/>
      <c r="CQX48" s="67">
        <f t="shared" si="1718"/>
        <v>0</v>
      </c>
      <c r="CQY48" s="68">
        <f t="shared" si="1719"/>
        <v>0</v>
      </c>
      <c r="CQZ48" s="48">
        <v>0</v>
      </c>
      <c r="CRA48" s="49"/>
      <c r="CRB48" s="49">
        <v>601</v>
      </c>
      <c r="CRC48" s="49">
        <v>0</v>
      </c>
      <c r="CRD48" s="49">
        <v>0</v>
      </c>
      <c r="CRE48" s="49">
        <v>0</v>
      </c>
      <c r="CRF48" s="67">
        <f t="shared" si="1720"/>
        <v>601</v>
      </c>
      <c r="CRG48" s="68">
        <f t="shared" si="1721"/>
        <v>100.16666666666667</v>
      </c>
      <c r="CRH48" s="48">
        <v>0</v>
      </c>
      <c r="CRI48" s="49"/>
      <c r="CRJ48" s="49">
        <v>0</v>
      </c>
      <c r="CRK48" s="49">
        <v>0</v>
      </c>
      <c r="CRL48" s="49">
        <v>0</v>
      </c>
      <c r="CRM48" s="49">
        <v>0</v>
      </c>
      <c r="CRN48" s="67">
        <f t="shared" si="1722"/>
        <v>0</v>
      </c>
      <c r="CRO48" s="68">
        <f t="shared" si="1723"/>
        <v>0</v>
      </c>
      <c r="CRP48" s="48">
        <v>548</v>
      </c>
      <c r="CRQ48" s="49">
        <v>0</v>
      </c>
      <c r="CRR48" s="49">
        <v>0</v>
      </c>
      <c r="CRS48" s="49">
        <v>0</v>
      </c>
      <c r="CRT48" s="49">
        <v>0</v>
      </c>
      <c r="CRU48" s="49">
        <v>0</v>
      </c>
      <c r="CRV48" s="47">
        <f t="shared" si="1724"/>
        <v>548</v>
      </c>
      <c r="CRW48" s="68">
        <f t="shared" si="1725"/>
        <v>91.333333333333329</v>
      </c>
      <c r="CRX48" s="48">
        <v>0</v>
      </c>
      <c r="CRY48" s="49">
        <v>0</v>
      </c>
      <c r="CRZ48" s="49">
        <v>0</v>
      </c>
      <c r="CSA48" s="49"/>
      <c r="CSB48" s="49">
        <v>0</v>
      </c>
      <c r="CSC48" s="49">
        <v>0</v>
      </c>
      <c r="CSD48" s="67">
        <f t="shared" si="1726"/>
        <v>0</v>
      </c>
      <c r="CSE48" s="68">
        <f t="shared" si="1727"/>
        <v>0</v>
      </c>
      <c r="CSF48" s="48"/>
      <c r="CSG48" s="49">
        <v>0</v>
      </c>
      <c r="CSH48" s="49">
        <v>0</v>
      </c>
      <c r="CSI48" s="49">
        <v>0</v>
      </c>
      <c r="CSJ48" s="49">
        <v>0</v>
      </c>
      <c r="CSK48" s="360">
        <f>SUMIF(SUMPK!$B:$B,$B:$B,SUMPK!$O:$O)</f>
        <v>0</v>
      </c>
      <c r="CSL48" s="64">
        <f t="shared" si="1728"/>
        <v>0</v>
      </c>
      <c r="CSM48" s="68">
        <f t="shared" si="1729"/>
        <v>0</v>
      </c>
      <c r="CSN48" s="48">
        <v>0</v>
      </c>
      <c r="CSO48" s="49">
        <v>0</v>
      </c>
      <c r="CSP48" s="49"/>
      <c r="CSQ48" s="49"/>
      <c r="CSR48" s="49">
        <v>0</v>
      </c>
      <c r="CSS48" s="49">
        <v>577</v>
      </c>
      <c r="CST48" s="64">
        <f t="shared" si="1730"/>
        <v>577</v>
      </c>
      <c r="CSU48" s="68">
        <f t="shared" si="1731"/>
        <v>96.166666666666671</v>
      </c>
      <c r="CSV48" s="48">
        <v>0</v>
      </c>
      <c r="CSW48" s="49"/>
      <c r="CSX48" s="49">
        <v>0</v>
      </c>
      <c r="CSY48" s="49">
        <v>0</v>
      </c>
      <c r="CSZ48" s="49">
        <v>574</v>
      </c>
      <c r="CTA48" s="49">
        <v>0</v>
      </c>
      <c r="CTB48" s="64">
        <f t="shared" si="1732"/>
        <v>574</v>
      </c>
      <c r="CTC48" s="68">
        <f t="shared" si="1733"/>
        <v>95.666666666666671</v>
      </c>
      <c r="CTD48" s="48">
        <v>0</v>
      </c>
      <c r="CTE48" s="49">
        <v>0</v>
      </c>
      <c r="CTF48" s="49">
        <v>596</v>
      </c>
      <c r="CTG48" s="49">
        <v>0</v>
      </c>
      <c r="CTH48" s="49"/>
      <c r="CTI48" s="49"/>
      <c r="CTJ48" s="64">
        <f t="shared" si="1734"/>
        <v>596</v>
      </c>
      <c r="CTK48" s="68">
        <f t="shared" si="1735"/>
        <v>99.333333333333329</v>
      </c>
      <c r="CTL48" s="48">
        <v>1322</v>
      </c>
      <c r="CTM48" s="49">
        <v>0</v>
      </c>
      <c r="CTN48" s="49">
        <v>0</v>
      </c>
      <c r="CTO48" s="49">
        <v>0</v>
      </c>
      <c r="CTP48" s="49">
        <v>0</v>
      </c>
      <c r="CTQ48" s="49">
        <v>0</v>
      </c>
      <c r="CTR48" s="64">
        <f t="shared" si="1736"/>
        <v>1322</v>
      </c>
      <c r="CTS48" s="68">
        <f t="shared" si="1737"/>
        <v>220.33333333333334</v>
      </c>
      <c r="CTT48" s="48">
        <v>0</v>
      </c>
      <c r="CTU48" s="49"/>
      <c r="CTV48" s="49">
        <v>0</v>
      </c>
      <c r="CTW48" s="49"/>
      <c r="CTX48" s="49">
        <v>600</v>
      </c>
      <c r="CTY48" s="49"/>
      <c r="CTZ48" s="64">
        <f t="shared" si="1738"/>
        <v>600</v>
      </c>
      <c r="CUA48" s="68">
        <f t="shared" si="1739"/>
        <v>100</v>
      </c>
      <c r="CUB48" s="48"/>
      <c r="CUC48" s="49"/>
      <c r="CUD48" s="49"/>
      <c r="CUE48" s="49"/>
      <c r="CUF48" s="49">
        <v>0</v>
      </c>
      <c r="CUG48" s="49">
        <v>0</v>
      </c>
      <c r="CUH48" s="64">
        <f t="shared" si="1740"/>
        <v>0</v>
      </c>
      <c r="CUI48" s="68">
        <f t="shared" si="1741"/>
        <v>0</v>
      </c>
      <c r="CUJ48" s="48">
        <v>0</v>
      </c>
      <c r="CUK48" s="49">
        <v>0</v>
      </c>
      <c r="CUL48" s="49">
        <v>0</v>
      </c>
      <c r="CUM48" s="49">
        <v>0</v>
      </c>
      <c r="CUN48" s="49">
        <v>0</v>
      </c>
      <c r="CUO48" s="49">
        <v>0</v>
      </c>
      <c r="CUP48" s="64">
        <f t="shared" si="1742"/>
        <v>0</v>
      </c>
      <c r="CUQ48" s="68">
        <f t="shared" si="1743"/>
        <v>0</v>
      </c>
      <c r="CUR48" s="48">
        <v>0</v>
      </c>
      <c r="CUS48" s="49"/>
      <c r="CUT48" s="49"/>
      <c r="CUU48" s="49">
        <v>0</v>
      </c>
      <c r="CUV48" s="49">
        <v>0</v>
      </c>
      <c r="CUW48" s="49">
        <v>0</v>
      </c>
      <c r="CUX48" s="64">
        <f t="shared" si="1744"/>
        <v>0</v>
      </c>
      <c r="CUY48" s="68">
        <f t="shared" si="1745"/>
        <v>0</v>
      </c>
      <c r="CUZ48" s="48">
        <v>0</v>
      </c>
      <c r="CVA48" s="49">
        <v>0</v>
      </c>
      <c r="CVB48" s="49">
        <v>245</v>
      </c>
      <c r="CVC48" s="49">
        <v>0</v>
      </c>
      <c r="CVD48" s="49">
        <v>0</v>
      </c>
      <c r="CVE48" s="49"/>
      <c r="CVF48" s="64">
        <f t="shared" si="1746"/>
        <v>245</v>
      </c>
      <c r="CVG48" s="68">
        <f t="shared" si="1747"/>
        <v>40.833333333333336</v>
      </c>
      <c r="CVH48" s="48">
        <v>0</v>
      </c>
      <c r="CVI48" s="49">
        <v>0</v>
      </c>
      <c r="CVJ48" s="49">
        <v>0</v>
      </c>
      <c r="CVK48" s="49">
        <v>897</v>
      </c>
      <c r="CVL48" s="49">
        <v>0</v>
      </c>
      <c r="CVM48" s="49"/>
      <c r="CVN48" s="64">
        <f t="shared" si="1748"/>
        <v>897</v>
      </c>
      <c r="CVO48" s="68">
        <f t="shared" si="1749"/>
        <v>149.5</v>
      </c>
      <c r="CVP48" s="48">
        <v>0</v>
      </c>
      <c r="CVQ48" s="49">
        <v>0</v>
      </c>
      <c r="CVR48" s="49">
        <v>0</v>
      </c>
      <c r="CVS48" s="49">
        <v>0</v>
      </c>
      <c r="CVT48" s="49">
        <v>0</v>
      </c>
      <c r="CVU48" s="49">
        <v>0</v>
      </c>
      <c r="CVV48" s="64">
        <f t="shared" si="1750"/>
        <v>0</v>
      </c>
      <c r="CVW48" s="68">
        <f t="shared" si="1751"/>
        <v>0</v>
      </c>
      <c r="CVX48" s="48">
        <v>0</v>
      </c>
      <c r="CVY48" s="49">
        <v>0</v>
      </c>
      <c r="CVZ48" s="49">
        <v>0</v>
      </c>
      <c r="CWA48" s="49">
        <v>0</v>
      </c>
      <c r="CWB48" s="49">
        <v>0</v>
      </c>
      <c r="CWC48" s="49">
        <v>0</v>
      </c>
      <c r="CWD48" s="64">
        <f t="shared" si="1752"/>
        <v>0</v>
      </c>
      <c r="CWE48" s="68">
        <f t="shared" si="1753"/>
        <v>0</v>
      </c>
      <c r="CWF48" s="48">
        <v>0</v>
      </c>
      <c r="CWG48" s="49">
        <v>0</v>
      </c>
      <c r="CWH48" s="49">
        <v>0</v>
      </c>
      <c r="CWI48" s="49">
        <v>0</v>
      </c>
      <c r="CWJ48" s="49">
        <v>0</v>
      </c>
      <c r="CWK48" s="49"/>
      <c r="CWL48" s="64">
        <f t="shared" si="1754"/>
        <v>0</v>
      </c>
      <c r="CWM48" s="68">
        <f t="shared" si="1755"/>
        <v>0</v>
      </c>
      <c r="CWN48" s="48">
        <v>0</v>
      </c>
      <c r="CWO48" s="49">
        <v>0</v>
      </c>
      <c r="CWP48" s="49">
        <v>226</v>
      </c>
      <c r="CWQ48" s="49">
        <v>0</v>
      </c>
      <c r="CWR48" s="49">
        <v>0</v>
      </c>
      <c r="CWS48" s="49">
        <v>251</v>
      </c>
      <c r="CWT48" s="64">
        <f t="shared" si="1756"/>
        <v>477</v>
      </c>
      <c r="CWU48" s="68">
        <f t="shared" si="1757"/>
        <v>79.5</v>
      </c>
      <c r="CWV48" s="48">
        <v>0</v>
      </c>
      <c r="CWW48" s="49">
        <v>0</v>
      </c>
      <c r="CWX48" s="49">
        <v>0</v>
      </c>
      <c r="CWY48" s="49"/>
      <c r="CWZ48" s="49">
        <v>0</v>
      </c>
      <c r="CXA48" s="49"/>
      <c r="CXB48" s="127">
        <f t="shared" si="1758"/>
        <v>0</v>
      </c>
      <c r="CXC48" s="43">
        <f t="shared" si="1759"/>
        <v>0</v>
      </c>
      <c r="CXD48" s="48">
        <v>0</v>
      </c>
      <c r="CXE48" s="49">
        <v>0</v>
      </c>
      <c r="CXF48" s="49">
        <v>0</v>
      </c>
      <c r="CXG48" s="49">
        <v>0</v>
      </c>
      <c r="CXH48" s="49">
        <v>0</v>
      </c>
      <c r="CXI48" s="49">
        <v>0</v>
      </c>
      <c r="CXJ48" s="127">
        <f t="shared" si="1760"/>
        <v>0</v>
      </c>
      <c r="CXK48" s="43">
        <f t="shared" si="1761"/>
        <v>0</v>
      </c>
      <c r="CXL48" s="48">
        <v>0</v>
      </c>
      <c r="CXM48" s="49">
        <v>0</v>
      </c>
      <c r="CXN48" s="49">
        <v>0</v>
      </c>
      <c r="CXO48" s="49">
        <v>0</v>
      </c>
      <c r="CXP48" s="49">
        <v>0</v>
      </c>
      <c r="CXQ48" s="49">
        <v>0</v>
      </c>
      <c r="CXR48" s="127">
        <f t="shared" si="1762"/>
        <v>0</v>
      </c>
      <c r="CXS48" s="43">
        <f t="shared" si="1763"/>
        <v>0</v>
      </c>
      <c r="CXT48" s="48">
        <v>0</v>
      </c>
      <c r="CXU48" s="49">
        <v>523</v>
      </c>
      <c r="CXV48" s="49">
        <v>0</v>
      </c>
      <c r="CXW48" s="49"/>
      <c r="CXX48" s="49">
        <v>0</v>
      </c>
      <c r="CXY48" s="49">
        <v>0</v>
      </c>
      <c r="CXZ48" s="127">
        <f t="shared" si="1764"/>
        <v>523</v>
      </c>
      <c r="CYA48" s="43">
        <f t="shared" si="1765"/>
        <v>87.166666666666671</v>
      </c>
      <c r="CYB48" s="48">
        <v>0</v>
      </c>
      <c r="CYC48" s="49">
        <v>0</v>
      </c>
      <c r="CYD48" s="49">
        <v>234</v>
      </c>
      <c r="CYE48" s="49">
        <v>0</v>
      </c>
      <c r="CYF48" s="49"/>
      <c r="CYG48" s="49">
        <v>0</v>
      </c>
      <c r="CYH48" s="127">
        <f t="shared" si="1766"/>
        <v>234</v>
      </c>
      <c r="CYI48" s="43">
        <f t="shared" si="1767"/>
        <v>39</v>
      </c>
      <c r="CYJ48" s="48"/>
      <c r="CYK48" s="49">
        <v>0</v>
      </c>
      <c r="CYL48" s="49">
        <v>0</v>
      </c>
      <c r="CYM48" s="49">
        <v>0</v>
      </c>
      <c r="CYN48" s="49">
        <v>516</v>
      </c>
      <c r="CYO48" s="49">
        <v>532</v>
      </c>
      <c r="CYP48" s="127">
        <f t="shared" si="1768"/>
        <v>1048</v>
      </c>
      <c r="CYQ48" s="43">
        <f t="shared" si="1769"/>
        <v>174.66666666666666</v>
      </c>
      <c r="CYR48" s="48">
        <v>0</v>
      </c>
      <c r="CYS48" s="49">
        <v>0</v>
      </c>
      <c r="CYT48" s="49">
        <v>0</v>
      </c>
      <c r="CYU48" s="49">
        <v>0</v>
      </c>
      <c r="CYV48" s="49">
        <v>0</v>
      </c>
      <c r="CYW48" s="49">
        <v>0</v>
      </c>
      <c r="CYX48" s="127">
        <f t="shared" si="1770"/>
        <v>0</v>
      </c>
      <c r="CYY48" s="43">
        <f t="shared" si="1771"/>
        <v>0</v>
      </c>
      <c r="CYZ48" s="48"/>
      <c r="CZA48" s="49">
        <v>0</v>
      </c>
      <c r="CZB48" s="49">
        <v>0</v>
      </c>
      <c r="CZC48" s="49">
        <v>0</v>
      </c>
      <c r="CZD48" s="49">
        <v>0</v>
      </c>
      <c r="CZE48" s="49">
        <v>0</v>
      </c>
      <c r="CZF48" s="127">
        <f t="shared" si="1772"/>
        <v>0</v>
      </c>
      <c r="CZG48" s="43">
        <f t="shared" si="1773"/>
        <v>0</v>
      </c>
      <c r="CZH48" s="48">
        <v>0</v>
      </c>
      <c r="CZI48" s="49">
        <v>0</v>
      </c>
      <c r="CZJ48" s="49">
        <v>0</v>
      </c>
      <c r="CZK48" s="49">
        <v>0</v>
      </c>
      <c r="CZL48" s="49">
        <v>0</v>
      </c>
      <c r="CZM48" s="49">
        <v>0</v>
      </c>
      <c r="CZN48" s="127">
        <f t="shared" si="1774"/>
        <v>0</v>
      </c>
      <c r="CZO48" s="43">
        <f t="shared" si="1775"/>
        <v>0</v>
      </c>
      <c r="CZP48" s="48"/>
      <c r="CZQ48" s="49">
        <v>0</v>
      </c>
      <c r="CZR48" s="49"/>
      <c r="CZS48" s="49">
        <v>0</v>
      </c>
      <c r="CZT48" s="49">
        <v>0</v>
      </c>
      <c r="CZU48" s="49">
        <v>0</v>
      </c>
      <c r="CZV48" s="127">
        <f t="shared" si="1776"/>
        <v>0</v>
      </c>
      <c r="CZW48" s="43">
        <f t="shared" si="1777"/>
        <v>0</v>
      </c>
      <c r="CZX48" s="48"/>
      <c r="CZY48" s="49">
        <v>0</v>
      </c>
      <c r="CZZ48" s="49">
        <v>0</v>
      </c>
      <c r="DAA48" s="49">
        <v>0</v>
      </c>
      <c r="DAB48" s="49"/>
      <c r="DAC48" s="49">
        <v>0</v>
      </c>
      <c r="DAD48" s="64">
        <f t="shared" si="1778"/>
        <v>0</v>
      </c>
      <c r="DAE48" s="68">
        <f t="shared" si="1779"/>
        <v>0</v>
      </c>
      <c r="DAF48" s="48">
        <v>0</v>
      </c>
      <c r="DAG48" s="49">
        <v>0</v>
      </c>
      <c r="DAH48" s="49">
        <v>0</v>
      </c>
      <c r="DAI48" s="49">
        <v>0</v>
      </c>
      <c r="DAJ48" s="49">
        <v>0</v>
      </c>
      <c r="DAK48" s="49">
        <v>0</v>
      </c>
      <c r="DAL48" s="64">
        <f t="shared" si="1780"/>
        <v>0</v>
      </c>
      <c r="DAM48" s="68">
        <f t="shared" si="1781"/>
        <v>0</v>
      </c>
      <c r="DAN48" s="48">
        <v>0</v>
      </c>
      <c r="DAO48" s="49">
        <v>0</v>
      </c>
      <c r="DAP48" s="49">
        <v>0</v>
      </c>
      <c r="DAQ48" s="49">
        <v>0</v>
      </c>
      <c r="DAR48" s="49">
        <v>0</v>
      </c>
      <c r="DAS48" s="49">
        <v>0</v>
      </c>
      <c r="DAT48" s="64">
        <f t="shared" si="1782"/>
        <v>0</v>
      </c>
      <c r="DAU48" s="68">
        <f t="shared" si="1783"/>
        <v>0</v>
      </c>
      <c r="DAV48" s="48"/>
      <c r="DAW48" s="49">
        <v>0</v>
      </c>
      <c r="DAX48" s="49">
        <v>0</v>
      </c>
      <c r="DAY48" s="49">
        <v>0</v>
      </c>
      <c r="DAZ48" s="49">
        <v>0</v>
      </c>
      <c r="DBA48" s="49">
        <v>0</v>
      </c>
      <c r="DBB48" s="64">
        <f t="shared" si="1784"/>
        <v>0</v>
      </c>
      <c r="DBC48" s="68">
        <f t="shared" si="1785"/>
        <v>0</v>
      </c>
      <c r="DBD48" s="48"/>
      <c r="DBE48" s="49">
        <v>0</v>
      </c>
      <c r="DBF48" s="49">
        <v>0</v>
      </c>
      <c r="DBG48" s="49">
        <v>0</v>
      </c>
      <c r="DBH48" s="49">
        <v>0</v>
      </c>
      <c r="DBI48" s="49">
        <v>0</v>
      </c>
      <c r="DBJ48" s="64">
        <f t="shared" si="1786"/>
        <v>0</v>
      </c>
      <c r="DBK48" s="68">
        <f t="shared" si="1787"/>
        <v>0</v>
      </c>
      <c r="DBL48" s="48">
        <v>0</v>
      </c>
      <c r="DBM48" s="49">
        <v>0</v>
      </c>
      <c r="DBN48" s="49">
        <v>0</v>
      </c>
      <c r="DBO48" s="49"/>
      <c r="DBP48" s="49"/>
      <c r="DBQ48" s="49">
        <v>0</v>
      </c>
      <c r="DBR48" s="64">
        <f t="shared" si="1788"/>
        <v>0</v>
      </c>
      <c r="DBS48" s="68">
        <f t="shared" si="1789"/>
        <v>0</v>
      </c>
      <c r="DBT48" s="48">
        <v>0</v>
      </c>
      <c r="DBU48" s="49"/>
      <c r="DBV48" s="49"/>
      <c r="DBW48" s="49">
        <v>0</v>
      </c>
      <c r="DBX48" s="49"/>
      <c r="DBY48" s="49">
        <v>0</v>
      </c>
      <c r="DBZ48" s="64">
        <f t="shared" si="1790"/>
        <v>0</v>
      </c>
      <c r="DCA48" s="68">
        <f t="shared" si="1791"/>
        <v>0</v>
      </c>
      <c r="DCB48" s="48">
        <v>0</v>
      </c>
      <c r="DCC48" s="49">
        <v>0</v>
      </c>
      <c r="DCD48" s="49"/>
      <c r="DCE48" s="49">
        <v>0</v>
      </c>
      <c r="DCF48" s="49">
        <v>0</v>
      </c>
      <c r="DCG48" s="49">
        <v>0</v>
      </c>
      <c r="DCH48" s="64">
        <f t="shared" si="1792"/>
        <v>0</v>
      </c>
      <c r="DCI48" s="68">
        <f t="shared" si="1793"/>
        <v>0</v>
      </c>
      <c r="DCJ48" s="48"/>
      <c r="DCK48" s="49">
        <v>0</v>
      </c>
      <c r="DCL48" s="49">
        <v>0</v>
      </c>
      <c r="DCM48" s="49">
        <v>180</v>
      </c>
      <c r="DCN48" s="49">
        <v>0</v>
      </c>
      <c r="DCO48" s="49">
        <v>0</v>
      </c>
      <c r="DCP48" s="64">
        <f t="shared" si="1794"/>
        <v>180</v>
      </c>
      <c r="DCQ48" s="68">
        <f t="shared" si="1795"/>
        <v>30</v>
      </c>
      <c r="DCR48" s="48">
        <v>0</v>
      </c>
      <c r="DCS48" s="49">
        <v>0</v>
      </c>
      <c r="DCT48" s="49">
        <v>0</v>
      </c>
      <c r="DCU48" s="49">
        <v>0</v>
      </c>
      <c r="DCV48" s="49">
        <v>227</v>
      </c>
      <c r="DCW48" s="49">
        <v>0</v>
      </c>
      <c r="DCX48" s="64">
        <f t="shared" si="1796"/>
        <v>227</v>
      </c>
      <c r="DCY48" s="68">
        <f t="shared" si="1797"/>
        <v>37.833333333333336</v>
      </c>
      <c r="DCZ48" s="48">
        <v>0</v>
      </c>
      <c r="DDA48" s="49">
        <v>0</v>
      </c>
      <c r="DDB48" s="49">
        <v>0</v>
      </c>
      <c r="DDC48" s="49">
        <v>0</v>
      </c>
      <c r="DDD48" s="49"/>
      <c r="DDE48" s="49">
        <v>0</v>
      </c>
      <c r="DDF48" s="64">
        <f t="shared" si="1798"/>
        <v>0</v>
      </c>
      <c r="DDG48" s="68">
        <f t="shared" si="1799"/>
        <v>0</v>
      </c>
      <c r="DDH48" s="48">
        <v>0</v>
      </c>
      <c r="DDI48" s="49"/>
      <c r="DDJ48" s="49"/>
      <c r="DDK48" s="49">
        <v>0</v>
      </c>
      <c r="DDL48" s="49"/>
      <c r="DDM48" s="49">
        <v>0</v>
      </c>
      <c r="DDN48" s="127">
        <f t="shared" si="1800"/>
        <v>0</v>
      </c>
      <c r="DDO48" s="43">
        <f t="shared" si="1801"/>
        <v>0</v>
      </c>
      <c r="DDP48" s="48">
        <v>234</v>
      </c>
      <c r="DDQ48" s="49">
        <v>0</v>
      </c>
      <c r="DDR48" s="49">
        <v>0</v>
      </c>
      <c r="DDS48" s="49">
        <v>0</v>
      </c>
      <c r="DDT48" s="49">
        <v>0</v>
      </c>
      <c r="DDU48" s="49"/>
      <c r="DDV48" s="127">
        <f t="shared" si="1802"/>
        <v>234</v>
      </c>
      <c r="DDW48" s="43">
        <f t="shared" si="1803"/>
        <v>39</v>
      </c>
      <c r="DDX48" s="48">
        <v>0</v>
      </c>
      <c r="DDY48" s="49">
        <v>0</v>
      </c>
      <c r="DDZ48" s="49">
        <v>0</v>
      </c>
      <c r="DEA48" s="49">
        <v>0</v>
      </c>
      <c r="DEB48" s="49">
        <v>0</v>
      </c>
      <c r="DEC48" s="49">
        <v>0</v>
      </c>
      <c r="DED48" s="127">
        <f t="shared" si="1804"/>
        <v>0</v>
      </c>
      <c r="DEE48" s="43">
        <f t="shared" si="1805"/>
        <v>0</v>
      </c>
      <c r="DEF48" s="48">
        <v>0</v>
      </c>
      <c r="DEG48" s="49"/>
      <c r="DEH48" s="49">
        <v>0</v>
      </c>
      <c r="DEI48" s="49">
        <v>0</v>
      </c>
      <c r="DEJ48" s="49">
        <v>0</v>
      </c>
      <c r="DEK48" s="49"/>
      <c r="DEL48" s="127">
        <f t="shared" si="1806"/>
        <v>0</v>
      </c>
      <c r="DEM48" s="43">
        <f t="shared" si="1807"/>
        <v>0</v>
      </c>
      <c r="DEN48" s="48">
        <v>0</v>
      </c>
      <c r="DEO48" s="49">
        <v>0</v>
      </c>
      <c r="DEP48" s="49">
        <v>0</v>
      </c>
      <c r="DEQ48" s="49">
        <v>0</v>
      </c>
      <c r="DER48" s="49"/>
      <c r="DES48" s="49"/>
      <c r="DET48" s="127">
        <f t="shared" si="1808"/>
        <v>0</v>
      </c>
      <c r="DEU48" s="43">
        <f t="shared" si="1809"/>
        <v>0</v>
      </c>
      <c r="DEV48" s="48">
        <v>0</v>
      </c>
      <c r="DEW48" s="49">
        <v>164</v>
      </c>
      <c r="DEX48" s="49"/>
      <c r="DEY48" s="49">
        <v>0</v>
      </c>
      <c r="DEZ48" s="49">
        <v>0</v>
      </c>
      <c r="DFA48" s="49">
        <v>551</v>
      </c>
      <c r="DFB48" s="127">
        <f t="shared" si="1810"/>
        <v>715</v>
      </c>
      <c r="DFC48" s="43">
        <f t="shared" si="1811"/>
        <v>119.16666666666667</v>
      </c>
      <c r="DFD48" s="48"/>
      <c r="DFE48" s="49"/>
      <c r="DFF48" s="49">
        <v>0</v>
      </c>
      <c r="DFG48" s="49"/>
      <c r="DFH48" s="49">
        <v>0</v>
      </c>
      <c r="DFI48" s="49">
        <v>0</v>
      </c>
      <c r="DFJ48" s="127">
        <f t="shared" si="1812"/>
        <v>0</v>
      </c>
      <c r="DFK48" s="43">
        <f t="shared" si="1813"/>
        <v>0</v>
      </c>
      <c r="DFL48" s="63">
        <v>0</v>
      </c>
      <c r="DFM48" s="64">
        <v>0</v>
      </c>
      <c r="DFN48" s="64">
        <v>0</v>
      </c>
      <c r="DFO48" s="64">
        <v>0</v>
      </c>
      <c r="DFP48" s="64">
        <v>0</v>
      </c>
      <c r="DFQ48" s="64">
        <v>0</v>
      </c>
      <c r="DFR48" s="64">
        <f t="shared" si="1814"/>
        <v>0</v>
      </c>
      <c r="DFS48" s="68">
        <f t="shared" si="1815"/>
        <v>0</v>
      </c>
      <c r="DFT48" s="48"/>
      <c r="DFU48" s="49">
        <v>242</v>
      </c>
      <c r="DFV48" s="49">
        <v>0</v>
      </c>
      <c r="DFW48" s="49">
        <v>0</v>
      </c>
      <c r="DFX48" s="49"/>
      <c r="DFY48" s="49"/>
      <c r="DFZ48" s="127">
        <f t="shared" si="1816"/>
        <v>242</v>
      </c>
      <c r="DGA48" s="43">
        <f t="shared" si="1817"/>
        <v>40.333333333333336</v>
      </c>
      <c r="DGB48" s="48">
        <v>0</v>
      </c>
      <c r="DGC48" s="49">
        <v>219</v>
      </c>
      <c r="DGD48" s="49">
        <v>0</v>
      </c>
      <c r="DGE48" s="49">
        <v>0</v>
      </c>
      <c r="DGF48" s="49"/>
      <c r="DGG48" s="49">
        <v>602</v>
      </c>
      <c r="DGH48" s="127">
        <f t="shared" si="1818"/>
        <v>821</v>
      </c>
      <c r="DGI48" s="43">
        <f t="shared" si="1819"/>
        <v>136.83333333333334</v>
      </c>
      <c r="DGJ48" s="48"/>
      <c r="DGK48" s="49"/>
      <c r="DGL48" s="49">
        <v>0</v>
      </c>
      <c r="DGM48" s="49">
        <v>0</v>
      </c>
      <c r="DGN48" s="49"/>
      <c r="DGO48" s="49">
        <v>0</v>
      </c>
      <c r="DGP48" s="64">
        <f t="shared" si="1820"/>
        <v>0</v>
      </c>
      <c r="DGQ48" s="68">
        <f t="shared" si="1821"/>
        <v>0</v>
      </c>
      <c r="DGR48" s="48">
        <v>0</v>
      </c>
      <c r="DGS48" s="49">
        <v>0</v>
      </c>
      <c r="DGT48" s="49">
        <v>0</v>
      </c>
      <c r="DGU48" s="49"/>
      <c r="DGV48" s="49"/>
      <c r="DGW48" s="49">
        <v>0</v>
      </c>
      <c r="DGX48" s="64">
        <f t="shared" si="1822"/>
        <v>0</v>
      </c>
      <c r="DGY48" s="68">
        <f t="shared" si="1823"/>
        <v>0</v>
      </c>
      <c r="DGZ48" s="48"/>
      <c r="DHA48" s="49"/>
      <c r="DHB48" s="49"/>
      <c r="DHC48" s="49"/>
      <c r="DHD48" s="49">
        <v>0</v>
      </c>
      <c r="DHE48" s="49"/>
      <c r="DHF48" s="64">
        <f t="shared" si="1824"/>
        <v>0</v>
      </c>
      <c r="DHG48" s="68">
        <f t="shared" si="1825"/>
        <v>0</v>
      </c>
      <c r="DHH48" s="63">
        <v>239</v>
      </c>
      <c r="DHI48" s="64">
        <v>0</v>
      </c>
      <c r="DHJ48" s="64">
        <v>0</v>
      </c>
      <c r="DHK48" s="64">
        <v>0</v>
      </c>
      <c r="DHL48" s="64">
        <v>0</v>
      </c>
      <c r="DHM48" s="64">
        <v>0</v>
      </c>
      <c r="DHN48" s="64">
        <f t="shared" si="1826"/>
        <v>239</v>
      </c>
      <c r="DHO48" s="68">
        <f t="shared" si="1827"/>
        <v>39.833333333333336</v>
      </c>
      <c r="DHP48" s="48">
        <v>0</v>
      </c>
      <c r="DHQ48" s="49">
        <v>0</v>
      </c>
      <c r="DHR48" s="49"/>
      <c r="DHS48" s="49">
        <v>0</v>
      </c>
      <c r="DHT48" s="49">
        <v>0</v>
      </c>
      <c r="DHU48" s="49">
        <v>0</v>
      </c>
      <c r="DHV48" s="64">
        <f t="shared" si="1828"/>
        <v>0</v>
      </c>
      <c r="DHW48" s="68">
        <f t="shared" si="1829"/>
        <v>0</v>
      </c>
      <c r="DHX48" s="48"/>
      <c r="DHY48" s="49"/>
      <c r="DHZ48" s="49"/>
      <c r="DIA48" s="49">
        <v>0</v>
      </c>
      <c r="DIB48" s="49"/>
      <c r="DIC48" s="49">
        <v>0</v>
      </c>
      <c r="DID48" s="64">
        <f t="shared" si="1830"/>
        <v>0</v>
      </c>
      <c r="DIE48" s="68">
        <f t="shared" si="1831"/>
        <v>0</v>
      </c>
      <c r="DIF48" s="48">
        <v>154</v>
      </c>
      <c r="DIG48" s="49">
        <v>0</v>
      </c>
      <c r="DIH48" s="49"/>
      <c r="DII48" s="49">
        <v>0</v>
      </c>
      <c r="DIJ48" s="49">
        <v>0</v>
      </c>
      <c r="DIK48" s="49"/>
      <c r="DIL48" s="64">
        <f t="shared" si="1832"/>
        <v>154</v>
      </c>
      <c r="DIM48" s="68">
        <f t="shared" si="1833"/>
        <v>25.666666666666668</v>
      </c>
      <c r="DIN48" s="48"/>
      <c r="DIO48" s="49"/>
      <c r="DIP48" s="49">
        <v>0</v>
      </c>
      <c r="DIQ48" s="49"/>
      <c r="DIR48" s="49">
        <v>225</v>
      </c>
      <c r="DIS48" s="49">
        <v>0</v>
      </c>
      <c r="DIT48" s="64">
        <f t="shared" si="1834"/>
        <v>225</v>
      </c>
      <c r="DIU48" s="68">
        <f t="shared" si="1835"/>
        <v>37.5</v>
      </c>
      <c r="DIV48" s="48">
        <v>0</v>
      </c>
      <c r="DIW48" s="49">
        <v>0</v>
      </c>
      <c r="DIX48" s="49"/>
      <c r="DIY48" s="49">
        <v>0</v>
      </c>
      <c r="DIZ48" s="49">
        <v>165</v>
      </c>
      <c r="DJA48" s="49">
        <v>0</v>
      </c>
      <c r="DJB48" s="64">
        <f t="shared" si="1836"/>
        <v>165</v>
      </c>
      <c r="DJC48" s="68">
        <f t="shared" si="1837"/>
        <v>27.5</v>
      </c>
      <c r="DJD48" s="48">
        <v>203</v>
      </c>
      <c r="DJE48" s="49">
        <v>0</v>
      </c>
      <c r="DJF48" s="49"/>
      <c r="DJG48" s="49">
        <v>0</v>
      </c>
      <c r="DJH48" s="49">
        <v>0</v>
      </c>
      <c r="DJI48" s="49"/>
      <c r="DJJ48" s="64">
        <f t="shared" si="1838"/>
        <v>203</v>
      </c>
      <c r="DJK48" s="68">
        <f t="shared" si="1839"/>
        <v>33.833333333333336</v>
      </c>
      <c r="DJL48" s="48">
        <v>0</v>
      </c>
      <c r="DJM48" s="49">
        <v>244</v>
      </c>
      <c r="DJN48" s="49">
        <v>0</v>
      </c>
      <c r="DJO48" s="49">
        <v>0</v>
      </c>
      <c r="DJP48" s="49">
        <v>0</v>
      </c>
      <c r="DJQ48" s="49">
        <v>201</v>
      </c>
      <c r="DJR48" s="64">
        <f t="shared" si="1840"/>
        <v>445</v>
      </c>
      <c r="DJS48" s="68">
        <f t="shared" si="1841"/>
        <v>74.166666666666671</v>
      </c>
      <c r="DJT48" s="48"/>
      <c r="DJU48" s="49">
        <v>0</v>
      </c>
      <c r="DJV48" s="49">
        <v>272</v>
      </c>
      <c r="DJW48" s="49"/>
      <c r="DJX48" s="49">
        <v>0</v>
      </c>
      <c r="DJY48" s="49">
        <v>0</v>
      </c>
      <c r="DJZ48" s="64">
        <f t="shared" si="1842"/>
        <v>272</v>
      </c>
      <c r="DKA48" s="68">
        <f t="shared" si="1843"/>
        <v>45.333333333333336</v>
      </c>
      <c r="DKB48" s="48">
        <v>937</v>
      </c>
      <c r="DKC48" s="49">
        <v>0</v>
      </c>
      <c r="DKD48" s="49">
        <v>0</v>
      </c>
      <c r="DKE48" s="49">
        <v>206</v>
      </c>
      <c r="DKF48" s="49">
        <v>0</v>
      </c>
      <c r="DKG48" s="49">
        <v>0</v>
      </c>
      <c r="DKH48" s="64">
        <f t="shared" si="1844"/>
        <v>1143</v>
      </c>
      <c r="DKI48" s="68">
        <f t="shared" si="1845"/>
        <v>190.5</v>
      </c>
      <c r="DKJ48" s="48"/>
      <c r="DKK48" s="49"/>
      <c r="DKL48" s="49">
        <v>0</v>
      </c>
      <c r="DKM48" s="49"/>
      <c r="DKN48" s="49">
        <v>0</v>
      </c>
      <c r="DKO48" s="49"/>
      <c r="DKP48" s="64">
        <f t="shared" si="1846"/>
        <v>0</v>
      </c>
      <c r="DKQ48" s="68">
        <f t="shared" si="1847"/>
        <v>0</v>
      </c>
      <c r="DKR48" s="48">
        <v>0</v>
      </c>
      <c r="DKS48" s="49">
        <v>216</v>
      </c>
      <c r="DKT48" s="49"/>
      <c r="DKU48" s="49">
        <v>0</v>
      </c>
      <c r="DKV48" s="49">
        <v>909</v>
      </c>
      <c r="DKW48" s="49"/>
      <c r="DKX48" s="64">
        <f t="shared" si="1848"/>
        <v>1125</v>
      </c>
      <c r="DKY48" s="68">
        <f t="shared" si="1849"/>
        <v>187.5</v>
      </c>
      <c r="DKZ48" s="48"/>
      <c r="DLA48" s="49">
        <v>0</v>
      </c>
      <c r="DLB48" s="49">
        <v>220</v>
      </c>
      <c r="DLC48" s="49">
        <v>368</v>
      </c>
      <c r="DLD48" s="49"/>
      <c r="DLE48" s="49">
        <v>0</v>
      </c>
      <c r="DLF48" s="64">
        <f t="shared" si="1850"/>
        <v>588</v>
      </c>
      <c r="DLG48" s="68">
        <f t="shared" si="1851"/>
        <v>98</v>
      </c>
      <c r="DLH48" s="48"/>
      <c r="DLI48" s="49">
        <v>0</v>
      </c>
      <c r="DLJ48" s="49">
        <v>0</v>
      </c>
      <c r="DLK48" s="49"/>
      <c r="DLL48" s="49"/>
      <c r="DLM48" s="49"/>
      <c r="DLN48" s="64">
        <f t="shared" si="1852"/>
        <v>0</v>
      </c>
      <c r="DLO48" s="68">
        <f t="shared" si="1853"/>
        <v>0</v>
      </c>
      <c r="DLP48" s="48">
        <v>0</v>
      </c>
      <c r="DLQ48" s="49"/>
      <c r="DLR48" s="49">
        <v>0</v>
      </c>
      <c r="DLS48" s="49"/>
      <c r="DLT48" s="49">
        <v>0</v>
      </c>
      <c r="DLU48" s="49"/>
      <c r="DLV48" s="64">
        <f t="shared" si="1854"/>
        <v>0</v>
      </c>
      <c r="DLW48" s="68">
        <f t="shared" si="1855"/>
        <v>0</v>
      </c>
      <c r="DLX48" s="48">
        <v>0</v>
      </c>
      <c r="DLY48" s="49"/>
      <c r="DLZ48" s="49"/>
      <c r="DMA48" s="49"/>
      <c r="DMB48" s="49"/>
      <c r="DMC48" s="49">
        <v>890</v>
      </c>
      <c r="DMD48" s="64">
        <f t="shared" si="1856"/>
        <v>890</v>
      </c>
      <c r="DME48" s="68">
        <f t="shared" si="1857"/>
        <v>148.33333333333334</v>
      </c>
      <c r="DMF48" s="48"/>
      <c r="DMG48" s="49"/>
      <c r="DMH48" s="49"/>
      <c r="DMI48" s="49">
        <v>0</v>
      </c>
      <c r="DMJ48" s="49">
        <v>0</v>
      </c>
      <c r="DMK48" s="49">
        <v>0</v>
      </c>
      <c r="DML48" s="64">
        <f t="shared" si="1858"/>
        <v>0</v>
      </c>
      <c r="DMM48" s="68">
        <f t="shared" si="1859"/>
        <v>0</v>
      </c>
      <c r="DMN48" s="48"/>
      <c r="DMO48" s="49"/>
      <c r="DMP48" s="49">
        <v>0</v>
      </c>
      <c r="DMQ48" s="49">
        <v>610</v>
      </c>
      <c r="DMR48" s="49">
        <v>0</v>
      </c>
      <c r="DMS48" s="49">
        <v>0</v>
      </c>
      <c r="DMT48" s="64">
        <f t="shared" si="1860"/>
        <v>610</v>
      </c>
      <c r="DMU48" s="68">
        <f t="shared" si="1861"/>
        <v>101.66666666666667</v>
      </c>
      <c r="DMV48" s="48">
        <v>243</v>
      </c>
      <c r="DMW48" s="49">
        <v>0</v>
      </c>
      <c r="DMX48" s="49">
        <v>0</v>
      </c>
      <c r="DMY48" s="49">
        <v>404</v>
      </c>
      <c r="DMZ48" s="49">
        <v>220</v>
      </c>
      <c r="DNA48" s="49">
        <v>379</v>
      </c>
      <c r="DNB48" s="64">
        <f t="shared" si="1862"/>
        <v>1246</v>
      </c>
      <c r="DNC48" s="68">
        <f t="shared" si="1863"/>
        <v>207.66666666666666</v>
      </c>
      <c r="DND48" s="48"/>
      <c r="DNE48" s="49">
        <v>1173</v>
      </c>
      <c r="DNF48" s="49">
        <v>0</v>
      </c>
      <c r="DNG48" s="49"/>
      <c r="DNH48" s="49">
        <v>263</v>
      </c>
      <c r="DNI48" s="49"/>
      <c r="DNJ48" s="64">
        <f t="shared" si="1864"/>
        <v>1436</v>
      </c>
      <c r="DNK48" s="68">
        <f t="shared" si="1865"/>
        <v>239.33333333333334</v>
      </c>
      <c r="DNL48" s="48"/>
      <c r="DNM48" s="49"/>
      <c r="DNN48" s="49">
        <v>0</v>
      </c>
      <c r="DNO48" s="49">
        <v>566</v>
      </c>
      <c r="DNP48" s="49"/>
      <c r="DNQ48" s="49">
        <v>0</v>
      </c>
      <c r="DNR48" s="64">
        <f t="shared" si="1866"/>
        <v>566</v>
      </c>
      <c r="DNS48" s="68">
        <f t="shared" si="1867"/>
        <v>94.333333333333329</v>
      </c>
      <c r="DNT48" s="48">
        <v>589</v>
      </c>
      <c r="DNU48" s="49"/>
      <c r="DNV48" s="49">
        <v>0</v>
      </c>
      <c r="DNW48" s="49">
        <v>563</v>
      </c>
      <c r="DNX48" s="49">
        <v>0</v>
      </c>
      <c r="DNY48" s="49">
        <v>0</v>
      </c>
      <c r="DNZ48" s="64">
        <f t="shared" si="1868"/>
        <v>1152</v>
      </c>
      <c r="DOA48" s="68">
        <f t="shared" si="1869"/>
        <v>192</v>
      </c>
      <c r="DOB48" s="48"/>
      <c r="DOC48" s="49"/>
      <c r="DOD48" s="49">
        <v>1231</v>
      </c>
      <c r="DOE48" s="49">
        <v>0</v>
      </c>
      <c r="DOF48" s="49">
        <v>0</v>
      </c>
      <c r="DOG48" s="49">
        <v>0</v>
      </c>
      <c r="DOH48" s="64">
        <f t="shared" si="1870"/>
        <v>1231</v>
      </c>
      <c r="DOI48" s="68">
        <f t="shared" si="1871"/>
        <v>205.16666666666666</v>
      </c>
      <c r="DOJ48" s="48"/>
      <c r="DOK48" s="49">
        <v>0</v>
      </c>
      <c r="DOL48" s="49">
        <v>0</v>
      </c>
      <c r="DOM48" s="49"/>
      <c r="DON48" s="49">
        <v>0</v>
      </c>
      <c r="DOO48" s="49">
        <v>581</v>
      </c>
      <c r="DOP48" s="64">
        <f t="shared" si="1872"/>
        <v>581</v>
      </c>
      <c r="DOQ48" s="68">
        <f t="shared" si="1873"/>
        <v>96.833333333333329</v>
      </c>
      <c r="DOR48" s="48">
        <v>0</v>
      </c>
      <c r="DOS48" s="49">
        <v>0</v>
      </c>
      <c r="DOT48" s="49">
        <v>0</v>
      </c>
      <c r="DOU48" s="49">
        <v>588</v>
      </c>
      <c r="DOV48" s="49"/>
      <c r="DOW48" s="49">
        <v>0</v>
      </c>
      <c r="DOX48" s="64">
        <f t="shared" si="1874"/>
        <v>588</v>
      </c>
      <c r="DOY48" s="68">
        <f t="shared" si="1875"/>
        <v>98</v>
      </c>
      <c r="DOZ48" s="48"/>
      <c r="DPA48" s="49">
        <v>0</v>
      </c>
      <c r="DPB48" s="49"/>
      <c r="DPC48" s="49">
        <v>622</v>
      </c>
      <c r="DPD48" s="49"/>
      <c r="DPE48" s="49">
        <v>0</v>
      </c>
      <c r="DPF48" s="64">
        <f t="shared" si="1876"/>
        <v>622</v>
      </c>
      <c r="DPG48" s="68">
        <f t="shared" si="1877"/>
        <v>103.66666666666667</v>
      </c>
      <c r="DPH48" s="48">
        <v>0</v>
      </c>
      <c r="DPI48" s="49"/>
      <c r="DPJ48" s="49">
        <v>0</v>
      </c>
      <c r="DPK48" s="49"/>
      <c r="DPL48" s="49"/>
      <c r="DPM48" s="49"/>
      <c r="DPN48" s="64">
        <f t="shared" si="1878"/>
        <v>0</v>
      </c>
      <c r="DPO48" s="68">
        <f t="shared" si="1879"/>
        <v>0</v>
      </c>
      <c r="DPP48" s="48">
        <v>0</v>
      </c>
      <c r="DPQ48" s="49">
        <v>480</v>
      </c>
      <c r="DPR48" s="49">
        <v>0</v>
      </c>
      <c r="DPS48" s="49"/>
      <c r="DPT48" s="49"/>
      <c r="DPU48" s="49">
        <v>939</v>
      </c>
      <c r="DPV48" s="491">
        <f t="shared" si="1880"/>
        <v>1419</v>
      </c>
      <c r="DPW48" s="492">
        <f t="shared" si="1881"/>
        <v>236.5</v>
      </c>
      <c r="DPX48" s="48">
        <v>0</v>
      </c>
      <c r="DPY48" s="49"/>
      <c r="DPZ48" s="49">
        <v>0</v>
      </c>
      <c r="DQA48" s="49">
        <v>0</v>
      </c>
      <c r="DQB48" s="49">
        <v>0</v>
      </c>
      <c r="DQC48" s="49">
        <v>0</v>
      </c>
      <c r="DQD48" s="491">
        <f t="shared" si="1882"/>
        <v>0</v>
      </c>
      <c r="DQE48" s="492">
        <f t="shared" si="1883"/>
        <v>0</v>
      </c>
      <c r="DQF48" s="48"/>
      <c r="DQG48" s="49">
        <v>2291</v>
      </c>
      <c r="DQH48" s="49"/>
      <c r="DQI48" s="49"/>
      <c r="DQJ48" s="49">
        <v>0</v>
      </c>
      <c r="DQK48" s="49"/>
      <c r="DQL48" s="489">
        <f t="shared" si="1884"/>
        <v>2291</v>
      </c>
      <c r="DQM48" s="492">
        <f t="shared" si="1885"/>
        <v>381.83333333333331</v>
      </c>
      <c r="DQN48" s="48">
        <v>0</v>
      </c>
      <c r="DQO48" s="49">
        <v>0</v>
      </c>
      <c r="DQP48" s="49">
        <v>0</v>
      </c>
      <c r="DQQ48" s="49">
        <v>1214</v>
      </c>
      <c r="DQR48" s="49">
        <v>0</v>
      </c>
      <c r="DQS48" s="49">
        <v>0</v>
      </c>
      <c r="DQT48" s="64">
        <f t="shared" si="1886"/>
        <v>1214</v>
      </c>
      <c r="DQU48" s="68">
        <f t="shared" si="1887"/>
        <v>202.33333333333334</v>
      </c>
      <c r="DQV48" s="48">
        <v>0</v>
      </c>
      <c r="DQW48" s="49">
        <v>1172</v>
      </c>
      <c r="DQX48" s="49"/>
      <c r="DQY48" s="49">
        <v>515</v>
      </c>
      <c r="DQZ48" s="49">
        <v>0</v>
      </c>
      <c r="DRA48" s="49">
        <v>0</v>
      </c>
      <c r="DRB48" s="491">
        <f t="shared" si="1888"/>
        <v>1687</v>
      </c>
      <c r="DRC48" s="492">
        <f t="shared" si="1889"/>
        <v>281.16666666666669</v>
      </c>
      <c r="DRD48" s="48">
        <v>902</v>
      </c>
      <c r="DRE48" s="49"/>
      <c r="DRF48" s="49">
        <v>0</v>
      </c>
      <c r="DRG48" s="49">
        <v>0</v>
      </c>
      <c r="DRH48" s="49">
        <v>0</v>
      </c>
      <c r="DRI48" s="49"/>
      <c r="DRJ48" s="491">
        <f t="shared" si="1890"/>
        <v>902</v>
      </c>
      <c r="DRK48" s="492">
        <f t="shared" si="1891"/>
        <v>150.33333333333334</v>
      </c>
      <c r="DRL48" s="48">
        <v>838</v>
      </c>
      <c r="DRM48" s="49">
        <v>0</v>
      </c>
      <c r="DRN48" s="49">
        <v>0</v>
      </c>
      <c r="DRO48" s="49">
        <v>1405</v>
      </c>
      <c r="DRP48" s="49">
        <v>0</v>
      </c>
      <c r="DRQ48" s="49"/>
      <c r="DRR48" s="64">
        <f t="shared" si="1587"/>
        <v>2243</v>
      </c>
      <c r="DRS48" s="68">
        <f t="shared" si="1588"/>
        <v>373.83333333333331</v>
      </c>
      <c r="DRT48" s="48">
        <v>0</v>
      </c>
      <c r="DRU48" s="49">
        <v>666</v>
      </c>
      <c r="DRV48" s="49">
        <v>541</v>
      </c>
      <c r="DRW48" s="49">
        <v>0</v>
      </c>
      <c r="DRX48" s="49">
        <v>0</v>
      </c>
      <c r="DRY48" s="49"/>
      <c r="DRZ48" s="491">
        <f t="shared" si="1589"/>
        <v>1207</v>
      </c>
      <c r="DSA48" s="68">
        <f t="shared" si="1590"/>
        <v>201.16666666666666</v>
      </c>
      <c r="DSB48" s="82"/>
      <c r="DSC48" s="83">
        <v>0</v>
      </c>
      <c r="DSD48" s="83">
        <v>1198</v>
      </c>
      <c r="DSE48" s="83"/>
      <c r="DSF48" s="83">
        <v>0</v>
      </c>
      <c r="DSG48" s="83">
        <v>0</v>
      </c>
      <c r="DSH48" s="64">
        <f t="shared" si="1591"/>
        <v>1198</v>
      </c>
      <c r="DSI48" s="68">
        <f t="shared" si="1592"/>
        <v>199.66666666666666</v>
      </c>
      <c r="DSJ48" s="48">
        <v>923</v>
      </c>
      <c r="DSK48" s="49"/>
      <c r="DSL48" s="49"/>
      <c r="DSM48" s="49">
        <v>0</v>
      </c>
      <c r="DSN48" s="49"/>
      <c r="DSO48" s="49">
        <v>1298</v>
      </c>
      <c r="DSP48" s="64">
        <f t="shared" si="1593"/>
        <v>2221</v>
      </c>
      <c r="DSQ48" s="68">
        <f t="shared" si="1594"/>
        <v>370.16666666666669</v>
      </c>
      <c r="DSR48" s="48"/>
      <c r="DSS48" s="49"/>
      <c r="DST48" s="49">
        <v>0</v>
      </c>
      <c r="DSU48" s="49">
        <v>1191</v>
      </c>
      <c r="DSV48" s="49">
        <v>0</v>
      </c>
      <c r="DSW48" s="49"/>
      <c r="DSX48" s="64">
        <f t="shared" si="1595"/>
        <v>1191</v>
      </c>
      <c r="DSY48" s="68">
        <f t="shared" si="1596"/>
        <v>198.5</v>
      </c>
      <c r="DSZ48" s="48">
        <v>0</v>
      </c>
      <c r="DTA48" s="49">
        <v>1647</v>
      </c>
      <c r="DTB48" s="49">
        <v>0</v>
      </c>
      <c r="DTC48" s="49">
        <v>0</v>
      </c>
      <c r="DTD48" s="49"/>
      <c r="DTE48" s="49">
        <v>0</v>
      </c>
      <c r="DTF48" s="64">
        <f t="shared" si="1597"/>
        <v>1647</v>
      </c>
      <c r="DTG48" s="68">
        <f t="shared" si="1598"/>
        <v>274.5</v>
      </c>
      <c r="DTH48" s="48">
        <v>900</v>
      </c>
      <c r="DTI48" s="49"/>
      <c r="DTJ48" s="49">
        <v>0</v>
      </c>
      <c r="DTK48" s="49">
        <v>1540</v>
      </c>
      <c r="DTL48" s="49">
        <v>0</v>
      </c>
      <c r="DTM48" s="49">
        <v>0</v>
      </c>
      <c r="DTN48" s="64">
        <f t="shared" si="1599"/>
        <v>2440</v>
      </c>
      <c r="DTO48" s="68">
        <f t="shared" si="1600"/>
        <v>406.66666666666669</v>
      </c>
      <c r="DTP48" s="48">
        <v>0</v>
      </c>
      <c r="DTQ48" s="49"/>
      <c r="DTR48" s="49"/>
      <c r="DTS48" s="49"/>
      <c r="DTT48" s="49">
        <v>0</v>
      </c>
      <c r="DTU48" s="49">
        <v>1618</v>
      </c>
      <c r="DTV48" s="64">
        <f t="shared" si="1601"/>
        <v>1618</v>
      </c>
      <c r="DTW48" s="68">
        <f t="shared" si="1602"/>
        <v>269.66666666666669</v>
      </c>
      <c r="DTX48" s="48">
        <v>0</v>
      </c>
      <c r="DTY48" s="49">
        <v>0</v>
      </c>
      <c r="DTZ48" s="49">
        <v>0</v>
      </c>
      <c r="DUA48" s="49">
        <v>0</v>
      </c>
      <c r="DUB48" s="49">
        <v>990</v>
      </c>
      <c r="DUC48" s="49">
        <v>1074</v>
      </c>
      <c r="DUD48" s="64">
        <f t="shared" si="1603"/>
        <v>2064</v>
      </c>
      <c r="DUE48" s="68">
        <f t="shared" si="1604"/>
        <v>344</v>
      </c>
      <c r="DUF48" s="48">
        <v>0</v>
      </c>
      <c r="DUG48" s="49">
        <v>0</v>
      </c>
      <c r="DUH48" s="49"/>
      <c r="DUI48" s="49">
        <v>1589</v>
      </c>
      <c r="DUJ48" s="49">
        <v>0</v>
      </c>
      <c r="DUK48" s="49">
        <v>0</v>
      </c>
      <c r="DUL48" s="64">
        <f t="shared" si="1605"/>
        <v>1589</v>
      </c>
      <c r="DUM48" s="68">
        <f t="shared" si="1606"/>
        <v>264.83333333333331</v>
      </c>
      <c r="DUN48" s="48"/>
      <c r="DUO48" s="49">
        <v>1272</v>
      </c>
      <c r="DUP48" s="49">
        <v>0</v>
      </c>
      <c r="DUQ48" s="49">
        <v>0</v>
      </c>
      <c r="DUR48" s="49"/>
      <c r="DUS48" s="49">
        <v>2584</v>
      </c>
      <c r="DUT48" s="64">
        <f t="shared" si="1607"/>
        <v>3856</v>
      </c>
      <c r="DUU48" s="68">
        <f t="shared" si="1608"/>
        <v>642.66666666666663</v>
      </c>
      <c r="DUV48" s="48"/>
      <c r="DUW48" s="49">
        <v>0</v>
      </c>
      <c r="DUX48" s="49">
        <v>0</v>
      </c>
      <c r="DUY48" s="49">
        <v>0</v>
      </c>
      <c r="DUZ48" s="49">
        <v>0</v>
      </c>
      <c r="DVA48" s="49">
        <v>1</v>
      </c>
      <c r="DVB48" s="64">
        <f t="shared" si="1609"/>
        <v>1</v>
      </c>
      <c r="DVC48" s="68">
        <f t="shared" si="1610"/>
        <v>0.16666666666666666</v>
      </c>
      <c r="DVD48" s="48"/>
      <c r="DVE48" s="49">
        <v>0</v>
      </c>
      <c r="DVF48" s="49">
        <v>0</v>
      </c>
      <c r="DVG48" s="49">
        <v>0</v>
      </c>
      <c r="DVH48" s="49">
        <v>0</v>
      </c>
      <c r="DVI48" s="49">
        <v>0</v>
      </c>
      <c r="DVJ48" s="64">
        <f t="shared" si="1611"/>
        <v>0</v>
      </c>
      <c r="DVK48" s="68">
        <f t="shared" si="1612"/>
        <v>0</v>
      </c>
      <c r="DVL48" s="48"/>
      <c r="DVM48" s="49">
        <v>0</v>
      </c>
      <c r="DVN48" s="49">
        <v>0</v>
      </c>
      <c r="DVO48" s="49">
        <v>0</v>
      </c>
      <c r="DVP48" s="49">
        <v>0</v>
      </c>
      <c r="DVQ48" s="49">
        <v>0</v>
      </c>
      <c r="DVR48" s="64">
        <f t="shared" si="1613"/>
        <v>0</v>
      </c>
      <c r="DVS48" s="68">
        <f t="shared" si="1614"/>
        <v>0</v>
      </c>
      <c r="DVT48" s="48">
        <v>428</v>
      </c>
      <c r="DVU48" s="49">
        <v>1099</v>
      </c>
      <c r="DVV48" s="49">
        <v>0</v>
      </c>
      <c r="DVW48" s="49">
        <v>1</v>
      </c>
      <c r="DVX48" s="49">
        <v>0</v>
      </c>
      <c r="DVY48" s="49">
        <v>0</v>
      </c>
      <c r="DVZ48" s="64">
        <f t="shared" si="1615"/>
        <v>1528</v>
      </c>
      <c r="DWA48" s="68">
        <f t="shared" si="1616"/>
        <v>254.66666666666666</v>
      </c>
      <c r="DWB48" s="48">
        <v>0</v>
      </c>
      <c r="DWC48" s="49">
        <v>1564</v>
      </c>
      <c r="DWD48" s="49">
        <v>0</v>
      </c>
      <c r="DWE48" s="49">
        <v>0</v>
      </c>
      <c r="DWF48" s="49">
        <v>649</v>
      </c>
      <c r="DWG48" s="49"/>
      <c r="DWH48" s="64">
        <f t="shared" si="1617"/>
        <v>2213</v>
      </c>
      <c r="DWI48" s="68">
        <f t="shared" si="1618"/>
        <v>368.83333333333331</v>
      </c>
      <c r="DWJ48" s="48">
        <v>0</v>
      </c>
      <c r="DWK48" s="49">
        <v>1633</v>
      </c>
      <c r="DWL48" s="49">
        <v>0</v>
      </c>
      <c r="DWM48" s="49">
        <v>0</v>
      </c>
      <c r="DWN48" s="49">
        <v>0</v>
      </c>
      <c r="DWO48" s="49"/>
      <c r="DWP48" s="64">
        <f t="shared" si="1619"/>
        <v>1633</v>
      </c>
      <c r="DWQ48" s="68">
        <f t="shared" si="1620"/>
        <v>272.16666666666669</v>
      </c>
      <c r="DWR48" s="48">
        <v>0</v>
      </c>
      <c r="DWS48" s="49"/>
      <c r="DWT48" s="49">
        <v>0</v>
      </c>
      <c r="DWU48" s="49">
        <v>0</v>
      </c>
      <c r="DWV48" s="49">
        <v>0</v>
      </c>
      <c r="DWW48" s="49">
        <v>0</v>
      </c>
      <c r="DWX48" s="64">
        <f t="shared" si="1621"/>
        <v>0</v>
      </c>
      <c r="DWY48" s="68">
        <f t="shared" si="1622"/>
        <v>0</v>
      </c>
      <c r="DWZ48" s="48">
        <v>770</v>
      </c>
      <c r="DXA48" s="49">
        <v>526</v>
      </c>
      <c r="DXB48" s="49"/>
      <c r="DXC48" s="49">
        <v>0</v>
      </c>
      <c r="DXD48" s="49"/>
      <c r="DXE48" s="49"/>
      <c r="DXF48" s="64">
        <f t="shared" si="1623"/>
        <v>1296</v>
      </c>
      <c r="DXG48" s="68">
        <f t="shared" si="1624"/>
        <v>216</v>
      </c>
      <c r="DXH48" s="48">
        <v>0</v>
      </c>
      <c r="DXI48" s="49">
        <v>0</v>
      </c>
      <c r="DXJ48" s="49">
        <v>969</v>
      </c>
      <c r="DXK48" s="49">
        <v>0</v>
      </c>
      <c r="DXL48" s="49"/>
      <c r="DXM48" s="49">
        <v>0</v>
      </c>
      <c r="DXN48" s="64">
        <f t="shared" si="1625"/>
        <v>969</v>
      </c>
      <c r="DXO48" s="68">
        <f t="shared" si="1626"/>
        <v>161.5</v>
      </c>
      <c r="DXP48" s="48">
        <v>0</v>
      </c>
      <c r="DXQ48" s="49">
        <v>0</v>
      </c>
      <c r="DXR48" s="49">
        <v>1270</v>
      </c>
      <c r="DXS48" s="49">
        <v>0</v>
      </c>
      <c r="DXT48" s="49"/>
      <c r="DXU48" s="49">
        <v>0</v>
      </c>
      <c r="DXV48" s="64">
        <f t="shared" si="1320"/>
        <v>1270</v>
      </c>
      <c r="DXW48" s="68">
        <f t="shared" si="1321"/>
        <v>211.66666666666666</v>
      </c>
      <c r="DXX48" s="48">
        <v>0</v>
      </c>
      <c r="DXY48" s="49">
        <v>0</v>
      </c>
      <c r="DXZ48" s="49">
        <v>0</v>
      </c>
      <c r="DYA48" s="49">
        <v>0</v>
      </c>
      <c r="DYB48" s="49">
        <v>0</v>
      </c>
      <c r="DYC48" s="49">
        <v>0</v>
      </c>
      <c r="DYD48" s="64">
        <f t="shared" si="1322"/>
        <v>0</v>
      </c>
      <c r="DYE48" s="68">
        <f t="shared" si="1323"/>
        <v>0</v>
      </c>
      <c r="DYF48" s="48">
        <v>0</v>
      </c>
      <c r="DYG48" s="49">
        <v>0</v>
      </c>
      <c r="DYH48" s="49">
        <v>888</v>
      </c>
      <c r="DYI48" s="49">
        <v>0</v>
      </c>
      <c r="DYJ48" s="49">
        <v>0</v>
      </c>
      <c r="DYK48" s="49"/>
      <c r="DYL48" s="64">
        <f t="shared" si="1324"/>
        <v>888</v>
      </c>
      <c r="DYM48" s="68">
        <f t="shared" si="1325"/>
        <v>148</v>
      </c>
      <c r="DYN48" s="48">
        <v>0</v>
      </c>
      <c r="DYO48" s="49">
        <v>0</v>
      </c>
      <c r="DYP48" s="49">
        <v>0</v>
      </c>
      <c r="DYQ48" s="49">
        <v>0</v>
      </c>
      <c r="DYR48" s="49"/>
      <c r="DYS48" s="49"/>
      <c r="DYT48" s="64">
        <f t="shared" si="1326"/>
        <v>0</v>
      </c>
      <c r="DYU48" s="68">
        <f t="shared" si="1327"/>
        <v>0</v>
      </c>
      <c r="DYV48" s="48">
        <v>620</v>
      </c>
      <c r="DYW48" s="49">
        <v>0</v>
      </c>
      <c r="DYX48" s="49">
        <v>0</v>
      </c>
      <c r="DYY48" s="49">
        <v>0</v>
      </c>
      <c r="DYZ48" s="49">
        <v>0</v>
      </c>
      <c r="DZA48" s="49">
        <v>0</v>
      </c>
      <c r="DZB48" s="64">
        <f t="shared" si="1328"/>
        <v>620</v>
      </c>
      <c r="DZC48" s="68">
        <f t="shared" si="1329"/>
        <v>103.33333333333333</v>
      </c>
      <c r="DZD48" s="48">
        <v>0</v>
      </c>
      <c r="DZE48" s="49">
        <v>0</v>
      </c>
      <c r="DZF48" s="49">
        <v>1152</v>
      </c>
      <c r="DZG48" s="49">
        <v>0</v>
      </c>
      <c r="DZH48" s="49">
        <v>818</v>
      </c>
      <c r="DZI48" s="49">
        <v>178</v>
      </c>
      <c r="DZJ48" s="64">
        <f t="shared" si="1330"/>
        <v>2148</v>
      </c>
      <c r="DZK48" s="68">
        <f t="shared" si="1331"/>
        <v>358</v>
      </c>
      <c r="DZL48" s="48">
        <v>0</v>
      </c>
      <c r="DZM48" s="49">
        <v>0</v>
      </c>
      <c r="DZN48" s="49"/>
      <c r="DZO48" s="49">
        <v>630</v>
      </c>
      <c r="DZP48" s="49">
        <v>0</v>
      </c>
      <c r="DZQ48" s="49">
        <v>0</v>
      </c>
      <c r="DZR48" s="64">
        <f t="shared" si="1332"/>
        <v>630</v>
      </c>
      <c r="DZS48" s="68">
        <f t="shared" si="1333"/>
        <v>105</v>
      </c>
      <c r="DZT48" s="48">
        <v>0</v>
      </c>
      <c r="DZU48" s="49">
        <v>1634</v>
      </c>
      <c r="DZV48" s="49"/>
      <c r="DZW48" s="49">
        <v>963</v>
      </c>
      <c r="DZX48" s="49">
        <v>0</v>
      </c>
      <c r="DZY48" s="49"/>
      <c r="DZZ48" s="64">
        <f t="shared" si="1334"/>
        <v>2597</v>
      </c>
      <c r="EAA48" s="68">
        <f t="shared" si="1335"/>
        <v>432.83333333333331</v>
      </c>
      <c r="EAB48" s="48"/>
      <c r="EAC48" s="49">
        <v>0</v>
      </c>
      <c r="EAD48" s="49">
        <v>1360</v>
      </c>
      <c r="EAE48" s="49"/>
      <c r="EAF48" s="49">
        <v>0</v>
      </c>
      <c r="EAG48" s="49">
        <v>945</v>
      </c>
      <c r="EAH48" s="64">
        <f t="shared" si="1336"/>
        <v>2305</v>
      </c>
      <c r="EAI48" s="68">
        <f t="shared" si="1337"/>
        <v>384.16666666666669</v>
      </c>
      <c r="EAJ48" s="48">
        <v>1614</v>
      </c>
      <c r="EAK48" s="49"/>
      <c r="EAL48" s="49"/>
      <c r="EAM48" s="49"/>
      <c r="EAN48" s="49">
        <v>0</v>
      </c>
      <c r="EAO48" s="49">
        <v>0</v>
      </c>
      <c r="EAP48" s="64">
        <f t="shared" si="1338"/>
        <v>1614</v>
      </c>
      <c r="EAQ48" s="68">
        <f t="shared" si="1339"/>
        <v>269</v>
      </c>
      <c r="EAR48" s="48">
        <v>1567</v>
      </c>
      <c r="EAS48" s="49"/>
      <c r="EAT48" s="49">
        <v>0</v>
      </c>
      <c r="EAU48" s="49">
        <v>0</v>
      </c>
      <c r="EAV48" s="49">
        <v>0</v>
      </c>
      <c r="EAW48" s="49"/>
      <c r="EAX48" s="64">
        <f t="shared" si="1340"/>
        <v>1567</v>
      </c>
      <c r="EAY48" s="68">
        <f t="shared" si="1341"/>
        <v>261.16666666666669</v>
      </c>
      <c r="EAZ48" s="48">
        <v>0</v>
      </c>
      <c r="EBA48" s="49"/>
      <c r="EBB48" s="49">
        <v>0</v>
      </c>
      <c r="EBC48" s="49">
        <v>0</v>
      </c>
      <c r="EBD48" s="49">
        <v>0</v>
      </c>
      <c r="EBE48" s="49">
        <v>0</v>
      </c>
      <c r="EBF48" s="64">
        <f t="shared" si="1342"/>
        <v>0</v>
      </c>
      <c r="EBG48" s="68">
        <f t="shared" si="1343"/>
        <v>0</v>
      </c>
      <c r="EBH48" s="48">
        <v>0</v>
      </c>
      <c r="EBI48" s="49">
        <v>0</v>
      </c>
      <c r="EBJ48" s="49">
        <v>0</v>
      </c>
      <c r="EBK48" s="49">
        <v>238</v>
      </c>
      <c r="EBL48" s="49">
        <v>0</v>
      </c>
      <c r="EBM48" s="49">
        <v>924</v>
      </c>
      <c r="EBN48" s="64">
        <f t="shared" si="1344"/>
        <v>1162</v>
      </c>
      <c r="EBO48" s="68">
        <f t="shared" si="1345"/>
        <v>193.66666666666666</v>
      </c>
      <c r="EBP48" s="48">
        <v>0</v>
      </c>
      <c r="EBQ48" s="49">
        <v>0</v>
      </c>
      <c r="EBR48" s="49">
        <v>476</v>
      </c>
      <c r="EBS48" s="49">
        <v>0</v>
      </c>
      <c r="EBT48" s="49"/>
      <c r="EBU48" s="49"/>
      <c r="EBV48" s="64">
        <f t="shared" si="1346"/>
        <v>476</v>
      </c>
      <c r="EBW48" s="68">
        <f t="shared" si="1347"/>
        <v>79.333333333333329</v>
      </c>
      <c r="EBX48" s="48">
        <v>1492</v>
      </c>
      <c r="EBY48" s="49"/>
      <c r="EBZ48" s="49">
        <v>0</v>
      </c>
      <c r="ECA48" s="49"/>
      <c r="ECB48" s="49">
        <v>0</v>
      </c>
      <c r="ECC48" s="49">
        <v>0</v>
      </c>
      <c r="ECD48" s="64">
        <f t="shared" si="1348"/>
        <v>1492</v>
      </c>
      <c r="ECE48" s="68">
        <f t="shared" si="1349"/>
        <v>248.66666666666666</v>
      </c>
      <c r="ECF48" s="48">
        <v>1591</v>
      </c>
      <c r="ECG48" s="49"/>
      <c r="ECH48" s="49"/>
      <c r="ECI48" s="49"/>
      <c r="ECJ48" s="49"/>
      <c r="ECK48" s="49">
        <v>1167</v>
      </c>
      <c r="ECL48" s="64">
        <f t="shared" si="1350"/>
        <v>2758</v>
      </c>
      <c r="ECM48" s="68">
        <f t="shared" si="1351"/>
        <v>459.66666666666669</v>
      </c>
      <c r="ECN48" s="48"/>
      <c r="ECO48" s="49"/>
      <c r="ECP48" s="49"/>
      <c r="ECQ48" s="49">
        <v>558</v>
      </c>
      <c r="ECR48" s="49"/>
      <c r="ECS48" s="49"/>
      <c r="ECT48" s="64">
        <f t="shared" si="1352"/>
        <v>558</v>
      </c>
      <c r="ECU48" s="68">
        <f t="shared" si="1353"/>
        <v>93</v>
      </c>
      <c r="ECV48" s="48">
        <v>1037</v>
      </c>
      <c r="ECW48" s="49">
        <v>440</v>
      </c>
      <c r="ECX48" s="49">
        <v>629</v>
      </c>
      <c r="ECY48" s="49"/>
      <c r="ECZ48" s="49"/>
      <c r="EDA48" s="49"/>
      <c r="EDB48" s="64">
        <f t="shared" si="1354"/>
        <v>2106</v>
      </c>
      <c r="EDC48" s="68">
        <f t="shared" si="1355"/>
        <v>351</v>
      </c>
      <c r="EDD48" s="48"/>
      <c r="EDE48" s="49">
        <v>944</v>
      </c>
      <c r="EDF48" s="49">
        <v>553</v>
      </c>
      <c r="EDG48" s="49"/>
      <c r="EDH48" s="49"/>
      <c r="EDI48" s="49"/>
      <c r="EDJ48" s="64">
        <f t="shared" si="1356"/>
        <v>1497</v>
      </c>
      <c r="EDK48" s="68">
        <f t="shared" si="1357"/>
        <v>249.5</v>
      </c>
      <c r="EDL48" s="48">
        <v>919</v>
      </c>
      <c r="EDM48" s="49">
        <v>624</v>
      </c>
      <c r="EDN48" s="49"/>
      <c r="EDO48" s="49">
        <v>440</v>
      </c>
      <c r="EDP48" s="49">
        <v>165</v>
      </c>
      <c r="EDQ48" s="49">
        <v>0</v>
      </c>
      <c r="EDR48" s="64">
        <f t="shared" si="1358"/>
        <v>2148</v>
      </c>
      <c r="EDS48" s="68">
        <f t="shared" si="1359"/>
        <v>358</v>
      </c>
      <c r="EDT48" s="48">
        <v>0</v>
      </c>
      <c r="EDU48" s="49">
        <v>942</v>
      </c>
      <c r="EDV48" s="49"/>
      <c r="EDW48" s="49">
        <v>0</v>
      </c>
      <c r="EDX48" s="49">
        <v>0</v>
      </c>
      <c r="EDY48" s="49"/>
      <c r="EDZ48" s="64">
        <f t="shared" si="1360"/>
        <v>942</v>
      </c>
      <c r="EEA48" s="68">
        <f t="shared" si="1361"/>
        <v>157</v>
      </c>
      <c r="EEB48" s="48">
        <v>0</v>
      </c>
      <c r="EEC48" s="49">
        <v>919</v>
      </c>
      <c r="EED48" s="49">
        <v>0</v>
      </c>
      <c r="EEE48" s="49"/>
      <c r="EEF48" s="49">
        <v>0</v>
      </c>
      <c r="EEG48" s="49"/>
      <c r="EEH48" s="64">
        <f t="shared" si="1362"/>
        <v>919</v>
      </c>
      <c r="EEI48" s="68">
        <f t="shared" si="1363"/>
        <v>153.16666666666666</v>
      </c>
      <c r="EEJ48" s="48">
        <v>0</v>
      </c>
      <c r="EEK48" s="49">
        <v>566</v>
      </c>
      <c r="EEL48" s="49">
        <v>0</v>
      </c>
      <c r="EEM48" s="49">
        <v>0</v>
      </c>
      <c r="EEN48" s="49">
        <v>0</v>
      </c>
      <c r="EEO48" s="49">
        <v>0</v>
      </c>
      <c r="EEP48" s="64">
        <f t="shared" si="1364"/>
        <v>566</v>
      </c>
      <c r="EEQ48" s="68">
        <f t="shared" si="1365"/>
        <v>94.333333333333329</v>
      </c>
      <c r="EER48" s="48">
        <v>1236</v>
      </c>
      <c r="EES48" s="49">
        <v>578</v>
      </c>
      <c r="EET48" s="49">
        <v>594</v>
      </c>
      <c r="EEU48" s="49">
        <v>0</v>
      </c>
      <c r="EEV48" s="49">
        <v>0</v>
      </c>
      <c r="EEW48" s="49"/>
      <c r="EEX48" s="64">
        <f t="shared" si="1366"/>
        <v>2408</v>
      </c>
      <c r="EEY48" s="68">
        <f t="shared" si="1367"/>
        <v>401.33333333333331</v>
      </c>
      <c r="EEZ48" s="48">
        <v>568</v>
      </c>
      <c r="EFA48" s="49"/>
      <c r="EFB48" s="49">
        <v>0</v>
      </c>
      <c r="EFC48" s="49">
        <v>628</v>
      </c>
      <c r="EFD48" s="49">
        <v>572</v>
      </c>
      <c r="EFE48" s="49">
        <v>544</v>
      </c>
      <c r="EFF48" s="64">
        <f t="shared" si="1368"/>
        <v>2312</v>
      </c>
      <c r="EFG48" s="68">
        <f t="shared" si="1369"/>
        <v>385.33333333333331</v>
      </c>
      <c r="EFH48" s="48"/>
      <c r="EFI48" s="49">
        <v>1388</v>
      </c>
      <c r="EFJ48" s="49">
        <v>218</v>
      </c>
      <c r="EFK48" s="49">
        <v>0</v>
      </c>
      <c r="EFL48" s="49">
        <v>0</v>
      </c>
      <c r="EFM48" s="49">
        <v>968</v>
      </c>
      <c r="EFN48" s="64">
        <f t="shared" si="1370"/>
        <v>2574</v>
      </c>
      <c r="EFO48" s="68">
        <f t="shared" si="1371"/>
        <v>429</v>
      </c>
      <c r="EFP48" s="48"/>
      <c r="EFQ48" s="49"/>
      <c r="EFR48" s="49"/>
      <c r="EFS48" s="49">
        <v>556</v>
      </c>
      <c r="EFT48" s="49"/>
      <c r="EFU48" s="49">
        <v>591</v>
      </c>
      <c r="EFV48" s="64">
        <f t="shared" si="1372"/>
        <v>1147</v>
      </c>
      <c r="EFW48" s="68">
        <f t="shared" si="1373"/>
        <v>191.16666666666666</v>
      </c>
      <c r="EFX48" s="48">
        <v>241</v>
      </c>
      <c r="EFY48" s="49"/>
      <c r="EFZ48" s="49"/>
      <c r="EGA48" s="49">
        <v>0</v>
      </c>
      <c r="EGB48" s="49">
        <v>443</v>
      </c>
      <c r="EGC48" s="49">
        <v>0</v>
      </c>
      <c r="EGD48" s="64">
        <f t="shared" si="1374"/>
        <v>684</v>
      </c>
      <c r="EGE48" s="68">
        <f t="shared" si="1375"/>
        <v>114</v>
      </c>
      <c r="EGF48" s="48">
        <v>509</v>
      </c>
      <c r="EGG48" s="49">
        <v>0</v>
      </c>
      <c r="EGH48" s="49"/>
      <c r="EGI48" s="49">
        <v>425</v>
      </c>
      <c r="EGJ48" s="49">
        <v>0</v>
      </c>
      <c r="EGK48" s="49">
        <v>0</v>
      </c>
      <c r="EGL48" s="64">
        <f t="shared" si="1376"/>
        <v>934</v>
      </c>
      <c r="EGM48" s="68">
        <f t="shared" si="1377"/>
        <v>155.66666666666666</v>
      </c>
      <c r="EGN48" s="48">
        <v>595</v>
      </c>
      <c r="EGO48" s="49"/>
      <c r="EGP48" s="49"/>
      <c r="EGQ48" s="49">
        <v>53</v>
      </c>
      <c r="EGR48" s="49">
        <v>1216</v>
      </c>
      <c r="EGS48" s="49">
        <v>602</v>
      </c>
      <c r="EGT48" s="64">
        <f t="shared" si="1378"/>
        <v>2466</v>
      </c>
      <c r="EGU48" s="68">
        <f t="shared" si="1379"/>
        <v>411</v>
      </c>
      <c r="EGV48" s="48">
        <v>0</v>
      </c>
      <c r="EGW48" s="49"/>
      <c r="EGX48" s="49">
        <v>348</v>
      </c>
      <c r="EGY48" s="49">
        <v>606</v>
      </c>
      <c r="EGZ48" s="49">
        <v>588</v>
      </c>
      <c r="EHA48" s="49">
        <v>0</v>
      </c>
      <c r="EHB48" s="64">
        <f t="shared" si="1380"/>
        <v>1542</v>
      </c>
      <c r="EHC48" s="68">
        <f t="shared" si="1381"/>
        <v>257</v>
      </c>
      <c r="EHD48" s="48">
        <v>577</v>
      </c>
      <c r="EHE48" s="49">
        <v>0</v>
      </c>
      <c r="EHF48" s="49"/>
      <c r="EHG48" s="49">
        <v>574</v>
      </c>
      <c r="EHH48" s="49">
        <v>600</v>
      </c>
      <c r="EHI48" s="49">
        <v>0</v>
      </c>
      <c r="EHJ48" s="64">
        <f t="shared" si="1382"/>
        <v>1751</v>
      </c>
      <c r="EHK48" s="68">
        <f t="shared" si="1383"/>
        <v>291.83333333333331</v>
      </c>
      <c r="EHL48" s="48">
        <v>0</v>
      </c>
      <c r="EHM48" s="49">
        <v>951</v>
      </c>
      <c r="EHN48" s="49"/>
      <c r="EHO48" s="49"/>
      <c r="EHP48" s="49"/>
      <c r="EHQ48" s="49">
        <v>110</v>
      </c>
      <c r="EHR48" s="64">
        <f t="shared" si="1384"/>
        <v>1061</v>
      </c>
      <c r="EHS48" s="68">
        <f t="shared" si="1385"/>
        <v>176.83333333333334</v>
      </c>
      <c r="EHT48" s="48">
        <v>764</v>
      </c>
      <c r="EHU48" s="49"/>
      <c r="EHV48" s="49"/>
      <c r="EHW48" s="49">
        <v>0</v>
      </c>
      <c r="EHX48" s="49">
        <v>1115</v>
      </c>
      <c r="EHY48" s="49"/>
      <c r="EHZ48" s="64">
        <f t="shared" si="1386"/>
        <v>1879</v>
      </c>
      <c r="EIA48" s="68">
        <f t="shared" si="1387"/>
        <v>313.16666666666669</v>
      </c>
      <c r="EIB48" s="48">
        <v>0</v>
      </c>
      <c r="EIC48" s="49">
        <v>909</v>
      </c>
      <c r="EID48" s="49">
        <v>0</v>
      </c>
      <c r="EIE48" s="49">
        <v>277</v>
      </c>
      <c r="EIF48" s="49"/>
      <c r="EIG48" s="49">
        <v>916</v>
      </c>
      <c r="EIH48" s="64">
        <f t="shared" si="1388"/>
        <v>2102</v>
      </c>
      <c r="EII48" s="68">
        <f t="shared" si="1389"/>
        <v>350.33333333333331</v>
      </c>
      <c r="EIJ48" s="48">
        <v>0</v>
      </c>
      <c r="EIK48" s="49">
        <v>0</v>
      </c>
      <c r="EIL48" s="49"/>
      <c r="EIM48" s="49">
        <v>1246</v>
      </c>
      <c r="EIN48" s="49">
        <v>626</v>
      </c>
      <c r="EIO48" s="49">
        <v>0</v>
      </c>
      <c r="EIP48" s="64">
        <f t="shared" si="1390"/>
        <v>1872</v>
      </c>
      <c r="EIQ48" s="68">
        <f t="shared" si="1391"/>
        <v>312</v>
      </c>
      <c r="EIR48" s="48">
        <v>0</v>
      </c>
      <c r="EIS48" s="49">
        <v>0</v>
      </c>
      <c r="EIT48" s="49">
        <v>0</v>
      </c>
      <c r="EIU48" s="49">
        <v>0</v>
      </c>
      <c r="EIV48" s="49">
        <v>0</v>
      </c>
      <c r="EIW48" s="49">
        <v>1251</v>
      </c>
      <c r="EIX48" s="64">
        <f t="shared" si="1392"/>
        <v>1251</v>
      </c>
      <c r="EIY48" s="68">
        <f t="shared" si="1393"/>
        <v>208.5</v>
      </c>
      <c r="EIZ48" s="48">
        <v>0</v>
      </c>
      <c r="EJA48" s="49">
        <v>606</v>
      </c>
      <c r="EJB48" s="49"/>
      <c r="EJC48" s="49">
        <v>0</v>
      </c>
      <c r="EJD48" s="49"/>
      <c r="EJE48" s="49">
        <v>279</v>
      </c>
      <c r="EJF48" s="64">
        <f t="shared" si="1394"/>
        <v>885</v>
      </c>
      <c r="EJG48" s="68">
        <f t="shared" si="1395"/>
        <v>147.5</v>
      </c>
      <c r="EJH48" s="48">
        <v>220</v>
      </c>
      <c r="EJI48" s="49">
        <v>1350</v>
      </c>
      <c r="EJJ48" s="49"/>
      <c r="EJK48" s="49">
        <v>0</v>
      </c>
      <c r="EJL48" s="49"/>
      <c r="EJM48" s="49"/>
      <c r="EJN48" s="64">
        <f t="shared" si="1396"/>
        <v>1570</v>
      </c>
      <c r="EJO48" s="68">
        <f t="shared" si="1397"/>
        <v>261.66666666666669</v>
      </c>
      <c r="EJP48" s="48">
        <v>0</v>
      </c>
      <c r="EJQ48" s="49">
        <v>1650</v>
      </c>
      <c r="EJR48" s="49">
        <v>265</v>
      </c>
      <c r="EJS48" s="49">
        <v>0</v>
      </c>
      <c r="EJT48" s="49">
        <v>965</v>
      </c>
      <c r="EJU48" s="49">
        <v>0</v>
      </c>
      <c r="EJV48" s="64">
        <f t="shared" si="1398"/>
        <v>2880</v>
      </c>
      <c r="EJW48" s="68">
        <f t="shared" si="1399"/>
        <v>480</v>
      </c>
      <c r="EJX48" s="48">
        <v>0</v>
      </c>
      <c r="EJY48" s="49">
        <v>232</v>
      </c>
      <c r="EJZ48" s="49">
        <v>0</v>
      </c>
      <c r="EKA48" s="49">
        <v>965</v>
      </c>
      <c r="EKB48" s="49">
        <v>0</v>
      </c>
      <c r="EKC48" s="49"/>
      <c r="EKD48" s="64">
        <f t="shared" si="1400"/>
        <v>1197</v>
      </c>
      <c r="EKE48" s="68">
        <f t="shared" si="1401"/>
        <v>199.5</v>
      </c>
      <c r="EKF48" s="48">
        <v>0</v>
      </c>
      <c r="EKG48" s="49"/>
      <c r="EKH48" s="49">
        <v>868</v>
      </c>
      <c r="EKI48" s="49">
        <v>0</v>
      </c>
      <c r="EKJ48" s="49">
        <v>604</v>
      </c>
      <c r="EKK48" s="49"/>
      <c r="EKL48" s="64">
        <f t="shared" si="1402"/>
        <v>1472</v>
      </c>
      <c r="EKM48" s="68">
        <f t="shared" si="1403"/>
        <v>245.33333333333334</v>
      </c>
      <c r="EKN48" s="48">
        <v>0</v>
      </c>
      <c r="EKO48" s="49">
        <v>0</v>
      </c>
      <c r="EKP48" s="49">
        <v>1583</v>
      </c>
      <c r="EKQ48" s="49">
        <v>0</v>
      </c>
      <c r="EKR48" s="49">
        <v>271</v>
      </c>
      <c r="EKS48" s="49">
        <v>0</v>
      </c>
      <c r="EKT48" s="64">
        <f t="shared" si="1404"/>
        <v>1854</v>
      </c>
      <c r="EKU48" s="184">
        <f t="shared" si="1405"/>
        <v>309</v>
      </c>
      <c r="EKV48" s="665"/>
      <c r="EKW48" s="195">
        <v>0</v>
      </c>
      <c r="EKX48" s="49">
        <v>0</v>
      </c>
      <c r="EKY48" s="49">
        <v>0</v>
      </c>
      <c r="EKZ48" s="49">
        <v>110</v>
      </c>
      <c r="ELA48" s="49">
        <v>526</v>
      </c>
      <c r="ELB48" s="49"/>
      <c r="ELC48" s="64">
        <f t="shared" si="1406"/>
        <v>636</v>
      </c>
      <c r="ELD48" s="211">
        <f t="shared" si="1407"/>
        <v>106</v>
      </c>
      <c r="ELE48" s="195">
        <v>0</v>
      </c>
      <c r="ELF48" s="49">
        <v>868</v>
      </c>
      <c r="ELG48" s="49">
        <v>0</v>
      </c>
      <c r="ELH48" s="49">
        <v>0</v>
      </c>
      <c r="ELI48" s="49">
        <v>907</v>
      </c>
      <c r="ELJ48" s="49">
        <v>0</v>
      </c>
      <c r="ELK48" s="64">
        <f t="shared" si="1408"/>
        <v>1775</v>
      </c>
      <c r="ELL48" s="211">
        <f t="shared" si="1409"/>
        <v>295.83333333333331</v>
      </c>
      <c r="ELM48" s="195">
        <v>620</v>
      </c>
      <c r="ELN48" s="49">
        <v>0</v>
      </c>
      <c r="ELO48" s="49">
        <v>301</v>
      </c>
      <c r="ELP48" s="49">
        <v>0</v>
      </c>
      <c r="ELQ48" s="49">
        <v>941</v>
      </c>
      <c r="ELR48" s="49">
        <v>0</v>
      </c>
      <c r="ELS48" s="64">
        <f t="shared" si="1410"/>
        <v>1862</v>
      </c>
      <c r="ELT48" s="211">
        <f t="shared" si="1411"/>
        <v>310.33333333333331</v>
      </c>
      <c r="ELU48" s="195">
        <v>0</v>
      </c>
      <c r="ELV48" s="49">
        <v>613</v>
      </c>
      <c r="ELW48" s="49">
        <v>0</v>
      </c>
      <c r="ELX48" s="49">
        <v>0</v>
      </c>
      <c r="ELY48" s="49">
        <v>0</v>
      </c>
      <c r="ELZ48" s="49">
        <v>0</v>
      </c>
      <c r="EMA48" s="64">
        <f t="shared" si="1412"/>
        <v>613</v>
      </c>
      <c r="EMB48" s="211">
        <f t="shared" si="1413"/>
        <v>102.16666666666667</v>
      </c>
      <c r="EMC48" s="195">
        <v>0</v>
      </c>
      <c r="EMD48" s="49"/>
      <c r="EME48" s="49">
        <v>0</v>
      </c>
      <c r="EMF48" s="49">
        <v>0</v>
      </c>
      <c r="EMG48" s="49"/>
      <c r="EMH48" s="49">
        <v>0</v>
      </c>
      <c r="EMI48" s="64">
        <f t="shared" si="1414"/>
        <v>0</v>
      </c>
      <c r="EMJ48" s="211">
        <f t="shared" si="1415"/>
        <v>0</v>
      </c>
      <c r="EMK48" s="195">
        <v>0</v>
      </c>
      <c r="EML48" s="49">
        <v>0</v>
      </c>
      <c r="EMM48" s="49">
        <v>2175</v>
      </c>
      <c r="EMN48" s="49">
        <v>0</v>
      </c>
      <c r="EMO48" s="49">
        <v>0</v>
      </c>
      <c r="EMP48" s="49">
        <v>0</v>
      </c>
      <c r="EMQ48" s="64">
        <f t="shared" si="1416"/>
        <v>2175</v>
      </c>
      <c r="EMR48" s="211">
        <f t="shared" si="1417"/>
        <v>362.5</v>
      </c>
      <c r="EMS48" s="195">
        <v>0</v>
      </c>
      <c r="EMT48" s="49">
        <v>0</v>
      </c>
      <c r="EMU48" s="49">
        <v>900</v>
      </c>
      <c r="EMV48" s="49">
        <v>0</v>
      </c>
      <c r="EMW48" s="49"/>
      <c r="EMX48" s="49">
        <v>0</v>
      </c>
      <c r="EMY48" s="64">
        <f t="shared" si="1418"/>
        <v>900</v>
      </c>
      <c r="EMZ48" s="211">
        <f t="shared" si="1419"/>
        <v>150</v>
      </c>
      <c r="ENA48" s="195">
        <v>0</v>
      </c>
      <c r="ENB48" s="49">
        <v>0</v>
      </c>
      <c r="ENC48" s="49">
        <v>893</v>
      </c>
      <c r="END48" s="49">
        <v>282</v>
      </c>
      <c r="ENE48" s="49">
        <v>267</v>
      </c>
      <c r="ENF48" s="49">
        <v>0</v>
      </c>
      <c r="ENG48" s="64">
        <f t="shared" si="1420"/>
        <v>1442</v>
      </c>
      <c r="ENH48" s="211">
        <f t="shared" si="1421"/>
        <v>240.33333333333334</v>
      </c>
      <c r="ENI48" s="195">
        <v>0</v>
      </c>
      <c r="ENJ48" s="49"/>
      <c r="ENK48" s="49">
        <v>288</v>
      </c>
      <c r="ENL48" s="49">
        <v>0</v>
      </c>
      <c r="ENM48" s="49">
        <v>1000</v>
      </c>
      <c r="ENN48" s="49">
        <v>138</v>
      </c>
      <c r="ENO48" s="64">
        <f t="shared" si="1422"/>
        <v>1426</v>
      </c>
      <c r="ENP48" s="211">
        <f t="shared" si="1423"/>
        <v>237.66666666666666</v>
      </c>
      <c r="ENQ48" s="195">
        <v>0</v>
      </c>
      <c r="ENR48" s="49"/>
      <c r="ENS48" s="49">
        <v>937</v>
      </c>
      <c r="ENT48" s="49">
        <v>0</v>
      </c>
      <c r="ENU48" s="49">
        <v>621</v>
      </c>
      <c r="ENV48" s="49">
        <v>0</v>
      </c>
      <c r="ENW48" s="64">
        <f t="shared" si="1424"/>
        <v>1558</v>
      </c>
      <c r="ENX48" s="211">
        <f t="shared" si="1425"/>
        <v>259.66666666666669</v>
      </c>
      <c r="ENY48" s="195">
        <v>0</v>
      </c>
      <c r="ENZ48" s="49"/>
      <c r="EOA48" s="49">
        <v>0</v>
      </c>
      <c r="EOB48" s="49">
        <v>0</v>
      </c>
      <c r="EOC48" s="49">
        <v>0</v>
      </c>
      <c r="EOD48" s="49">
        <v>1223</v>
      </c>
      <c r="EOE48" s="64">
        <f t="shared" si="1426"/>
        <v>1223</v>
      </c>
      <c r="EOF48" s="211">
        <f t="shared" si="1427"/>
        <v>203.83333333333334</v>
      </c>
      <c r="EOG48" s="1"/>
      <c r="EOH48" s="195"/>
      <c r="EOI48" s="49">
        <v>0</v>
      </c>
      <c r="EOJ48" s="49">
        <v>962</v>
      </c>
      <c r="EOK48" s="49">
        <v>0</v>
      </c>
      <c r="EOL48" s="49">
        <v>0</v>
      </c>
      <c r="EOM48" s="49"/>
      <c r="EON48" s="184">
        <f t="shared" si="1428"/>
        <v>962</v>
      </c>
      <c r="EOO48" s="244">
        <v>1054</v>
      </c>
      <c r="EOP48" s="49">
        <v>0</v>
      </c>
      <c r="EOQ48" s="49">
        <v>0</v>
      </c>
      <c r="EOR48" s="49">
        <v>0</v>
      </c>
      <c r="EOS48" s="49">
        <v>0</v>
      </c>
      <c r="EOT48" s="49">
        <v>0</v>
      </c>
      <c r="EOU48" s="64">
        <f t="shared" si="1429"/>
        <v>1054</v>
      </c>
      <c r="EOV48" s="211">
        <f t="shared" si="1430"/>
        <v>175.66666666666666</v>
      </c>
      <c r="EOW48" s="195">
        <v>0</v>
      </c>
      <c r="EOX48" s="49">
        <v>1582</v>
      </c>
      <c r="EOY48" s="49">
        <v>0</v>
      </c>
      <c r="EOZ48" s="49">
        <v>220</v>
      </c>
      <c r="EPA48" s="49">
        <v>708</v>
      </c>
      <c r="EPB48" s="49">
        <v>0</v>
      </c>
      <c r="EPC48" s="64">
        <f t="shared" si="1431"/>
        <v>2510</v>
      </c>
      <c r="EPD48" s="211">
        <f t="shared" si="1432"/>
        <v>418.33333333333331</v>
      </c>
      <c r="EPE48" s="195">
        <v>0</v>
      </c>
      <c r="EPF48" s="49">
        <v>0</v>
      </c>
      <c r="EPG48" s="49">
        <v>0</v>
      </c>
      <c r="EPH48" s="49">
        <v>959</v>
      </c>
      <c r="EPI48" s="49">
        <v>0</v>
      </c>
      <c r="EPJ48" s="49">
        <v>0</v>
      </c>
      <c r="EPK48" s="64">
        <f t="shared" si="1433"/>
        <v>959</v>
      </c>
      <c r="EPL48" s="211">
        <f t="shared" si="1434"/>
        <v>159.83333333333334</v>
      </c>
      <c r="EPM48" s="195">
        <v>0</v>
      </c>
      <c r="EPN48" s="49">
        <v>0</v>
      </c>
      <c r="EPO48" s="49">
        <v>0</v>
      </c>
      <c r="EPP48" s="49">
        <v>923</v>
      </c>
      <c r="EPQ48" s="49">
        <v>0</v>
      </c>
      <c r="EPR48" s="49">
        <v>0</v>
      </c>
      <c r="EPS48" s="64">
        <f t="shared" si="1435"/>
        <v>923</v>
      </c>
      <c r="EPT48" s="211">
        <f t="shared" si="1436"/>
        <v>153.83333333333334</v>
      </c>
      <c r="EPU48" s="195">
        <v>0</v>
      </c>
      <c r="EPV48" s="49">
        <v>0</v>
      </c>
      <c r="EPW48" s="49">
        <v>1583</v>
      </c>
      <c r="EPX48" s="49">
        <v>0</v>
      </c>
      <c r="EPY48" s="49"/>
      <c r="EPZ48" s="49"/>
      <c r="EQA48" s="64">
        <f t="shared" si="1437"/>
        <v>1583</v>
      </c>
      <c r="EQB48" s="211">
        <f t="shared" si="1438"/>
        <v>263.83333333333331</v>
      </c>
      <c r="EQC48" s="195">
        <v>0</v>
      </c>
      <c r="EQD48" s="49">
        <v>0</v>
      </c>
      <c r="EQE48" s="49">
        <v>0</v>
      </c>
      <c r="EQF48" s="49">
        <v>0</v>
      </c>
      <c r="EQG48" s="49">
        <v>968</v>
      </c>
      <c r="EQH48" s="49"/>
      <c r="EQI48" s="64">
        <f t="shared" si="1439"/>
        <v>968</v>
      </c>
      <c r="EQJ48" s="211">
        <f t="shared" si="1440"/>
        <v>161.33333333333334</v>
      </c>
      <c r="EQK48" s="195">
        <v>1803</v>
      </c>
      <c r="EQL48" s="49">
        <v>105</v>
      </c>
      <c r="EQM48" s="49">
        <v>0</v>
      </c>
      <c r="EQN48" s="49"/>
      <c r="EQO48" s="49">
        <v>0</v>
      </c>
      <c r="EQP48" s="49">
        <v>0</v>
      </c>
      <c r="EQQ48" s="64">
        <f t="shared" si="1441"/>
        <v>1908</v>
      </c>
      <c r="EQR48" s="211">
        <f t="shared" si="1442"/>
        <v>318</v>
      </c>
      <c r="EQS48" s="195">
        <v>1558</v>
      </c>
      <c r="EQT48" s="49">
        <v>0</v>
      </c>
      <c r="EQU48" s="49">
        <v>0</v>
      </c>
      <c r="EQV48" s="49">
        <v>0</v>
      </c>
      <c r="EQW48" s="49"/>
      <c r="EQX48" s="49">
        <v>0</v>
      </c>
      <c r="EQY48" s="64">
        <f t="shared" si="1443"/>
        <v>1558</v>
      </c>
      <c r="EQZ48" s="211">
        <f t="shared" si="1444"/>
        <v>259.66666666666669</v>
      </c>
      <c r="ERA48" s="195">
        <v>0</v>
      </c>
      <c r="ERB48" s="49">
        <v>0</v>
      </c>
      <c r="ERC48" s="49"/>
      <c r="ERD48" s="49">
        <v>0</v>
      </c>
      <c r="ERE48" s="49">
        <v>0</v>
      </c>
      <c r="ERF48" s="49">
        <v>944</v>
      </c>
      <c r="ERG48" s="64">
        <f t="shared" si="1445"/>
        <v>944</v>
      </c>
      <c r="ERH48" s="211">
        <f t="shared" si="1446"/>
        <v>157.33333333333334</v>
      </c>
      <c r="ERI48" s="195"/>
      <c r="ERJ48" s="49">
        <v>0</v>
      </c>
      <c r="ERK48" s="49">
        <v>946</v>
      </c>
      <c r="ERL48" s="49">
        <v>0</v>
      </c>
      <c r="ERM48" s="49">
        <v>0</v>
      </c>
      <c r="ERN48" s="49"/>
      <c r="ERO48" s="64">
        <f t="shared" si="1447"/>
        <v>946</v>
      </c>
      <c r="ERP48" s="211">
        <f t="shared" si="1448"/>
        <v>157.66666666666666</v>
      </c>
      <c r="ERQ48" s="195"/>
      <c r="ERR48" s="49">
        <v>1969</v>
      </c>
      <c r="ERS48" s="49"/>
      <c r="ERT48" s="49">
        <v>0</v>
      </c>
      <c r="ERU48" s="49">
        <v>0</v>
      </c>
      <c r="ERV48" s="49">
        <v>0</v>
      </c>
      <c r="ERW48" s="64">
        <f t="shared" si="1449"/>
        <v>1969</v>
      </c>
      <c r="ERX48" s="211">
        <f t="shared" si="1450"/>
        <v>328.16666666666669</v>
      </c>
      <c r="ERY48" s="195">
        <v>0</v>
      </c>
      <c r="ERZ48" s="49">
        <v>0</v>
      </c>
      <c r="ESA48" s="49"/>
      <c r="ESB48" s="49">
        <v>898</v>
      </c>
      <c r="ESC48" s="49">
        <v>0</v>
      </c>
      <c r="ESD48" s="49">
        <v>0</v>
      </c>
      <c r="ESE48" s="64">
        <f t="shared" si="1451"/>
        <v>898</v>
      </c>
      <c r="ESF48" s="211">
        <f t="shared" si="1452"/>
        <v>149.66666666666666</v>
      </c>
      <c r="ESG48" s="195">
        <v>0</v>
      </c>
      <c r="ESH48" s="49">
        <v>2242</v>
      </c>
      <c r="ESI48" s="49">
        <v>0</v>
      </c>
      <c r="ESJ48" s="49">
        <v>0</v>
      </c>
      <c r="ESK48" s="49"/>
      <c r="ESL48" s="49">
        <v>0</v>
      </c>
      <c r="ESM48" s="64">
        <f t="shared" si="1453"/>
        <v>2242</v>
      </c>
      <c r="ESN48" s="211">
        <f t="shared" si="1454"/>
        <v>373.66666666666669</v>
      </c>
      <c r="ESO48" s="458">
        <v>0</v>
      </c>
      <c r="ESP48" s="83">
        <v>1640</v>
      </c>
      <c r="ESQ48" s="83">
        <v>0</v>
      </c>
      <c r="ESR48" s="83">
        <v>0</v>
      </c>
      <c r="ESS48" s="83">
        <v>0</v>
      </c>
      <c r="EST48" s="83"/>
      <c r="ESU48" s="64">
        <f t="shared" si="1455"/>
        <v>1640</v>
      </c>
      <c r="ESV48" s="211">
        <f t="shared" si="1456"/>
        <v>273.33333333333331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0</v>
      </c>
      <c r="ETC48" s="808">
        <f t="shared" si="1457"/>
        <v>0</v>
      </c>
      <c r="ETD48" s="211">
        <f t="shared" si="1458"/>
        <v>0</v>
      </c>
      <c r="ETE48" s="195">
        <v>1631</v>
      </c>
      <c r="ETF48" s="49">
        <v>0</v>
      </c>
      <c r="ETG48" s="49">
        <v>0</v>
      </c>
      <c r="ETH48" s="49">
        <v>0</v>
      </c>
      <c r="ETI48" s="49">
        <v>0</v>
      </c>
      <c r="ETJ48" s="49">
        <v>0</v>
      </c>
      <c r="ETK48" s="808">
        <f t="shared" si="1459"/>
        <v>1631</v>
      </c>
      <c r="ETL48" s="211">
        <f t="shared" si="1460"/>
        <v>271.83333333333331</v>
      </c>
      <c r="ETM48" s="814">
        <v>0</v>
      </c>
      <c r="ETN48" s="815">
        <v>0</v>
      </c>
      <c r="ETO48" s="815">
        <v>0</v>
      </c>
      <c r="ETP48" s="815">
        <v>0</v>
      </c>
      <c r="ETQ48" s="815">
        <v>0</v>
      </c>
      <c r="ETR48" s="815">
        <v>0</v>
      </c>
      <c r="ETS48" s="808">
        <f t="shared" si="1461"/>
        <v>0</v>
      </c>
      <c r="ETT48" s="211">
        <f t="shared" si="1462"/>
        <v>0</v>
      </c>
      <c r="ETU48" s="458">
        <v>886</v>
      </c>
      <c r="ETV48" s="83">
        <v>0</v>
      </c>
      <c r="ETW48" s="83">
        <v>0</v>
      </c>
      <c r="ETX48" s="83">
        <v>0</v>
      </c>
      <c r="ETY48" s="83"/>
      <c r="ETZ48" s="83">
        <v>926</v>
      </c>
      <c r="EUA48" s="808">
        <f t="shared" si="1463"/>
        <v>1812</v>
      </c>
      <c r="EUB48" s="211">
        <f t="shared" si="1464"/>
        <v>302</v>
      </c>
      <c r="EUC48" s="458"/>
      <c r="EUD48" s="83">
        <v>0</v>
      </c>
      <c r="EUE48" s="83"/>
      <c r="EUF48" s="83">
        <v>1259</v>
      </c>
      <c r="EUG48" s="83">
        <v>0</v>
      </c>
      <c r="EUH48" s="83">
        <v>0</v>
      </c>
      <c r="EUI48" s="808">
        <f t="shared" si="1465"/>
        <v>1259</v>
      </c>
      <c r="EUJ48" s="211">
        <f t="shared" si="1466"/>
        <v>209.83333333333334</v>
      </c>
      <c r="EUK48" s="195"/>
      <c r="EUL48" s="49"/>
      <c r="EUM48" s="49"/>
      <c r="EUN48" s="49">
        <v>912</v>
      </c>
      <c r="EUO48" s="49">
        <v>0</v>
      </c>
      <c r="EUP48" s="49">
        <v>0</v>
      </c>
      <c r="EUQ48" s="808">
        <f t="shared" si="1467"/>
        <v>912</v>
      </c>
      <c r="EUR48" s="211">
        <f t="shared" si="1468"/>
        <v>152</v>
      </c>
      <c r="EUS48" s="195">
        <v>0</v>
      </c>
      <c r="EUT48" s="49">
        <v>0</v>
      </c>
      <c r="EUU48" s="49"/>
      <c r="EUV48" s="49">
        <v>0</v>
      </c>
      <c r="EUW48" s="49">
        <v>0</v>
      </c>
      <c r="EUX48" s="49"/>
      <c r="EUY48" s="808">
        <f t="shared" si="1469"/>
        <v>0</v>
      </c>
      <c r="EUZ48" s="211">
        <f t="shared" si="1470"/>
        <v>0</v>
      </c>
      <c r="EVA48" s="195">
        <v>0</v>
      </c>
      <c r="EVB48" s="49"/>
      <c r="EVC48" s="49">
        <v>0</v>
      </c>
      <c r="EVD48" s="49"/>
      <c r="EVE48" s="49"/>
      <c r="EVF48" s="49"/>
      <c r="EVG48" s="808">
        <f t="shared" si="1471"/>
        <v>0</v>
      </c>
      <c r="EVH48" s="211">
        <f t="shared" si="1472"/>
        <v>0</v>
      </c>
      <c r="EVI48" s="195"/>
      <c r="EVJ48" s="49">
        <v>0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73"/>
        <v>0</v>
      </c>
      <c r="EVP48" s="211">
        <f t="shared" si="1474"/>
        <v>0</v>
      </c>
      <c r="EVQ48" s="195">
        <v>0</v>
      </c>
      <c r="EVR48" s="49">
        <v>0</v>
      </c>
      <c r="EVS48" s="49">
        <v>0</v>
      </c>
      <c r="EVT48" s="49"/>
      <c r="EVU48" s="49">
        <v>1306</v>
      </c>
      <c r="EVV48" s="49">
        <v>0</v>
      </c>
      <c r="EVW48" s="808">
        <f t="shared" si="1475"/>
        <v>1306</v>
      </c>
      <c r="EVX48" s="211">
        <f t="shared" si="1476"/>
        <v>217.66666666666666</v>
      </c>
      <c r="EVY48" s="195">
        <v>0</v>
      </c>
      <c r="EVZ48" s="49"/>
      <c r="EWA48" s="49">
        <v>0</v>
      </c>
      <c r="EWB48" s="49">
        <v>0</v>
      </c>
      <c r="EWC48" s="49">
        <v>595</v>
      </c>
      <c r="EWD48" s="49">
        <v>623</v>
      </c>
      <c r="EWE48" s="808">
        <f t="shared" si="1477"/>
        <v>1218</v>
      </c>
      <c r="EWF48" s="211">
        <f t="shared" si="1478"/>
        <v>203</v>
      </c>
      <c r="EWG48" s="195"/>
      <c r="EWH48" s="49">
        <v>925</v>
      </c>
      <c r="EWI48" s="49"/>
      <c r="EWJ48" s="49">
        <v>0</v>
      </c>
      <c r="EWK48" s="49"/>
      <c r="EWL48" s="49"/>
      <c r="EWM48" s="808">
        <f t="shared" si="1479"/>
        <v>925</v>
      </c>
      <c r="EWN48" s="211">
        <f t="shared" si="1480"/>
        <v>154.16666666666666</v>
      </c>
      <c r="EWO48" s="195">
        <v>1305</v>
      </c>
      <c r="EWP48" s="49"/>
      <c r="EWQ48" s="49"/>
      <c r="EWR48" s="49">
        <v>0</v>
      </c>
      <c r="EWS48" s="49">
        <v>0</v>
      </c>
      <c r="EWT48" s="49">
        <v>1281</v>
      </c>
      <c r="EWU48" s="808">
        <f t="shared" si="1481"/>
        <v>2586</v>
      </c>
      <c r="EWV48" s="211">
        <f t="shared" si="1482"/>
        <v>431</v>
      </c>
      <c r="EWW48" s="195"/>
      <c r="EWX48" s="49"/>
      <c r="EWY48" s="49">
        <v>0</v>
      </c>
      <c r="EWZ48" s="49">
        <v>1291</v>
      </c>
      <c r="EXA48" s="49">
        <v>0</v>
      </c>
      <c r="EXB48" s="49"/>
      <c r="EXC48" s="808">
        <f t="shared" si="1483"/>
        <v>1291</v>
      </c>
      <c r="EXD48" s="211">
        <f t="shared" si="1484"/>
        <v>215.16666666666666</v>
      </c>
      <c r="EXE48" s="195"/>
      <c r="EXF48" s="49">
        <v>0</v>
      </c>
      <c r="EXG48" s="49">
        <v>962</v>
      </c>
      <c r="EXH48" s="49"/>
      <c r="EXI48" s="49">
        <v>0</v>
      </c>
      <c r="EXJ48" s="49">
        <v>0</v>
      </c>
      <c r="EXK48" s="808">
        <f t="shared" si="1485"/>
        <v>962</v>
      </c>
      <c r="EXL48" s="211">
        <f t="shared" si="1486"/>
        <v>160.33333333333334</v>
      </c>
      <c r="EXM48" s="458">
        <v>0</v>
      </c>
      <c r="EXN48" s="83">
        <v>0</v>
      </c>
      <c r="EXO48" s="83">
        <v>0</v>
      </c>
      <c r="EXP48" s="83">
        <v>0</v>
      </c>
      <c r="EXQ48" s="83"/>
      <c r="EXR48" s="83">
        <v>0</v>
      </c>
      <c r="EXS48" s="808">
        <f t="shared" si="1487"/>
        <v>0</v>
      </c>
      <c r="EXT48" s="211">
        <f t="shared" si="1488"/>
        <v>0</v>
      </c>
      <c r="EXU48" s="195">
        <v>0</v>
      </c>
      <c r="EXV48" s="49">
        <v>0</v>
      </c>
      <c r="EXW48" s="49"/>
      <c r="EXX48" s="49">
        <v>0</v>
      </c>
      <c r="EXY48" s="49"/>
      <c r="EXZ48" s="49">
        <v>0</v>
      </c>
      <c r="EYA48" s="808">
        <f t="shared" si="1489"/>
        <v>0</v>
      </c>
      <c r="EYB48" s="211">
        <f t="shared" si="1490"/>
        <v>0</v>
      </c>
      <c r="EYC48" s="195">
        <v>591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491"/>
        <v>591</v>
      </c>
      <c r="EYJ48" s="211">
        <f t="shared" si="1492"/>
        <v>98.5</v>
      </c>
      <c r="EYK48" s="195">
        <v>911</v>
      </c>
      <c r="EYL48" s="49">
        <v>0</v>
      </c>
      <c r="EYM48" s="49">
        <v>0</v>
      </c>
      <c r="EYN48" s="49">
        <v>0</v>
      </c>
      <c r="EYO48" s="49">
        <v>0</v>
      </c>
      <c r="EYP48" s="49"/>
      <c r="EYQ48" s="808">
        <f t="shared" si="1493"/>
        <v>911</v>
      </c>
      <c r="EYR48" s="211">
        <f t="shared" si="1494"/>
        <v>151.83333333333334</v>
      </c>
      <c r="EYS48" s="195">
        <v>0</v>
      </c>
      <c r="EYT48" s="49">
        <v>910</v>
      </c>
      <c r="EYU48" s="49">
        <v>0</v>
      </c>
      <c r="EYV48" s="49">
        <v>856</v>
      </c>
      <c r="EYW48" s="49"/>
      <c r="EYX48" s="49"/>
      <c r="EYY48" s="872">
        <f t="shared" si="1495"/>
        <v>1766</v>
      </c>
      <c r="EYZ48" s="873">
        <f t="shared" si="1496"/>
        <v>294.33333333333331</v>
      </c>
      <c r="EZA48" s="195">
        <v>0</v>
      </c>
      <c r="EZB48" s="49">
        <v>0</v>
      </c>
      <c r="EZC48" s="49">
        <v>289</v>
      </c>
      <c r="EZD48" s="49"/>
      <c r="EZE48" s="49">
        <v>0</v>
      </c>
      <c r="EZF48" s="49">
        <v>0</v>
      </c>
      <c r="EZG48" s="872">
        <f t="shared" si="1497"/>
        <v>289</v>
      </c>
      <c r="EZH48" s="873">
        <f t="shared" si="1498"/>
        <v>48.166666666666664</v>
      </c>
      <c r="EZI48" s="195">
        <v>0</v>
      </c>
      <c r="EZJ48" s="49">
        <v>0</v>
      </c>
      <c r="EZK48" s="49"/>
      <c r="EZL48" s="49"/>
      <c r="EZM48" s="49"/>
      <c r="EZN48" s="49"/>
      <c r="EZO48" s="872">
        <f t="shared" si="1499"/>
        <v>0</v>
      </c>
      <c r="EZP48" s="873">
        <f t="shared" si="1500"/>
        <v>0</v>
      </c>
    </row>
    <row r="49" spans="1:4072" s="8" customFormat="1" ht="13.5" thickBot="1" x14ac:dyDescent="0.25">
      <c r="A49" s="21">
        <v>20</v>
      </c>
      <c r="B49" s="297" t="s">
        <v>337</v>
      </c>
      <c r="C49" s="730" t="s">
        <v>340</v>
      </c>
      <c r="D49" s="297">
        <v>25</v>
      </c>
      <c r="E49" s="24"/>
      <c r="F49" s="24">
        <v>2369</v>
      </c>
      <c r="G49" s="24"/>
      <c r="H49" s="24"/>
      <c r="I49" s="360"/>
      <c r="J49" s="360">
        <f>SUMIF(SUMPK!$B:$B,$B:$B,SUMPK!$O:$O)</f>
        <v>0</v>
      </c>
      <c r="K49" s="24">
        <f t="shared" si="1220"/>
        <v>0</v>
      </c>
      <c r="L49" s="24">
        <f t="shared" ref="L49:L54" si="2415">F49+H49-J49</f>
        <v>2369</v>
      </c>
      <c r="M49" s="15">
        <f t="shared" ref="M49:M54" si="2416">K49+L49</f>
        <v>2369</v>
      </c>
      <c r="N49" s="15">
        <v>0</v>
      </c>
      <c r="O49" s="276"/>
      <c r="P49" s="712"/>
      <c r="Q49" s="276"/>
      <c r="R49" s="277"/>
      <c r="S49" s="222"/>
      <c r="T49" s="276"/>
      <c r="U49" s="278"/>
      <c r="V49" s="276">
        <f t="shared" si="1227"/>
        <v>0</v>
      </c>
      <c r="W49" s="279">
        <f t="shared" ref="W49:W59" si="2417">F49/(E49+F49)</f>
        <v>1</v>
      </c>
      <c r="X49" s="278"/>
      <c r="Y49" s="7"/>
      <c r="Z49" s="7"/>
      <c r="AA49" s="7"/>
      <c r="AB49" s="7"/>
      <c r="AC49" s="662">
        <v>22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/>
      <c r="COC49" s="88"/>
      <c r="COD49" s="94"/>
      <c r="COE49" s="95"/>
      <c r="COF49" s="48"/>
      <c r="COG49" s="49"/>
      <c r="COH49" s="49"/>
      <c r="COI49" s="49"/>
      <c r="COJ49" s="49"/>
      <c r="COK49" s="49"/>
      <c r="COL49" s="67"/>
      <c r="COM49" s="68"/>
      <c r="CON49" s="48"/>
      <c r="COO49" s="49"/>
      <c r="COP49" s="49"/>
      <c r="COQ49" s="49"/>
      <c r="COR49" s="49"/>
      <c r="COS49" s="49"/>
      <c r="COT49" s="67"/>
      <c r="COU49" s="68"/>
      <c r="COV49" s="48"/>
      <c r="COW49" s="49"/>
      <c r="COX49" s="49"/>
      <c r="COY49" s="49"/>
      <c r="COZ49" s="49"/>
      <c r="CPA49" s="49"/>
      <c r="CPB49" s="67"/>
      <c r="CPC49" s="68"/>
      <c r="CPD49" s="48"/>
      <c r="CPE49" s="49"/>
      <c r="CPF49" s="49"/>
      <c r="CPG49" s="49"/>
      <c r="CPH49" s="49"/>
      <c r="CPI49" s="49"/>
      <c r="CPJ49" s="67"/>
      <c r="CPK49" s="68"/>
      <c r="CPL49" s="48"/>
      <c r="CPM49" s="49"/>
      <c r="CPN49" s="49"/>
      <c r="CPO49" s="49"/>
      <c r="CPP49" s="49"/>
      <c r="CPQ49" s="49"/>
      <c r="CPR49" s="67"/>
      <c r="CPS49" s="68"/>
      <c r="CPT49" s="48"/>
      <c r="CPU49" s="49"/>
      <c r="CPV49" s="49"/>
      <c r="CPW49" s="49"/>
      <c r="CPX49" s="49"/>
      <c r="CPY49" s="49"/>
      <c r="CPZ49" s="67"/>
      <c r="CQA49" s="68"/>
      <c r="CQB49" s="48"/>
      <c r="CQC49" s="49"/>
      <c r="CQD49" s="49"/>
      <c r="CQE49" s="49"/>
      <c r="CQF49" s="49"/>
      <c r="CQG49" s="49"/>
      <c r="CQH49" s="67"/>
      <c r="CQI49" s="68"/>
      <c r="CQJ49" s="82"/>
      <c r="CQK49" s="83"/>
      <c r="CQL49" s="83"/>
      <c r="CQM49" s="83"/>
      <c r="CQN49" s="83"/>
      <c r="CQO49" s="83"/>
      <c r="CQP49" s="67"/>
      <c r="CQQ49" s="68"/>
      <c r="CQR49" s="239"/>
      <c r="CQS49" s="1"/>
      <c r="CQT49" s="1"/>
      <c r="CQU49" s="1"/>
      <c r="CQV49" s="1"/>
      <c r="CQW49" s="1"/>
      <c r="CQX49" s="67"/>
      <c r="CQY49" s="68"/>
      <c r="CQZ49" s="48"/>
      <c r="CRA49" s="49"/>
      <c r="CRB49" s="49"/>
      <c r="CRC49" s="49"/>
      <c r="CRD49" s="49"/>
      <c r="CRE49" s="49"/>
      <c r="CRF49" s="67"/>
      <c r="CRG49" s="68"/>
      <c r="CRH49" s="48"/>
      <c r="CRI49" s="49"/>
      <c r="CRJ49" s="49"/>
      <c r="CRK49" s="49"/>
      <c r="CRL49" s="49"/>
      <c r="CRM49" s="49"/>
      <c r="CRN49" s="67"/>
      <c r="CRO49" s="68"/>
      <c r="CRP49" s="48"/>
      <c r="CRQ49" s="49"/>
      <c r="CRR49" s="49"/>
      <c r="CRS49" s="49"/>
      <c r="CRT49" s="49"/>
      <c r="CRU49" s="49"/>
      <c r="CRV49" s="47"/>
      <c r="CRW49" s="68"/>
      <c r="CRX49" s="48"/>
      <c r="CRY49" s="49"/>
      <c r="CRZ49" s="49"/>
      <c r="CSA49" s="49"/>
      <c r="CSB49" s="49"/>
      <c r="CSC49" s="49"/>
      <c r="CSD49" s="67"/>
      <c r="CSE49" s="68"/>
      <c r="CSF49" s="48"/>
      <c r="CSG49" s="49"/>
      <c r="CSH49" s="49"/>
      <c r="CSI49" s="49"/>
      <c r="CSJ49" s="49"/>
      <c r="CSK49" s="360"/>
      <c r="CSL49" s="64"/>
      <c r="CSM49" s="68"/>
      <c r="CSN49" s="48"/>
      <c r="CSO49" s="49"/>
      <c r="CSP49" s="49"/>
      <c r="CSQ49" s="49"/>
      <c r="CSR49" s="49"/>
      <c r="CSS49" s="49"/>
      <c r="CST49" s="64"/>
      <c r="CSU49" s="68"/>
      <c r="CSV49" s="48"/>
      <c r="CSW49" s="49"/>
      <c r="CSX49" s="49"/>
      <c r="CSY49" s="49"/>
      <c r="CSZ49" s="49"/>
      <c r="CTA49" s="49"/>
      <c r="CTB49" s="64"/>
      <c r="CTC49" s="68"/>
      <c r="CTD49" s="48"/>
      <c r="CTE49" s="49"/>
      <c r="CTF49" s="49"/>
      <c r="CTG49" s="49"/>
      <c r="CTH49" s="49"/>
      <c r="CTI49" s="49"/>
      <c r="CTJ49" s="64"/>
      <c r="CTK49" s="68"/>
      <c r="CTL49" s="48"/>
      <c r="CTM49" s="49"/>
      <c r="CTN49" s="49"/>
      <c r="CTO49" s="49"/>
      <c r="CTP49" s="49"/>
      <c r="CTQ49" s="49"/>
      <c r="CTR49" s="64"/>
      <c r="CTS49" s="68"/>
      <c r="CTT49" s="48"/>
      <c r="CTU49" s="49"/>
      <c r="CTV49" s="49"/>
      <c r="CTW49" s="49"/>
      <c r="CTX49" s="49"/>
      <c r="CTY49" s="49"/>
      <c r="CTZ49" s="64"/>
      <c r="CUA49" s="68"/>
      <c r="CUB49" s="48"/>
      <c r="CUC49" s="49"/>
      <c r="CUD49" s="49"/>
      <c r="CUE49" s="49"/>
      <c r="CUF49" s="49"/>
      <c r="CUG49" s="49"/>
      <c r="CUH49" s="64"/>
      <c r="CUI49" s="68"/>
      <c r="CUJ49" s="48"/>
      <c r="CUK49" s="49"/>
      <c r="CUL49" s="49"/>
      <c r="CUM49" s="49"/>
      <c r="CUN49" s="49"/>
      <c r="CUO49" s="49"/>
      <c r="CUP49" s="64"/>
      <c r="CUQ49" s="68"/>
      <c r="CUR49" s="48"/>
      <c r="CUS49" s="49"/>
      <c r="CUT49" s="49"/>
      <c r="CUU49" s="49"/>
      <c r="CUV49" s="49"/>
      <c r="CUW49" s="49"/>
      <c r="CUX49" s="64"/>
      <c r="CUY49" s="68"/>
      <c r="CUZ49" s="48"/>
      <c r="CVA49" s="49"/>
      <c r="CVB49" s="49"/>
      <c r="CVC49" s="49"/>
      <c r="CVD49" s="49"/>
      <c r="CVE49" s="49"/>
      <c r="CVF49" s="64"/>
      <c r="CVG49" s="68"/>
      <c r="CVH49" s="48"/>
      <c r="CVI49" s="49"/>
      <c r="CVJ49" s="49"/>
      <c r="CVK49" s="49"/>
      <c r="CVL49" s="49"/>
      <c r="CVM49" s="49"/>
      <c r="CVN49" s="64"/>
      <c r="CVO49" s="68"/>
      <c r="CVP49" s="48"/>
      <c r="CVQ49" s="49"/>
      <c r="CVR49" s="49"/>
      <c r="CVS49" s="49"/>
      <c r="CVT49" s="49"/>
      <c r="CVU49" s="49"/>
      <c r="CVV49" s="64"/>
      <c r="CVW49" s="68"/>
      <c r="CVX49" s="48"/>
      <c r="CVY49" s="49"/>
      <c r="CVZ49" s="49"/>
      <c r="CWA49" s="49"/>
      <c r="CWB49" s="49"/>
      <c r="CWC49" s="49"/>
      <c r="CWD49" s="64"/>
      <c r="CWE49" s="68"/>
      <c r="CWF49" s="48"/>
      <c r="CWG49" s="49"/>
      <c r="CWH49" s="49"/>
      <c r="CWI49" s="49"/>
      <c r="CWJ49" s="49"/>
      <c r="CWK49" s="49"/>
      <c r="CWL49" s="64"/>
      <c r="CWM49" s="68"/>
      <c r="CWN49" s="48"/>
      <c r="CWO49" s="49"/>
      <c r="CWP49" s="49"/>
      <c r="CWQ49" s="49"/>
      <c r="CWR49" s="49"/>
      <c r="CWS49" s="49"/>
      <c r="CWT49" s="64"/>
      <c r="CWU49" s="68"/>
      <c r="CWV49" s="48"/>
      <c r="CWW49" s="49"/>
      <c r="CWX49" s="49"/>
      <c r="CWY49" s="49"/>
      <c r="CWZ49" s="49"/>
      <c r="CXA49" s="49"/>
      <c r="CXB49" s="127"/>
      <c r="CXC49" s="43"/>
      <c r="CXD49" s="48"/>
      <c r="CXE49" s="49"/>
      <c r="CXF49" s="49"/>
      <c r="CXG49" s="49"/>
      <c r="CXH49" s="49"/>
      <c r="CXI49" s="49"/>
      <c r="CXJ49" s="127"/>
      <c r="CXK49" s="43"/>
      <c r="CXL49" s="48"/>
      <c r="CXM49" s="49"/>
      <c r="CXN49" s="49"/>
      <c r="CXO49" s="49"/>
      <c r="CXP49" s="49"/>
      <c r="CXQ49" s="49"/>
      <c r="CXR49" s="127"/>
      <c r="CXS49" s="43"/>
      <c r="CXT49" s="48"/>
      <c r="CXU49" s="49"/>
      <c r="CXV49" s="49"/>
      <c r="CXW49" s="49"/>
      <c r="CXX49" s="49"/>
      <c r="CXY49" s="49"/>
      <c r="CXZ49" s="127"/>
      <c r="CYA49" s="43"/>
      <c r="CYB49" s="48"/>
      <c r="CYC49" s="49"/>
      <c r="CYD49" s="49"/>
      <c r="CYE49" s="49"/>
      <c r="CYF49" s="49"/>
      <c r="CYG49" s="49"/>
      <c r="CYH49" s="127"/>
      <c r="CYI49" s="43"/>
      <c r="CYJ49" s="48"/>
      <c r="CYK49" s="49"/>
      <c r="CYL49" s="49"/>
      <c r="CYM49" s="49"/>
      <c r="CYN49" s="49"/>
      <c r="CYO49" s="49"/>
      <c r="CYP49" s="127"/>
      <c r="CYQ49" s="43"/>
      <c r="CYR49" s="48"/>
      <c r="CYS49" s="49"/>
      <c r="CYT49" s="49"/>
      <c r="CYU49" s="49"/>
      <c r="CYV49" s="49"/>
      <c r="CYW49" s="49"/>
      <c r="CYX49" s="127"/>
      <c r="CYY49" s="43"/>
      <c r="CYZ49" s="48"/>
      <c r="CZA49" s="49"/>
      <c r="CZB49" s="49"/>
      <c r="CZC49" s="49"/>
      <c r="CZD49" s="49"/>
      <c r="CZE49" s="49"/>
      <c r="CZF49" s="127"/>
      <c r="CZG49" s="43"/>
      <c r="CZH49" s="48"/>
      <c r="CZI49" s="49"/>
      <c r="CZJ49" s="49"/>
      <c r="CZK49" s="49"/>
      <c r="CZL49" s="49"/>
      <c r="CZM49" s="49"/>
      <c r="CZN49" s="127"/>
      <c r="CZO49" s="43"/>
      <c r="CZP49" s="48"/>
      <c r="CZQ49" s="49"/>
      <c r="CZR49" s="49"/>
      <c r="CZS49" s="49"/>
      <c r="CZT49" s="49"/>
      <c r="CZU49" s="49"/>
      <c r="CZV49" s="127"/>
      <c r="CZW49" s="43"/>
      <c r="CZX49" s="48"/>
      <c r="CZY49" s="49"/>
      <c r="CZZ49" s="49"/>
      <c r="DAA49" s="49"/>
      <c r="DAB49" s="49"/>
      <c r="DAC49" s="49"/>
      <c r="DAD49" s="64"/>
      <c r="DAE49" s="68"/>
      <c r="DAF49" s="48"/>
      <c r="DAG49" s="49"/>
      <c r="DAH49" s="49"/>
      <c r="DAI49" s="49"/>
      <c r="DAJ49" s="49"/>
      <c r="DAK49" s="49"/>
      <c r="DAL49" s="64"/>
      <c r="DAM49" s="68"/>
      <c r="DAN49" s="48"/>
      <c r="DAO49" s="49"/>
      <c r="DAP49" s="49"/>
      <c r="DAQ49" s="49"/>
      <c r="DAR49" s="49"/>
      <c r="DAS49" s="49"/>
      <c r="DAT49" s="64"/>
      <c r="DAU49" s="68"/>
      <c r="DAV49" s="48"/>
      <c r="DAW49" s="49"/>
      <c r="DAX49" s="49"/>
      <c r="DAY49" s="49"/>
      <c r="DAZ49" s="49"/>
      <c r="DBA49" s="49"/>
      <c r="DBB49" s="64"/>
      <c r="DBC49" s="68"/>
      <c r="DBD49" s="48"/>
      <c r="DBE49" s="49"/>
      <c r="DBF49" s="49"/>
      <c r="DBG49" s="49"/>
      <c r="DBH49" s="49"/>
      <c r="DBI49" s="49"/>
      <c r="DBJ49" s="64"/>
      <c r="DBK49" s="68"/>
      <c r="DBL49" s="48"/>
      <c r="DBM49" s="49"/>
      <c r="DBN49" s="49"/>
      <c r="DBO49" s="49"/>
      <c r="DBP49" s="49"/>
      <c r="DBQ49" s="49"/>
      <c r="DBR49" s="64"/>
      <c r="DBS49" s="68"/>
      <c r="DBT49" s="48"/>
      <c r="DBU49" s="49"/>
      <c r="DBV49" s="49"/>
      <c r="DBW49" s="49"/>
      <c r="DBX49" s="49"/>
      <c r="DBY49" s="49"/>
      <c r="DBZ49" s="64"/>
      <c r="DCA49" s="68"/>
      <c r="DCB49" s="48"/>
      <c r="DCC49" s="49"/>
      <c r="DCD49" s="49"/>
      <c r="DCE49" s="49"/>
      <c r="DCF49" s="49"/>
      <c r="DCG49" s="49"/>
      <c r="DCH49" s="64"/>
      <c r="DCI49" s="68"/>
      <c r="DCJ49" s="48"/>
      <c r="DCK49" s="49"/>
      <c r="DCL49" s="49"/>
      <c r="DCM49" s="49"/>
      <c r="DCN49" s="49"/>
      <c r="DCO49" s="49"/>
      <c r="DCP49" s="64"/>
      <c r="DCQ49" s="68"/>
      <c r="DCR49" s="48"/>
      <c r="DCS49" s="49"/>
      <c r="DCT49" s="49"/>
      <c r="DCU49" s="49"/>
      <c r="DCV49" s="49"/>
      <c r="DCW49" s="49"/>
      <c r="DCX49" s="64"/>
      <c r="DCY49" s="68"/>
      <c r="DCZ49" s="48"/>
      <c r="DDA49" s="49"/>
      <c r="DDB49" s="49"/>
      <c r="DDC49" s="49"/>
      <c r="DDD49" s="49"/>
      <c r="DDE49" s="49"/>
      <c r="DDF49" s="64"/>
      <c r="DDG49" s="68"/>
      <c r="DDH49" s="48"/>
      <c r="DDI49" s="49"/>
      <c r="DDJ49" s="49"/>
      <c r="DDK49" s="49"/>
      <c r="DDL49" s="49"/>
      <c r="DDM49" s="49"/>
      <c r="DDN49" s="127"/>
      <c r="DDO49" s="43"/>
      <c r="DDP49" s="48"/>
      <c r="DDQ49" s="49"/>
      <c r="DDR49" s="49"/>
      <c r="DDS49" s="49"/>
      <c r="DDT49" s="49"/>
      <c r="DDU49" s="49"/>
      <c r="DDV49" s="127"/>
      <c r="DDW49" s="43"/>
      <c r="DDX49" s="48"/>
      <c r="DDY49" s="49"/>
      <c r="DDZ49" s="49"/>
      <c r="DEA49" s="49"/>
      <c r="DEB49" s="49"/>
      <c r="DEC49" s="49"/>
      <c r="DED49" s="127"/>
      <c r="DEE49" s="43"/>
      <c r="DEF49" s="48"/>
      <c r="DEG49" s="49"/>
      <c r="DEH49" s="49"/>
      <c r="DEI49" s="49"/>
      <c r="DEJ49" s="49"/>
      <c r="DEK49" s="49"/>
      <c r="DEL49" s="127"/>
      <c r="DEM49" s="43"/>
      <c r="DEN49" s="48"/>
      <c r="DEO49" s="49"/>
      <c r="DEP49" s="49"/>
      <c r="DEQ49" s="49"/>
      <c r="DER49" s="49"/>
      <c r="DES49" s="49"/>
      <c r="DET49" s="127"/>
      <c r="DEU49" s="43"/>
      <c r="DEV49" s="48"/>
      <c r="DEW49" s="49"/>
      <c r="DEX49" s="49"/>
      <c r="DEY49" s="49"/>
      <c r="DEZ49" s="49"/>
      <c r="DFA49" s="49"/>
      <c r="DFB49" s="127"/>
      <c r="DFC49" s="43"/>
      <c r="DFD49" s="48"/>
      <c r="DFE49" s="49"/>
      <c r="DFF49" s="49"/>
      <c r="DFG49" s="49"/>
      <c r="DFH49" s="49"/>
      <c r="DFI49" s="49"/>
      <c r="DFJ49" s="127"/>
      <c r="DFK49" s="43"/>
      <c r="DFL49" s="63"/>
      <c r="DFM49" s="64"/>
      <c r="DFN49" s="64"/>
      <c r="DFO49" s="64"/>
      <c r="DFP49" s="64"/>
      <c r="DFQ49" s="64"/>
      <c r="DFR49" s="64"/>
      <c r="DFS49" s="68"/>
      <c r="DFT49" s="48"/>
      <c r="DFU49" s="49"/>
      <c r="DFV49" s="49"/>
      <c r="DFW49" s="49"/>
      <c r="DFX49" s="49"/>
      <c r="DFY49" s="49"/>
      <c r="DFZ49" s="127"/>
      <c r="DGA49" s="43"/>
      <c r="DGB49" s="48"/>
      <c r="DGC49" s="49"/>
      <c r="DGD49" s="49"/>
      <c r="DGE49" s="49"/>
      <c r="DGF49" s="49"/>
      <c r="DGG49" s="49"/>
      <c r="DGH49" s="127"/>
      <c r="DGI49" s="43"/>
      <c r="DGJ49" s="48"/>
      <c r="DGK49" s="49"/>
      <c r="DGL49" s="49"/>
      <c r="DGM49" s="49"/>
      <c r="DGN49" s="49"/>
      <c r="DGO49" s="49"/>
      <c r="DGP49" s="64"/>
      <c r="DGQ49" s="68"/>
      <c r="DGR49" s="48"/>
      <c r="DGS49" s="49"/>
      <c r="DGT49" s="49"/>
      <c r="DGU49" s="49"/>
      <c r="DGV49" s="49"/>
      <c r="DGW49" s="49"/>
      <c r="DGX49" s="64"/>
      <c r="DGY49" s="68"/>
      <c r="DGZ49" s="48"/>
      <c r="DHA49" s="49"/>
      <c r="DHB49" s="49"/>
      <c r="DHC49" s="49"/>
      <c r="DHD49" s="49"/>
      <c r="DHE49" s="49"/>
      <c r="DHF49" s="64"/>
      <c r="DHG49" s="68"/>
      <c r="DHH49" s="63"/>
      <c r="DHI49" s="64"/>
      <c r="DHJ49" s="64"/>
      <c r="DHK49" s="64"/>
      <c r="DHL49" s="64"/>
      <c r="DHM49" s="64"/>
      <c r="DHN49" s="64"/>
      <c r="DHO49" s="68"/>
      <c r="DHP49" s="48"/>
      <c r="DHQ49" s="49"/>
      <c r="DHR49" s="49"/>
      <c r="DHS49" s="49"/>
      <c r="DHT49" s="49"/>
      <c r="DHU49" s="49"/>
      <c r="DHV49" s="64"/>
      <c r="DHW49" s="68"/>
      <c r="DHX49" s="48"/>
      <c r="DHY49" s="49"/>
      <c r="DHZ49" s="49"/>
      <c r="DIA49" s="49"/>
      <c r="DIB49" s="49"/>
      <c r="DIC49" s="49"/>
      <c r="DID49" s="64"/>
      <c r="DIE49" s="68"/>
      <c r="DIF49" s="48"/>
      <c r="DIG49" s="49"/>
      <c r="DIH49" s="49"/>
      <c r="DII49" s="49"/>
      <c r="DIJ49" s="49"/>
      <c r="DIK49" s="49"/>
      <c r="DIL49" s="64"/>
      <c r="DIM49" s="68"/>
      <c r="DIN49" s="48"/>
      <c r="DIO49" s="49"/>
      <c r="DIP49" s="49"/>
      <c r="DIQ49" s="49"/>
      <c r="DIR49" s="49"/>
      <c r="DIS49" s="49"/>
      <c r="DIT49" s="64"/>
      <c r="DIU49" s="68"/>
      <c r="DIV49" s="48"/>
      <c r="DIW49" s="49"/>
      <c r="DIX49" s="49"/>
      <c r="DIY49" s="49"/>
      <c r="DIZ49" s="49"/>
      <c r="DJA49" s="49"/>
      <c r="DJB49" s="64"/>
      <c r="DJC49" s="68"/>
      <c r="DJD49" s="48"/>
      <c r="DJE49" s="49"/>
      <c r="DJF49" s="49"/>
      <c r="DJG49" s="49"/>
      <c r="DJH49" s="49"/>
      <c r="DJI49" s="49"/>
      <c r="DJJ49" s="64"/>
      <c r="DJK49" s="68"/>
      <c r="DJL49" s="48"/>
      <c r="DJM49" s="49"/>
      <c r="DJN49" s="49"/>
      <c r="DJO49" s="49"/>
      <c r="DJP49" s="49"/>
      <c r="DJQ49" s="49"/>
      <c r="DJR49" s="64"/>
      <c r="DJS49" s="68"/>
      <c r="DJT49" s="48"/>
      <c r="DJU49" s="49"/>
      <c r="DJV49" s="49"/>
      <c r="DJW49" s="49"/>
      <c r="DJX49" s="49"/>
      <c r="DJY49" s="49"/>
      <c r="DJZ49" s="64"/>
      <c r="DKA49" s="68"/>
      <c r="DKB49" s="48"/>
      <c r="DKC49" s="49"/>
      <c r="DKD49" s="49"/>
      <c r="DKE49" s="49"/>
      <c r="DKF49" s="49"/>
      <c r="DKG49" s="49"/>
      <c r="DKH49" s="64"/>
      <c r="DKI49" s="68"/>
      <c r="DKJ49" s="48"/>
      <c r="DKK49" s="49"/>
      <c r="DKL49" s="49"/>
      <c r="DKM49" s="49"/>
      <c r="DKN49" s="49"/>
      <c r="DKO49" s="49"/>
      <c r="DKP49" s="64"/>
      <c r="DKQ49" s="68"/>
      <c r="DKR49" s="48"/>
      <c r="DKS49" s="49"/>
      <c r="DKT49" s="49"/>
      <c r="DKU49" s="49"/>
      <c r="DKV49" s="49"/>
      <c r="DKW49" s="49"/>
      <c r="DKX49" s="64"/>
      <c r="DKY49" s="68"/>
      <c r="DKZ49" s="48"/>
      <c r="DLA49" s="49"/>
      <c r="DLB49" s="49"/>
      <c r="DLC49" s="49"/>
      <c r="DLD49" s="49"/>
      <c r="DLE49" s="49"/>
      <c r="DLF49" s="64"/>
      <c r="DLG49" s="68"/>
      <c r="DLH49" s="48"/>
      <c r="DLI49" s="49"/>
      <c r="DLJ49" s="49"/>
      <c r="DLK49" s="49"/>
      <c r="DLL49" s="49"/>
      <c r="DLM49" s="49"/>
      <c r="DLN49" s="64"/>
      <c r="DLO49" s="68"/>
      <c r="DLP49" s="48"/>
      <c r="DLQ49" s="49"/>
      <c r="DLR49" s="49"/>
      <c r="DLS49" s="49"/>
      <c r="DLT49" s="49"/>
      <c r="DLU49" s="49"/>
      <c r="DLV49" s="64"/>
      <c r="DLW49" s="68"/>
      <c r="DLX49" s="48"/>
      <c r="DLY49" s="49"/>
      <c r="DLZ49" s="49"/>
      <c r="DMA49" s="49"/>
      <c r="DMB49" s="49"/>
      <c r="DMC49" s="49"/>
      <c r="DMD49" s="64"/>
      <c r="DME49" s="68"/>
      <c r="DMF49" s="48"/>
      <c r="DMG49" s="49"/>
      <c r="DMH49" s="49"/>
      <c r="DMI49" s="49"/>
      <c r="DMJ49" s="49"/>
      <c r="DMK49" s="49"/>
      <c r="DML49" s="64"/>
      <c r="DMM49" s="68"/>
      <c r="DMN49" s="48"/>
      <c r="DMO49" s="49"/>
      <c r="DMP49" s="49"/>
      <c r="DMQ49" s="49"/>
      <c r="DMR49" s="49"/>
      <c r="DMS49" s="49"/>
      <c r="DMT49" s="64"/>
      <c r="DMU49" s="68"/>
      <c r="DMV49" s="48"/>
      <c r="DMW49" s="49"/>
      <c r="DMX49" s="49"/>
      <c r="DMY49" s="49"/>
      <c r="DMZ49" s="49"/>
      <c r="DNA49" s="49"/>
      <c r="DNB49" s="64"/>
      <c r="DNC49" s="68"/>
      <c r="DND49" s="48"/>
      <c r="DNE49" s="49"/>
      <c r="DNF49" s="49"/>
      <c r="DNG49" s="49"/>
      <c r="DNH49" s="49"/>
      <c r="DNI49" s="49"/>
      <c r="DNJ49" s="64"/>
      <c r="DNK49" s="68"/>
      <c r="DNL49" s="48"/>
      <c r="DNM49" s="49"/>
      <c r="DNN49" s="49"/>
      <c r="DNO49" s="49"/>
      <c r="DNP49" s="49"/>
      <c r="DNQ49" s="49"/>
      <c r="DNR49" s="64"/>
      <c r="DNS49" s="68"/>
      <c r="DNT49" s="48"/>
      <c r="DNU49" s="49"/>
      <c r="DNV49" s="49"/>
      <c r="DNW49" s="49"/>
      <c r="DNX49" s="49"/>
      <c r="DNY49" s="49"/>
      <c r="DNZ49" s="64"/>
      <c r="DOA49" s="68"/>
      <c r="DOB49" s="48"/>
      <c r="DOC49" s="49"/>
      <c r="DOD49" s="49"/>
      <c r="DOE49" s="49"/>
      <c r="DOF49" s="49"/>
      <c r="DOG49" s="49"/>
      <c r="DOH49" s="64"/>
      <c r="DOI49" s="68"/>
      <c r="DOJ49" s="48"/>
      <c r="DOK49" s="49"/>
      <c r="DOL49" s="49"/>
      <c r="DOM49" s="49"/>
      <c r="DON49" s="49"/>
      <c r="DOO49" s="49"/>
      <c r="DOP49" s="64"/>
      <c r="DOQ49" s="68"/>
      <c r="DOR49" s="48"/>
      <c r="DOS49" s="49"/>
      <c r="DOT49" s="49"/>
      <c r="DOU49" s="49"/>
      <c r="DOV49" s="49"/>
      <c r="DOW49" s="49"/>
      <c r="DOX49" s="64"/>
      <c r="DOY49" s="68"/>
      <c r="DOZ49" s="48"/>
      <c r="DPA49" s="49"/>
      <c r="DPB49" s="49"/>
      <c r="DPC49" s="49"/>
      <c r="DPD49" s="49"/>
      <c r="DPE49" s="49"/>
      <c r="DPF49" s="64"/>
      <c r="DPG49" s="68"/>
      <c r="DPH49" s="48"/>
      <c r="DPI49" s="49"/>
      <c r="DPJ49" s="49"/>
      <c r="DPK49" s="49"/>
      <c r="DPL49" s="49"/>
      <c r="DPM49" s="49"/>
      <c r="DPN49" s="64"/>
      <c r="DPO49" s="68"/>
      <c r="DPP49" s="48"/>
      <c r="DPQ49" s="49"/>
      <c r="DPR49" s="49"/>
      <c r="DPS49" s="49"/>
      <c r="DPT49" s="49"/>
      <c r="DPU49" s="49"/>
      <c r="DPV49" s="491"/>
      <c r="DPW49" s="492"/>
      <c r="DPX49" s="48"/>
      <c r="DPY49" s="49"/>
      <c r="DPZ49" s="49"/>
      <c r="DQA49" s="49"/>
      <c r="DQB49" s="49"/>
      <c r="DQC49" s="49"/>
      <c r="DQD49" s="491"/>
      <c r="DQE49" s="492"/>
      <c r="DQF49" s="48"/>
      <c r="DQG49" s="49"/>
      <c r="DQH49" s="49"/>
      <c r="DQI49" s="49"/>
      <c r="DQJ49" s="49"/>
      <c r="DQK49" s="49"/>
      <c r="DQL49" s="489"/>
      <c r="DQM49" s="492"/>
      <c r="DQN49" s="48"/>
      <c r="DQO49" s="49"/>
      <c r="DQP49" s="49"/>
      <c r="DQQ49" s="49"/>
      <c r="DQR49" s="49"/>
      <c r="DQS49" s="49"/>
      <c r="DQT49" s="64"/>
      <c r="DQU49" s="68"/>
      <c r="DQV49" s="48"/>
      <c r="DQW49" s="49"/>
      <c r="DQX49" s="49"/>
      <c r="DQY49" s="49"/>
      <c r="DQZ49" s="49"/>
      <c r="DRA49" s="49"/>
      <c r="DRB49" s="491"/>
      <c r="DRC49" s="492"/>
      <c r="DRD49" s="48"/>
      <c r="DRE49" s="49"/>
      <c r="DRF49" s="49"/>
      <c r="DRG49" s="49"/>
      <c r="DRH49" s="49"/>
      <c r="DRI49" s="49"/>
      <c r="DRJ49" s="491"/>
      <c r="DRK49" s="492"/>
      <c r="DRL49" s="48"/>
      <c r="DRM49" s="49"/>
      <c r="DRN49" s="49"/>
      <c r="DRO49" s="49"/>
      <c r="DRP49" s="49"/>
      <c r="DRQ49" s="49"/>
      <c r="DRR49" s="64"/>
      <c r="DRS49" s="68"/>
      <c r="DRT49" s="48"/>
      <c r="DRU49" s="49"/>
      <c r="DRV49" s="49"/>
      <c r="DRW49" s="49"/>
      <c r="DRX49" s="49"/>
      <c r="DRY49" s="49"/>
      <c r="DRZ49" s="491"/>
      <c r="DSA49" s="68"/>
      <c r="DSB49" s="82"/>
      <c r="DSC49" s="83"/>
      <c r="DSD49" s="83"/>
      <c r="DSE49" s="83"/>
      <c r="DSF49" s="83"/>
      <c r="DSG49" s="83"/>
      <c r="DSH49" s="64"/>
      <c r="DSI49" s="68"/>
      <c r="DSJ49" s="48"/>
      <c r="DSK49" s="49"/>
      <c r="DSL49" s="49"/>
      <c r="DSM49" s="49"/>
      <c r="DSN49" s="49"/>
      <c r="DSO49" s="49"/>
      <c r="DSP49" s="64"/>
      <c r="DSQ49" s="68"/>
      <c r="DSR49" s="48"/>
      <c r="DSS49" s="49"/>
      <c r="DST49" s="49"/>
      <c r="DSU49" s="49"/>
      <c r="DSV49" s="49"/>
      <c r="DSW49" s="49"/>
      <c r="DSX49" s="64"/>
      <c r="DSY49" s="68"/>
      <c r="DSZ49" s="48"/>
      <c r="DTA49" s="49"/>
      <c r="DTB49" s="49"/>
      <c r="DTC49" s="49"/>
      <c r="DTD49" s="49"/>
      <c r="DTE49" s="49"/>
      <c r="DTF49" s="64"/>
      <c r="DTG49" s="68"/>
      <c r="DTH49" s="48"/>
      <c r="DTI49" s="49"/>
      <c r="DTJ49" s="49"/>
      <c r="DTK49" s="49"/>
      <c r="DTL49" s="49"/>
      <c r="DTM49" s="49"/>
      <c r="DTN49" s="64"/>
      <c r="DTO49" s="68"/>
      <c r="DTP49" s="48"/>
      <c r="DTQ49" s="49"/>
      <c r="DTR49" s="49"/>
      <c r="DTS49" s="49"/>
      <c r="DTT49" s="49"/>
      <c r="DTU49" s="49"/>
      <c r="DTV49" s="64"/>
      <c r="DTW49" s="68"/>
      <c r="DTX49" s="48"/>
      <c r="DTY49" s="49"/>
      <c r="DTZ49" s="49"/>
      <c r="DUA49" s="49"/>
      <c r="DUB49" s="49"/>
      <c r="DUC49" s="49"/>
      <c r="DUD49" s="64"/>
      <c r="DUE49" s="68"/>
      <c r="DUF49" s="48"/>
      <c r="DUG49" s="49"/>
      <c r="DUH49" s="49"/>
      <c r="DUI49" s="49"/>
      <c r="DUJ49" s="49"/>
      <c r="DUK49" s="49"/>
      <c r="DUL49" s="64"/>
      <c r="DUM49" s="68"/>
      <c r="DUN49" s="48"/>
      <c r="DUO49" s="49"/>
      <c r="DUP49" s="49"/>
      <c r="DUQ49" s="49"/>
      <c r="DUR49" s="49"/>
      <c r="DUS49" s="49"/>
      <c r="DUT49" s="64"/>
      <c r="DUU49" s="68"/>
      <c r="DUV49" s="48"/>
      <c r="DUW49" s="49"/>
      <c r="DUX49" s="49"/>
      <c r="DUY49" s="49"/>
      <c r="DUZ49" s="49"/>
      <c r="DVA49" s="49"/>
      <c r="DVB49" s="64"/>
      <c r="DVC49" s="68"/>
      <c r="DVD49" s="48"/>
      <c r="DVE49" s="49"/>
      <c r="DVF49" s="49"/>
      <c r="DVG49" s="49"/>
      <c r="DVH49" s="49"/>
      <c r="DVI49" s="49"/>
      <c r="DVJ49" s="64"/>
      <c r="DVK49" s="68"/>
      <c r="DVL49" s="48"/>
      <c r="DVM49" s="49"/>
      <c r="DVN49" s="49"/>
      <c r="DVO49" s="49"/>
      <c r="DVP49" s="49"/>
      <c r="DVQ49" s="49"/>
      <c r="DVR49" s="64"/>
      <c r="DVS49" s="68"/>
      <c r="DVT49" s="48"/>
      <c r="DVU49" s="49"/>
      <c r="DVV49" s="49"/>
      <c r="DVW49" s="49"/>
      <c r="DVX49" s="49"/>
      <c r="DVY49" s="49"/>
      <c r="DVZ49" s="64"/>
      <c r="DWA49" s="68"/>
      <c r="DWB49" s="48"/>
      <c r="DWC49" s="49"/>
      <c r="DWD49" s="49"/>
      <c r="DWE49" s="49"/>
      <c r="DWF49" s="49"/>
      <c r="DWG49" s="49"/>
      <c r="DWH49" s="64"/>
      <c r="DWI49" s="68"/>
      <c r="DWJ49" s="48"/>
      <c r="DWK49" s="49"/>
      <c r="DWL49" s="49"/>
      <c r="DWM49" s="49"/>
      <c r="DWN49" s="49"/>
      <c r="DWO49" s="49"/>
      <c r="DWP49" s="64"/>
      <c r="DWQ49" s="68"/>
      <c r="DWR49" s="48"/>
      <c r="DWS49" s="49"/>
      <c r="DWT49" s="49"/>
      <c r="DWU49" s="49"/>
      <c r="DWV49" s="49"/>
      <c r="DWW49" s="49"/>
      <c r="DWX49" s="64"/>
      <c r="DWY49" s="68"/>
      <c r="DWZ49" s="48"/>
      <c r="DXA49" s="49"/>
      <c r="DXB49" s="49"/>
      <c r="DXC49" s="49"/>
      <c r="DXD49" s="49"/>
      <c r="DXE49" s="49"/>
      <c r="DXF49" s="64"/>
      <c r="DXG49" s="68"/>
      <c r="DXH49" s="48"/>
      <c r="DXI49" s="49"/>
      <c r="DXJ49" s="49"/>
      <c r="DXK49" s="49"/>
      <c r="DXL49" s="49"/>
      <c r="DXM49" s="49"/>
      <c r="DXN49" s="64"/>
      <c r="DXO49" s="68"/>
      <c r="DXP49" s="48"/>
      <c r="DXQ49" s="49"/>
      <c r="DXR49" s="49"/>
      <c r="DXS49" s="49"/>
      <c r="DXT49" s="49"/>
      <c r="DXU49" s="49"/>
      <c r="DXV49" s="64"/>
      <c r="DXW49" s="68"/>
      <c r="DXX49" s="48"/>
      <c r="DXY49" s="49"/>
      <c r="DXZ49" s="49"/>
      <c r="DYA49" s="49"/>
      <c r="DYB49" s="49"/>
      <c r="DYC49" s="49"/>
      <c r="DYD49" s="64"/>
      <c r="DYE49" s="68"/>
      <c r="DYF49" s="48"/>
      <c r="DYG49" s="49"/>
      <c r="DYH49" s="49"/>
      <c r="DYI49" s="49"/>
      <c r="DYJ49" s="49"/>
      <c r="DYK49" s="49"/>
      <c r="DYL49" s="64"/>
      <c r="DYM49" s="68"/>
      <c r="DYN49" s="48"/>
      <c r="DYO49" s="49"/>
      <c r="DYP49" s="49"/>
      <c r="DYQ49" s="49"/>
      <c r="DYR49" s="49"/>
      <c r="DYS49" s="49"/>
      <c r="DYT49" s="64"/>
      <c r="DYU49" s="68"/>
      <c r="DYV49" s="48"/>
      <c r="DYW49" s="49"/>
      <c r="DYX49" s="49"/>
      <c r="DYY49" s="49"/>
      <c r="DYZ49" s="49"/>
      <c r="DZA49" s="49"/>
      <c r="DZB49" s="64"/>
      <c r="DZC49" s="68"/>
      <c r="DZD49" s="48"/>
      <c r="DZE49" s="49"/>
      <c r="DZF49" s="49"/>
      <c r="DZG49" s="49"/>
      <c r="DZH49" s="49"/>
      <c r="DZI49" s="49"/>
      <c r="DZJ49" s="64"/>
      <c r="DZK49" s="68"/>
      <c r="DZL49" s="48"/>
      <c r="DZM49" s="49"/>
      <c r="DZN49" s="49"/>
      <c r="DZO49" s="49"/>
      <c r="DZP49" s="49"/>
      <c r="DZQ49" s="49"/>
      <c r="DZR49" s="64"/>
      <c r="DZS49" s="68"/>
      <c r="DZT49" s="48"/>
      <c r="DZU49" s="49"/>
      <c r="DZV49" s="49"/>
      <c r="DZW49" s="49"/>
      <c r="DZX49" s="49"/>
      <c r="DZY49" s="49"/>
      <c r="DZZ49" s="64"/>
      <c r="EAA49" s="68"/>
      <c r="EAB49" s="48"/>
      <c r="EAC49" s="49"/>
      <c r="EAD49" s="49"/>
      <c r="EAE49" s="49"/>
      <c r="EAF49" s="49"/>
      <c r="EAG49" s="49"/>
      <c r="EAH49" s="64"/>
      <c r="EAI49" s="68"/>
      <c r="EAJ49" s="48"/>
      <c r="EAK49" s="49"/>
      <c r="EAL49" s="49"/>
      <c r="EAM49" s="49"/>
      <c r="EAN49" s="49"/>
      <c r="EAO49" s="49"/>
      <c r="EAP49" s="64"/>
      <c r="EAQ49" s="68"/>
      <c r="EAR49" s="48"/>
      <c r="EAS49" s="49"/>
      <c r="EAT49" s="49"/>
      <c r="EAU49" s="49"/>
      <c r="EAV49" s="49"/>
      <c r="EAW49" s="49"/>
      <c r="EAX49" s="64"/>
      <c r="EAY49" s="68"/>
      <c r="EAZ49" s="48"/>
      <c r="EBA49" s="49"/>
      <c r="EBB49" s="49"/>
      <c r="EBC49" s="49"/>
      <c r="EBD49" s="49"/>
      <c r="EBE49" s="49"/>
      <c r="EBF49" s="64"/>
      <c r="EBG49" s="68"/>
      <c r="EBH49" s="48"/>
      <c r="EBI49" s="49"/>
      <c r="EBJ49" s="49"/>
      <c r="EBK49" s="49"/>
      <c r="EBL49" s="49"/>
      <c r="EBM49" s="49"/>
      <c r="EBN49" s="64"/>
      <c r="EBO49" s="68"/>
      <c r="EBP49" s="48"/>
      <c r="EBQ49" s="49"/>
      <c r="EBR49" s="49"/>
      <c r="EBS49" s="49"/>
      <c r="EBT49" s="49"/>
      <c r="EBU49" s="49"/>
      <c r="EBV49" s="64"/>
      <c r="EBW49" s="68"/>
      <c r="EBX49" s="48"/>
      <c r="EBY49" s="49"/>
      <c r="EBZ49" s="49"/>
      <c r="ECA49" s="49"/>
      <c r="ECB49" s="49"/>
      <c r="ECC49" s="49"/>
      <c r="ECD49" s="64"/>
      <c r="ECE49" s="68"/>
      <c r="ECF49" s="48"/>
      <c r="ECG49" s="49"/>
      <c r="ECH49" s="49"/>
      <c r="ECI49" s="49"/>
      <c r="ECJ49" s="49"/>
      <c r="ECK49" s="49"/>
      <c r="ECL49" s="64"/>
      <c r="ECM49" s="68"/>
      <c r="ECN49" s="48"/>
      <c r="ECO49" s="49"/>
      <c r="ECP49" s="49"/>
      <c r="ECQ49" s="49"/>
      <c r="ECR49" s="49"/>
      <c r="ECS49" s="49"/>
      <c r="ECT49" s="64"/>
      <c r="ECU49" s="68"/>
      <c r="ECV49" s="48"/>
      <c r="ECW49" s="49"/>
      <c r="ECX49" s="49"/>
      <c r="ECY49" s="49"/>
      <c r="ECZ49" s="49"/>
      <c r="EDA49" s="49"/>
      <c r="EDB49" s="64"/>
      <c r="EDC49" s="68"/>
      <c r="EDD49" s="48"/>
      <c r="EDE49" s="49"/>
      <c r="EDF49" s="49"/>
      <c r="EDG49" s="49"/>
      <c r="EDH49" s="49"/>
      <c r="EDI49" s="49"/>
      <c r="EDJ49" s="64"/>
      <c r="EDK49" s="68"/>
      <c r="EDL49" s="48"/>
      <c r="EDM49" s="49"/>
      <c r="EDN49" s="49"/>
      <c r="EDO49" s="49"/>
      <c r="EDP49" s="49"/>
      <c r="EDQ49" s="49"/>
      <c r="EDR49" s="64"/>
      <c r="EDS49" s="68"/>
      <c r="EDT49" s="48"/>
      <c r="EDU49" s="49"/>
      <c r="EDV49" s="49"/>
      <c r="EDW49" s="49"/>
      <c r="EDX49" s="49"/>
      <c r="EDY49" s="49"/>
      <c r="EDZ49" s="64"/>
      <c r="EEA49" s="68"/>
      <c r="EEB49" s="48"/>
      <c r="EEC49" s="49"/>
      <c r="EED49" s="49"/>
      <c r="EEE49" s="49"/>
      <c r="EEF49" s="49"/>
      <c r="EEG49" s="49"/>
      <c r="EEH49" s="64"/>
      <c r="EEI49" s="68"/>
      <c r="EEJ49" s="48"/>
      <c r="EEK49" s="49"/>
      <c r="EEL49" s="49"/>
      <c r="EEM49" s="49"/>
      <c r="EEN49" s="49"/>
      <c r="EEO49" s="49"/>
      <c r="EEP49" s="64"/>
      <c r="EEQ49" s="68"/>
      <c r="EER49" s="48"/>
      <c r="EES49" s="49"/>
      <c r="EET49" s="49"/>
      <c r="EEU49" s="49"/>
      <c r="EEV49" s="49"/>
      <c r="EEW49" s="49"/>
      <c r="EEX49" s="64"/>
      <c r="EEY49" s="68"/>
      <c r="EEZ49" s="48"/>
      <c r="EFA49" s="49"/>
      <c r="EFB49" s="49"/>
      <c r="EFC49" s="49"/>
      <c r="EFD49" s="49"/>
      <c r="EFE49" s="49"/>
      <c r="EFF49" s="64"/>
      <c r="EFG49" s="68"/>
      <c r="EFH49" s="48"/>
      <c r="EFI49" s="49"/>
      <c r="EFJ49" s="49"/>
      <c r="EFK49" s="49"/>
      <c r="EFL49" s="49"/>
      <c r="EFM49" s="49"/>
      <c r="EFN49" s="64"/>
      <c r="EFO49" s="68"/>
      <c r="EFP49" s="48"/>
      <c r="EFQ49" s="49"/>
      <c r="EFR49" s="49"/>
      <c r="EFS49" s="49"/>
      <c r="EFT49" s="49"/>
      <c r="EFU49" s="49"/>
      <c r="EFV49" s="64"/>
      <c r="EFW49" s="68"/>
      <c r="EFX49" s="48"/>
      <c r="EFY49" s="49"/>
      <c r="EFZ49" s="49"/>
      <c r="EGA49" s="49"/>
      <c r="EGB49" s="49"/>
      <c r="EGC49" s="49"/>
      <c r="EGD49" s="64"/>
      <c r="EGE49" s="68"/>
      <c r="EGF49" s="48"/>
      <c r="EGG49" s="49"/>
      <c r="EGH49" s="49"/>
      <c r="EGI49" s="49"/>
      <c r="EGJ49" s="49"/>
      <c r="EGK49" s="49"/>
      <c r="EGL49" s="64"/>
      <c r="EGM49" s="68"/>
      <c r="EGN49" s="48"/>
      <c r="EGO49" s="49"/>
      <c r="EGP49" s="49"/>
      <c r="EGQ49" s="49"/>
      <c r="EGR49" s="49"/>
      <c r="EGS49" s="49"/>
      <c r="EGT49" s="64"/>
      <c r="EGU49" s="68"/>
      <c r="EGV49" s="48"/>
      <c r="EGW49" s="49"/>
      <c r="EGX49" s="49"/>
      <c r="EGY49" s="49"/>
      <c r="EGZ49" s="49"/>
      <c r="EHA49" s="49"/>
      <c r="EHB49" s="64"/>
      <c r="EHC49" s="68"/>
      <c r="EHD49" s="48"/>
      <c r="EHE49" s="49"/>
      <c r="EHF49" s="49"/>
      <c r="EHG49" s="49"/>
      <c r="EHH49" s="49"/>
      <c r="EHI49" s="49"/>
      <c r="EHJ49" s="64"/>
      <c r="EHK49" s="68"/>
      <c r="EHL49" s="48"/>
      <c r="EHM49" s="49"/>
      <c r="EHN49" s="49"/>
      <c r="EHO49" s="49"/>
      <c r="EHP49" s="49"/>
      <c r="EHQ49" s="49"/>
      <c r="EHR49" s="64"/>
      <c r="EHS49" s="68"/>
      <c r="EHT49" s="48"/>
      <c r="EHU49" s="49"/>
      <c r="EHV49" s="49"/>
      <c r="EHW49" s="49"/>
      <c r="EHX49" s="49"/>
      <c r="EHY49" s="49"/>
      <c r="EHZ49" s="64"/>
      <c r="EIA49" s="68"/>
      <c r="EIB49" s="48"/>
      <c r="EIC49" s="49"/>
      <c r="EID49" s="49"/>
      <c r="EIE49" s="49"/>
      <c r="EIF49" s="49"/>
      <c r="EIG49" s="49"/>
      <c r="EIH49" s="64"/>
      <c r="EII49" s="68"/>
      <c r="EIJ49" s="48"/>
      <c r="EIK49" s="49"/>
      <c r="EIL49" s="49"/>
      <c r="EIM49" s="49"/>
      <c r="EIN49" s="49"/>
      <c r="EIO49" s="49"/>
      <c r="EIP49" s="64"/>
      <c r="EIQ49" s="68"/>
      <c r="EIR49" s="48"/>
      <c r="EIS49" s="49"/>
      <c r="EIT49" s="49"/>
      <c r="EIU49" s="49"/>
      <c r="EIV49" s="49"/>
      <c r="EIW49" s="49"/>
      <c r="EIX49" s="64"/>
      <c r="EIY49" s="68"/>
      <c r="EIZ49" s="48"/>
      <c r="EJA49" s="49"/>
      <c r="EJB49" s="49"/>
      <c r="EJC49" s="49"/>
      <c r="EJD49" s="49"/>
      <c r="EJE49" s="49"/>
      <c r="EJF49" s="64"/>
      <c r="EJG49" s="68"/>
      <c r="EJH49" s="48"/>
      <c r="EJI49" s="49"/>
      <c r="EJJ49" s="49"/>
      <c r="EJK49" s="49"/>
      <c r="EJL49" s="49"/>
      <c r="EJM49" s="49"/>
      <c r="EJN49" s="64"/>
      <c r="EJO49" s="68"/>
      <c r="EJP49" s="48"/>
      <c r="EJQ49" s="49"/>
      <c r="EJR49" s="49"/>
      <c r="EJS49" s="49"/>
      <c r="EJT49" s="49"/>
      <c r="EJU49" s="49"/>
      <c r="EJV49" s="64"/>
      <c r="EJW49" s="68"/>
      <c r="EJX49" s="48"/>
      <c r="EJY49" s="49"/>
      <c r="EJZ49" s="49"/>
      <c r="EKA49" s="49"/>
      <c r="EKB49" s="49"/>
      <c r="EKC49" s="49"/>
      <c r="EKD49" s="64"/>
      <c r="EKE49" s="68"/>
      <c r="EKF49" s="48"/>
      <c r="EKG49" s="49"/>
      <c r="EKH49" s="49"/>
      <c r="EKI49" s="49"/>
      <c r="EKJ49" s="49"/>
      <c r="EKK49" s="49"/>
      <c r="EKL49" s="64"/>
      <c r="EKM49" s="68"/>
      <c r="EKN49" s="48"/>
      <c r="EKO49" s="49"/>
      <c r="EKP49" s="49"/>
      <c r="EKQ49" s="49"/>
      <c r="EKR49" s="49"/>
      <c r="EKS49" s="49"/>
      <c r="EKT49" s="64"/>
      <c r="EKU49" s="184"/>
      <c r="EKV49" s="665"/>
      <c r="EKW49" s="195"/>
      <c r="EKX49" s="49"/>
      <c r="EKY49" s="49"/>
      <c r="EKZ49" s="49"/>
      <c r="ELA49" s="49"/>
      <c r="ELB49" s="49"/>
      <c r="ELC49" s="64"/>
      <c r="ELD49" s="211"/>
      <c r="ELE49" s="195"/>
      <c r="ELF49" s="49"/>
      <c r="ELG49" s="49"/>
      <c r="ELH49" s="49"/>
      <c r="ELI49" s="49"/>
      <c r="ELJ49" s="49"/>
      <c r="ELK49" s="64"/>
      <c r="ELL49" s="211"/>
      <c r="ELM49" s="195">
        <v>0</v>
      </c>
      <c r="ELN49" s="49">
        <v>0</v>
      </c>
      <c r="ELO49" s="49">
        <v>0</v>
      </c>
      <c r="ELP49" s="49">
        <v>0</v>
      </c>
      <c r="ELQ49" s="49">
        <v>0</v>
      </c>
      <c r="ELR49" s="49">
        <v>0</v>
      </c>
      <c r="ELS49" s="64"/>
      <c r="ELT49" s="211"/>
      <c r="ELU49" s="195">
        <v>0</v>
      </c>
      <c r="ELV49" s="49">
        <v>0</v>
      </c>
      <c r="ELW49" s="49">
        <v>0</v>
      </c>
      <c r="ELX49" s="49">
        <v>220</v>
      </c>
      <c r="ELY49" s="49"/>
      <c r="ELZ49" s="49">
        <v>0</v>
      </c>
      <c r="EMA49" s="64">
        <f t="shared" si="1412"/>
        <v>220</v>
      </c>
      <c r="EMB49" s="211">
        <f t="shared" si="1413"/>
        <v>36.666666666666664</v>
      </c>
      <c r="EMC49" s="195">
        <v>0</v>
      </c>
      <c r="EMD49" s="49"/>
      <c r="EME49" s="49">
        <v>0</v>
      </c>
      <c r="EMF49" s="49">
        <v>0</v>
      </c>
      <c r="EMG49" s="49"/>
      <c r="EMH49" s="49">
        <v>588</v>
      </c>
      <c r="EMI49" s="64">
        <f t="shared" si="1414"/>
        <v>588</v>
      </c>
      <c r="EMJ49" s="211">
        <f t="shared" si="1415"/>
        <v>98</v>
      </c>
      <c r="EMK49" s="195">
        <v>0</v>
      </c>
      <c r="EML49" s="49"/>
      <c r="EMM49" s="49">
        <v>0</v>
      </c>
      <c r="EMN49" s="49">
        <v>0</v>
      </c>
      <c r="EMO49" s="49">
        <v>0</v>
      </c>
      <c r="EMP49" s="49">
        <v>0</v>
      </c>
      <c r="EMQ49" s="64">
        <f t="shared" si="1416"/>
        <v>0</v>
      </c>
      <c r="EMR49" s="211">
        <f t="shared" si="1417"/>
        <v>0</v>
      </c>
      <c r="EMS49" s="195">
        <v>0</v>
      </c>
      <c r="EMT49" s="49">
        <v>1042</v>
      </c>
      <c r="EMU49" s="49">
        <v>0</v>
      </c>
      <c r="EMV49" s="49">
        <v>0</v>
      </c>
      <c r="EMW49" s="49"/>
      <c r="EMX49" s="49">
        <v>0</v>
      </c>
      <c r="EMY49" s="64">
        <f t="shared" si="1418"/>
        <v>1042</v>
      </c>
      <c r="EMZ49" s="211">
        <f t="shared" si="1419"/>
        <v>173.66666666666666</v>
      </c>
      <c r="ENA49" s="195">
        <v>0</v>
      </c>
      <c r="ENB49" s="49">
        <v>0</v>
      </c>
      <c r="ENC49" s="49">
        <v>0</v>
      </c>
      <c r="END49" s="49">
        <v>0</v>
      </c>
      <c r="ENE49" s="49">
        <v>0</v>
      </c>
      <c r="ENF49" s="49">
        <v>0</v>
      </c>
      <c r="ENG49" s="64">
        <f t="shared" si="1420"/>
        <v>0</v>
      </c>
      <c r="ENH49" s="211">
        <f t="shared" si="1421"/>
        <v>0</v>
      </c>
      <c r="ENI49" s="195">
        <v>0</v>
      </c>
      <c r="ENJ49" s="49"/>
      <c r="ENK49" s="49">
        <v>988</v>
      </c>
      <c r="ENL49" s="49">
        <v>0</v>
      </c>
      <c r="ENM49" s="49">
        <v>0</v>
      </c>
      <c r="ENN49" s="49">
        <v>0</v>
      </c>
      <c r="ENO49" s="64">
        <f t="shared" si="1422"/>
        <v>988</v>
      </c>
      <c r="ENP49" s="211">
        <f t="shared" si="1423"/>
        <v>164.66666666666666</v>
      </c>
      <c r="ENQ49" s="195">
        <v>0</v>
      </c>
      <c r="ENR49" s="49"/>
      <c r="ENS49" s="49">
        <v>527</v>
      </c>
      <c r="ENT49" s="49">
        <v>0</v>
      </c>
      <c r="ENU49" s="49">
        <v>0</v>
      </c>
      <c r="ENV49" s="49">
        <v>0</v>
      </c>
      <c r="ENW49" s="64">
        <f t="shared" si="1424"/>
        <v>527</v>
      </c>
      <c r="ENX49" s="211">
        <f t="shared" si="1425"/>
        <v>87.833333333333329</v>
      </c>
      <c r="ENY49" s="195">
        <v>0</v>
      </c>
      <c r="ENZ49" s="49"/>
      <c r="EOA49" s="49">
        <v>560</v>
      </c>
      <c r="EOB49" s="49">
        <v>971</v>
      </c>
      <c r="EOC49" s="49">
        <v>0</v>
      </c>
      <c r="EOD49" s="49">
        <v>317</v>
      </c>
      <c r="EOE49" s="64">
        <f t="shared" si="1426"/>
        <v>1848</v>
      </c>
      <c r="EOF49" s="211">
        <f t="shared" si="1427"/>
        <v>308</v>
      </c>
      <c r="EOG49" s="1"/>
      <c r="EOH49" s="195"/>
      <c r="EOI49" s="49">
        <v>0</v>
      </c>
      <c r="EOJ49" s="49">
        <v>0</v>
      </c>
      <c r="EOK49" s="49"/>
      <c r="EOL49" s="49">
        <v>0</v>
      </c>
      <c r="EOM49" s="49"/>
      <c r="EON49" s="184">
        <f t="shared" si="1428"/>
        <v>0</v>
      </c>
      <c r="EOO49" s="244">
        <v>0</v>
      </c>
      <c r="EOP49" s="49">
        <v>0</v>
      </c>
      <c r="EOQ49" s="49">
        <v>0</v>
      </c>
      <c r="EOR49" s="49">
        <v>282</v>
      </c>
      <c r="EOS49" s="49">
        <v>0</v>
      </c>
      <c r="EOT49" s="49">
        <v>0</v>
      </c>
      <c r="EOU49" s="64">
        <f t="shared" si="1429"/>
        <v>282</v>
      </c>
      <c r="EOV49" s="211">
        <f t="shared" si="1430"/>
        <v>47</v>
      </c>
      <c r="EOW49" s="195">
        <v>0</v>
      </c>
      <c r="EOX49" s="49">
        <v>291</v>
      </c>
      <c r="EOY49" s="49">
        <v>0</v>
      </c>
      <c r="EOZ49" s="49"/>
      <c r="EPA49" s="49">
        <v>0</v>
      </c>
      <c r="EPB49" s="49">
        <v>0</v>
      </c>
      <c r="EPC49" s="64">
        <f t="shared" si="1431"/>
        <v>291</v>
      </c>
      <c r="EPD49" s="211">
        <f t="shared" si="1432"/>
        <v>48.5</v>
      </c>
      <c r="EPE49" s="195">
        <v>0</v>
      </c>
      <c r="EPF49" s="49">
        <v>0</v>
      </c>
      <c r="EPG49" s="49">
        <v>0</v>
      </c>
      <c r="EPH49" s="49">
        <v>0</v>
      </c>
      <c r="EPI49" s="49">
        <v>0</v>
      </c>
      <c r="EPJ49" s="49">
        <v>0</v>
      </c>
      <c r="EPK49" s="64">
        <f t="shared" si="1433"/>
        <v>0</v>
      </c>
      <c r="EPL49" s="211">
        <f t="shared" si="1434"/>
        <v>0</v>
      </c>
      <c r="EPM49" s="195">
        <v>0</v>
      </c>
      <c r="EPN49" s="49">
        <v>587</v>
      </c>
      <c r="EPO49" s="49">
        <v>0</v>
      </c>
      <c r="EPP49" s="49">
        <v>0</v>
      </c>
      <c r="EPQ49" s="49">
        <v>0</v>
      </c>
      <c r="EPR49" s="49">
        <v>0</v>
      </c>
      <c r="EPS49" s="64">
        <f t="shared" si="1435"/>
        <v>587</v>
      </c>
      <c r="EPT49" s="211">
        <f t="shared" si="1436"/>
        <v>97.833333333333329</v>
      </c>
      <c r="EPU49" s="195"/>
      <c r="EPV49" s="49">
        <v>1268</v>
      </c>
      <c r="EPW49" s="49">
        <v>0</v>
      </c>
      <c r="EPX49" s="49">
        <v>0</v>
      </c>
      <c r="EPY49" s="49"/>
      <c r="EPZ49" s="49"/>
      <c r="EQA49" s="64">
        <f t="shared" si="1437"/>
        <v>1268</v>
      </c>
      <c r="EQB49" s="211">
        <f t="shared" si="1438"/>
        <v>211.33333333333334</v>
      </c>
      <c r="EQC49" s="195">
        <v>0</v>
      </c>
      <c r="EQD49" s="49">
        <v>713</v>
      </c>
      <c r="EQE49" s="49">
        <v>0</v>
      </c>
      <c r="EQF49" s="49">
        <v>0</v>
      </c>
      <c r="EQG49" s="49">
        <v>509</v>
      </c>
      <c r="EQH49" s="49"/>
      <c r="EQI49" s="64">
        <f t="shared" si="1439"/>
        <v>1222</v>
      </c>
      <c r="EQJ49" s="211">
        <f t="shared" si="1440"/>
        <v>203.66666666666666</v>
      </c>
      <c r="EQK49" s="195">
        <v>0</v>
      </c>
      <c r="EQL49" s="49">
        <v>0</v>
      </c>
      <c r="EQM49" s="49">
        <v>0</v>
      </c>
      <c r="EQN49" s="49"/>
      <c r="EQO49" s="49">
        <v>0</v>
      </c>
      <c r="EQP49" s="49">
        <v>0</v>
      </c>
      <c r="EQQ49" s="64">
        <f t="shared" si="1441"/>
        <v>0</v>
      </c>
      <c r="EQR49" s="211">
        <f t="shared" si="1442"/>
        <v>0</v>
      </c>
      <c r="EQS49" s="195">
        <v>0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43"/>
        <v>0</v>
      </c>
      <c r="EQZ49" s="211">
        <f t="shared" si="1444"/>
        <v>0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/>
      <c r="ERG49" s="64">
        <f t="shared" si="1445"/>
        <v>0</v>
      </c>
      <c r="ERH49" s="211">
        <f t="shared" si="1446"/>
        <v>0</v>
      </c>
      <c r="ERI49" s="195"/>
      <c r="ERJ49" s="49">
        <v>0</v>
      </c>
      <c r="ERK49" s="49">
        <v>0</v>
      </c>
      <c r="ERL49" s="49">
        <v>0</v>
      </c>
      <c r="ERM49" s="49">
        <v>0</v>
      </c>
      <c r="ERN49" s="49"/>
      <c r="ERO49" s="64">
        <f t="shared" si="1447"/>
        <v>0</v>
      </c>
      <c r="ERP49" s="211">
        <f t="shared" si="1448"/>
        <v>0</v>
      </c>
      <c r="ERQ49" s="195"/>
      <c r="ERR49" s="49">
        <v>553</v>
      </c>
      <c r="ERS49" s="49"/>
      <c r="ERT49" s="49"/>
      <c r="ERU49" s="49">
        <v>241</v>
      </c>
      <c r="ERV49" s="49">
        <v>0</v>
      </c>
      <c r="ERW49" s="64">
        <f t="shared" si="1449"/>
        <v>794</v>
      </c>
      <c r="ERX49" s="211">
        <f t="shared" si="1450"/>
        <v>132.33333333333334</v>
      </c>
      <c r="ERY49" s="195">
        <v>0</v>
      </c>
      <c r="ERZ49" s="49">
        <v>0</v>
      </c>
      <c r="ESA49" s="49"/>
      <c r="ESB49" s="49">
        <v>974</v>
      </c>
      <c r="ESC49" s="49">
        <v>220</v>
      </c>
      <c r="ESD49" s="49">
        <v>389</v>
      </c>
      <c r="ESE49" s="64">
        <f t="shared" si="1451"/>
        <v>1583</v>
      </c>
      <c r="ESF49" s="211">
        <f t="shared" si="1452"/>
        <v>263.83333333333331</v>
      </c>
      <c r="ESG49" s="195">
        <v>0</v>
      </c>
      <c r="ESH49" s="49">
        <v>904</v>
      </c>
      <c r="ESI49" s="49">
        <v>0</v>
      </c>
      <c r="ESJ49" s="49">
        <v>603</v>
      </c>
      <c r="ESK49" s="49"/>
      <c r="ESL49" s="49">
        <v>0</v>
      </c>
      <c r="ESM49" s="64">
        <f t="shared" si="1453"/>
        <v>1507</v>
      </c>
      <c r="ESN49" s="211">
        <f t="shared" si="1454"/>
        <v>251.16666666666666</v>
      </c>
      <c r="ESO49" s="458">
        <v>0</v>
      </c>
      <c r="ESP49" s="83">
        <v>0</v>
      </c>
      <c r="ESQ49" s="83">
        <v>0</v>
      </c>
      <c r="ESR49" s="83">
        <v>0</v>
      </c>
      <c r="ESS49" s="83">
        <v>0</v>
      </c>
      <c r="EST49" s="83"/>
      <c r="ESU49" s="64">
        <f t="shared" si="1455"/>
        <v>0</v>
      </c>
      <c r="ESV49" s="211">
        <f t="shared" si="1456"/>
        <v>0</v>
      </c>
      <c r="ESW49" s="195"/>
      <c r="ESX49" s="49">
        <v>0</v>
      </c>
      <c r="ESY49" s="49">
        <v>0</v>
      </c>
      <c r="ESZ49" s="49">
        <v>1314</v>
      </c>
      <c r="ETA49" s="49">
        <v>0</v>
      </c>
      <c r="ETB49" s="49">
        <v>0</v>
      </c>
      <c r="ETC49" s="808">
        <f t="shared" si="1457"/>
        <v>1314</v>
      </c>
      <c r="ETD49" s="211">
        <f t="shared" si="1458"/>
        <v>219</v>
      </c>
      <c r="ETE49" s="195">
        <v>0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59"/>
        <v>0</v>
      </c>
      <c r="ETL49" s="211">
        <f t="shared" si="1460"/>
        <v>0</v>
      </c>
      <c r="ETM49" s="814">
        <v>1668</v>
      </c>
      <c r="ETN49" s="815">
        <v>0</v>
      </c>
      <c r="ETO49" s="815">
        <v>218</v>
      </c>
      <c r="ETP49" s="815">
        <v>0</v>
      </c>
      <c r="ETQ49" s="815">
        <v>0</v>
      </c>
      <c r="ETR49" s="815">
        <v>0</v>
      </c>
      <c r="ETS49" s="808">
        <f t="shared" si="1461"/>
        <v>1886</v>
      </c>
      <c r="ETT49" s="211">
        <f t="shared" si="1462"/>
        <v>314.33333333333331</v>
      </c>
      <c r="ETU49" s="458">
        <v>0</v>
      </c>
      <c r="ETV49" s="83">
        <v>0</v>
      </c>
      <c r="ETW49" s="83">
        <v>0</v>
      </c>
      <c r="ETX49" s="83">
        <v>0</v>
      </c>
      <c r="ETY49" s="83"/>
      <c r="ETZ49" s="83">
        <v>0</v>
      </c>
      <c r="EUA49" s="808">
        <f t="shared" si="1463"/>
        <v>0</v>
      </c>
      <c r="EUB49" s="211">
        <f t="shared" si="1464"/>
        <v>0</v>
      </c>
      <c r="EUC49" s="458"/>
      <c r="EUD49" s="83">
        <v>0</v>
      </c>
      <c r="EUE49" s="83"/>
      <c r="EUF49" s="83">
        <v>0</v>
      </c>
      <c r="EUG49" s="83">
        <v>0</v>
      </c>
      <c r="EUH49" s="83">
        <v>0</v>
      </c>
      <c r="EUI49" s="808">
        <f t="shared" si="1465"/>
        <v>0</v>
      </c>
      <c r="EUJ49" s="211">
        <f t="shared" si="1466"/>
        <v>0</v>
      </c>
      <c r="EUK49" s="195"/>
      <c r="EUL49" s="49"/>
      <c r="EUM49" s="49"/>
      <c r="EUN49" s="49">
        <v>110</v>
      </c>
      <c r="EUO49" s="49">
        <v>138</v>
      </c>
      <c r="EUP49" s="49">
        <v>876</v>
      </c>
      <c r="EUQ49" s="808">
        <f t="shared" si="1467"/>
        <v>1124</v>
      </c>
      <c r="EUR49" s="211">
        <f t="shared" si="1468"/>
        <v>187.33333333333334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69"/>
        <v>0</v>
      </c>
      <c r="EUZ49" s="211">
        <f t="shared" si="1470"/>
        <v>0</v>
      </c>
      <c r="EVA49" s="195">
        <v>974</v>
      </c>
      <c r="EVB49" s="49"/>
      <c r="EVC49" s="49"/>
      <c r="EVD49" s="49"/>
      <c r="EVE49" s="49"/>
      <c r="EVF49" s="49"/>
      <c r="EVG49" s="808">
        <f t="shared" si="1471"/>
        <v>974</v>
      </c>
      <c r="EVH49" s="211">
        <f t="shared" si="1472"/>
        <v>162.33333333333334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962</v>
      </c>
      <c r="EVO49" s="808">
        <f t="shared" si="1473"/>
        <v>962</v>
      </c>
      <c r="EVP49" s="211">
        <f t="shared" si="1474"/>
        <v>160.33333333333334</v>
      </c>
      <c r="EVQ49" s="195">
        <v>964</v>
      </c>
      <c r="EVR49" s="49">
        <v>0</v>
      </c>
      <c r="EVS49" s="49">
        <v>0</v>
      </c>
      <c r="EVT49" s="49"/>
      <c r="EVU49" s="49">
        <v>0</v>
      </c>
      <c r="EVV49" s="49">
        <v>0</v>
      </c>
      <c r="EVW49" s="808">
        <f t="shared" si="1475"/>
        <v>964</v>
      </c>
      <c r="EVX49" s="211">
        <f t="shared" si="1476"/>
        <v>160.66666666666666</v>
      </c>
      <c r="EVY49" s="195">
        <v>715</v>
      </c>
      <c r="EVZ49" s="49"/>
      <c r="EWA49" s="49">
        <v>0</v>
      </c>
      <c r="EWB49" s="49">
        <v>0</v>
      </c>
      <c r="EWC49" s="49">
        <v>0</v>
      </c>
      <c r="EWD49" s="49"/>
      <c r="EWE49" s="808">
        <f t="shared" si="1477"/>
        <v>715</v>
      </c>
      <c r="EWF49" s="211">
        <f t="shared" si="1478"/>
        <v>119.16666666666667</v>
      </c>
      <c r="EWG49" s="195"/>
      <c r="EWH49" s="49">
        <v>0</v>
      </c>
      <c r="EWI49" s="49"/>
      <c r="EWJ49" s="49">
        <v>0</v>
      </c>
      <c r="EWK49" s="49"/>
      <c r="EWL49" s="49"/>
      <c r="EWM49" s="808">
        <f t="shared" si="1479"/>
        <v>0</v>
      </c>
      <c r="EWN49" s="211">
        <f t="shared" si="1480"/>
        <v>0</v>
      </c>
      <c r="EWO49" s="195">
        <v>0</v>
      </c>
      <c r="EWP49" s="49">
        <v>583</v>
      </c>
      <c r="EWQ49" s="49"/>
      <c r="EWR49" s="49">
        <v>0</v>
      </c>
      <c r="EWS49" s="49">
        <v>0</v>
      </c>
      <c r="EWT49" s="49">
        <v>0</v>
      </c>
      <c r="EWU49" s="808">
        <f t="shared" si="1481"/>
        <v>583</v>
      </c>
      <c r="EWV49" s="211">
        <f t="shared" si="1482"/>
        <v>97.166666666666671</v>
      </c>
      <c r="EWW49" s="195"/>
      <c r="EWX49" s="49"/>
      <c r="EWY49" s="49">
        <v>187</v>
      </c>
      <c r="EWZ49" s="49">
        <v>0</v>
      </c>
      <c r="EXA49" s="49">
        <v>440</v>
      </c>
      <c r="EXB49" s="49"/>
      <c r="EXC49" s="808">
        <f t="shared" si="1483"/>
        <v>627</v>
      </c>
      <c r="EXD49" s="211">
        <f t="shared" si="1484"/>
        <v>104.5</v>
      </c>
      <c r="EXE49" s="195">
        <v>517</v>
      </c>
      <c r="EXF49" s="49">
        <v>0</v>
      </c>
      <c r="EXG49" s="49">
        <v>0</v>
      </c>
      <c r="EXH49" s="49"/>
      <c r="EXI49" s="49">
        <v>0</v>
      </c>
      <c r="EXJ49" s="49">
        <v>621</v>
      </c>
      <c r="EXK49" s="808">
        <f t="shared" si="1485"/>
        <v>1138</v>
      </c>
      <c r="EXL49" s="211">
        <f t="shared" si="1486"/>
        <v>189.66666666666666</v>
      </c>
      <c r="EXM49" s="458">
        <v>0</v>
      </c>
      <c r="EXN49" s="83">
        <v>0</v>
      </c>
      <c r="EXO49" s="83">
        <v>268</v>
      </c>
      <c r="EXP49" s="83">
        <v>0</v>
      </c>
      <c r="EXQ49" s="83"/>
      <c r="EXR49" s="83">
        <v>0</v>
      </c>
      <c r="EXS49" s="808">
        <f t="shared" si="1487"/>
        <v>268</v>
      </c>
      <c r="EXT49" s="211">
        <f t="shared" si="1488"/>
        <v>44.666666666666664</v>
      </c>
      <c r="EXU49" s="195">
        <v>0</v>
      </c>
      <c r="EXV49" s="49">
        <v>0</v>
      </c>
      <c r="EXW49" s="49"/>
      <c r="EXX49" s="49">
        <v>1247</v>
      </c>
      <c r="EXY49" s="49"/>
      <c r="EXZ49" s="49">
        <v>0</v>
      </c>
      <c r="EYA49" s="808">
        <f t="shared" si="1489"/>
        <v>1247</v>
      </c>
      <c r="EYB49" s="211">
        <f t="shared" si="1490"/>
        <v>207.83333333333334</v>
      </c>
      <c r="EYC49" s="195">
        <v>579</v>
      </c>
      <c r="EYD49" s="49"/>
      <c r="EYE49" s="49">
        <v>195</v>
      </c>
      <c r="EYF49" s="49"/>
      <c r="EYG49" s="49">
        <v>0</v>
      </c>
      <c r="EYH49" s="49">
        <v>0</v>
      </c>
      <c r="EYI49" s="808">
        <f t="shared" si="1491"/>
        <v>774</v>
      </c>
      <c r="EYJ49" s="211">
        <f t="shared" si="1492"/>
        <v>129</v>
      </c>
      <c r="EYK49" s="195">
        <v>0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493"/>
        <v>0</v>
      </c>
      <c r="EYR49" s="211">
        <f t="shared" si="1494"/>
        <v>0</v>
      </c>
      <c r="EYS49" s="195">
        <v>1267</v>
      </c>
      <c r="EYT49" s="49">
        <v>0</v>
      </c>
      <c r="EYU49" s="49">
        <v>0</v>
      </c>
      <c r="EYV49" s="49">
        <v>0</v>
      </c>
      <c r="EYW49" s="49"/>
      <c r="EYX49" s="49"/>
      <c r="EYY49" s="872">
        <f t="shared" si="1495"/>
        <v>1267</v>
      </c>
      <c r="EYZ49" s="873">
        <f t="shared" si="1496"/>
        <v>211.16666666666666</v>
      </c>
      <c r="EZA49" s="195">
        <v>0</v>
      </c>
      <c r="EZB49" s="49">
        <v>0</v>
      </c>
      <c r="EZC49" s="49">
        <v>0</v>
      </c>
      <c r="EZD49" s="49"/>
      <c r="EZE49" s="49">
        <v>0</v>
      </c>
      <c r="EZF49" s="49">
        <v>0</v>
      </c>
      <c r="EZG49" s="872">
        <f t="shared" si="1497"/>
        <v>0</v>
      </c>
      <c r="EZH49" s="873">
        <f t="shared" si="1498"/>
        <v>0</v>
      </c>
      <c r="EZI49" s="195">
        <v>0</v>
      </c>
      <c r="EZJ49" s="49">
        <v>0</v>
      </c>
      <c r="EZK49" s="49"/>
      <c r="EZL49" s="49"/>
      <c r="EZM49" s="49"/>
      <c r="EZN49" s="49"/>
      <c r="EZO49" s="872">
        <f t="shared" si="1499"/>
        <v>0</v>
      </c>
      <c r="EZP49" s="873">
        <f t="shared" si="1500"/>
        <v>0</v>
      </c>
    </row>
    <row r="50" spans="1:4072" s="8" customFormat="1" ht="13.5" thickBot="1" x14ac:dyDescent="0.25">
      <c r="A50" s="21">
        <v>21</v>
      </c>
      <c r="B50" s="297" t="s">
        <v>166</v>
      </c>
      <c r="C50" s="730" t="s">
        <v>291</v>
      </c>
      <c r="D50" s="297">
        <v>25</v>
      </c>
      <c r="E50" s="24"/>
      <c r="F50" s="24">
        <v>1656</v>
      </c>
      <c r="G50" s="24"/>
      <c r="H50" s="24"/>
      <c r="I50" s="360"/>
      <c r="J50" s="360">
        <f>SUMIF(SUMPK!$B:$B,$B:$B,SUMPK!$O:$O)</f>
        <v>660</v>
      </c>
      <c r="K50" s="24">
        <f t="shared" si="1220"/>
        <v>0</v>
      </c>
      <c r="L50" s="24">
        <f t="shared" si="2415"/>
        <v>996</v>
      </c>
      <c r="M50" s="15">
        <f t="shared" si="2416"/>
        <v>996</v>
      </c>
      <c r="N50" s="15">
        <v>0</v>
      </c>
      <c r="O50" s="276">
        <f t="shared" si="1223"/>
        <v>0</v>
      </c>
      <c r="P50" s="712">
        <v>0</v>
      </c>
      <c r="Q50" s="276">
        <f t="shared" si="1506"/>
        <v>0</v>
      </c>
      <c r="R50" s="277">
        <f t="shared" si="1507"/>
        <v>132.30769230769232</v>
      </c>
      <c r="S50" s="222">
        <v>3440</v>
      </c>
      <c r="T50" s="276">
        <f t="shared" si="1628"/>
        <v>7.5279069767441857</v>
      </c>
      <c r="U50" s="278"/>
      <c r="V50" s="276">
        <f t="shared" si="1227"/>
        <v>7.5279069767441857</v>
      </c>
      <c r="W50" s="279">
        <f t="shared" si="2417"/>
        <v>1</v>
      </c>
      <c r="X50" s="278"/>
      <c r="Y50" s="7"/>
      <c r="Z50" s="7"/>
      <c r="AA50" s="7"/>
      <c r="AB50" s="7"/>
      <c r="AC50" s="662">
        <v>19.5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>
        <v>0</v>
      </c>
      <c r="CPN50" s="49">
        <v>0</v>
      </c>
      <c r="CPO50" s="49"/>
      <c r="CPP50" s="49">
        <v>0</v>
      </c>
      <c r="CPQ50" s="49"/>
      <c r="CPR50" s="67"/>
      <c r="CPS50" s="68"/>
      <c r="CPT50" s="48">
        <v>0</v>
      </c>
      <c r="CPU50" s="49">
        <v>0</v>
      </c>
      <c r="CPV50" s="49">
        <v>0</v>
      </c>
      <c r="CPW50" s="49"/>
      <c r="CPX50" s="49"/>
      <c r="CPY50" s="49">
        <v>0</v>
      </c>
      <c r="CPZ50" s="67">
        <f t="shared" si="1712"/>
        <v>0</v>
      </c>
      <c r="CQA50" s="68">
        <f t="shared" si="1713"/>
        <v>0</v>
      </c>
      <c r="CQB50" s="48"/>
      <c r="CQC50" s="49">
        <v>0</v>
      </c>
      <c r="CQD50" s="49">
        <v>0</v>
      </c>
      <c r="CQE50" s="49">
        <v>0</v>
      </c>
      <c r="CQF50" s="49">
        <v>0</v>
      </c>
      <c r="CQG50" s="49">
        <v>0</v>
      </c>
      <c r="CQH50" s="67">
        <f t="shared" si="1714"/>
        <v>0</v>
      </c>
      <c r="CQI50" s="68">
        <f t="shared" si="1715"/>
        <v>0</v>
      </c>
      <c r="CQJ50" s="82">
        <v>0</v>
      </c>
      <c r="CQK50" s="83">
        <v>0</v>
      </c>
      <c r="CQL50" s="83">
        <v>0</v>
      </c>
      <c r="CQM50" s="83">
        <v>0</v>
      </c>
      <c r="CQN50" s="83"/>
      <c r="CQO50" s="83"/>
      <c r="CQP50" s="67">
        <f t="shared" si="1716"/>
        <v>0</v>
      </c>
      <c r="CQQ50" s="68">
        <f t="shared" si="1717"/>
        <v>0</v>
      </c>
      <c r="CQR50" s="239"/>
      <c r="CQS50" s="1">
        <v>0</v>
      </c>
      <c r="CQT50" s="1">
        <v>0</v>
      </c>
      <c r="CQU50" s="1">
        <v>0</v>
      </c>
      <c r="CQV50" s="1">
        <v>0</v>
      </c>
      <c r="CQW50" s="1"/>
      <c r="CQX50" s="67">
        <f t="shared" si="1718"/>
        <v>0</v>
      </c>
      <c r="CQY50" s="68">
        <f t="shared" si="1719"/>
        <v>0</v>
      </c>
      <c r="CQZ50" s="48">
        <v>0</v>
      </c>
      <c r="CRA50" s="49"/>
      <c r="CRB50" s="49">
        <v>0</v>
      </c>
      <c r="CRC50" s="49">
        <v>0</v>
      </c>
      <c r="CRD50" s="49">
        <v>0</v>
      </c>
      <c r="CRE50" s="49">
        <v>0</v>
      </c>
      <c r="CRF50" s="67">
        <f t="shared" si="1720"/>
        <v>0</v>
      </c>
      <c r="CRG50" s="68">
        <f t="shared" si="1721"/>
        <v>0</v>
      </c>
      <c r="CRH50" s="48"/>
      <c r="CRI50" s="49"/>
      <c r="CRJ50" s="49">
        <v>0</v>
      </c>
      <c r="CRK50" s="49">
        <v>0</v>
      </c>
      <c r="CRL50" s="49">
        <v>0</v>
      </c>
      <c r="CRM50" s="49">
        <v>0</v>
      </c>
      <c r="CRN50" s="67">
        <f t="shared" si="1722"/>
        <v>0</v>
      </c>
      <c r="CRO50" s="68">
        <f t="shared" si="1723"/>
        <v>0</v>
      </c>
      <c r="CRP50" s="48"/>
      <c r="CRQ50" s="49">
        <v>0</v>
      </c>
      <c r="CRR50" s="49">
        <v>0</v>
      </c>
      <c r="CRS50" s="49">
        <v>0</v>
      </c>
      <c r="CRT50" s="49">
        <v>0</v>
      </c>
      <c r="CRU50" s="49">
        <v>0</v>
      </c>
      <c r="CRV50" s="47">
        <f t="shared" si="1724"/>
        <v>0</v>
      </c>
      <c r="CRW50" s="68">
        <f t="shared" si="1725"/>
        <v>0</v>
      </c>
      <c r="CRX50" s="48">
        <v>0</v>
      </c>
      <c r="CRY50" s="49">
        <v>0</v>
      </c>
      <c r="CRZ50" s="49">
        <v>0</v>
      </c>
      <c r="CSA50" s="49"/>
      <c r="CSB50" s="49">
        <v>0</v>
      </c>
      <c r="CSC50" s="49">
        <v>0</v>
      </c>
      <c r="CSD50" s="67">
        <f t="shared" si="1726"/>
        <v>0</v>
      </c>
      <c r="CSE50" s="68">
        <f t="shared" si="1727"/>
        <v>0</v>
      </c>
      <c r="CSF50" s="48"/>
      <c r="CSG50" s="49">
        <v>0</v>
      </c>
      <c r="CSH50" s="49">
        <v>0</v>
      </c>
      <c r="CSI50" s="49">
        <v>0</v>
      </c>
      <c r="CSJ50" s="49">
        <v>0</v>
      </c>
      <c r="CSK50" s="360">
        <f>SUMIF(SUMPK!$B:$B,$B:$B,SUMPK!$O:$O)</f>
        <v>660</v>
      </c>
      <c r="CSL50" s="64">
        <f t="shared" si="1728"/>
        <v>660</v>
      </c>
      <c r="CSM50" s="68">
        <f t="shared" si="1729"/>
        <v>110</v>
      </c>
      <c r="CSN50" s="48">
        <v>0</v>
      </c>
      <c r="CSO50" s="49">
        <v>0</v>
      </c>
      <c r="CSP50" s="49"/>
      <c r="CSQ50" s="49"/>
      <c r="CSR50" s="49">
        <v>0</v>
      </c>
      <c r="CSS50" s="49">
        <v>0</v>
      </c>
      <c r="CST50" s="64">
        <f t="shared" si="1730"/>
        <v>0</v>
      </c>
      <c r="CSU50" s="68">
        <f t="shared" si="1731"/>
        <v>0</v>
      </c>
      <c r="CSV50" s="48">
        <v>0</v>
      </c>
      <c r="CSW50" s="49"/>
      <c r="CSX50" s="49">
        <v>0</v>
      </c>
      <c r="CSY50" s="49">
        <v>0</v>
      </c>
      <c r="CSZ50" s="49">
        <v>0</v>
      </c>
      <c r="CTA50" s="49">
        <v>0</v>
      </c>
      <c r="CTB50" s="64">
        <f t="shared" si="1732"/>
        <v>0</v>
      </c>
      <c r="CTC50" s="68">
        <f t="shared" si="1733"/>
        <v>0</v>
      </c>
      <c r="CTD50" s="48">
        <v>0</v>
      </c>
      <c r="CTE50" s="49">
        <v>0</v>
      </c>
      <c r="CTF50" s="49">
        <v>0</v>
      </c>
      <c r="CTG50" s="49">
        <v>0</v>
      </c>
      <c r="CTH50" s="49"/>
      <c r="CTI50" s="49"/>
      <c r="CTJ50" s="64">
        <f t="shared" si="1734"/>
        <v>0</v>
      </c>
      <c r="CTK50" s="68">
        <f t="shared" si="1735"/>
        <v>0</v>
      </c>
      <c r="CTL50" s="48">
        <v>0</v>
      </c>
      <c r="CTM50" s="49">
        <v>0</v>
      </c>
      <c r="CTN50" s="49">
        <v>0</v>
      </c>
      <c r="CTO50" s="49">
        <v>0</v>
      </c>
      <c r="CTP50" s="49">
        <v>1333</v>
      </c>
      <c r="CTQ50" s="49">
        <v>0</v>
      </c>
      <c r="CTR50" s="64">
        <f t="shared" si="1736"/>
        <v>1333</v>
      </c>
      <c r="CTS50" s="68">
        <f t="shared" si="1737"/>
        <v>222.16666666666666</v>
      </c>
      <c r="CTT50" s="48">
        <v>0</v>
      </c>
      <c r="CTU50" s="49"/>
      <c r="CTV50" s="49">
        <v>0</v>
      </c>
      <c r="CTW50" s="49"/>
      <c r="CTX50" s="49"/>
      <c r="CTY50" s="49">
        <v>0</v>
      </c>
      <c r="CTZ50" s="64">
        <f t="shared" si="1738"/>
        <v>0</v>
      </c>
      <c r="CUA50" s="68">
        <f t="shared" si="1739"/>
        <v>0</v>
      </c>
      <c r="CUB50" s="48">
        <v>0</v>
      </c>
      <c r="CUC50" s="49">
        <v>1599</v>
      </c>
      <c r="CUD50" s="49"/>
      <c r="CUE50" s="49"/>
      <c r="CUF50" s="49">
        <v>0</v>
      </c>
      <c r="CUG50" s="49">
        <v>0</v>
      </c>
      <c r="CUH50" s="64">
        <f t="shared" si="1740"/>
        <v>1599</v>
      </c>
      <c r="CUI50" s="68">
        <f t="shared" si="1741"/>
        <v>266.5</v>
      </c>
      <c r="CUJ50" s="48">
        <v>0</v>
      </c>
      <c r="CUK50" s="49">
        <v>0</v>
      </c>
      <c r="CUL50" s="49">
        <v>0</v>
      </c>
      <c r="CUM50" s="49">
        <v>0</v>
      </c>
      <c r="CUN50" s="49">
        <v>862</v>
      </c>
      <c r="CUO50" s="49">
        <v>1452</v>
      </c>
      <c r="CUP50" s="64">
        <f t="shared" si="1742"/>
        <v>2314</v>
      </c>
      <c r="CUQ50" s="68">
        <f t="shared" si="1743"/>
        <v>385.66666666666669</v>
      </c>
      <c r="CUR50" s="48">
        <v>0</v>
      </c>
      <c r="CUS50" s="49"/>
      <c r="CUT50" s="49"/>
      <c r="CUU50" s="49">
        <v>2224</v>
      </c>
      <c r="CUV50" s="49">
        <v>0</v>
      </c>
      <c r="CUW50" s="49">
        <v>0</v>
      </c>
      <c r="CUX50" s="64">
        <f t="shared" si="1744"/>
        <v>2224</v>
      </c>
      <c r="CUY50" s="68">
        <f t="shared" si="1745"/>
        <v>370.66666666666669</v>
      </c>
      <c r="CUZ50" s="48">
        <v>0</v>
      </c>
      <c r="CVA50" s="49">
        <v>0</v>
      </c>
      <c r="CVB50" s="49"/>
      <c r="CVC50" s="49">
        <v>2439</v>
      </c>
      <c r="CVD50" s="49">
        <v>0</v>
      </c>
      <c r="CVE50" s="49"/>
      <c r="CVF50" s="64">
        <f t="shared" si="1746"/>
        <v>2439</v>
      </c>
      <c r="CVG50" s="68">
        <f t="shared" si="1747"/>
        <v>406.5</v>
      </c>
      <c r="CVH50" s="48">
        <v>1201</v>
      </c>
      <c r="CVI50" s="49">
        <v>2195</v>
      </c>
      <c r="CVJ50" s="49">
        <v>0</v>
      </c>
      <c r="CVK50" s="49">
        <v>0</v>
      </c>
      <c r="CVL50" s="49">
        <v>0</v>
      </c>
      <c r="CVM50" s="49"/>
      <c r="CVN50" s="64">
        <f t="shared" si="1748"/>
        <v>3396</v>
      </c>
      <c r="CVO50" s="68">
        <f t="shared" si="1749"/>
        <v>566</v>
      </c>
      <c r="CVP50" s="48">
        <v>0</v>
      </c>
      <c r="CVQ50" s="49">
        <v>0</v>
      </c>
      <c r="CVR50" s="49">
        <v>0</v>
      </c>
      <c r="CVS50" s="49">
        <v>1853</v>
      </c>
      <c r="CVT50" s="49">
        <v>458</v>
      </c>
      <c r="CVU50" s="49">
        <v>0</v>
      </c>
      <c r="CVV50" s="64">
        <f t="shared" si="1750"/>
        <v>2311</v>
      </c>
      <c r="CVW50" s="68">
        <f t="shared" si="1751"/>
        <v>385.16666666666669</v>
      </c>
      <c r="CVX50" s="48">
        <v>0</v>
      </c>
      <c r="CVY50" s="49">
        <v>0</v>
      </c>
      <c r="CVZ50" s="49">
        <v>660</v>
      </c>
      <c r="CWA50" s="49">
        <v>0</v>
      </c>
      <c r="CWB50" s="49">
        <v>0</v>
      </c>
      <c r="CWC50" s="49">
        <v>0</v>
      </c>
      <c r="CWD50" s="64">
        <f t="shared" si="1752"/>
        <v>660</v>
      </c>
      <c r="CWE50" s="68">
        <f t="shared" si="1753"/>
        <v>110</v>
      </c>
      <c r="CWF50" s="48">
        <v>0</v>
      </c>
      <c r="CWG50" s="49">
        <v>0</v>
      </c>
      <c r="CWH50" s="49">
        <v>0</v>
      </c>
      <c r="CWI50" s="49">
        <v>0</v>
      </c>
      <c r="CWJ50" s="49">
        <v>0</v>
      </c>
      <c r="CWK50" s="49"/>
      <c r="CWL50" s="64">
        <f t="shared" si="1754"/>
        <v>0</v>
      </c>
      <c r="CWM50" s="68">
        <f t="shared" si="1755"/>
        <v>0</v>
      </c>
      <c r="CWN50" s="48">
        <v>0</v>
      </c>
      <c r="CWO50" s="49">
        <v>0</v>
      </c>
      <c r="CWP50" s="49">
        <v>0</v>
      </c>
      <c r="CWQ50" s="49">
        <v>0</v>
      </c>
      <c r="CWR50" s="49">
        <v>0</v>
      </c>
      <c r="CWS50" s="49">
        <v>0</v>
      </c>
      <c r="CWT50" s="64">
        <f t="shared" si="1756"/>
        <v>0</v>
      </c>
      <c r="CWU50" s="68">
        <f t="shared" si="1757"/>
        <v>0</v>
      </c>
      <c r="CWV50" s="48">
        <v>0</v>
      </c>
      <c r="CWW50" s="49">
        <v>659</v>
      </c>
      <c r="CWX50" s="49">
        <v>0</v>
      </c>
      <c r="CWY50" s="49"/>
      <c r="CWZ50" s="49">
        <v>0</v>
      </c>
      <c r="CXA50" s="49"/>
      <c r="CXB50" s="127">
        <f t="shared" si="1758"/>
        <v>659</v>
      </c>
      <c r="CXC50" s="43">
        <f t="shared" si="1759"/>
        <v>109.83333333333333</v>
      </c>
      <c r="CXD50" s="48">
        <v>0</v>
      </c>
      <c r="CXE50" s="49">
        <v>0</v>
      </c>
      <c r="CXF50" s="49">
        <v>0</v>
      </c>
      <c r="CXG50" s="49">
        <v>0</v>
      </c>
      <c r="CXH50" s="49">
        <v>0</v>
      </c>
      <c r="CXI50" s="49">
        <v>0</v>
      </c>
      <c r="CXJ50" s="127">
        <f t="shared" si="1760"/>
        <v>0</v>
      </c>
      <c r="CXK50" s="43">
        <f t="shared" si="1761"/>
        <v>0</v>
      </c>
      <c r="CXL50" s="48">
        <v>0</v>
      </c>
      <c r="CXM50" s="49">
        <v>0</v>
      </c>
      <c r="CXN50" s="49">
        <v>0</v>
      </c>
      <c r="CXO50" s="49">
        <v>0</v>
      </c>
      <c r="CXP50" s="49">
        <v>0</v>
      </c>
      <c r="CXQ50" s="49">
        <v>0</v>
      </c>
      <c r="CXR50" s="127">
        <f t="shared" si="1762"/>
        <v>0</v>
      </c>
      <c r="CXS50" s="43">
        <f t="shared" si="1763"/>
        <v>0</v>
      </c>
      <c r="CXT50" s="48">
        <v>1100</v>
      </c>
      <c r="CXU50" s="49">
        <v>236</v>
      </c>
      <c r="CXV50" s="49">
        <v>0</v>
      </c>
      <c r="CXW50" s="49"/>
      <c r="CXX50" s="49">
        <v>0</v>
      </c>
      <c r="CXY50" s="49">
        <v>0</v>
      </c>
      <c r="CXZ50" s="127">
        <f t="shared" si="1764"/>
        <v>1336</v>
      </c>
      <c r="CYA50" s="43">
        <f t="shared" si="1765"/>
        <v>222.66666666666666</v>
      </c>
      <c r="CYB50" s="48">
        <v>0</v>
      </c>
      <c r="CYC50" s="49">
        <v>0</v>
      </c>
      <c r="CYD50" s="49">
        <v>0</v>
      </c>
      <c r="CYE50" s="49">
        <v>0</v>
      </c>
      <c r="CYF50" s="49"/>
      <c r="CYG50" s="49">
        <v>0</v>
      </c>
      <c r="CYH50" s="127">
        <f t="shared" si="1766"/>
        <v>0</v>
      </c>
      <c r="CYI50" s="43">
        <f t="shared" si="1767"/>
        <v>0</v>
      </c>
      <c r="CYJ50" s="48"/>
      <c r="CYK50" s="49">
        <v>0</v>
      </c>
      <c r="CYL50" s="49"/>
      <c r="CYM50" s="49">
        <v>0</v>
      </c>
      <c r="CYN50" s="49">
        <v>0</v>
      </c>
      <c r="CYO50" s="49">
        <v>0</v>
      </c>
      <c r="CYP50" s="127">
        <f t="shared" si="1768"/>
        <v>0</v>
      </c>
      <c r="CYQ50" s="43">
        <f t="shared" si="1769"/>
        <v>0</v>
      </c>
      <c r="CYR50" s="48">
        <v>0</v>
      </c>
      <c r="CYS50" s="49">
        <v>0</v>
      </c>
      <c r="CYT50" s="49">
        <v>0</v>
      </c>
      <c r="CYU50" s="49">
        <v>945</v>
      </c>
      <c r="CYV50" s="49">
        <v>0</v>
      </c>
      <c r="CYW50" s="49">
        <v>0</v>
      </c>
      <c r="CYX50" s="127">
        <f t="shared" si="1770"/>
        <v>945</v>
      </c>
      <c r="CYY50" s="43">
        <f t="shared" si="1771"/>
        <v>157.5</v>
      </c>
      <c r="CYZ50" s="48"/>
      <c r="CZA50" s="49">
        <v>0</v>
      </c>
      <c r="CZB50" s="49">
        <v>0</v>
      </c>
      <c r="CZC50" s="49">
        <v>0</v>
      </c>
      <c r="CZD50" s="49">
        <v>0</v>
      </c>
      <c r="CZE50" s="49">
        <v>0</v>
      </c>
      <c r="CZF50" s="127">
        <f t="shared" si="1772"/>
        <v>0</v>
      </c>
      <c r="CZG50" s="43">
        <f t="shared" si="1773"/>
        <v>0</v>
      </c>
      <c r="CZH50" s="48">
        <v>0</v>
      </c>
      <c r="CZI50" s="49">
        <v>0</v>
      </c>
      <c r="CZJ50" s="49">
        <v>0</v>
      </c>
      <c r="CZK50" s="49">
        <v>0</v>
      </c>
      <c r="CZL50" s="49">
        <v>0</v>
      </c>
      <c r="CZM50" s="49">
        <v>645</v>
      </c>
      <c r="CZN50" s="127">
        <f t="shared" si="1774"/>
        <v>645</v>
      </c>
      <c r="CZO50" s="43">
        <f t="shared" si="1775"/>
        <v>107.5</v>
      </c>
      <c r="CZP50" s="48"/>
      <c r="CZQ50" s="49">
        <v>0</v>
      </c>
      <c r="CZR50" s="49"/>
      <c r="CZS50" s="49">
        <v>0</v>
      </c>
      <c r="CZT50" s="49">
        <v>0</v>
      </c>
      <c r="CZU50" s="49">
        <v>0</v>
      </c>
      <c r="CZV50" s="127">
        <f t="shared" si="1776"/>
        <v>0</v>
      </c>
      <c r="CZW50" s="43">
        <f t="shared" si="1777"/>
        <v>0</v>
      </c>
      <c r="CZX50" s="48"/>
      <c r="CZY50" s="49">
        <v>0</v>
      </c>
      <c r="CZZ50" s="49">
        <v>0</v>
      </c>
      <c r="DAA50" s="49">
        <v>1350</v>
      </c>
      <c r="DAB50" s="49"/>
      <c r="DAC50" s="49">
        <v>0</v>
      </c>
      <c r="DAD50" s="64">
        <f t="shared" si="1778"/>
        <v>1350</v>
      </c>
      <c r="DAE50" s="68">
        <f t="shared" si="1779"/>
        <v>225</v>
      </c>
      <c r="DAF50" s="48">
        <v>0</v>
      </c>
      <c r="DAG50" s="49">
        <v>0</v>
      </c>
      <c r="DAH50" s="49">
        <v>0</v>
      </c>
      <c r="DAI50" s="49">
        <v>0</v>
      </c>
      <c r="DAJ50" s="49">
        <v>0</v>
      </c>
      <c r="DAK50" s="49">
        <v>0</v>
      </c>
      <c r="DAL50" s="64">
        <f t="shared" si="1780"/>
        <v>0</v>
      </c>
      <c r="DAM50" s="68">
        <f t="shared" si="1781"/>
        <v>0</v>
      </c>
      <c r="DAN50" s="48">
        <v>0</v>
      </c>
      <c r="DAO50" s="49">
        <v>0</v>
      </c>
      <c r="DAP50" s="49">
        <v>0</v>
      </c>
      <c r="DAQ50" s="49">
        <v>0</v>
      </c>
      <c r="DAR50" s="49">
        <v>0</v>
      </c>
      <c r="DAS50" s="49">
        <v>0</v>
      </c>
      <c r="DAT50" s="64">
        <f t="shared" si="1782"/>
        <v>0</v>
      </c>
      <c r="DAU50" s="68">
        <f t="shared" si="1783"/>
        <v>0</v>
      </c>
      <c r="DAV50" s="48"/>
      <c r="DAW50" s="49">
        <v>0</v>
      </c>
      <c r="DAX50" s="49">
        <v>0</v>
      </c>
      <c r="DAY50" s="49">
        <v>0</v>
      </c>
      <c r="DAZ50" s="49">
        <v>0</v>
      </c>
      <c r="DBA50" s="49">
        <v>0</v>
      </c>
      <c r="DBB50" s="64">
        <f t="shared" si="1784"/>
        <v>0</v>
      </c>
      <c r="DBC50" s="68">
        <f t="shared" si="1785"/>
        <v>0</v>
      </c>
      <c r="DBD50" s="48"/>
      <c r="DBE50" s="49">
        <v>0</v>
      </c>
      <c r="DBF50" s="49">
        <v>0</v>
      </c>
      <c r="DBG50" s="49">
        <v>0</v>
      </c>
      <c r="DBH50" s="49"/>
      <c r="DBI50" s="49">
        <v>0</v>
      </c>
      <c r="DBJ50" s="64">
        <f t="shared" si="1786"/>
        <v>0</v>
      </c>
      <c r="DBK50" s="68">
        <f t="shared" si="1787"/>
        <v>0</v>
      </c>
      <c r="DBL50" s="48">
        <v>0</v>
      </c>
      <c r="DBM50" s="49">
        <v>0</v>
      </c>
      <c r="DBN50" s="49"/>
      <c r="DBO50" s="49"/>
      <c r="DBP50" s="49"/>
      <c r="DBQ50" s="49">
        <v>0</v>
      </c>
      <c r="DBR50" s="64">
        <f t="shared" si="1788"/>
        <v>0</v>
      </c>
      <c r="DBS50" s="68">
        <f t="shared" si="1789"/>
        <v>0</v>
      </c>
      <c r="DBT50" s="48">
        <v>0</v>
      </c>
      <c r="DBU50" s="49"/>
      <c r="DBV50" s="49"/>
      <c r="DBW50" s="49">
        <v>0</v>
      </c>
      <c r="DBX50" s="49"/>
      <c r="DBY50" s="49">
        <v>0</v>
      </c>
      <c r="DBZ50" s="64">
        <f t="shared" si="1790"/>
        <v>0</v>
      </c>
      <c r="DCA50" s="68">
        <f t="shared" si="1791"/>
        <v>0</v>
      </c>
      <c r="DCB50" s="48">
        <v>0</v>
      </c>
      <c r="DCC50" s="49">
        <v>0</v>
      </c>
      <c r="DCD50" s="49"/>
      <c r="DCE50" s="49"/>
      <c r="DCF50" s="49">
        <v>0</v>
      </c>
      <c r="DCG50" s="49">
        <v>0</v>
      </c>
      <c r="DCH50" s="64">
        <f t="shared" si="1792"/>
        <v>0</v>
      </c>
      <c r="DCI50" s="68">
        <f t="shared" si="1793"/>
        <v>0</v>
      </c>
      <c r="DCJ50" s="48"/>
      <c r="DCK50" s="49">
        <v>0</v>
      </c>
      <c r="DCL50" s="49">
        <v>0</v>
      </c>
      <c r="DCM50" s="49">
        <v>0</v>
      </c>
      <c r="DCN50" s="49">
        <v>0</v>
      </c>
      <c r="DCO50" s="49"/>
      <c r="DCP50" s="64">
        <f t="shared" si="1794"/>
        <v>0</v>
      </c>
      <c r="DCQ50" s="68">
        <f t="shared" si="1795"/>
        <v>0</v>
      </c>
      <c r="DCR50" s="48">
        <v>0</v>
      </c>
      <c r="DCS50" s="49">
        <v>0</v>
      </c>
      <c r="DCT50" s="49">
        <v>0</v>
      </c>
      <c r="DCU50" s="49">
        <v>0</v>
      </c>
      <c r="DCV50" s="49">
        <v>0</v>
      </c>
      <c r="DCW50" s="49">
        <v>0</v>
      </c>
      <c r="DCX50" s="64">
        <f t="shared" si="1796"/>
        <v>0</v>
      </c>
      <c r="DCY50" s="68">
        <f t="shared" si="1797"/>
        <v>0</v>
      </c>
      <c r="DCZ50" s="48">
        <v>0</v>
      </c>
      <c r="DDA50" s="49">
        <v>0</v>
      </c>
      <c r="DDB50" s="49">
        <v>0</v>
      </c>
      <c r="DDC50" s="49">
        <v>0</v>
      </c>
      <c r="DDD50" s="49"/>
      <c r="DDE50" s="49">
        <v>0</v>
      </c>
      <c r="DDF50" s="64">
        <f t="shared" si="1798"/>
        <v>0</v>
      </c>
      <c r="DDG50" s="68">
        <f t="shared" si="1799"/>
        <v>0</v>
      </c>
      <c r="DDH50" s="48">
        <v>0</v>
      </c>
      <c r="DDI50" s="49"/>
      <c r="DDJ50" s="49"/>
      <c r="DDK50" s="49">
        <v>0</v>
      </c>
      <c r="DDL50" s="49"/>
      <c r="DDM50" s="49">
        <v>0</v>
      </c>
      <c r="DDN50" s="127">
        <f t="shared" si="1800"/>
        <v>0</v>
      </c>
      <c r="DDO50" s="43">
        <f t="shared" si="1801"/>
        <v>0</v>
      </c>
      <c r="DDP50" s="48">
        <v>0</v>
      </c>
      <c r="DDQ50" s="49">
        <v>0</v>
      </c>
      <c r="DDR50" s="49">
        <v>0</v>
      </c>
      <c r="DDS50" s="49">
        <v>0</v>
      </c>
      <c r="DDT50" s="49">
        <v>0</v>
      </c>
      <c r="DDU50" s="49"/>
      <c r="DDV50" s="127">
        <f t="shared" si="1802"/>
        <v>0</v>
      </c>
      <c r="DDW50" s="43">
        <f t="shared" si="1803"/>
        <v>0</v>
      </c>
      <c r="DDX50" s="48">
        <v>0</v>
      </c>
      <c r="DDY50" s="49">
        <v>0</v>
      </c>
      <c r="DDZ50" s="49"/>
      <c r="DEA50" s="49"/>
      <c r="DEB50" s="49">
        <v>0</v>
      </c>
      <c r="DEC50" s="49">
        <v>0</v>
      </c>
      <c r="DED50" s="127">
        <f t="shared" si="1804"/>
        <v>0</v>
      </c>
      <c r="DEE50" s="43">
        <f t="shared" si="1805"/>
        <v>0</v>
      </c>
      <c r="DEF50" s="48">
        <v>0</v>
      </c>
      <c r="DEG50" s="49"/>
      <c r="DEH50" s="49">
        <v>0</v>
      </c>
      <c r="DEI50" s="49">
        <v>0</v>
      </c>
      <c r="DEJ50" s="49">
        <v>0</v>
      </c>
      <c r="DEK50" s="49"/>
      <c r="DEL50" s="127">
        <f t="shared" si="1806"/>
        <v>0</v>
      </c>
      <c r="DEM50" s="43">
        <f t="shared" si="1807"/>
        <v>0</v>
      </c>
      <c r="DEN50" s="48"/>
      <c r="DEO50" s="49">
        <v>0</v>
      </c>
      <c r="DEP50" s="49"/>
      <c r="DEQ50" s="49">
        <v>0</v>
      </c>
      <c r="DER50" s="49"/>
      <c r="DES50" s="49"/>
      <c r="DET50" s="127">
        <f t="shared" si="1808"/>
        <v>0</v>
      </c>
      <c r="DEU50" s="43">
        <f t="shared" si="1809"/>
        <v>0</v>
      </c>
      <c r="DEV50" s="48">
        <v>0</v>
      </c>
      <c r="DEW50" s="49">
        <v>0</v>
      </c>
      <c r="DEX50" s="49"/>
      <c r="DEY50" s="49"/>
      <c r="DEZ50" s="49">
        <v>0</v>
      </c>
      <c r="DFA50" s="49">
        <v>0</v>
      </c>
      <c r="DFB50" s="127">
        <f t="shared" si="1810"/>
        <v>0</v>
      </c>
      <c r="DFC50" s="43">
        <f t="shared" si="1811"/>
        <v>0</v>
      </c>
      <c r="DFD50" s="48"/>
      <c r="DFE50" s="49"/>
      <c r="DFF50" s="49">
        <v>0</v>
      </c>
      <c r="DFG50" s="49"/>
      <c r="DFH50" s="49">
        <v>0</v>
      </c>
      <c r="DFI50" s="49">
        <v>0</v>
      </c>
      <c r="DFJ50" s="127">
        <f t="shared" si="1812"/>
        <v>0</v>
      </c>
      <c r="DFK50" s="43">
        <f t="shared" si="1813"/>
        <v>0</v>
      </c>
      <c r="DFL50" s="63"/>
      <c r="DFM50" s="64">
        <v>0</v>
      </c>
      <c r="DFN50" s="64"/>
      <c r="DFO50" s="64"/>
      <c r="DFP50" s="64">
        <v>0</v>
      </c>
      <c r="DFQ50" s="64">
        <v>0</v>
      </c>
      <c r="DFR50" s="64">
        <f t="shared" si="1814"/>
        <v>0</v>
      </c>
      <c r="DFS50" s="68">
        <f t="shared" si="1815"/>
        <v>0</v>
      </c>
      <c r="DFT50" s="48"/>
      <c r="DFU50" s="49">
        <v>0</v>
      </c>
      <c r="DFV50" s="49"/>
      <c r="DFW50" s="49">
        <v>0</v>
      </c>
      <c r="DFX50" s="49"/>
      <c r="DFY50" s="49"/>
      <c r="DFZ50" s="127">
        <f t="shared" si="1816"/>
        <v>0</v>
      </c>
      <c r="DGA50" s="43">
        <f t="shared" si="1817"/>
        <v>0</v>
      </c>
      <c r="DGB50" s="48"/>
      <c r="DGC50" s="49">
        <v>0</v>
      </c>
      <c r="DGD50" s="49">
        <v>0</v>
      </c>
      <c r="DGE50" s="49">
        <v>0</v>
      </c>
      <c r="DGF50" s="49"/>
      <c r="DGG50" s="49">
        <v>0</v>
      </c>
      <c r="DGH50" s="127">
        <f t="shared" si="1818"/>
        <v>0</v>
      </c>
      <c r="DGI50" s="43">
        <f t="shared" si="1819"/>
        <v>0</v>
      </c>
      <c r="DGJ50" s="48"/>
      <c r="DGK50" s="49"/>
      <c r="DGL50" s="49">
        <v>0</v>
      </c>
      <c r="DGM50" s="49">
        <v>0</v>
      </c>
      <c r="DGN50" s="49"/>
      <c r="DGO50" s="49">
        <v>0</v>
      </c>
      <c r="DGP50" s="64">
        <f t="shared" si="1820"/>
        <v>0</v>
      </c>
      <c r="DGQ50" s="68">
        <f t="shared" si="1821"/>
        <v>0</v>
      </c>
      <c r="DGR50" s="48">
        <v>0</v>
      </c>
      <c r="DGS50" s="49">
        <v>0</v>
      </c>
      <c r="DGT50" s="49">
        <v>0</v>
      </c>
      <c r="DGU50" s="49"/>
      <c r="DGV50" s="49"/>
      <c r="DGW50" s="49">
        <v>0</v>
      </c>
      <c r="DGX50" s="64">
        <f t="shared" si="1822"/>
        <v>0</v>
      </c>
      <c r="DGY50" s="68">
        <f t="shared" si="1823"/>
        <v>0</v>
      </c>
      <c r="DGZ50" s="48"/>
      <c r="DHA50" s="49"/>
      <c r="DHB50" s="49"/>
      <c r="DHC50" s="49"/>
      <c r="DHD50" s="49">
        <v>0</v>
      </c>
      <c r="DHE50" s="49"/>
      <c r="DHF50" s="64">
        <f t="shared" si="1824"/>
        <v>0</v>
      </c>
      <c r="DHG50" s="68">
        <f t="shared" si="1825"/>
        <v>0</v>
      </c>
      <c r="DHH50" s="63">
        <v>0</v>
      </c>
      <c r="DHI50" s="64">
        <v>0</v>
      </c>
      <c r="DHJ50" s="64">
        <v>0</v>
      </c>
      <c r="DHK50" s="64">
        <v>0</v>
      </c>
      <c r="DHL50" s="64"/>
      <c r="DHM50" s="64"/>
      <c r="DHN50" s="64">
        <f t="shared" si="1826"/>
        <v>0</v>
      </c>
      <c r="DHO50" s="68">
        <f t="shared" si="1827"/>
        <v>0</v>
      </c>
      <c r="DHP50" s="48">
        <v>0</v>
      </c>
      <c r="DHQ50" s="49">
        <v>0</v>
      </c>
      <c r="DHR50" s="49"/>
      <c r="DHS50" s="49">
        <v>0</v>
      </c>
      <c r="DHT50" s="49">
        <v>0</v>
      </c>
      <c r="DHU50" s="49">
        <v>0</v>
      </c>
      <c r="DHV50" s="64">
        <f t="shared" si="1828"/>
        <v>0</v>
      </c>
      <c r="DHW50" s="68">
        <f t="shared" si="1829"/>
        <v>0</v>
      </c>
      <c r="DHX50" s="48"/>
      <c r="DHY50" s="49"/>
      <c r="DHZ50" s="49"/>
      <c r="DIA50" s="49">
        <v>0</v>
      </c>
      <c r="DIB50" s="49"/>
      <c r="DIC50" s="49">
        <v>0</v>
      </c>
      <c r="DID50" s="64">
        <f t="shared" si="1830"/>
        <v>0</v>
      </c>
      <c r="DIE50" s="68">
        <f t="shared" si="1831"/>
        <v>0</v>
      </c>
      <c r="DIF50" s="48">
        <v>0</v>
      </c>
      <c r="DIG50" s="49">
        <v>0</v>
      </c>
      <c r="DIH50" s="49"/>
      <c r="DII50" s="49">
        <v>0</v>
      </c>
      <c r="DIJ50" s="49"/>
      <c r="DIK50" s="49"/>
      <c r="DIL50" s="64">
        <f t="shared" si="1832"/>
        <v>0</v>
      </c>
      <c r="DIM50" s="68">
        <f t="shared" si="1833"/>
        <v>0</v>
      </c>
      <c r="DIN50" s="48"/>
      <c r="DIO50" s="49"/>
      <c r="DIP50" s="49">
        <v>0</v>
      </c>
      <c r="DIQ50" s="49"/>
      <c r="DIR50" s="49">
        <v>0</v>
      </c>
      <c r="DIS50" s="49">
        <v>0</v>
      </c>
      <c r="DIT50" s="64">
        <f t="shared" si="1834"/>
        <v>0</v>
      </c>
      <c r="DIU50" s="68">
        <f t="shared" si="1835"/>
        <v>0</v>
      </c>
      <c r="DIV50" s="48">
        <v>0</v>
      </c>
      <c r="DIW50" s="49">
        <v>0</v>
      </c>
      <c r="DIX50" s="49"/>
      <c r="DIY50" s="49">
        <v>0</v>
      </c>
      <c r="DIZ50" s="49">
        <v>0</v>
      </c>
      <c r="DJA50" s="49">
        <v>0</v>
      </c>
      <c r="DJB50" s="64">
        <f t="shared" si="1836"/>
        <v>0</v>
      </c>
      <c r="DJC50" s="68">
        <f t="shared" si="1837"/>
        <v>0</v>
      </c>
      <c r="DJD50" s="48">
        <v>0</v>
      </c>
      <c r="DJE50" s="49"/>
      <c r="DJF50" s="49"/>
      <c r="DJG50" s="49">
        <v>0</v>
      </c>
      <c r="DJH50" s="49">
        <v>0</v>
      </c>
      <c r="DJI50" s="49"/>
      <c r="DJJ50" s="64">
        <f t="shared" si="1838"/>
        <v>0</v>
      </c>
      <c r="DJK50" s="68">
        <f t="shared" si="1839"/>
        <v>0</v>
      </c>
      <c r="DJL50" s="48">
        <v>0</v>
      </c>
      <c r="DJM50" s="49">
        <v>0</v>
      </c>
      <c r="DJN50" s="49">
        <v>0</v>
      </c>
      <c r="DJO50" s="49">
        <v>0</v>
      </c>
      <c r="DJP50" s="49">
        <v>0</v>
      </c>
      <c r="DJQ50" s="49">
        <v>0</v>
      </c>
      <c r="DJR50" s="64">
        <f t="shared" si="1840"/>
        <v>0</v>
      </c>
      <c r="DJS50" s="68">
        <f t="shared" si="1841"/>
        <v>0</v>
      </c>
      <c r="DJT50" s="48"/>
      <c r="DJU50" s="49">
        <v>0</v>
      </c>
      <c r="DJV50" s="49">
        <v>0</v>
      </c>
      <c r="DJW50" s="49"/>
      <c r="DJX50" s="49">
        <v>0</v>
      </c>
      <c r="DJY50" s="49">
        <v>0</v>
      </c>
      <c r="DJZ50" s="64">
        <f t="shared" si="1842"/>
        <v>0</v>
      </c>
      <c r="DKA50" s="68">
        <f t="shared" si="1843"/>
        <v>0</v>
      </c>
      <c r="DKB50" s="48">
        <v>0</v>
      </c>
      <c r="DKC50" s="49"/>
      <c r="DKD50" s="49">
        <v>0</v>
      </c>
      <c r="DKE50" s="49">
        <v>0</v>
      </c>
      <c r="DKF50" s="49">
        <v>0</v>
      </c>
      <c r="DKG50" s="49">
        <v>0</v>
      </c>
      <c r="DKH50" s="64">
        <f t="shared" si="1844"/>
        <v>0</v>
      </c>
      <c r="DKI50" s="68">
        <f t="shared" si="1845"/>
        <v>0</v>
      </c>
      <c r="DKJ50" s="48"/>
      <c r="DKK50" s="49"/>
      <c r="DKL50" s="49">
        <v>0</v>
      </c>
      <c r="DKM50" s="49"/>
      <c r="DKN50" s="49">
        <v>0</v>
      </c>
      <c r="DKO50" s="49"/>
      <c r="DKP50" s="64">
        <f t="shared" si="1846"/>
        <v>0</v>
      </c>
      <c r="DKQ50" s="68">
        <f t="shared" si="1847"/>
        <v>0</v>
      </c>
      <c r="DKR50" s="48">
        <v>0</v>
      </c>
      <c r="DKS50" s="49">
        <v>0</v>
      </c>
      <c r="DKT50" s="49"/>
      <c r="DKU50" s="49">
        <v>0</v>
      </c>
      <c r="DKV50" s="49">
        <v>0</v>
      </c>
      <c r="DKW50" s="49"/>
      <c r="DKX50" s="64">
        <f t="shared" si="1848"/>
        <v>0</v>
      </c>
      <c r="DKY50" s="68">
        <f t="shared" si="1849"/>
        <v>0</v>
      </c>
      <c r="DKZ50" s="48"/>
      <c r="DLA50" s="49">
        <v>0</v>
      </c>
      <c r="DLB50" s="49">
        <v>0</v>
      </c>
      <c r="DLC50" s="49">
        <v>0</v>
      </c>
      <c r="DLD50" s="49"/>
      <c r="DLE50" s="49">
        <v>0</v>
      </c>
      <c r="DLF50" s="64">
        <f t="shared" si="1850"/>
        <v>0</v>
      </c>
      <c r="DLG50" s="68">
        <f t="shared" si="1851"/>
        <v>0</v>
      </c>
      <c r="DLH50" s="48"/>
      <c r="DLI50" s="49"/>
      <c r="DLJ50" s="49">
        <v>0</v>
      </c>
      <c r="DLK50" s="49"/>
      <c r="DLL50" s="49"/>
      <c r="DLM50" s="49"/>
      <c r="DLN50" s="64">
        <f t="shared" si="1852"/>
        <v>0</v>
      </c>
      <c r="DLO50" s="68">
        <f t="shared" si="1853"/>
        <v>0</v>
      </c>
      <c r="DLP50" s="48"/>
      <c r="DLQ50" s="49"/>
      <c r="DLR50" s="49">
        <v>0</v>
      </c>
      <c r="DLS50" s="49"/>
      <c r="DLT50" s="49">
        <v>0</v>
      </c>
      <c r="DLU50" s="49"/>
      <c r="DLV50" s="64">
        <f t="shared" si="1854"/>
        <v>0</v>
      </c>
      <c r="DLW50" s="68">
        <f t="shared" si="1855"/>
        <v>0</v>
      </c>
      <c r="DLX50" s="48">
        <v>0</v>
      </c>
      <c r="DLY50" s="49"/>
      <c r="DLZ50" s="49"/>
      <c r="DMA50" s="49"/>
      <c r="DMB50" s="49"/>
      <c r="DMC50" s="49">
        <v>0</v>
      </c>
      <c r="DMD50" s="64">
        <f t="shared" si="1856"/>
        <v>0</v>
      </c>
      <c r="DME50" s="68">
        <f t="shared" si="1857"/>
        <v>0</v>
      </c>
      <c r="DMF50" s="48"/>
      <c r="DMG50" s="49"/>
      <c r="DMH50" s="49"/>
      <c r="DMI50" s="49">
        <v>0</v>
      </c>
      <c r="DMJ50" s="49">
        <v>0</v>
      </c>
      <c r="DMK50" s="49">
        <v>0</v>
      </c>
      <c r="DML50" s="64">
        <f t="shared" si="1858"/>
        <v>0</v>
      </c>
      <c r="DMM50" s="68">
        <f t="shared" si="1859"/>
        <v>0</v>
      </c>
      <c r="DMN50" s="48"/>
      <c r="DMO50" s="49"/>
      <c r="DMP50" s="49">
        <v>0</v>
      </c>
      <c r="DMQ50" s="49">
        <v>0</v>
      </c>
      <c r="DMR50" s="49">
        <v>0</v>
      </c>
      <c r="DMS50" s="49">
        <v>0</v>
      </c>
      <c r="DMT50" s="64">
        <f t="shared" si="1860"/>
        <v>0</v>
      </c>
      <c r="DMU50" s="68">
        <f t="shared" si="1861"/>
        <v>0</v>
      </c>
      <c r="DMV50" s="48">
        <v>0</v>
      </c>
      <c r="DMW50" s="49">
        <v>0</v>
      </c>
      <c r="DMX50" s="49">
        <v>0</v>
      </c>
      <c r="DMY50" s="49">
        <v>0</v>
      </c>
      <c r="DMZ50" s="49">
        <v>0</v>
      </c>
      <c r="DNA50" s="49">
        <v>0</v>
      </c>
      <c r="DNB50" s="64">
        <f t="shared" si="1862"/>
        <v>0</v>
      </c>
      <c r="DNC50" s="68">
        <f t="shared" si="1863"/>
        <v>0</v>
      </c>
      <c r="DND50" s="48"/>
      <c r="DNE50" s="49">
        <v>0</v>
      </c>
      <c r="DNF50" s="49">
        <v>0</v>
      </c>
      <c r="DNG50" s="49"/>
      <c r="DNH50" s="49">
        <v>0</v>
      </c>
      <c r="DNI50" s="49"/>
      <c r="DNJ50" s="64">
        <f t="shared" si="1864"/>
        <v>0</v>
      </c>
      <c r="DNK50" s="68">
        <f t="shared" si="1865"/>
        <v>0</v>
      </c>
      <c r="DNL50" s="48"/>
      <c r="DNM50" s="49"/>
      <c r="DNN50" s="49">
        <v>0</v>
      </c>
      <c r="DNO50" s="49">
        <v>0</v>
      </c>
      <c r="DNP50" s="49"/>
      <c r="DNQ50" s="49">
        <v>0</v>
      </c>
      <c r="DNR50" s="64">
        <f t="shared" si="1866"/>
        <v>0</v>
      </c>
      <c r="DNS50" s="68">
        <f t="shared" si="1867"/>
        <v>0</v>
      </c>
      <c r="DNT50" s="48">
        <v>0</v>
      </c>
      <c r="DNU50" s="49"/>
      <c r="DNV50" s="49">
        <v>0</v>
      </c>
      <c r="DNW50" s="49">
        <v>0</v>
      </c>
      <c r="DNX50" s="49">
        <v>0</v>
      </c>
      <c r="DNY50" s="49">
        <v>0</v>
      </c>
      <c r="DNZ50" s="64">
        <f t="shared" si="1868"/>
        <v>0</v>
      </c>
      <c r="DOA50" s="68">
        <f t="shared" si="1869"/>
        <v>0</v>
      </c>
      <c r="DOB50" s="48"/>
      <c r="DOC50" s="49"/>
      <c r="DOD50" s="49">
        <v>0</v>
      </c>
      <c r="DOE50" s="49">
        <v>0</v>
      </c>
      <c r="DOF50" s="49">
        <v>0</v>
      </c>
      <c r="DOG50" s="49">
        <v>0</v>
      </c>
      <c r="DOH50" s="64">
        <f t="shared" si="1870"/>
        <v>0</v>
      </c>
      <c r="DOI50" s="68">
        <f t="shared" si="1871"/>
        <v>0</v>
      </c>
      <c r="DOJ50" s="48"/>
      <c r="DOK50" s="49">
        <v>0</v>
      </c>
      <c r="DOL50" s="49"/>
      <c r="DOM50" s="49"/>
      <c r="DON50" s="49"/>
      <c r="DOO50" s="49">
        <v>0</v>
      </c>
      <c r="DOP50" s="64">
        <f t="shared" si="1872"/>
        <v>0</v>
      </c>
      <c r="DOQ50" s="68">
        <f t="shared" si="1873"/>
        <v>0</v>
      </c>
      <c r="DOR50" s="48">
        <v>0</v>
      </c>
      <c r="DOS50" s="49">
        <v>0</v>
      </c>
      <c r="DOT50" s="49"/>
      <c r="DOU50" s="49">
        <v>0</v>
      </c>
      <c r="DOV50" s="49"/>
      <c r="DOW50" s="49">
        <v>0</v>
      </c>
      <c r="DOX50" s="64">
        <f t="shared" si="1874"/>
        <v>0</v>
      </c>
      <c r="DOY50" s="68">
        <f t="shared" si="1875"/>
        <v>0</v>
      </c>
      <c r="DOZ50" s="48"/>
      <c r="DPA50" s="49"/>
      <c r="DPB50" s="49"/>
      <c r="DPC50" s="49">
        <v>0</v>
      </c>
      <c r="DPD50" s="49"/>
      <c r="DPE50" s="49">
        <v>0</v>
      </c>
      <c r="DPF50" s="64">
        <f t="shared" si="1876"/>
        <v>0</v>
      </c>
      <c r="DPG50" s="68">
        <f t="shared" si="1877"/>
        <v>0</v>
      </c>
      <c r="DPH50" s="48">
        <v>0</v>
      </c>
      <c r="DPI50" s="49"/>
      <c r="DPJ50" s="49">
        <v>0</v>
      </c>
      <c r="DPK50" s="49"/>
      <c r="DPL50" s="49"/>
      <c r="DPM50" s="49"/>
      <c r="DPN50" s="64">
        <f t="shared" si="1878"/>
        <v>0</v>
      </c>
      <c r="DPO50" s="68">
        <f t="shared" si="1879"/>
        <v>0</v>
      </c>
      <c r="DPP50" s="48">
        <v>0</v>
      </c>
      <c r="DPQ50" s="49">
        <v>0</v>
      </c>
      <c r="DPR50" s="49">
        <v>0</v>
      </c>
      <c r="DPS50" s="49"/>
      <c r="DPT50" s="49"/>
      <c r="DPU50" s="49">
        <v>0</v>
      </c>
      <c r="DPV50" s="491">
        <f t="shared" si="1880"/>
        <v>0</v>
      </c>
      <c r="DPW50" s="492">
        <f t="shared" si="1881"/>
        <v>0</v>
      </c>
      <c r="DPX50" s="48">
        <v>0</v>
      </c>
      <c r="DPY50" s="49"/>
      <c r="DPZ50" s="49">
        <v>0</v>
      </c>
      <c r="DQA50" s="49">
        <v>0</v>
      </c>
      <c r="DQB50" s="49">
        <v>0</v>
      </c>
      <c r="DQC50" s="49">
        <v>0</v>
      </c>
      <c r="DQD50" s="491">
        <f t="shared" si="1882"/>
        <v>0</v>
      </c>
      <c r="DQE50" s="492">
        <f t="shared" si="1883"/>
        <v>0</v>
      </c>
      <c r="DQF50" s="48"/>
      <c r="DQG50" s="49">
        <v>0</v>
      </c>
      <c r="DQH50" s="49"/>
      <c r="DQI50" s="49"/>
      <c r="DQJ50" s="49">
        <v>0</v>
      </c>
      <c r="DQK50" s="49"/>
      <c r="DQL50" s="489">
        <f t="shared" si="1884"/>
        <v>0</v>
      </c>
      <c r="DQM50" s="492">
        <f t="shared" si="1885"/>
        <v>0</v>
      </c>
      <c r="DQN50" s="48">
        <v>0</v>
      </c>
      <c r="DQO50" s="49">
        <v>0</v>
      </c>
      <c r="DQP50" s="49">
        <v>0</v>
      </c>
      <c r="DQQ50" s="49">
        <v>0</v>
      </c>
      <c r="DQR50" s="49">
        <v>0</v>
      </c>
      <c r="DQS50" s="49">
        <v>0</v>
      </c>
      <c r="DQT50" s="64">
        <f t="shared" si="1886"/>
        <v>0</v>
      </c>
      <c r="DQU50" s="68">
        <f t="shared" si="1887"/>
        <v>0</v>
      </c>
      <c r="DQV50" s="48"/>
      <c r="DQW50" s="49">
        <v>0</v>
      </c>
      <c r="DQX50" s="49"/>
      <c r="DQY50" s="49">
        <v>0</v>
      </c>
      <c r="DQZ50" s="49">
        <v>0</v>
      </c>
      <c r="DRA50" s="49">
        <v>0</v>
      </c>
      <c r="DRB50" s="491">
        <f t="shared" si="1888"/>
        <v>0</v>
      </c>
      <c r="DRC50" s="492">
        <f t="shared" si="1889"/>
        <v>0</v>
      </c>
      <c r="DRD50" s="48">
        <v>0</v>
      </c>
      <c r="DRE50" s="49"/>
      <c r="DRF50" s="49">
        <v>0</v>
      </c>
      <c r="DRG50" s="49">
        <v>0</v>
      </c>
      <c r="DRH50" s="49"/>
      <c r="DRI50" s="49"/>
      <c r="DRJ50" s="491">
        <f t="shared" si="1890"/>
        <v>0</v>
      </c>
      <c r="DRK50" s="492">
        <f t="shared" si="1891"/>
        <v>0</v>
      </c>
      <c r="DRL50" s="48">
        <v>0</v>
      </c>
      <c r="DRM50" s="49">
        <v>0</v>
      </c>
      <c r="DRN50" s="49">
        <v>0</v>
      </c>
      <c r="DRO50" s="49">
        <v>0</v>
      </c>
      <c r="DRP50" s="49">
        <v>0</v>
      </c>
      <c r="DRQ50" s="49"/>
      <c r="DRR50" s="64">
        <f t="shared" si="1587"/>
        <v>0</v>
      </c>
      <c r="DRS50" s="68">
        <f t="shared" si="1588"/>
        <v>0</v>
      </c>
      <c r="DRT50" s="48">
        <v>636</v>
      </c>
      <c r="DRU50" s="49">
        <v>0</v>
      </c>
      <c r="DRV50" s="49">
        <v>0</v>
      </c>
      <c r="DRW50" s="49">
        <v>0</v>
      </c>
      <c r="DRX50" s="49">
        <v>0</v>
      </c>
      <c r="DRY50" s="49"/>
      <c r="DRZ50" s="491">
        <f t="shared" si="1589"/>
        <v>636</v>
      </c>
      <c r="DSA50" s="68">
        <f t="shared" si="1590"/>
        <v>106</v>
      </c>
      <c r="DSB50" s="82"/>
      <c r="DSC50" s="83">
        <v>0</v>
      </c>
      <c r="DSD50" s="83">
        <v>0</v>
      </c>
      <c r="DSE50" s="83"/>
      <c r="DSF50" s="83">
        <v>0</v>
      </c>
      <c r="DSG50" s="83">
        <v>0</v>
      </c>
      <c r="DSH50" s="64">
        <f t="shared" si="1591"/>
        <v>0</v>
      </c>
      <c r="DSI50" s="68">
        <f t="shared" si="1592"/>
        <v>0</v>
      </c>
      <c r="DSJ50" s="48">
        <v>0</v>
      </c>
      <c r="DSK50" s="49"/>
      <c r="DSL50" s="49"/>
      <c r="DSM50" s="49">
        <v>0</v>
      </c>
      <c r="DSN50" s="49"/>
      <c r="DSO50" s="49">
        <v>1733</v>
      </c>
      <c r="DSP50" s="64">
        <f t="shared" si="1593"/>
        <v>1733</v>
      </c>
      <c r="DSQ50" s="68">
        <f t="shared" si="1594"/>
        <v>288.83333333333331</v>
      </c>
      <c r="DSR50" s="48"/>
      <c r="DSS50" s="49"/>
      <c r="DST50" s="49">
        <v>0</v>
      </c>
      <c r="DSU50" s="49">
        <v>0</v>
      </c>
      <c r="DSV50" s="49">
        <v>304</v>
      </c>
      <c r="DSW50" s="49"/>
      <c r="DSX50" s="64">
        <f t="shared" si="1595"/>
        <v>304</v>
      </c>
      <c r="DSY50" s="68">
        <f t="shared" si="1596"/>
        <v>50.666666666666664</v>
      </c>
      <c r="DSZ50" s="48">
        <v>0</v>
      </c>
      <c r="DTA50" s="49">
        <v>0</v>
      </c>
      <c r="DTB50" s="49">
        <v>0</v>
      </c>
      <c r="DTC50" s="49">
        <v>0</v>
      </c>
      <c r="DTD50" s="49"/>
      <c r="DTE50" s="49"/>
      <c r="DTF50" s="64">
        <f t="shared" si="1597"/>
        <v>0</v>
      </c>
      <c r="DTG50" s="68">
        <f t="shared" si="1598"/>
        <v>0</v>
      </c>
      <c r="DTH50" s="48">
        <v>0</v>
      </c>
      <c r="DTI50" s="49"/>
      <c r="DTJ50" s="49">
        <v>0</v>
      </c>
      <c r="DTK50" s="49">
        <v>0</v>
      </c>
      <c r="DTL50" s="49">
        <v>0</v>
      </c>
      <c r="DTM50" s="49">
        <v>0</v>
      </c>
      <c r="DTN50" s="64">
        <f t="shared" si="1599"/>
        <v>0</v>
      </c>
      <c r="DTO50" s="68">
        <f t="shared" si="1600"/>
        <v>0</v>
      </c>
      <c r="DTP50" s="48">
        <v>0</v>
      </c>
      <c r="DTQ50" s="49"/>
      <c r="DTR50" s="49"/>
      <c r="DTS50" s="49"/>
      <c r="DTT50" s="49">
        <v>0</v>
      </c>
      <c r="DTU50" s="49">
        <v>0</v>
      </c>
      <c r="DTV50" s="64">
        <f t="shared" si="1601"/>
        <v>0</v>
      </c>
      <c r="DTW50" s="68">
        <f t="shared" si="1602"/>
        <v>0</v>
      </c>
      <c r="DTX50" s="48">
        <v>0</v>
      </c>
      <c r="DTY50" s="49">
        <v>0</v>
      </c>
      <c r="DTZ50" s="49">
        <v>0</v>
      </c>
      <c r="DUA50" s="49">
        <v>0</v>
      </c>
      <c r="DUB50" s="49">
        <v>0</v>
      </c>
      <c r="DUC50" s="49">
        <v>0</v>
      </c>
      <c r="DUD50" s="64">
        <f t="shared" si="1603"/>
        <v>0</v>
      </c>
      <c r="DUE50" s="68">
        <f t="shared" si="1604"/>
        <v>0</v>
      </c>
      <c r="DUF50" s="48">
        <v>0</v>
      </c>
      <c r="DUG50" s="49">
        <v>301</v>
      </c>
      <c r="DUH50" s="49"/>
      <c r="DUI50" s="49">
        <v>0</v>
      </c>
      <c r="DUJ50" s="49">
        <v>0</v>
      </c>
      <c r="DUK50" s="49">
        <v>0</v>
      </c>
      <c r="DUL50" s="64">
        <f t="shared" si="1605"/>
        <v>301</v>
      </c>
      <c r="DUM50" s="68">
        <f t="shared" si="1606"/>
        <v>50.166666666666664</v>
      </c>
      <c r="DUN50" s="48"/>
      <c r="DUO50" s="49">
        <v>0</v>
      </c>
      <c r="DUP50" s="49">
        <v>0</v>
      </c>
      <c r="DUQ50" s="49">
        <v>0</v>
      </c>
      <c r="DUR50" s="49"/>
      <c r="DUS50" s="49">
        <v>0</v>
      </c>
      <c r="DUT50" s="64">
        <f t="shared" si="1607"/>
        <v>0</v>
      </c>
      <c r="DUU50" s="68">
        <f t="shared" si="1608"/>
        <v>0</v>
      </c>
      <c r="DUV50" s="48"/>
      <c r="DUW50" s="49">
        <v>220</v>
      </c>
      <c r="DUX50" s="49">
        <v>1475</v>
      </c>
      <c r="DUY50" s="49">
        <v>0</v>
      </c>
      <c r="DUZ50" s="49">
        <v>0</v>
      </c>
      <c r="DVA50" s="49">
        <v>902</v>
      </c>
      <c r="DVB50" s="64">
        <f t="shared" si="1609"/>
        <v>2597</v>
      </c>
      <c r="DVC50" s="68">
        <f t="shared" si="1610"/>
        <v>432.83333333333331</v>
      </c>
      <c r="DVD50" s="48"/>
      <c r="DVE50" s="49">
        <v>1</v>
      </c>
      <c r="DVF50" s="49">
        <v>0</v>
      </c>
      <c r="DVG50" s="49">
        <v>0</v>
      </c>
      <c r="DVH50" s="49">
        <v>2581</v>
      </c>
      <c r="DVI50" s="49">
        <v>0</v>
      </c>
      <c r="DVJ50" s="64">
        <f t="shared" si="1611"/>
        <v>2582</v>
      </c>
      <c r="DVK50" s="68">
        <f t="shared" si="1612"/>
        <v>430.33333333333331</v>
      </c>
      <c r="DVL50" s="48"/>
      <c r="DVM50" s="49">
        <v>0</v>
      </c>
      <c r="DVN50" s="49">
        <v>0</v>
      </c>
      <c r="DVO50" s="49">
        <v>0</v>
      </c>
      <c r="DVP50" s="49">
        <v>0</v>
      </c>
      <c r="DVQ50" s="49">
        <v>954</v>
      </c>
      <c r="DVR50" s="64">
        <f t="shared" si="1613"/>
        <v>954</v>
      </c>
      <c r="DVS50" s="68">
        <f t="shared" si="1614"/>
        <v>159</v>
      </c>
      <c r="DVT50" s="48"/>
      <c r="DVU50" s="49">
        <v>0</v>
      </c>
      <c r="DVV50" s="49">
        <v>0</v>
      </c>
      <c r="DVW50" s="49">
        <v>1952</v>
      </c>
      <c r="DVX50" s="49">
        <v>0</v>
      </c>
      <c r="DVY50" s="49">
        <v>1</v>
      </c>
      <c r="DVZ50" s="64">
        <f t="shared" si="1615"/>
        <v>1953</v>
      </c>
      <c r="DWA50" s="68">
        <f t="shared" si="1616"/>
        <v>325.5</v>
      </c>
      <c r="DWB50" s="48">
        <v>1938</v>
      </c>
      <c r="DWC50" s="49">
        <v>0</v>
      </c>
      <c r="DWD50" s="49">
        <v>0</v>
      </c>
      <c r="DWE50" s="49">
        <v>0</v>
      </c>
      <c r="DWF50" s="49">
        <v>0</v>
      </c>
      <c r="DWG50" s="49"/>
      <c r="DWH50" s="64">
        <f t="shared" si="1617"/>
        <v>1938</v>
      </c>
      <c r="DWI50" s="68">
        <f t="shared" si="1618"/>
        <v>323</v>
      </c>
      <c r="DWJ50" s="48">
        <v>0</v>
      </c>
      <c r="DWK50" s="49">
        <v>0</v>
      </c>
      <c r="DWL50" s="49">
        <v>0</v>
      </c>
      <c r="DWM50" s="49">
        <v>0</v>
      </c>
      <c r="DWN50" s="49">
        <v>0</v>
      </c>
      <c r="DWO50" s="49"/>
      <c r="DWP50" s="64">
        <f t="shared" si="1619"/>
        <v>0</v>
      </c>
      <c r="DWQ50" s="68">
        <f t="shared" si="1620"/>
        <v>0</v>
      </c>
      <c r="DWR50" s="48">
        <v>0</v>
      </c>
      <c r="DWS50" s="49"/>
      <c r="DWT50" s="49">
        <v>0</v>
      </c>
      <c r="DWU50" s="49">
        <v>0</v>
      </c>
      <c r="DWV50" s="49">
        <v>0</v>
      </c>
      <c r="DWW50" s="49">
        <v>0</v>
      </c>
      <c r="DWX50" s="64">
        <f t="shared" si="1621"/>
        <v>0</v>
      </c>
      <c r="DWY50" s="68">
        <f t="shared" si="1622"/>
        <v>0</v>
      </c>
      <c r="DWZ50" s="48">
        <v>0</v>
      </c>
      <c r="DXA50" s="49">
        <v>0</v>
      </c>
      <c r="DXB50" s="49"/>
      <c r="DXC50" s="49">
        <v>0</v>
      </c>
      <c r="DXD50" s="49"/>
      <c r="DXE50" s="49"/>
      <c r="DXF50" s="64">
        <f t="shared" si="1623"/>
        <v>0</v>
      </c>
      <c r="DXG50" s="68">
        <f t="shared" si="1624"/>
        <v>0</v>
      </c>
      <c r="DXH50" s="48">
        <v>220</v>
      </c>
      <c r="DXI50" s="49">
        <v>1519</v>
      </c>
      <c r="DXJ50" s="49">
        <v>0</v>
      </c>
      <c r="DXK50" s="49">
        <v>0</v>
      </c>
      <c r="DXL50" s="49"/>
      <c r="DXM50" s="49">
        <v>0</v>
      </c>
      <c r="DXN50" s="64">
        <f t="shared" si="1625"/>
        <v>1739</v>
      </c>
      <c r="DXO50" s="68">
        <f t="shared" si="1626"/>
        <v>289.83333333333331</v>
      </c>
      <c r="DXP50" s="48">
        <v>1595</v>
      </c>
      <c r="DXQ50" s="49">
        <v>0</v>
      </c>
      <c r="DXR50" s="49">
        <v>0</v>
      </c>
      <c r="DXS50" s="49">
        <v>0</v>
      </c>
      <c r="DXT50" s="49"/>
      <c r="DXU50" s="49"/>
      <c r="DXV50" s="64">
        <f t="shared" si="1320"/>
        <v>1595</v>
      </c>
      <c r="DXW50" s="68">
        <f t="shared" si="1321"/>
        <v>265.83333333333331</v>
      </c>
      <c r="DXX50" s="48">
        <v>1669</v>
      </c>
      <c r="DXY50" s="49"/>
      <c r="DXZ50" s="49">
        <v>0</v>
      </c>
      <c r="DYA50" s="49">
        <v>0</v>
      </c>
      <c r="DYB50" s="49">
        <v>0</v>
      </c>
      <c r="DYC50" s="49">
        <v>1167</v>
      </c>
      <c r="DYD50" s="64">
        <f t="shared" si="1322"/>
        <v>2836</v>
      </c>
      <c r="DYE50" s="68">
        <f t="shared" si="1323"/>
        <v>472.66666666666669</v>
      </c>
      <c r="DYF50" s="48">
        <v>0</v>
      </c>
      <c r="DYG50" s="49">
        <v>0</v>
      </c>
      <c r="DYH50" s="49">
        <v>1430</v>
      </c>
      <c r="DYI50" s="49">
        <v>536</v>
      </c>
      <c r="DYJ50" s="49">
        <v>0</v>
      </c>
      <c r="DYK50" s="49"/>
      <c r="DYL50" s="64">
        <f t="shared" si="1324"/>
        <v>1966</v>
      </c>
      <c r="DYM50" s="68">
        <f t="shared" si="1325"/>
        <v>327.66666666666669</v>
      </c>
      <c r="DYN50" s="48">
        <v>0</v>
      </c>
      <c r="DYO50" s="49">
        <v>0</v>
      </c>
      <c r="DYP50" s="49">
        <v>624</v>
      </c>
      <c r="DYQ50" s="49">
        <v>0</v>
      </c>
      <c r="DYR50" s="49"/>
      <c r="DYS50" s="49"/>
      <c r="DYT50" s="64">
        <f t="shared" si="1326"/>
        <v>624</v>
      </c>
      <c r="DYU50" s="68">
        <f t="shared" si="1327"/>
        <v>104</v>
      </c>
      <c r="DYV50" s="48">
        <v>658</v>
      </c>
      <c r="DYW50" s="49">
        <v>682</v>
      </c>
      <c r="DYX50" s="49">
        <v>0</v>
      </c>
      <c r="DYY50" s="49">
        <v>0</v>
      </c>
      <c r="DYZ50" s="49">
        <v>0</v>
      </c>
      <c r="DZA50" s="49">
        <v>953</v>
      </c>
      <c r="DZB50" s="64">
        <f t="shared" si="1328"/>
        <v>2293</v>
      </c>
      <c r="DZC50" s="68">
        <f t="shared" si="1329"/>
        <v>382.16666666666669</v>
      </c>
      <c r="DZD50" s="48">
        <v>0</v>
      </c>
      <c r="DZE50" s="49">
        <v>0</v>
      </c>
      <c r="DZF50" s="49"/>
      <c r="DZG50" s="49">
        <v>0</v>
      </c>
      <c r="DZH50" s="49">
        <v>0</v>
      </c>
      <c r="DZI50" s="49">
        <v>0</v>
      </c>
      <c r="DZJ50" s="64">
        <f t="shared" si="1330"/>
        <v>0</v>
      </c>
      <c r="DZK50" s="68">
        <f t="shared" si="1331"/>
        <v>0</v>
      </c>
      <c r="DZL50" s="48">
        <v>0</v>
      </c>
      <c r="DZM50" s="49">
        <v>0</v>
      </c>
      <c r="DZN50" s="49"/>
      <c r="DZO50" s="49">
        <v>0</v>
      </c>
      <c r="DZP50" s="49">
        <v>0</v>
      </c>
      <c r="DZQ50" s="49">
        <v>0</v>
      </c>
      <c r="DZR50" s="64">
        <f t="shared" si="1332"/>
        <v>0</v>
      </c>
      <c r="DZS50" s="68">
        <f t="shared" si="1333"/>
        <v>0</v>
      </c>
      <c r="DZT50" s="48">
        <v>0</v>
      </c>
      <c r="DZU50" s="49">
        <v>0</v>
      </c>
      <c r="DZV50" s="49"/>
      <c r="DZW50" s="49">
        <v>0</v>
      </c>
      <c r="DZX50" s="49"/>
      <c r="DZY50" s="49"/>
      <c r="DZZ50" s="64">
        <f t="shared" si="1334"/>
        <v>0</v>
      </c>
      <c r="EAA50" s="68">
        <f t="shared" si="1335"/>
        <v>0</v>
      </c>
      <c r="EAB50" s="48"/>
      <c r="EAC50" s="49"/>
      <c r="EAD50" s="49">
        <v>0</v>
      </c>
      <c r="EAE50" s="49"/>
      <c r="EAF50" s="49">
        <v>0</v>
      </c>
      <c r="EAG50" s="49">
        <v>0</v>
      </c>
      <c r="EAH50" s="64">
        <f t="shared" si="1336"/>
        <v>0</v>
      </c>
      <c r="EAI50" s="68">
        <f t="shared" si="1337"/>
        <v>0</v>
      </c>
      <c r="EAJ50" s="48">
        <v>0</v>
      </c>
      <c r="EAK50" s="49"/>
      <c r="EAL50" s="49"/>
      <c r="EAM50" s="49"/>
      <c r="EAN50" s="49">
        <v>0</v>
      </c>
      <c r="EAO50" s="49">
        <v>0</v>
      </c>
      <c r="EAP50" s="64">
        <f t="shared" si="1338"/>
        <v>0</v>
      </c>
      <c r="EAQ50" s="68">
        <f t="shared" si="1339"/>
        <v>0</v>
      </c>
      <c r="EAR50" s="48">
        <v>0</v>
      </c>
      <c r="EAS50" s="49"/>
      <c r="EAT50" s="49">
        <v>0</v>
      </c>
      <c r="EAU50" s="49">
        <v>990</v>
      </c>
      <c r="EAV50" s="49">
        <v>0</v>
      </c>
      <c r="EAW50" s="49"/>
      <c r="EAX50" s="64">
        <f t="shared" si="1340"/>
        <v>990</v>
      </c>
      <c r="EAY50" s="68">
        <f t="shared" si="1341"/>
        <v>165</v>
      </c>
      <c r="EAZ50" s="48"/>
      <c r="EBA50" s="49"/>
      <c r="EBB50" s="49">
        <v>0</v>
      </c>
      <c r="EBC50" s="49">
        <v>0</v>
      </c>
      <c r="EBD50" s="49">
        <v>288</v>
      </c>
      <c r="EBE50" s="49">
        <v>348</v>
      </c>
      <c r="EBF50" s="64">
        <f t="shared" si="1342"/>
        <v>636</v>
      </c>
      <c r="EBG50" s="68">
        <f t="shared" si="1343"/>
        <v>106</v>
      </c>
      <c r="EBH50" s="48">
        <v>880</v>
      </c>
      <c r="EBI50" s="49">
        <v>76</v>
      </c>
      <c r="EBJ50" s="49">
        <v>0</v>
      </c>
      <c r="EBK50" s="49"/>
      <c r="EBL50" s="49"/>
      <c r="EBM50" s="49">
        <v>996</v>
      </c>
      <c r="EBN50" s="64">
        <f t="shared" si="1344"/>
        <v>1952</v>
      </c>
      <c r="EBO50" s="68">
        <f t="shared" si="1345"/>
        <v>325.33333333333331</v>
      </c>
      <c r="EBP50" s="48">
        <v>203</v>
      </c>
      <c r="EBQ50" s="49">
        <v>0</v>
      </c>
      <c r="EBR50" s="49"/>
      <c r="EBS50" s="49">
        <v>0</v>
      </c>
      <c r="EBT50" s="49"/>
      <c r="EBU50" s="49"/>
      <c r="EBV50" s="64">
        <f t="shared" si="1346"/>
        <v>203</v>
      </c>
      <c r="EBW50" s="68">
        <f t="shared" si="1347"/>
        <v>33.833333333333336</v>
      </c>
      <c r="EBX50" s="48">
        <v>0</v>
      </c>
      <c r="EBY50" s="49"/>
      <c r="EBZ50" s="49">
        <v>0</v>
      </c>
      <c r="ECA50" s="49"/>
      <c r="ECB50" s="49">
        <v>0</v>
      </c>
      <c r="ECC50" s="49">
        <v>0</v>
      </c>
      <c r="ECD50" s="64">
        <f t="shared" si="1348"/>
        <v>0</v>
      </c>
      <c r="ECE50" s="68">
        <f t="shared" si="1349"/>
        <v>0</v>
      </c>
      <c r="ECF50" s="48"/>
      <c r="ECG50" s="49"/>
      <c r="ECH50" s="49">
        <v>0</v>
      </c>
      <c r="ECI50" s="49"/>
      <c r="ECJ50" s="49">
        <v>0</v>
      </c>
      <c r="ECK50" s="49"/>
      <c r="ECL50" s="64">
        <f t="shared" si="1350"/>
        <v>0</v>
      </c>
      <c r="ECM50" s="68">
        <f t="shared" si="1351"/>
        <v>0</v>
      </c>
      <c r="ECN50" s="48">
        <v>0</v>
      </c>
      <c r="ECO50" s="49">
        <v>0</v>
      </c>
      <c r="ECP50" s="49">
        <v>0</v>
      </c>
      <c r="ECQ50" s="49"/>
      <c r="ECR50" s="49"/>
      <c r="ECS50" s="49"/>
      <c r="ECT50" s="64">
        <f t="shared" si="1352"/>
        <v>0</v>
      </c>
      <c r="ECU50" s="68">
        <f t="shared" si="1353"/>
        <v>0</v>
      </c>
      <c r="ECV50" s="48">
        <v>0</v>
      </c>
      <c r="ECW50" s="49"/>
      <c r="ECX50" s="49"/>
      <c r="ECY50" s="49"/>
      <c r="ECZ50" s="49"/>
      <c r="EDA50" s="49">
        <v>1508</v>
      </c>
      <c r="EDB50" s="64">
        <f t="shared" si="1354"/>
        <v>1508</v>
      </c>
      <c r="EDC50" s="68">
        <f t="shared" si="1355"/>
        <v>251.33333333333334</v>
      </c>
      <c r="EDD50" s="48"/>
      <c r="EDE50" s="49"/>
      <c r="EDF50" s="49"/>
      <c r="EDG50" s="49"/>
      <c r="EDH50" s="49"/>
      <c r="EDI50" s="49"/>
      <c r="EDJ50" s="64">
        <f t="shared" si="1356"/>
        <v>0</v>
      </c>
      <c r="EDK50" s="68">
        <f t="shared" si="1357"/>
        <v>0</v>
      </c>
      <c r="EDL50" s="48"/>
      <c r="EDM50" s="49">
        <v>0</v>
      </c>
      <c r="EDN50" s="49"/>
      <c r="EDO50" s="49">
        <v>0</v>
      </c>
      <c r="EDP50" s="49">
        <v>0</v>
      </c>
      <c r="EDQ50" s="49"/>
      <c r="EDR50" s="64">
        <f t="shared" si="1358"/>
        <v>0</v>
      </c>
      <c r="EDS50" s="68">
        <f t="shared" si="1359"/>
        <v>0</v>
      </c>
      <c r="EDT50" s="48">
        <v>0</v>
      </c>
      <c r="EDU50" s="49">
        <v>0</v>
      </c>
      <c r="EDV50" s="49"/>
      <c r="EDW50" s="49">
        <v>369</v>
      </c>
      <c r="EDX50" s="49"/>
      <c r="EDY50" s="49"/>
      <c r="EDZ50" s="64">
        <f t="shared" si="1360"/>
        <v>369</v>
      </c>
      <c r="EEA50" s="68">
        <f t="shared" si="1361"/>
        <v>61.5</v>
      </c>
      <c r="EEB50" s="48">
        <v>0</v>
      </c>
      <c r="EEC50" s="49">
        <v>0</v>
      </c>
      <c r="EED50" s="49">
        <v>1714</v>
      </c>
      <c r="EEE50" s="49"/>
      <c r="EEF50" s="49">
        <v>1653</v>
      </c>
      <c r="EEG50" s="49"/>
      <c r="EEH50" s="64">
        <f t="shared" si="1362"/>
        <v>3367</v>
      </c>
      <c r="EEI50" s="68">
        <f t="shared" si="1363"/>
        <v>561.16666666666663</v>
      </c>
      <c r="EEJ50" s="48">
        <v>1995</v>
      </c>
      <c r="EEK50" s="49">
        <v>0</v>
      </c>
      <c r="EEL50" s="49">
        <v>300</v>
      </c>
      <c r="EEM50" s="49">
        <v>937</v>
      </c>
      <c r="EEN50" s="49">
        <v>960</v>
      </c>
      <c r="EEO50" s="49">
        <v>0</v>
      </c>
      <c r="EEP50" s="64">
        <f t="shared" si="1364"/>
        <v>4192</v>
      </c>
      <c r="EEQ50" s="68">
        <f t="shared" si="1365"/>
        <v>698.66666666666663</v>
      </c>
      <c r="EER50" s="48">
        <v>0</v>
      </c>
      <c r="EES50" s="49">
        <v>0</v>
      </c>
      <c r="EET50" s="49">
        <v>0</v>
      </c>
      <c r="EEU50" s="49">
        <v>187</v>
      </c>
      <c r="EEV50" s="49">
        <v>0</v>
      </c>
      <c r="EEW50" s="49"/>
      <c r="EEX50" s="64">
        <f t="shared" si="1366"/>
        <v>187</v>
      </c>
      <c r="EEY50" s="68">
        <f t="shared" si="1367"/>
        <v>31.166666666666668</v>
      </c>
      <c r="EEZ50" s="48">
        <v>0</v>
      </c>
      <c r="EFA50" s="49"/>
      <c r="EFB50" s="49"/>
      <c r="EFC50" s="49">
        <v>0</v>
      </c>
      <c r="EFD50" s="49">
        <v>0</v>
      </c>
      <c r="EFE50" s="49">
        <v>0</v>
      </c>
      <c r="EFF50" s="64">
        <f t="shared" si="1368"/>
        <v>0</v>
      </c>
      <c r="EFG50" s="68">
        <f t="shared" si="1369"/>
        <v>0</v>
      </c>
      <c r="EFH50" s="48"/>
      <c r="EFI50" s="49">
        <v>0</v>
      </c>
      <c r="EFJ50" s="49">
        <v>0</v>
      </c>
      <c r="EFK50" s="49"/>
      <c r="EFL50" s="49">
        <v>0</v>
      </c>
      <c r="EFM50" s="49">
        <v>0</v>
      </c>
      <c r="EFN50" s="64">
        <f t="shared" si="1370"/>
        <v>0</v>
      </c>
      <c r="EFO50" s="68">
        <f t="shared" si="1371"/>
        <v>0</v>
      </c>
      <c r="EFP50" s="48"/>
      <c r="EFQ50" s="49"/>
      <c r="EFR50" s="49"/>
      <c r="EFS50" s="49">
        <v>0</v>
      </c>
      <c r="EFT50" s="49"/>
      <c r="EFU50" s="49">
        <v>0</v>
      </c>
      <c r="EFV50" s="64">
        <f t="shared" si="1372"/>
        <v>0</v>
      </c>
      <c r="EFW50" s="68">
        <f t="shared" si="1373"/>
        <v>0</v>
      </c>
      <c r="EFX50" s="48">
        <v>0</v>
      </c>
      <c r="EFY50" s="49"/>
      <c r="EFZ50" s="49"/>
      <c r="EGA50" s="49">
        <v>0</v>
      </c>
      <c r="EGB50" s="49">
        <v>1274</v>
      </c>
      <c r="EGC50" s="49">
        <v>0</v>
      </c>
      <c r="EGD50" s="64">
        <f t="shared" si="1374"/>
        <v>1274</v>
      </c>
      <c r="EGE50" s="68">
        <f t="shared" si="1375"/>
        <v>212.33333333333334</v>
      </c>
      <c r="EGF50" s="48">
        <v>0</v>
      </c>
      <c r="EGG50" s="49">
        <v>0</v>
      </c>
      <c r="EGH50" s="49"/>
      <c r="EGI50" s="49">
        <v>0</v>
      </c>
      <c r="EGJ50" s="49">
        <v>0</v>
      </c>
      <c r="EGK50" s="49">
        <v>1585</v>
      </c>
      <c r="EGL50" s="64">
        <f t="shared" si="1376"/>
        <v>1585</v>
      </c>
      <c r="EGM50" s="68">
        <f t="shared" si="1377"/>
        <v>264.16666666666669</v>
      </c>
      <c r="EGN50" s="48">
        <v>0</v>
      </c>
      <c r="EGO50" s="49"/>
      <c r="EGP50" s="49"/>
      <c r="EGQ50" s="49">
        <v>0</v>
      </c>
      <c r="EGR50" s="49">
        <v>0</v>
      </c>
      <c r="EGS50" s="49">
        <v>0</v>
      </c>
      <c r="EGT50" s="64">
        <f t="shared" si="1378"/>
        <v>0</v>
      </c>
      <c r="EGU50" s="68">
        <f t="shared" si="1379"/>
        <v>0</v>
      </c>
      <c r="EGV50" s="48">
        <v>0</v>
      </c>
      <c r="EGW50" s="49"/>
      <c r="EGX50" s="49">
        <v>612</v>
      </c>
      <c r="EGY50" s="49">
        <v>0</v>
      </c>
      <c r="EGZ50" s="49">
        <v>290</v>
      </c>
      <c r="EHA50" s="49">
        <v>0</v>
      </c>
      <c r="EHB50" s="64">
        <f t="shared" si="1380"/>
        <v>902</v>
      </c>
      <c r="EHC50" s="68">
        <f t="shared" si="1381"/>
        <v>150.33333333333334</v>
      </c>
      <c r="EHD50" s="48">
        <v>0</v>
      </c>
      <c r="EHE50" s="49"/>
      <c r="EHF50" s="49"/>
      <c r="EHG50" s="49">
        <v>0</v>
      </c>
      <c r="EHH50" s="49">
        <v>0</v>
      </c>
      <c r="EHI50" s="49">
        <v>347</v>
      </c>
      <c r="EHJ50" s="64">
        <f t="shared" si="1382"/>
        <v>347</v>
      </c>
      <c r="EHK50" s="68">
        <f t="shared" si="1383"/>
        <v>57.833333333333336</v>
      </c>
      <c r="EHL50" s="48">
        <v>0</v>
      </c>
      <c r="EHM50" s="49">
        <v>0</v>
      </c>
      <c r="EHN50" s="49"/>
      <c r="EHO50" s="49"/>
      <c r="EHP50" s="49"/>
      <c r="EHQ50" s="49">
        <v>345</v>
      </c>
      <c r="EHR50" s="64">
        <f t="shared" si="1384"/>
        <v>345</v>
      </c>
      <c r="EHS50" s="68">
        <f t="shared" si="1385"/>
        <v>57.5</v>
      </c>
      <c r="EHT50" s="48">
        <v>648</v>
      </c>
      <c r="EHU50" s="49"/>
      <c r="EHV50" s="49"/>
      <c r="EHW50" s="49"/>
      <c r="EHX50" s="49"/>
      <c r="EHY50" s="49"/>
      <c r="EHZ50" s="64">
        <f t="shared" si="1386"/>
        <v>648</v>
      </c>
      <c r="EIA50" s="68">
        <f t="shared" si="1387"/>
        <v>108</v>
      </c>
      <c r="EIB50" s="48"/>
      <c r="EIC50" s="49"/>
      <c r="EID50" s="49"/>
      <c r="EIE50" s="49"/>
      <c r="EIF50" s="49"/>
      <c r="EIG50" s="49"/>
      <c r="EIH50" s="64">
        <f t="shared" si="1388"/>
        <v>0</v>
      </c>
      <c r="EII50" s="68">
        <f t="shared" si="1389"/>
        <v>0</v>
      </c>
      <c r="EIJ50" s="48"/>
      <c r="EIK50" s="49"/>
      <c r="EIL50" s="49"/>
      <c r="EIM50" s="49"/>
      <c r="EIN50" s="49"/>
      <c r="EIO50" s="49"/>
      <c r="EIP50" s="64">
        <f t="shared" si="1390"/>
        <v>0</v>
      </c>
      <c r="EIQ50" s="68">
        <f t="shared" si="1391"/>
        <v>0</v>
      </c>
      <c r="EIR50" s="48"/>
      <c r="EIS50" s="49"/>
      <c r="EIT50" s="49"/>
      <c r="EIU50" s="49"/>
      <c r="EIV50" s="49"/>
      <c r="EIW50" s="49"/>
      <c r="EIX50" s="64">
        <f t="shared" si="1392"/>
        <v>0</v>
      </c>
      <c r="EIY50" s="68">
        <f t="shared" si="1393"/>
        <v>0</v>
      </c>
      <c r="EIZ50" s="48"/>
      <c r="EJA50" s="49"/>
      <c r="EJB50" s="49"/>
      <c r="EJC50" s="49"/>
      <c r="EJD50" s="49"/>
      <c r="EJE50" s="49"/>
      <c r="EJF50" s="64">
        <f t="shared" si="1394"/>
        <v>0</v>
      </c>
      <c r="EJG50" s="68">
        <f t="shared" si="1395"/>
        <v>0</v>
      </c>
      <c r="EJH50" s="48"/>
      <c r="EJI50" s="49"/>
      <c r="EJJ50" s="49"/>
      <c r="EJK50" s="49"/>
      <c r="EJL50" s="49"/>
      <c r="EJM50" s="49"/>
      <c r="EJN50" s="64">
        <f t="shared" si="1396"/>
        <v>0</v>
      </c>
      <c r="EJO50" s="68">
        <f t="shared" si="1397"/>
        <v>0</v>
      </c>
      <c r="EJP50" s="48"/>
      <c r="EJQ50" s="49"/>
      <c r="EJR50" s="49">
        <v>310</v>
      </c>
      <c r="EJS50" s="49"/>
      <c r="EJT50" s="49"/>
      <c r="EJU50" s="49">
        <v>953</v>
      </c>
      <c r="EJV50" s="64">
        <f t="shared" si="1398"/>
        <v>1263</v>
      </c>
      <c r="EJW50" s="68">
        <f t="shared" si="1399"/>
        <v>210.5</v>
      </c>
      <c r="EJX50" s="48"/>
      <c r="EJY50" s="49"/>
      <c r="EJZ50" s="49">
        <v>38</v>
      </c>
      <c r="EKA50" s="49"/>
      <c r="EKB50" s="49">
        <v>260</v>
      </c>
      <c r="EKC50" s="49">
        <v>486</v>
      </c>
      <c r="EKD50" s="64">
        <f t="shared" si="1400"/>
        <v>784</v>
      </c>
      <c r="EKE50" s="68">
        <f t="shared" si="1401"/>
        <v>130.66666666666666</v>
      </c>
      <c r="EKF50" s="48"/>
      <c r="EKG50" s="49"/>
      <c r="EKH50" s="49"/>
      <c r="EKI50" s="49"/>
      <c r="EKJ50" s="49"/>
      <c r="EKK50" s="49">
        <v>612</v>
      </c>
      <c r="EKL50" s="64">
        <f t="shared" si="1402"/>
        <v>612</v>
      </c>
      <c r="EKM50" s="68">
        <f t="shared" si="1403"/>
        <v>102</v>
      </c>
      <c r="EKN50" s="48">
        <v>0</v>
      </c>
      <c r="EKO50" s="49">
        <v>0</v>
      </c>
      <c r="EKP50" s="49">
        <v>0</v>
      </c>
      <c r="EKQ50" s="49">
        <v>1212</v>
      </c>
      <c r="EKR50" s="49">
        <v>0</v>
      </c>
      <c r="EKS50" s="49">
        <v>0</v>
      </c>
      <c r="EKT50" s="64">
        <f t="shared" si="1404"/>
        <v>1212</v>
      </c>
      <c r="EKU50" s="184">
        <f t="shared" si="1405"/>
        <v>202</v>
      </c>
      <c r="EKV50" s="665"/>
      <c r="EKW50" s="195">
        <v>0</v>
      </c>
      <c r="EKX50" s="49">
        <v>1247</v>
      </c>
      <c r="EKY50" s="49"/>
      <c r="EKZ50" s="49">
        <v>0</v>
      </c>
      <c r="ELA50" s="49">
        <v>479</v>
      </c>
      <c r="ELB50" s="49"/>
      <c r="ELC50" s="64">
        <f t="shared" si="1406"/>
        <v>1726</v>
      </c>
      <c r="ELD50" s="211">
        <f t="shared" si="1407"/>
        <v>287.66666666666669</v>
      </c>
      <c r="ELE50" s="195">
        <v>0</v>
      </c>
      <c r="ELF50" s="49">
        <v>0</v>
      </c>
      <c r="ELG50" s="49">
        <v>0</v>
      </c>
      <c r="ELH50" s="49">
        <v>0</v>
      </c>
      <c r="ELI50" s="49">
        <v>0</v>
      </c>
      <c r="ELJ50" s="49">
        <v>0</v>
      </c>
      <c r="ELK50" s="64">
        <f t="shared" si="1408"/>
        <v>0</v>
      </c>
      <c r="ELL50" s="211">
        <f t="shared" si="1409"/>
        <v>0</v>
      </c>
      <c r="ELM50" s="195">
        <v>0</v>
      </c>
      <c r="ELN50" s="49">
        <v>0</v>
      </c>
      <c r="ELO50" s="49">
        <v>392</v>
      </c>
      <c r="ELP50" s="49">
        <v>220</v>
      </c>
      <c r="ELQ50" s="49">
        <v>0</v>
      </c>
      <c r="ELR50" s="49">
        <v>0</v>
      </c>
      <c r="ELS50" s="64">
        <f t="shared" si="1410"/>
        <v>612</v>
      </c>
      <c r="ELT50" s="211">
        <f t="shared" si="1411"/>
        <v>102</v>
      </c>
      <c r="ELU50" s="195">
        <v>0</v>
      </c>
      <c r="ELV50" s="49">
        <v>0</v>
      </c>
      <c r="ELW50" s="49">
        <v>621</v>
      </c>
      <c r="ELX50" s="49">
        <v>0</v>
      </c>
      <c r="ELY50" s="49"/>
      <c r="ELZ50" s="49">
        <v>0</v>
      </c>
      <c r="EMA50" s="64">
        <f t="shared" si="1412"/>
        <v>621</v>
      </c>
      <c r="EMB50" s="211">
        <f t="shared" si="1413"/>
        <v>103.5</v>
      </c>
      <c r="EMC50" s="195">
        <v>0</v>
      </c>
      <c r="EMD50" s="49"/>
      <c r="EME50" s="49">
        <v>0</v>
      </c>
      <c r="EMF50" s="49">
        <v>0</v>
      </c>
      <c r="EMG50" s="49"/>
      <c r="EMH50" s="49">
        <v>0</v>
      </c>
      <c r="EMI50" s="64">
        <f t="shared" si="1414"/>
        <v>0</v>
      </c>
      <c r="EMJ50" s="211">
        <f t="shared" si="1415"/>
        <v>0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16"/>
        <v>0</v>
      </c>
      <c r="EMR50" s="211">
        <f t="shared" si="1417"/>
        <v>0</v>
      </c>
      <c r="EMS50" s="195"/>
      <c r="EMT50" s="49">
        <v>0</v>
      </c>
      <c r="EMU50" s="49">
        <v>0</v>
      </c>
      <c r="EMV50" s="49">
        <v>0</v>
      </c>
      <c r="EMW50" s="49"/>
      <c r="EMX50" s="49">
        <v>0</v>
      </c>
      <c r="EMY50" s="64">
        <f t="shared" si="1418"/>
        <v>0</v>
      </c>
      <c r="EMZ50" s="211">
        <f t="shared" si="1419"/>
        <v>0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20"/>
        <v>0</v>
      </c>
      <c r="ENH50" s="211">
        <f t="shared" si="1421"/>
        <v>0</v>
      </c>
      <c r="ENI50" s="195">
        <v>0</v>
      </c>
      <c r="ENJ50" s="49"/>
      <c r="ENK50" s="49">
        <v>0</v>
      </c>
      <c r="ENL50" s="49">
        <v>0</v>
      </c>
      <c r="ENM50" s="49">
        <v>0</v>
      </c>
      <c r="ENN50" s="49">
        <v>0</v>
      </c>
      <c r="ENO50" s="64">
        <f t="shared" si="1422"/>
        <v>0</v>
      </c>
      <c r="ENP50" s="211">
        <f t="shared" si="1423"/>
        <v>0</v>
      </c>
      <c r="ENQ50" s="195">
        <v>0</v>
      </c>
      <c r="ENR50" s="49"/>
      <c r="ENS50" s="49">
        <v>0</v>
      </c>
      <c r="ENT50" s="49">
        <v>0</v>
      </c>
      <c r="ENU50" s="49">
        <v>0</v>
      </c>
      <c r="ENV50" s="49">
        <v>0</v>
      </c>
      <c r="ENW50" s="64">
        <f t="shared" si="1424"/>
        <v>0</v>
      </c>
      <c r="ENX50" s="211">
        <f t="shared" si="1425"/>
        <v>0</v>
      </c>
      <c r="ENY50" s="195">
        <v>0</v>
      </c>
      <c r="ENZ50" s="49"/>
      <c r="EOA50" s="49">
        <v>0</v>
      </c>
      <c r="EOB50" s="49">
        <v>0</v>
      </c>
      <c r="EOC50" s="49">
        <v>0</v>
      </c>
      <c r="EOD50" s="49">
        <v>0</v>
      </c>
      <c r="EOE50" s="64">
        <f t="shared" si="1426"/>
        <v>0</v>
      </c>
      <c r="EOF50" s="211">
        <f t="shared" si="1427"/>
        <v>0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28"/>
        <v>0</v>
      </c>
      <c r="EOO50" s="244">
        <v>0</v>
      </c>
      <c r="EOP50" s="49"/>
      <c r="EOQ50" s="49">
        <v>0</v>
      </c>
      <c r="EOR50" s="49">
        <v>0</v>
      </c>
      <c r="EOS50" s="49"/>
      <c r="EOT50" s="49">
        <v>0</v>
      </c>
      <c r="EOU50" s="64">
        <f t="shared" si="1429"/>
        <v>0</v>
      </c>
      <c r="EOV50" s="211">
        <f t="shared" si="1430"/>
        <v>0</v>
      </c>
      <c r="EOW50" s="195">
        <v>0</v>
      </c>
      <c r="EOX50" s="49">
        <v>0</v>
      </c>
      <c r="EOY50" s="49">
        <v>0</v>
      </c>
      <c r="EOZ50" s="49"/>
      <c r="EPA50" s="49">
        <v>0</v>
      </c>
      <c r="EPB50" s="49">
        <v>0</v>
      </c>
      <c r="EPC50" s="64">
        <f t="shared" si="1431"/>
        <v>0</v>
      </c>
      <c r="EPD50" s="211">
        <f t="shared" si="1432"/>
        <v>0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33"/>
        <v>0</v>
      </c>
      <c r="EPL50" s="211">
        <f t="shared" si="1434"/>
        <v>0</v>
      </c>
      <c r="EPM50" s="195">
        <v>0</v>
      </c>
      <c r="EPN50" s="49">
        <v>0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35"/>
        <v>0</v>
      </c>
      <c r="EPT50" s="211">
        <f t="shared" si="1436"/>
        <v>0</v>
      </c>
      <c r="EPU50" s="195"/>
      <c r="EPV50" s="49">
        <v>0</v>
      </c>
      <c r="EPW50" s="49">
        <v>0</v>
      </c>
      <c r="EPX50" s="49">
        <v>0</v>
      </c>
      <c r="EPY50" s="49"/>
      <c r="EPZ50" s="49"/>
      <c r="EQA50" s="64">
        <f t="shared" si="1437"/>
        <v>0</v>
      </c>
      <c r="EQB50" s="211">
        <f t="shared" si="1438"/>
        <v>0</v>
      </c>
      <c r="EQC50" s="195">
        <v>0</v>
      </c>
      <c r="EQD50" s="49">
        <v>678</v>
      </c>
      <c r="EQE50" s="49">
        <v>0</v>
      </c>
      <c r="EQF50" s="49">
        <v>0</v>
      </c>
      <c r="EQG50" s="49">
        <v>0</v>
      </c>
      <c r="EQH50" s="49"/>
      <c r="EQI50" s="64">
        <f t="shared" si="1439"/>
        <v>678</v>
      </c>
      <c r="EQJ50" s="211">
        <f t="shared" si="1440"/>
        <v>113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41"/>
        <v>0</v>
      </c>
      <c r="EQR50" s="211">
        <f t="shared" si="1442"/>
        <v>0</v>
      </c>
      <c r="EQS50" s="195">
        <v>0</v>
      </c>
      <c r="EQT50" s="49">
        <v>0</v>
      </c>
      <c r="EQU50" s="49">
        <v>1169</v>
      </c>
      <c r="EQV50" s="49">
        <v>0</v>
      </c>
      <c r="EQW50" s="49"/>
      <c r="EQX50" s="49">
        <v>0</v>
      </c>
      <c r="EQY50" s="64">
        <f t="shared" si="1443"/>
        <v>1169</v>
      </c>
      <c r="EQZ50" s="211">
        <f t="shared" si="1444"/>
        <v>194.83333333333334</v>
      </c>
      <c r="ERA50" s="195"/>
      <c r="ERB50" s="49">
        <v>0</v>
      </c>
      <c r="ERC50" s="49"/>
      <c r="ERD50" s="49">
        <v>0</v>
      </c>
      <c r="ERE50" s="49">
        <v>0</v>
      </c>
      <c r="ERF50" s="49"/>
      <c r="ERG50" s="64">
        <f t="shared" si="1445"/>
        <v>0</v>
      </c>
      <c r="ERH50" s="211">
        <f t="shared" si="1446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47"/>
        <v>0</v>
      </c>
      <c r="ERP50" s="211">
        <f t="shared" si="1448"/>
        <v>0</v>
      </c>
      <c r="ERQ50" s="195"/>
      <c r="ERR50" s="49">
        <v>0</v>
      </c>
      <c r="ERS50" s="49"/>
      <c r="ERT50" s="49"/>
      <c r="ERU50" s="49">
        <v>0</v>
      </c>
      <c r="ERV50" s="49">
        <v>0</v>
      </c>
      <c r="ERW50" s="64">
        <f t="shared" si="1449"/>
        <v>0</v>
      </c>
      <c r="ERX50" s="211">
        <f t="shared" si="1450"/>
        <v>0</v>
      </c>
      <c r="ERY50" s="195">
        <v>0</v>
      </c>
      <c r="ERZ50" s="49">
        <v>0</v>
      </c>
      <c r="ESA50" s="49"/>
      <c r="ESB50" s="49">
        <v>0</v>
      </c>
      <c r="ESC50" s="49">
        <v>0</v>
      </c>
      <c r="ESD50" s="49">
        <v>0</v>
      </c>
      <c r="ESE50" s="64">
        <f t="shared" si="1451"/>
        <v>0</v>
      </c>
      <c r="ESF50" s="211">
        <f t="shared" si="1452"/>
        <v>0</v>
      </c>
      <c r="ESG50" s="195">
        <v>0</v>
      </c>
      <c r="ESH50" s="49">
        <v>0</v>
      </c>
      <c r="ESI50" s="49">
        <v>0</v>
      </c>
      <c r="ESJ50" s="49">
        <v>0</v>
      </c>
      <c r="ESK50" s="49"/>
      <c r="ESL50" s="49">
        <v>0</v>
      </c>
      <c r="ESM50" s="64">
        <f t="shared" si="1453"/>
        <v>0</v>
      </c>
      <c r="ESN50" s="211">
        <f t="shared" si="1454"/>
        <v>0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55"/>
        <v>0</v>
      </c>
      <c r="ESV50" s="211">
        <f t="shared" si="1456"/>
        <v>0</v>
      </c>
      <c r="ESW50" s="195"/>
      <c r="ESX50" s="49">
        <v>0</v>
      </c>
      <c r="ESY50" s="49">
        <v>0</v>
      </c>
      <c r="ESZ50" s="49">
        <v>0</v>
      </c>
      <c r="ETA50" s="49">
        <v>0</v>
      </c>
      <c r="ETB50" s="49">
        <v>0</v>
      </c>
      <c r="ETC50" s="808">
        <f t="shared" si="1457"/>
        <v>0</v>
      </c>
      <c r="ETD50" s="211">
        <f t="shared" si="1458"/>
        <v>0</v>
      </c>
      <c r="ETE50" s="195">
        <v>0</v>
      </c>
      <c r="ETF50" s="49">
        <v>640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59"/>
        <v>640</v>
      </c>
      <c r="ETL50" s="211">
        <f t="shared" si="1460"/>
        <v>106.66666666666667</v>
      </c>
      <c r="ETM50" s="814">
        <v>0</v>
      </c>
      <c r="ETN50" s="815"/>
      <c r="ETO50" s="815">
        <v>0</v>
      </c>
      <c r="ETP50" s="815">
        <v>0</v>
      </c>
      <c r="ETQ50" s="815">
        <v>0</v>
      </c>
      <c r="ETR50" s="815">
        <v>0</v>
      </c>
      <c r="ETS50" s="808">
        <f t="shared" si="1461"/>
        <v>0</v>
      </c>
      <c r="ETT50" s="211">
        <f t="shared" si="1462"/>
        <v>0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/>
      <c r="EUA50" s="808">
        <f t="shared" si="1463"/>
        <v>0</v>
      </c>
      <c r="EUB50" s="211">
        <f t="shared" si="1464"/>
        <v>0</v>
      </c>
      <c r="EUC50" s="458"/>
      <c r="EUD50" s="83"/>
      <c r="EUE50" s="83"/>
      <c r="EUF50" s="83">
        <v>0</v>
      </c>
      <c r="EUG50" s="83">
        <v>0</v>
      </c>
      <c r="EUH50" s="83">
        <v>0</v>
      </c>
      <c r="EUI50" s="808">
        <f t="shared" si="1465"/>
        <v>0</v>
      </c>
      <c r="EUJ50" s="211">
        <f t="shared" si="1466"/>
        <v>0</v>
      </c>
      <c r="EUK50" s="195"/>
      <c r="EUL50" s="49"/>
      <c r="EUM50" s="49"/>
      <c r="EUN50" s="49">
        <v>0</v>
      </c>
      <c r="EUO50" s="49">
        <v>0</v>
      </c>
      <c r="EUP50" s="49">
        <v>0</v>
      </c>
      <c r="EUQ50" s="808">
        <f t="shared" si="1467"/>
        <v>0</v>
      </c>
      <c r="EUR50" s="211">
        <f t="shared" si="1468"/>
        <v>0</v>
      </c>
      <c r="EUS50" s="195"/>
      <c r="EUT50" s="49">
        <v>0</v>
      </c>
      <c r="EUU50" s="49"/>
      <c r="EUV50" s="49">
        <v>0</v>
      </c>
      <c r="EUW50" s="49">
        <v>0</v>
      </c>
      <c r="EUX50" s="49"/>
      <c r="EUY50" s="808">
        <f t="shared" si="1469"/>
        <v>0</v>
      </c>
      <c r="EUZ50" s="211">
        <f t="shared" si="1470"/>
        <v>0</v>
      </c>
      <c r="EVA50" s="195">
        <v>0</v>
      </c>
      <c r="EVB50" s="49"/>
      <c r="EVC50" s="49"/>
      <c r="EVD50" s="49"/>
      <c r="EVE50" s="49"/>
      <c r="EVF50" s="49"/>
      <c r="EVG50" s="808">
        <f t="shared" si="1471"/>
        <v>0</v>
      </c>
      <c r="EVH50" s="211">
        <f t="shared" si="1472"/>
        <v>0</v>
      </c>
      <c r="EVI50" s="195"/>
      <c r="EVJ50" s="49">
        <v>0</v>
      </c>
      <c r="EVK50" s="49">
        <f>SUMIF(SUMPK!$B:$B,$B:$B,SUMPK!$O:$O)</f>
        <v>660</v>
      </c>
      <c r="EVL50" s="49"/>
      <c r="EVM50" s="49"/>
      <c r="EVN50" s="49">
        <v>0</v>
      </c>
      <c r="EVO50" s="808">
        <f t="shared" si="1473"/>
        <v>660</v>
      </c>
      <c r="EVP50" s="211">
        <f t="shared" si="1474"/>
        <v>110</v>
      </c>
      <c r="EVQ50" s="195">
        <v>0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75"/>
        <v>0</v>
      </c>
      <c r="EVX50" s="211">
        <f t="shared" si="1476"/>
        <v>0</v>
      </c>
      <c r="EVY50" s="195">
        <v>0</v>
      </c>
      <c r="EVZ50" s="49"/>
      <c r="EWA50" s="49"/>
      <c r="EWB50" s="49"/>
      <c r="EWC50" s="49">
        <v>549</v>
      </c>
      <c r="EWD50" s="49"/>
      <c r="EWE50" s="808">
        <f t="shared" si="1477"/>
        <v>549</v>
      </c>
      <c r="EWF50" s="211">
        <f t="shared" si="1478"/>
        <v>91.5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79"/>
        <v>0</v>
      </c>
      <c r="EWN50" s="211">
        <f t="shared" si="1480"/>
        <v>0</v>
      </c>
      <c r="EWO50" s="195">
        <v>0</v>
      </c>
      <c r="EWP50" s="49"/>
      <c r="EWQ50" s="49"/>
      <c r="EWR50" s="49">
        <v>0</v>
      </c>
      <c r="EWS50" s="49"/>
      <c r="EWT50" s="49">
        <v>0</v>
      </c>
      <c r="EWU50" s="808">
        <f t="shared" si="1481"/>
        <v>0</v>
      </c>
      <c r="EWV50" s="211">
        <f t="shared" si="1482"/>
        <v>0</v>
      </c>
      <c r="EWW50" s="195"/>
      <c r="EWX50" s="49"/>
      <c r="EWY50" s="49">
        <v>0</v>
      </c>
      <c r="EWZ50" s="49"/>
      <c r="EXA50" s="49">
        <v>0</v>
      </c>
      <c r="EXB50" s="49"/>
      <c r="EXC50" s="808">
        <f t="shared" si="1483"/>
        <v>0</v>
      </c>
      <c r="EXD50" s="211">
        <f t="shared" si="1484"/>
        <v>0</v>
      </c>
      <c r="EXE50" s="195"/>
      <c r="EXF50" s="49"/>
      <c r="EXG50" s="49">
        <v>0</v>
      </c>
      <c r="EXH50" s="49"/>
      <c r="EXI50" s="49">
        <v>0</v>
      </c>
      <c r="EXJ50" s="49">
        <v>0</v>
      </c>
      <c r="EXK50" s="808">
        <f t="shared" si="1485"/>
        <v>0</v>
      </c>
      <c r="EXL50" s="211">
        <f t="shared" si="1486"/>
        <v>0</v>
      </c>
      <c r="EXM50" s="458">
        <v>0</v>
      </c>
      <c r="EXN50" s="83">
        <v>0</v>
      </c>
      <c r="EXO50" s="83">
        <v>0</v>
      </c>
      <c r="EXP50" s="83">
        <v>0</v>
      </c>
      <c r="EXQ50" s="83"/>
      <c r="EXR50" s="83">
        <v>0</v>
      </c>
      <c r="EXS50" s="808">
        <f t="shared" si="1487"/>
        <v>0</v>
      </c>
      <c r="EXT50" s="211">
        <f t="shared" si="1488"/>
        <v>0</v>
      </c>
      <c r="EXU50" s="195">
        <v>0</v>
      </c>
      <c r="EXV50" s="49">
        <v>363</v>
      </c>
      <c r="EXW50" s="49"/>
      <c r="EXX50" s="49">
        <v>0</v>
      </c>
      <c r="EXY50" s="49"/>
      <c r="EXZ50" s="49">
        <v>0</v>
      </c>
      <c r="EYA50" s="808">
        <f t="shared" si="1489"/>
        <v>363</v>
      </c>
      <c r="EYB50" s="211">
        <f t="shared" si="1490"/>
        <v>60.5</v>
      </c>
      <c r="EYC50" s="195">
        <v>0</v>
      </c>
      <c r="EYD50" s="49"/>
      <c r="EYE50" s="49">
        <v>0</v>
      </c>
      <c r="EYF50" s="49"/>
      <c r="EYG50" s="49">
        <v>0</v>
      </c>
      <c r="EYH50" s="49">
        <v>0</v>
      </c>
      <c r="EYI50" s="808">
        <f t="shared" si="1491"/>
        <v>0</v>
      </c>
      <c r="EYJ50" s="211">
        <f t="shared" si="1492"/>
        <v>0</v>
      </c>
      <c r="EYK50" s="195">
        <v>0</v>
      </c>
      <c r="EYL50" s="49">
        <v>0</v>
      </c>
      <c r="EYM50" s="49"/>
      <c r="EYN50" s="49">
        <v>0</v>
      </c>
      <c r="EYO50" s="49"/>
      <c r="EYP50" s="49"/>
      <c r="EYQ50" s="808">
        <f t="shared" si="1493"/>
        <v>0</v>
      </c>
      <c r="EYR50" s="211">
        <f t="shared" si="1494"/>
        <v>0</v>
      </c>
      <c r="EYS50" s="195">
        <v>0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495"/>
        <v>0</v>
      </c>
      <c r="EYZ50" s="873">
        <f t="shared" si="1496"/>
        <v>0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497"/>
        <v>0</v>
      </c>
      <c r="EZH50" s="873">
        <f t="shared" si="1498"/>
        <v>0</v>
      </c>
      <c r="EZI50" s="195">
        <v>0</v>
      </c>
      <c r="EZJ50" s="49">
        <v>0</v>
      </c>
      <c r="EZK50" s="49"/>
      <c r="EZL50" s="49"/>
      <c r="EZM50" s="49"/>
      <c r="EZN50" s="49"/>
      <c r="EZO50" s="872">
        <f t="shared" si="1499"/>
        <v>0</v>
      </c>
      <c r="EZP50" s="873">
        <f t="shared" si="1500"/>
        <v>0</v>
      </c>
    </row>
    <row r="51" spans="1:4072" s="8" customFormat="1" ht="13.5" thickBot="1" x14ac:dyDescent="0.25">
      <c r="A51" s="21">
        <v>22</v>
      </c>
      <c r="B51" s="297" t="s">
        <v>150</v>
      </c>
      <c r="C51" s="730" t="s">
        <v>297</v>
      </c>
      <c r="D51" s="297">
        <v>25</v>
      </c>
      <c r="E51" s="24"/>
      <c r="F51" s="24">
        <v>1403</v>
      </c>
      <c r="G51" s="24"/>
      <c r="H51" s="24"/>
      <c r="I51" s="360"/>
      <c r="J51" s="360">
        <f>SUMIF(SUMPK!$B:$B,$B:$B,SUMPK!$O:$O)</f>
        <v>0</v>
      </c>
      <c r="K51" s="24">
        <f t="shared" si="1220"/>
        <v>0</v>
      </c>
      <c r="L51" s="24">
        <f t="shared" si="2415"/>
        <v>1403</v>
      </c>
      <c r="M51" s="15">
        <f t="shared" si="2416"/>
        <v>1403</v>
      </c>
      <c r="N51" s="15">
        <v>0</v>
      </c>
      <c r="O51" s="276">
        <f t="shared" si="1223"/>
        <v>0</v>
      </c>
      <c r="P51" s="712"/>
      <c r="Q51" s="276">
        <f t="shared" si="1506"/>
        <v>0</v>
      </c>
      <c r="R51" s="277">
        <f t="shared" si="1507"/>
        <v>0</v>
      </c>
      <c r="S51" s="222"/>
      <c r="T51" s="276">
        <f t="shared" si="1628"/>
        <v>0</v>
      </c>
      <c r="U51" s="278"/>
      <c r="V51" s="276">
        <f t="shared" si="1227"/>
        <v>0</v>
      </c>
      <c r="W51" s="279">
        <f t="shared" si="2417"/>
        <v>1</v>
      </c>
      <c r="X51" s="278"/>
      <c r="Y51" s="7"/>
      <c r="Z51" s="7"/>
      <c r="AA51" s="7"/>
      <c r="AB51" s="7"/>
      <c r="AC51" s="662">
        <v>20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12"/>
        <v>0</v>
      </c>
      <c r="CQA51" s="68">
        <f t="shared" si="1713"/>
        <v>0</v>
      </c>
      <c r="CQB51" s="48"/>
      <c r="CQC51" s="49">
        <v>0</v>
      </c>
      <c r="CQD51" s="49"/>
      <c r="CQE51" s="49">
        <v>0</v>
      </c>
      <c r="CQF51" s="49">
        <v>0</v>
      </c>
      <c r="CQG51" s="49">
        <v>0</v>
      </c>
      <c r="CQH51" s="67">
        <f t="shared" si="1714"/>
        <v>0</v>
      </c>
      <c r="CQI51" s="68">
        <f t="shared" si="1715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16"/>
        <v>0</v>
      </c>
      <c r="CQQ51" s="68">
        <f t="shared" si="1717"/>
        <v>0</v>
      </c>
      <c r="CQR51" s="239"/>
      <c r="CQS51" s="1">
        <v>0</v>
      </c>
      <c r="CQT51" s="1">
        <v>0</v>
      </c>
      <c r="CQU51" s="1">
        <v>0</v>
      </c>
      <c r="CQV51" s="1">
        <v>1677</v>
      </c>
      <c r="CQW51" s="1"/>
      <c r="CQX51" s="67">
        <f t="shared" si="1718"/>
        <v>1677</v>
      </c>
      <c r="CQY51" s="68">
        <f t="shared" si="1719"/>
        <v>279.5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20"/>
        <v>0</v>
      </c>
      <c r="CRG51" s="68">
        <f t="shared" si="1721"/>
        <v>0</v>
      </c>
      <c r="CRH51" s="48"/>
      <c r="CRI51" s="49"/>
      <c r="CRJ51" s="49">
        <v>0</v>
      </c>
      <c r="CRK51" s="49">
        <v>2330</v>
      </c>
      <c r="CRL51" s="49">
        <v>656</v>
      </c>
      <c r="CRM51" s="49"/>
      <c r="CRN51" s="67">
        <f t="shared" si="1722"/>
        <v>2986</v>
      </c>
      <c r="CRO51" s="68">
        <f t="shared" si="1723"/>
        <v>497.66666666666669</v>
      </c>
      <c r="CRP51" s="48"/>
      <c r="CRQ51" s="49">
        <v>1632</v>
      </c>
      <c r="CRR51" s="49">
        <v>414</v>
      </c>
      <c r="CRS51" s="49">
        <v>981</v>
      </c>
      <c r="CRT51" s="49">
        <v>192</v>
      </c>
      <c r="CRU51" s="49">
        <v>1320</v>
      </c>
      <c r="CRV51" s="47">
        <f t="shared" si="1724"/>
        <v>4539</v>
      </c>
      <c r="CRW51" s="68">
        <f t="shared" si="1725"/>
        <v>756.5</v>
      </c>
      <c r="CRX51" s="48">
        <v>1244</v>
      </c>
      <c r="CRY51" s="49">
        <v>0</v>
      </c>
      <c r="CRZ51" s="49">
        <v>0</v>
      </c>
      <c r="CSA51" s="49"/>
      <c r="CSB51" s="49">
        <v>0</v>
      </c>
      <c r="CSC51" s="49">
        <v>574</v>
      </c>
      <c r="CSD51" s="67">
        <f t="shared" si="1726"/>
        <v>1818</v>
      </c>
      <c r="CSE51" s="68">
        <f t="shared" si="1727"/>
        <v>303</v>
      </c>
      <c r="CSF51" s="48"/>
      <c r="CSG51" s="49"/>
      <c r="CSH51" s="49">
        <v>1505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28"/>
        <v>1505</v>
      </c>
      <c r="CSM51" s="68">
        <f t="shared" si="1729"/>
        <v>250.83333333333334</v>
      </c>
      <c r="CSN51" s="48">
        <v>0</v>
      </c>
      <c r="CSO51" s="49">
        <v>0</v>
      </c>
      <c r="CSP51" s="49"/>
      <c r="CSQ51" s="49"/>
      <c r="CSR51" s="49"/>
      <c r="CSS51" s="49">
        <v>611</v>
      </c>
      <c r="CST51" s="64">
        <f t="shared" si="1730"/>
        <v>611</v>
      </c>
      <c r="CSU51" s="68">
        <f t="shared" si="1731"/>
        <v>101.83333333333333</v>
      </c>
      <c r="CSV51" s="48">
        <v>0</v>
      </c>
      <c r="CSW51" s="49"/>
      <c r="CSX51" s="49"/>
      <c r="CSY51" s="49">
        <v>1209</v>
      </c>
      <c r="CSZ51" s="49">
        <v>0</v>
      </c>
      <c r="CTA51" s="49">
        <v>0</v>
      </c>
      <c r="CTB51" s="64">
        <f t="shared" si="1732"/>
        <v>1209</v>
      </c>
      <c r="CTC51" s="68">
        <f t="shared" si="1733"/>
        <v>201.5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34"/>
        <v>0</v>
      </c>
      <c r="CTK51" s="68">
        <f t="shared" si="1735"/>
        <v>0</v>
      </c>
      <c r="CTL51" s="48">
        <v>560</v>
      </c>
      <c r="CTM51" s="49">
        <v>583</v>
      </c>
      <c r="CTN51" s="49">
        <v>1243</v>
      </c>
      <c r="CTO51" s="49">
        <v>0</v>
      </c>
      <c r="CTP51" s="49">
        <v>0</v>
      </c>
      <c r="CTQ51" s="49">
        <v>0</v>
      </c>
      <c r="CTR51" s="64">
        <f t="shared" si="1736"/>
        <v>2386</v>
      </c>
      <c r="CTS51" s="68">
        <f t="shared" si="1737"/>
        <v>397.66666666666669</v>
      </c>
      <c r="CTT51" s="48">
        <v>0</v>
      </c>
      <c r="CTU51" s="49"/>
      <c r="CTV51" s="49">
        <v>1334</v>
      </c>
      <c r="CTW51" s="49"/>
      <c r="CTX51" s="49"/>
      <c r="CTY51" s="49">
        <v>3873</v>
      </c>
      <c r="CTZ51" s="64">
        <f t="shared" si="1738"/>
        <v>5207</v>
      </c>
      <c r="CUA51" s="68">
        <f t="shared" si="1739"/>
        <v>867.83333333333337</v>
      </c>
      <c r="CUB51" s="48">
        <v>0</v>
      </c>
      <c r="CUC51" s="49">
        <v>0</v>
      </c>
      <c r="CUD51" s="49"/>
      <c r="CUE51" s="49"/>
      <c r="CUF51" s="49">
        <v>0</v>
      </c>
      <c r="CUG51" s="49">
        <v>0</v>
      </c>
      <c r="CUH51" s="64">
        <f t="shared" si="1740"/>
        <v>0</v>
      </c>
      <c r="CUI51" s="68">
        <f t="shared" si="1741"/>
        <v>0</v>
      </c>
      <c r="CUJ51" s="48">
        <v>193</v>
      </c>
      <c r="CUK51" s="49">
        <v>1628</v>
      </c>
      <c r="CUL51" s="49">
        <v>0</v>
      </c>
      <c r="CUM51" s="49">
        <v>0</v>
      </c>
      <c r="CUN51" s="49">
        <v>0</v>
      </c>
      <c r="CUO51" s="49">
        <v>0</v>
      </c>
      <c r="CUP51" s="64">
        <f t="shared" si="1742"/>
        <v>1821</v>
      </c>
      <c r="CUQ51" s="68">
        <f t="shared" si="1743"/>
        <v>303.5</v>
      </c>
      <c r="CUR51" s="48">
        <v>0</v>
      </c>
      <c r="CUS51" s="49"/>
      <c r="CUT51" s="49"/>
      <c r="CUU51" s="49">
        <v>0</v>
      </c>
      <c r="CUV51" s="49">
        <v>2578</v>
      </c>
      <c r="CUW51" s="49">
        <v>0</v>
      </c>
      <c r="CUX51" s="64">
        <f t="shared" si="1744"/>
        <v>2578</v>
      </c>
      <c r="CUY51" s="68">
        <f t="shared" si="1745"/>
        <v>429.66666666666669</v>
      </c>
      <c r="CUZ51" s="48">
        <v>0</v>
      </c>
      <c r="CVA51" s="49">
        <v>0</v>
      </c>
      <c r="CVB51" s="49"/>
      <c r="CVC51" s="49">
        <v>1633</v>
      </c>
      <c r="CVD51" s="49">
        <v>0</v>
      </c>
      <c r="CVE51" s="49"/>
      <c r="CVF51" s="64">
        <f t="shared" si="1746"/>
        <v>1633</v>
      </c>
      <c r="CVG51" s="68">
        <f t="shared" si="1747"/>
        <v>272.16666666666669</v>
      </c>
      <c r="CVH51" s="48">
        <v>0</v>
      </c>
      <c r="CVI51" s="49">
        <v>0</v>
      </c>
      <c r="CVJ51" s="49">
        <v>0</v>
      </c>
      <c r="CVK51" s="49">
        <v>0</v>
      </c>
      <c r="CVL51" s="49">
        <v>0</v>
      </c>
      <c r="CVM51" s="49"/>
      <c r="CVN51" s="64">
        <f t="shared" si="1748"/>
        <v>0</v>
      </c>
      <c r="CVO51" s="68">
        <f t="shared" si="1749"/>
        <v>0</v>
      </c>
      <c r="CVP51" s="48">
        <v>0</v>
      </c>
      <c r="CVQ51" s="49">
        <v>0</v>
      </c>
      <c r="CVR51" s="49">
        <v>589</v>
      </c>
      <c r="CVS51" s="49">
        <v>0</v>
      </c>
      <c r="CVT51" s="49">
        <v>574</v>
      </c>
      <c r="CVU51" s="49">
        <v>0</v>
      </c>
      <c r="CVV51" s="64">
        <f t="shared" si="1750"/>
        <v>1163</v>
      </c>
      <c r="CVW51" s="68">
        <f t="shared" si="1751"/>
        <v>193.83333333333334</v>
      </c>
      <c r="CVX51" s="48">
        <v>0</v>
      </c>
      <c r="CVY51" s="49"/>
      <c r="CVZ51" s="49">
        <v>0</v>
      </c>
      <c r="CWA51" s="49">
        <v>0</v>
      </c>
      <c r="CWB51" s="49">
        <v>260</v>
      </c>
      <c r="CWC51" s="49">
        <v>0</v>
      </c>
      <c r="CWD51" s="64">
        <f t="shared" si="1752"/>
        <v>260</v>
      </c>
      <c r="CWE51" s="68">
        <f t="shared" si="1753"/>
        <v>43.333333333333336</v>
      </c>
      <c r="CWF51" s="48">
        <v>0</v>
      </c>
      <c r="CWG51" s="49">
        <v>0</v>
      </c>
      <c r="CWH51" s="49">
        <v>0</v>
      </c>
      <c r="CWI51" s="49">
        <v>256</v>
      </c>
      <c r="CWJ51" s="49">
        <v>0</v>
      </c>
      <c r="CWK51" s="49"/>
      <c r="CWL51" s="64">
        <f t="shared" si="1754"/>
        <v>256</v>
      </c>
      <c r="CWM51" s="68">
        <f t="shared" si="1755"/>
        <v>42.666666666666664</v>
      </c>
      <c r="CWN51" s="48">
        <v>884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56"/>
        <v>884</v>
      </c>
      <c r="CWU51" s="68">
        <f t="shared" si="1757"/>
        <v>147.33333333333334</v>
      </c>
      <c r="CWV51" s="48"/>
      <c r="CWW51" s="49">
        <v>578</v>
      </c>
      <c r="CWX51" s="49">
        <v>0</v>
      </c>
      <c r="CWY51" s="49"/>
      <c r="CWZ51" s="49">
        <v>0</v>
      </c>
      <c r="CXA51" s="49"/>
      <c r="CXB51" s="127">
        <f t="shared" si="1758"/>
        <v>578</v>
      </c>
      <c r="CXC51" s="43">
        <f t="shared" si="1759"/>
        <v>96.333333333333329</v>
      </c>
      <c r="CXD51" s="48">
        <v>0</v>
      </c>
      <c r="CXE51" s="49">
        <v>278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60"/>
        <v>278</v>
      </c>
      <c r="CXK51" s="43">
        <f t="shared" si="1761"/>
        <v>46.333333333333336</v>
      </c>
      <c r="CXL51" s="48">
        <v>864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62"/>
        <v>864</v>
      </c>
      <c r="CXS51" s="43">
        <f t="shared" si="1763"/>
        <v>144</v>
      </c>
      <c r="CXT51" s="48">
        <v>0</v>
      </c>
      <c r="CXU51" s="49">
        <v>0</v>
      </c>
      <c r="CXV51" s="49">
        <v>583</v>
      </c>
      <c r="CXW51" s="49"/>
      <c r="CXX51" s="49">
        <v>0</v>
      </c>
      <c r="CXY51" s="49">
        <v>0</v>
      </c>
      <c r="CXZ51" s="127">
        <f t="shared" si="1764"/>
        <v>583</v>
      </c>
      <c r="CYA51" s="43">
        <f t="shared" si="1765"/>
        <v>97.166666666666671</v>
      </c>
      <c r="CYB51" s="48">
        <v>954</v>
      </c>
      <c r="CYC51" s="49">
        <v>0</v>
      </c>
      <c r="CYD51" s="49">
        <v>0</v>
      </c>
      <c r="CYE51" s="49">
        <v>0</v>
      </c>
      <c r="CYF51" s="49"/>
      <c r="CYG51" s="49"/>
      <c r="CYH51" s="127">
        <f t="shared" si="1766"/>
        <v>954</v>
      </c>
      <c r="CYI51" s="43">
        <f t="shared" si="1767"/>
        <v>159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68"/>
        <v>0</v>
      </c>
      <c r="CYQ51" s="43">
        <f t="shared" si="1769"/>
        <v>0</v>
      </c>
      <c r="CYR51" s="48">
        <v>592</v>
      </c>
      <c r="CYS51" s="49">
        <v>0</v>
      </c>
      <c r="CYT51" s="49">
        <v>0</v>
      </c>
      <c r="CYU51" s="49">
        <v>1224</v>
      </c>
      <c r="CYV51" s="49">
        <v>0</v>
      </c>
      <c r="CYW51" s="49">
        <v>0</v>
      </c>
      <c r="CYX51" s="127">
        <f t="shared" si="1770"/>
        <v>1816</v>
      </c>
      <c r="CYY51" s="43">
        <f t="shared" si="1771"/>
        <v>302.66666666666669</v>
      </c>
      <c r="CYZ51" s="48"/>
      <c r="CZA51" s="49">
        <v>0</v>
      </c>
      <c r="CZB51" s="49">
        <v>0</v>
      </c>
      <c r="CZC51" s="49">
        <v>0</v>
      </c>
      <c r="CZD51" s="49">
        <v>1304</v>
      </c>
      <c r="CZE51" s="49">
        <v>0</v>
      </c>
      <c r="CZF51" s="127">
        <f t="shared" si="1772"/>
        <v>1304</v>
      </c>
      <c r="CZG51" s="43">
        <f t="shared" si="1773"/>
        <v>260.8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0</v>
      </c>
      <c r="CZN51" s="127">
        <f t="shared" si="1774"/>
        <v>0</v>
      </c>
      <c r="CZO51" s="43">
        <f t="shared" si="1775"/>
        <v>0</v>
      </c>
      <c r="CZP51" s="48"/>
      <c r="CZQ51" s="49">
        <v>943</v>
      </c>
      <c r="CZR51" s="49"/>
      <c r="CZS51" s="49">
        <v>0</v>
      </c>
      <c r="CZT51" s="49">
        <v>0</v>
      </c>
      <c r="CZU51" s="49">
        <v>0</v>
      </c>
      <c r="CZV51" s="127">
        <f t="shared" si="1776"/>
        <v>943</v>
      </c>
      <c r="CZW51" s="43">
        <f t="shared" si="1777"/>
        <v>157.16666666666666</v>
      </c>
      <c r="CZX51" s="48"/>
      <c r="CZY51" s="49">
        <v>0</v>
      </c>
      <c r="CZZ51" s="49">
        <v>0</v>
      </c>
      <c r="DAA51" s="49">
        <v>0</v>
      </c>
      <c r="DAB51" s="49"/>
      <c r="DAC51" s="49">
        <v>0</v>
      </c>
      <c r="DAD51" s="64">
        <f t="shared" si="1778"/>
        <v>0</v>
      </c>
      <c r="DAE51" s="68">
        <f t="shared" si="1779"/>
        <v>0</v>
      </c>
      <c r="DAF51" s="48">
        <v>0</v>
      </c>
      <c r="DAG51" s="49">
        <v>294</v>
      </c>
      <c r="DAH51" s="49">
        <v>0</v>
      </c>
      <c r="DAI51" s="49">
        <v>0</v>
      </c>
      <c r="DAJ51" s="49">
        <v>0</v>
      </c>
      <c r="DAK51" s="49">
        <v>280</v>
      </c>
      <c r="DAL51" s="64">
        <f t="shared" si="1780"/>
        <v>574</v>
      </c>
      <c r="DAM51" s="68">
        <f t="shared" si="1781"/>
        <v>95.666666666666671</v>
      </c>
      <c r="DAN51" s="48">
        <v>0</v>
      </c>
      <c r="DAO51" s="49">
        <v>0</v>
      </c>
      <c r="DAP51" s="49"/>
      <c r="DAQ51" s="49"/>
      <c r="DAR51" s="49">
        <v>398</v>
      </c>
      <c r="DAS51" s="49">
        <v>0</v>
      </c>
      <c r="DAT51" s="64">
        <f t="shared" si="1782"/>
        <v>398</v>
      </c>
      <c r="DAU51" s="68">
        <f t="shared" si="1783"/>
        <v>66.333333333333329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163</v>
      </c>
      <c r="DBB51" s="64">
        <f t="shared" si="1784"/>
        <v>163</v>
      </c>
      <c r="DBC51" s="68">
        <f t="shared" si="1785"/>
        <v>27.166666666666668</v>
      </c>
      <c r="DBD51" s="48"/>
      <c r="DBE51" s="49">
        <v>300</v>
      </c>
      <c r="DBF51" s="49">
        <v>72</v>
      </c>
      <c r="DBG51" s="49">
        <v>0</v>
      </c>
      <c r="DBH51" s="49"/>
      <c r="DBI51" s="49">
        <v>0</v>
      </c>
      <c r="DBJ51" s="64">
        <f t="shared" si="1786"/>
        <v>372</v>
      </c>
      <c r="DBK51" s="68">
        <f t="shared" si="1787"/>
        <v>62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788"/>
        <v>0</v>
      </c>
      <c r="DBS51" s="68">
        <f t="shared" si="1789"/>
        <v>0</v>
      </c>
      <c r="DBT51" s="48">
        <v>292</v>
      </c>
      <c r="DBU51" s="49"/>
      <c r="DBV51" s="49"/>
      <c r="DBW51" s="49"/>
      <c r="DBX51" s="49"/>
      <c r="DBY51" s="49">
        <v>0</v>
      </c>
      <c r="DBZ51" s="64">
        <f t="shared" si="1790"/>
        <v>292</v>
      </c>
      <c r="DCA51" s="68">
        <f t="shared" si="1791"/>
        <v>58.4</v>
      </c>
      <c r="DCB51" s="48">
        <v>0</v>
      </c>
      <c r="DCC51" s="49">
        <v>0</v>
      </c>
      <c r="DCD51" s="49"/>
      <c r="DCE51" s="49"/>
      <c r="DCF51" s="49"/>
      <c r="DCG51" s="49"/>
      <c r="DCH51" s="64">
        <f t="shared" si="1792"/>
        <v>0</v>
      </c>
      <c r="DCI51" s="68">
        <f t="shared" si="1793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794"/>
        <v>0</v>
      </c>
      <c r="DCQ51" s="68">
        <f t="shared" si="1795"/>
        <v>0</v>
      </c>
      <c r="DCR51" s="48">
        <v>585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796"/>
        <v>585</v>
      </c>
      <c r="DCY51" s="68">
        <f t="shared" si="1797"/>
        <v>97.5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798"/>
        <v>0</v>
      </c>
      <c r="DDG51" s="68">
        <f t="shared" si="1799"/>
        <v>0</v>
      </c>
      <c r="DDH51" s="48">
        <v>0</v>
      </c>
      <c r="DDI51" s="49"/>
      <c r="DDJ51" s="49"/>
      <c r="DDK51" s="49"/>
      <c r="DDL51" s="49"/>
      <c r="DDM51" s="49">
        <v>0</v>
      </c>
      <c r="DDN51" s="127">
        <f t="shared" si="1800"/>
        <v>0</v>
      </c>
      <c r="DDO51" s="43">
        <f t="shared" si="1801"/>
        <v>0</v>
      </c>
      <c r="DDP51" s="48">
        <v>0</v>
      </c>
      <c r="DDQ51" s="49">
        <v>0</v>
      </c>
      <c r="DDR51" s="49">
        <v>565</v>
      </c>
      <c r="DDS51" s="49">
        <v>0</v>
      </c>
      <c r="DDT51" s="49">
        <v>0</v>
      </c>
      <c r="DDU51" s="49"/>
      <c r="DDV51" s="127">
        <f t="shared" si="1802"/>
        <v>565</v>
      </c>
      <c r="DDW51" s="43">
        <f t="shared" si="1803"/>
        <v>94.166666666666671</v>
      </c>
      <c r="DDX51" s="48">
        <v>0</v>
      </c>
      <c r="DDY51" s="49">
        <v>0</v>
      </c>
      <c r="DDZ51" s="49"/>
      <c r="DEA51" s="49"/>
      <c r="DEB51" s="49">
        <v>857</v>
      </c>
      <c r="DEC51" s="49">
        <v>0</v>
      </c>
      <c r="DED51" s="127">
        <f t="shared" si="1804"/>
        <v>857</v>
      </c>
      <c r="DEE51" s="43">
        <f t="shared" si="1805"/>
        <v>142.83333333333334</v>
      </c>
      <c r="DEF51" s="48">
        <v>0</v>
      </c>
      <c r="DEG51" s="49"/>
      <c r="DEH51" s="49"/>
      <c r="DEI51" s="49"/>
      <c r="DEJ51" s="49">
        <v>0</v>
      </c>
      <c r="DEK51" s="49"/>
      <c r="DEL51" s="127">
        <f t="shared" si="1806"/>
        <v>0</v>
      </c>
      <c r="DEM51" s="43">
        <f t="shared" si="1807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08"/>
        <v>0</v>
      </c>
      <c r="DEU51" s="43">
        <f t="shared" si="1809"/>
        <v>0</v>
      </c>
      <c r="DEV51" s="48">
        <v>0</v>
      </c>
      <c r="DEW51" s="49">
        <v>412</v>
      </c>
      <c r="DEX51" s="49"/>
      <c r="DEY51" s="49"/>
      <c r="DEZ51" s="49">
        <v>0</v>
      </c>
      <c r="DFA51" s="49">
        <v>607</v>
      </c>
      <c r="DFB51" s="127">
        <f t="shared" si="1810"/>
        <v>1019</v>
      </c>
      <c r="DFC51" s="43">
        <f t="shared" si="1811"/>
        <v>169.83333333333334</v>
      </c>
      <c r="DFD51" s="48"/>
      <c r="DFE51" s="49"/>
      <c r="DFF51" s="49">
        <v>0</v>
      </c>
      <c r="DFG51" s="49"/>
      <c r="DFH51" s="49"/>
      <c r="DFI51" s="49">
        <v>0</v>
      </c>
      <c r="DFJ51" s="127">
        <f t="shared" si="1812"/>
        <v>0</v>
      </c>
      <c r="DFK51" s="43">
        <f t="shared" si="1813"/>
        <v>0</v>
      </c>
      <c r="DFL51" s="63"/>
      <c r="DFM51" s="64">
        <v>585</v>
      </c>
      <c r="DFN51" s="64"/>
      <c r="DFO51" s="64"/>
      <c r="DFP51" s="64">
        <v>0</v>
      </c>
      <c r="DFQ51" s="64">
        <v>0</v>
      </c>
      <c r="DFR51" s="64">
        <f t="shared" si="1814"/>
        <v>585</v>
      </c>
      <c r="DFS51" s="68">
        <f t="shared" si="1815"/>
        <v>97.5</v>
      </c>
      <c r="DFT51" s="48"/>
      <c r="DFU51" s="49">
        <v>0</v>
      </c>
      <c r="DFV51" s="49"/>
      <c r="DFW51" s="49">
        <v>925</v>
      </c>
      <c r="DFX51" s="49"/>
      <c r="DFY51" s="49"/>
      <c r="DFZ51" s="127">
        <f t="shared" si="1816"/>
        <v>925</v>
      </c>
      <c r="DGA51" s="43">
        <f t="shared" si="1817"/>
        <v>154.16666666666666</v>
      </c>
      <c r="DGB51" s="48"/>
      <c r="DGC51" s="49">
        <v>0</v>
      </c>
      <c r="DGD51" s="49">
        <v>0</v>
      </c>
      <c r="DGE51" s="49"/>
      <c r="DGF51" s="49"/>
      <c r="DGG51" s="49">
        <v>896</v>
      </c>
      <c r="DGH51" s="127">
        <f t="shared" si="1818"/>
        <v>896</v>
      </c>
      <c r="DGI51" s="43">
        <f t="shared" si="1819"/>
        <v>149.33333333333334</v>
      </c>
      <c r="DGJ51" s="48"/>
      <c r="DGK51" s="49"/>
      <c r="DGL51" s="49">
        <v>0</v>
      </c>
      <c r="DGM51" s="49">
        <v>2639</v>
      </c>
      <c r="DGN51" s="49"/>
      <c r="DGO51" s="49">
        <v>0</v>
      </c>
      <c r="DGP51" s="64">
        <f t="shared" si="1820"/>
        <v>2639</v>
      </c>
      <c r="DGQ51" s="68">
        <f t="shared" si="1821"/>
        <v>439.83333333333331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22"/>
        <v>0</v>
      </c>
      <c r="DGY51" s="68">
        <f t="shared" si="1823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24"/>
        <v>0</v>
      </c>
      <c r="DHG51" s="68">
        <f t="shared" si="1825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26"/>
        <v>0</v>
      </c>
      <c r="DHO51" s="68">
        <f t="shared" si="1827"/>
        <v>0</v>
      </c>
      <c r="DHP51" s="48">
        <v>0</v>
      </c>
      <c r="DHQ51" s="49">
        <v>259</v>
      </c>
      <c r="DHR51" s="49"/>
      <c r="DHS51" s="49">
        <v>0</v>
      </c>
      <c r="DHT51" s="49">
        <v>0</v>
      </c>
      <c r="DHU51" s="49">
        <v>0</v>
      </c>
      <c r="DHV51" s="64">
        <f t="shared" si="1828"/>
        <v>259</v>
      </c>
      <c r="DHW51" s="68">
        <f t="shared" si="1829"/>
        <v>43.166666666666664</v>
      </c>
      <c r="DHX51" s="48"/>
      <c r="DHY51" s="49"/>
      <c r="DHZ51" s="49"/>
      <c r="DIA51" s="49"/>
      <c r="DIB51" s="49"/>
      <c r="DIC51" s="49">
        <v>0</v>
      </c>
      <c r="DID51" s="64">
        <f t="shared" si="1830"/>
        <v>0</v>
      </c>
      <c r="DIE51" s="68">
        <f t="shared" si="1831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32"/>
        <v>0</v>
      </c>
      <c r="DIM51" s="68">
        <f t="shared" si="1833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34"/>
        <v>0</v>
      </c>
      <c r="DIU51" s="68">
        <f t="shared" si="1835"/>
        <v>0</v>
      </c>
      <c r="DIV51" s="48">
        <v>0</v>
      </c>
      <c r="DIW51" s="49">
        <v>0</v>
      </c>
      <c r="DIX51" s="49"/>
      <c r="DIY51" s="49">
        <v>0</v>
      </c>
      <c r="DIZ51" s="49">
        <v>312</v>
      </c>
      <c r="DJA51" s="49">
        <v>0</v>
      </c>
      <c r="DJB51" s="64">
        <f t="shared" si="1836"/>
        <v>312</v>
      </c>
      <c r="DJC51" s="68">
        <f t="shared" si="1837"/>
        <v>52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38"/>
        <v>0</v>
      </c>
      <c r="DJK51" s="68">
        <f t="shared" si="1839"/>
        <v>0</v>
      </c>
      <c r="DJL51" s="48">
        <v>3</v>
      </c>
      <c r="DJM51" s="49"/>
      <c r="DJN51" s="49"/>
      <c r="DJO51" s="49"/>
      <c r="DJP51" s="49">
        <v>0</v>
      </c>
      <c r="DJQ51" s="49">
        <v>0</v>
      </c>
      <c r="DJR51" s="64">
        <f t="shared" si="1840"/>
        <v>3</v>
      </c>
      <c r="DJS51" s="68">
        <f t="shared" si="1841"/>
        <v>0.5</v>
      </c>
      <c r="DJT51" s="48"/>
      <c r="DJU51" s="49"/>
      <c r="DJV51" s="49">
        <v>0</v>
      </c>
      <c r="DJW51" s="49"/>
      <c r="DJX51" s="49">
        <v>209</v>
      </c>
      <c r="DJY51" s="49">
        <v>0</v>
      </c>
      <c r="DJZ51" s="64">
        <f t="shared" si="1842"/>
        <v>209</v>
      </c>
      <c r="DKA51" s="68">
        <f t="shared" si="1843"/>
        <v>34.833333333333336</v>
      </c>
      <c r="DKB51" s="48">
        <v>269</v>
      </c>
      <c r="DKC51" s="49"/>
      <c r="DKD51" s="49">
        <v>0</v>
      </c>
      <c r="DKE51" s="49">
        <v>0</v>
      </c>
      <c r="DKF51" s="49">
        <v>548</v>
      </c>
      <c r="DKG51" s="49">
        <v>0</v>
      </c>
      <c r="DKH51" s="64">
        <f t="shared" si="1844"/>
        <v>817</v>
      </c>
      <c r="DKI51" s="68">
        <f t="shared" si="1845"/>
        <v>136.16666666666666</v>
      </c>
      <c r="DKJ51" s="48"/>
      <c r="DKK51" s="49"/>
      <c r="DKL51" s="49">
        <v>0</v>
      </c>
      <c r="DKM51" s="49"/>
      <c r="DKN51" s="49">
        <v>1257</v>
      </c>
      <c r="DKO51" s="49"/>
      <c r="DKP51" s="64">
        <f t="shared" si="1846"/>
        <v>1257</v>
      </c>
      <c r="DKQ51" s="68">
        <f t="shared" si="1847"/>
        <v>209.5</v>
      </c>
      <c r="DKR51" s="48"/>
      <c r="DKS51" s="49">
        <v>0</v>
      </c>
      <c r="DKT51" s="49"/>
      <c r="DKU51" s="49">
        <v>0</v>
      </c>
      <c r="DKV51" s="49">
        <v>612</v>
      </c>
      <c r="DKW51" s="49"/>
      <c r="DKX51" s="64">
        <f t="shared" si="1848"/>
        <v>612</v>
      </c>
      <c r="DKY51" s="68">
        <f t="shared" si="1849"/>
        <v>102</v>
      </c>
      <c r="DKZ51" s="48"/>
      <c r="DLA51" s="49">
        <v>565</v>
      </c>
      <c r="DLB51" s="49">
        <v>0</v>
      </c>
      <c r="DLC51" s="49">
        <v>0</v>
      </c>
      <c r="DLD51" s="49"/>
      <c r="DLE51" s="49">
        <v>0</v>
      </c>
      <c r="DLF51" s="64">
        <f t="shared" si="1850"/>
        <v>565</v>
      </c>
      <c r="DLG51" s="68">
        <f t="shared" si="1851"/>
        <v>94.166666666666671</v>
      </c>
      <c r="DLH51" s="48"/>
      <c r="DLI51" s="49"/>
      <c r="DLJ51" s="49">
        <v>0</v>
      </c>
      <c r="DLK51" s="49"/>
      <c r="DLL51" s="49"/>
      <c r="DLM51" s="49"/>
      <c r="DLN51" s="64">
        <f t="shared" si="1852"/>
        <v>0</v>
      </c>
      <c r="DLO51" s="68">
        <f t="shared" si="1853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54"/>
        <v>0</v>
      </c>
      <c r="DLW51" s="68">
        <f t="shared" si="1855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56"/>
        <v>0</v>
      </c>
      <c r="DME51" s="68">
        <f t="shared" si="1857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58"/>
        <v>0</v>
      </c>
      <c r="DMM51" s="68">
        <f t="shared" si="1859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60"/>
        <v>0</v>
      </c>
      <c r="DMU51" s="68">
        <f t="shared" si="1861"/>
        <v>0</v>
      </c>
      <c r="DMV51" s="48">
        <v>0</v>
      </c>
      <c r="DMW51" s="49">
        <v>0</v>
      </c>
      <c r="DMX51" s="49">
        <v>0</v>
      </c>
      <c r="DMY51" s="49">
        <v>920</v>
      </c>
      <c r="DMZ51" s="49">
        <v>0</v>
      </c>
      <c r="DNA51" s="49">
        <v>0</v>
      </c>
      <c r="DNB51" s="64">
        <f t="shared" si="1862"/>
        <v>920</v>
      </c>
      <c r="DNC51" s="68">
        <f t="shared" si="1863"/>
        <v>153.33333333333334</v>
      </c>
      <c r="DND51" s="48"/>
      <c r="DNE51" s="49">
        <v>0</v>
      </c>
      <c r="DNF51" s="49">
        <v>609</v>
      </c>
      <c r="DNG51" s="49"/>
      <c r="DNH51" s="49">
        <v>0</v>
      </c>
      <c r="DNI51" s="49"/>
      <c r="DNJ51" s="64">
        <f t="shared" si="1864"/>
        <v>609</v>
      </c>
      <c r="DNK51" s="68">
        <f t="shared" si="1865"/>
        <v>101.5</v>
      </c>
      <c r="DNL51" s="48"/>
      <c r="DNM51" s="49"/>
      <c r="DNN51" s="49">
        <v>0</v>
      </c>
      <c r="DNO51" s="49"/>
      <c r="DNP51" s="49"/>
      <c r="DNQ51" s="49">
        <v>0</v>
      </c>
      <c r="DNR51" s="64">
        <f t="shared" si="1866"/>
        <v>0</v>
      </c>
      <c r="DNS51" s="68">
        <f t="shared" si="1867"/>
        <v>0</v>
      </c>
      <c r="DNT51" s="48"/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68"/>
        <v>0</v>
      </c>
      <c r="DOA51" s="68">
        <f t="shared" si="1869"/>
        <v>0</v>
      </c>
      <c r="DOB51" s="48"/>
      <c r="DOC51" s="49"/>
      <c r="DOD51" s="49"/>
      <c r="DOE51" s="49">
        <v>0</v>
      </c>
      <c r="DOF51" s="49">
        <v>0</v>
      </c>
      <c r="DOG51" s="49">
        <v>0</v>
      </c>
      <c r="DOH51" s="64">
        <f t="shared" si="1870"/>
        <v>0</v>
      </c>
      <c r="DOI51" s="68">
        <f t="shared" si="1871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72"/>
        <v>0</v>
      </c>
      <c r="DOQ51" s="68">
        <f t="shared" si="1873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74"/>
        <v>0</v>
      </c>
      <c r="DOY51" s="68">
        <f t="shared" si="1875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76"/>
        <v>0</v>
      </c>
      <c r="DPG51" s="68">
        <f t="shared" si="1877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78"/>
        <v>0</v>
      </c>
      <c r="DPO51" s="68">
        <f t="shared" si="1879"/>
        <v>0</v>
      </c>
      <c r="DPP51" s="48">
        <v>0</v>
      </c>
      <c r="DPQ51" s="49">
        <v>0</v>
      </c>
      <c r="DPR51" s="49">
        <v>0</v>
      </c>
      <c r="DPS51" s="49"/>
      <c r="DPT51" s="49"/>
      <c r="DPU51" s="49"/>
      <c r="DPV51" s="491">
        <f t="shared" si="1880"/>
        <v>0</v>
      </c>
      <c r="DPW51" s="492">
        <f t="shared" si="1881"/>
        <v>0</v>
      </c>
      <c r="DPX51" s="48">
        <v>262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82"/>
        <v>262</v>
      </c>
      <c r="DQE51" s="492">
        <f t="shared" si="1883"/>
        <v>43.666666666666664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84"/>
        <v>0</v>
      </c>
      <c r="DQM51" s="492">
        <f t="shared" si="1885"/>
        <v>0</v>
      </c>
      <c r="DQN51" s="48">
        <v>0</v>
      </c>
      <c r="DQO51" s="49">
        <v>134</v>
      </c>
      <c r="DQP51" s="49">
        <v>76</v>
      </c>
      <c r="DQQ51" s="49">
        <v>0</v>
      </c>
      <c r="DQR51" s="49">
        <v>0</v>
      </c>
      <c r="DQS51" s="49">
        <v>648</v>
      </c>
      <c r="DQT51" s="64">
        <f t="shared" si="1886"/>
        <v>858</v>
      </c>
      <c r="DQU51" s="68">
        <f t="shared" si="1887"/>
        <v>143</v>
      </c>
      <c r="DQV51" s="48"/>
      <c r="DQW51" s="49"/>
      <c r="DQX51" s="49">
        <v>520</v>
      </c>
      <c r="DQY51" s="49">
        <v>0</v>
      </c>
      <c r="DQZ51" s="49">
        <v>0</v>
      </c>
      <c r="DRA51" s="49"/>
      <c r="DRB51" s="491">
        <f t="shared" si="1888"/>
        <v>520</v>
      </c>
      <c r="DRC51" s="492">
        <f t="shared" si="1889"/>
        <v>86.666666666666671</v>
      </c>
      <c r="DRD51" s="48">
        <v>0</v>
      </c>
      <c r="DRE51" s="49"/>
      <c r="DRF51" s="49">
        <v>622</v>
      </c>
      <c r="DRG51" s="49">
        <v>0</v>
      </c>
      <c r="DRH51" s="49"/>
      <c r="DRI51" s="49"/>
      <c r="DRJ51" s="491">
        <f t="shared" si="1890"/>
        <v>622</v>
      </c>
      <c r="DRK51" s="492">
        <f t="shared" si="1891"/>
        <v>103.66666666666667</v>
      </c>
      <c r="DRL51" s="48">
        <v>0</v>
      </c>
      <c r="DRM51" s="49">
        <v>0</v>
      </c>
      <c r="DRN51" s="49">
        <v>0</v>
      </c>
      <c r="DRO51" s="49">
        <v>0</v>
      </c>
      <c r="DRP51" s="49">
        <v>610</v>
      </c>
      <c r="DRQ51" s="49"/>
      <c r="DRR51" s="64">
        <f t="shared" si="1587"/>
        <v>610</v>
      </c>
      <c r="DRS51" s="68">
        <f t="shared" si="1588"/>
        <v>101.66666666666667</v>
      </c>
      <c r="DRT51" s="48">
        <v>0</v>
      </c>
      <c r="DRU51" s="49"/>
      <c r="DRV51" s="49">
        <v>942</v>
      </c>
      <c r="DRW51" s="49">
        <v>2257</v>
      </c>
      <c r="DRX51" s="49">
        <v>0</v>
      </c>
      <c r="DRY51" s="49"/>
      <c r="DRZ51" s="491">
        <f t="shared" si="1589"/>
        <v>3199</v>
      </c>
      <c r="DSA51" s="68">
        <f t="shared" si="1590"/>
        <v>533.16666666666663</v>
      </c>
      <c r="DSB51" s="82"/>
      <c r="DSC51" s="83"/>
      <c r="DSD51" s="83">
        <v>0</v>
      </c>
      <c r="DSE51" s="83"/>
      <c r="DSF51" s="83">
        <v>1628</v>
      </c>
      <c r="DSG51" s="83">
        <v>0</v>
      </c>
      <c r="DSH51" s="64">
        <f t="shared" si="1591"/>
        <v>1628</v>
      </c>
      <c r="DSI51" s="68">
        <f t="shared" si="1592"/>
        <v>271.33333333333331</v>
      </c>
      <c r="DSJ51" s="48">
        <v>606</v>
      </c>
      <c r="DSK51" s="49"/>
      <c r="DSL51" s="49"/>
      <c r="DSM51" s="49">
        <v>1684</v>
      </c>
      <c r="DSN51" s="49"/>
      <c r="DSO51" s="49">
        <v>0</v>
      </c>
      <c r="DSP51" s="64">
        <f t="shared" si="1593"/>
        <v>2290</v>
      </c>
      <c r="DSQ51" s="68">
        <f t="shared" si="1594"/>
        <v>381.66666666666669</v>
      </c>
      <c r="DSR51" s="48"/>
      <c r="DSS51" s="49"/>
      <c r="DST51" s="49">
        <v>567</v>
      </c>
      <c r="DSU51" s="49">
        <v>1210</v>
      </c>
      <c r="DSV51" s="49">
        <v>105</v>
      </c>
      <c r="DSW51" s="49"/>
      <c r="DSX51" s="64">
        <f t="shared" si="1595"/>
        <v>1882</v>
      </c>
      <c r="DSY51" s="68">
        <f t="shared" si="1596"/>
        <v>313.66666666666669</v>
      </c>
      <c r="DSZ51" s="48"/>
      <c r="DTA51" s="49">
        <v>0</v>
      </c>
      <c r="DTB51" s="49">
        <v>0</v>
      </c>
      <c r="DTC51" s="49">
        <v>1001</v>
      </c>
      <c r="DTD51" s="49"/>
      <c r="DTE51" s="49"/>
      <c r="DTF51" s="64">
        <f t="shared" si="1597"/>
        <v>1001</v>
      </c>
      <c r="DTG51" s="68">
        <f t="shared" si="1598"/>
        <v>166.83333333333334</v>
      </c>
      <c r="DTH51" s="48">
        <v>1311</v>
      </c>
      <c r="DTI51" s="49"/>
      <c r="DTJ51" s="49">
        <v>1657</v>
      </c>
      <c r="DTK51" s="49">
        <v>0</v>
      </c>
      <c r="DTL51" s="49">
        <v>1029</v>
      </c>
      <c r="DTM51" s="49">
        <v>0</v>
      </c>
      <c r="DTN51" s="64">
        <f t="shared" si="1599"/>
        <v>3997</v>
      </c>
      <c r="DTO51" s="68">
        <f t="shared" si="1600"/>
        <v>666.16666666666663</v>
      </c>
      <c r="DTP51" s="48">
        <v>0</v>
      </c>
      <c r="DTQ51" s="49"/>
      <c r="DTR51" s="49"/>
      <c r="DTS51" s="49"/>
      <c r="DTT51" s="49">
        <v>2569</v>
      </c>
      <c r="DTU51" s="49">
        <v>0</v>
      </c>
      <c r="DTV51" s="64">
        <f t="shared" si="1601"/>
        <v>2569</v>
      </c>
      <c r="DTW51" s="68">
        <f t="shared" si="1602"/>
        <v>428.16666666666669</v>
      </c>
      <c r="DTX51" s="48">
        <v>0</v>
      </c>
      <c r="DTY51" s="49">
        <v>880</v>
      </c>
      <c r="DTZ51" s="49">
        <v>803</v>
      </c>
      <c r="DUA51" s="49">
        <v>0</v>
      </c>
      <c r="DUB51" s="49">
        <v>310</v>
      </c>
      <c r="DUC51" s="49">
        <v>1088</v>
      </c>
      <c r="DUD51" s="64">
        <f t="shared" si="1603"/>
        <v>3081</v>
      </c>
      <c r="DUE51" s="68">
        <f t="shared" si="1604"/>
        <v>513.5</v>
      </c>
      <c r="DUF51" s="48">
        <v>2714</v>
      </c>
      <c r="DUG51" s="49">
        <v>0</v>
      </c>
      <c r="DUH51" s="49"/>
      <c r="DUI51" s="49">
        <v>656</v>
      </c>
      <c r="DUJ51" s="49">
        <v>0</v>
      </c>
      <c r="DUK51" s="49">
        <v>2789</v>
      </c>
      <c r="DUL51" s="64">
        <f t="shared" si="1605"/>
        <v>6159</v>
      </c>
      <c r="DUM51" s="68">
        <f t="shared" si="1606"/>
        <v>1026.5</v>
      </c>
      <c r="DUN51" s="48"/>
      <c r="DUO51" s="49">
        <v>523</v>
      </c>
      <c r="DUP51" s="49">
        <v>1960</v>
      </c>
      <c r="DUQ51" s="49">
        <v>0</v>
      </c>
      <c r="DUR51" s="49"/>
      <c r="DUS51" s="49">
        <v>0</v>
      </c>
      <c r="DUT51" s="64">
        <f t="shared" si="1607"/>
        <v>2483</v>
      </c>
      <c r="DUU51" s="68">
        <f t="shared" si="1608"/>
        <v>413.83333333333331</v>
      </c>
      <c r="DUV51" s="48"/>
      <c r="DUW51" s="49">
        <v>0</v>
      </c>
      <c r="DUX51" s="49">
        <v>0</v>
      </c>
      <c r="DUY51" s="49">
        <v>0</v>
      </c>
      <c r="DUZ51" s="49">
        <v>1986</v>
      </c>
      <c r="DVA51" s="49">
        <v>0</v>
      </c>
      <c r="DVB51" s="64">
        <f t="shared" si="1609"/>
        <v>1986</v>
      </c>
      <c r="DVC51" s="68">
        <f t="shared" si="1610"/>
        <v>331</v>
      </c>
      <c r="DVD51" s="48"/>
      <c r="DVE51" s="49">
        <v>0</v>
      </c>
      <c r="DVF51" s="49">
        <v>1</v>
      </c>
      <c r="DVG51" s="49">
        <v>1</v>
      </c>
      <c r="DVH51" s="49">
        <v>2686</v>
      </c>
      <c r="DVI51" s="49">
        <v>0</v>
      </c>
      <c r="DVJ51" s="64">
        <f t="shared" si="1611"/>
        <v>2688</v>
      </c>
      <c r="DVK51" s="68">
        <f t="shared" si="1612"/>
        <v>448</v>
      </c>
      <c r="DVL51" s="48"/>
      <c r="DVM51" s="49">
        <v>2</v>
      </c>
      <c r="DVN51" s="49">
        <v>0</v>
      </c>
      <c r="DVO51" s="49">
        <v>0</v>
      </c>
      <c r="DVP51" s="49">
        <v>1</v>
      </c>
      <c r="DVQ51" s="49">
        <v>0</v>
      </c>
      <c r="DVR51" s="64">
        <f t="shared" si="1613"/>
        <v>3</v>
      </c>
      <c r="DVS51" s="68">
        <f t="shared" si="1614"/>
        <v>0.5</v>
      </c>
      <c r="DVT51" s="48"/>
      <c r="DVU51" s="49">
        <v>0</v>
      </c>
      <c r="DVV51" s="49">
        <v>0</v>
      </c>
      <c r="DVW51" s="49">
        <v>0</v>
      </c>
      <c r="DVX51" s="49">
        <v>0</v>
      </c>
      <c r="DVY51" s="49">
        <v>0</v>
      </c>
      <c r="DVZ51" s="64">
        <f t="shared" si="1615"/>
        <v>0</v>
      </c>
      <c r="DWA51" s="68">
        <f t="shared" si="1616"/>
        <v>0</v>
      </c>
      <c r="DWB51" s="48">
        <v>560</v>
      </c>
      <c r="DWC51" s="49">
        <v>0</v>
      </c>
      <c r="DWD51" s="49">
        <v>659</v>
      </c>
      <c r="DWE51" s="49">
        <v>280</v>
      </c>
      <c r="DWF51" s="49">
        <v>0</v>
      </c>
      <c r="DWG51" s="49"/>
      <c r="DWH51" s="64">
        <f t="shared" si="1617"/>
        <v>1499</v>
      </c>
      <c r="DWI51" s="68">
        <f t="shared" si="1618"/>
        <v>249.83333333333334</v>
      </c>
      <c r="DWJ51" s="48">
        <v>0</v>
      </c>
      <c r="DWK51" s="49">
        <v>3014</v>
      </c>
      <c r="DWL51" s="49">
        <v>0</v>
      </c>
      <c r="DWM51" s="49"/>
      <c r="DWN51" s="49">
        <v>0</v>
      </c>
      <c r="DWO51" s="49"/>
      <c r="DWP51" s="64">
        <f t="shared" si="1619"/>
        <v>3014</v>
      </c>
      <c r="DWQ51" s="68">
        <f t="shared" si="1620"/>
        <v>502.33333333333331</v>
      </c>
      <c r="DWR51" s="48">
        <v>0</v>
      </c>
      <c r="DWS51" s="49"/>
      <c r="DWT51" s="49">
        <v>1999</v>
      </c>
      <c r="DWU51" s="49">
        <v>0</v>
      </c>
      <c r="DWV51" s="49">
        <v>660</v>
      </c>
      <c r="DWW51" s="49">
        <v>2193</v>
      </c>
      <c r="DWX51" s="64">
        <f t="shared" si="1621"/>
        <v>4852</v>
      </c>
      <c r="DWY51" s="68">
        <f t="shared" si="1622"/>
        <v>808.66666666666663</v>
      </c>
      <c r="DWZ51" s="48">
        <v>0</v>
      </c>
      <c r="DXA51" s="49">
        <v>0</v>
      </c>
      <c r="DXB51" s="49"/>
      <c r="DXC51" s="49">
        <v>1334</v>
      </c>
      <c r="DXD51" s="49"/>
      <c r="DXE51" s="49"/>
      <c r="DXF51" s="64">
        <f t="shared" si="1623"/>
        <v>1334</v>
      </c>
      <c r="DXG51" s="68">
        <f t="shared" si="1624"/>
        <v>222.33333333333334</v>
      </c>
      <c r="DXH51" s="48">
        <v>1034</v>
      </c>
      <c r="DXI51" s="49">
        <v>0</v>
      </c>
      <c r="DXJ51" s="49">
        <v>0</v>
      </c>
      <c r="DXK51" s="49">
        <v>0</v>
      </c>
      <c r="DXL51" s="49"/>
      <c r="DXM51" s="49">
        <v>951</v>
      </c>
      <c r="DXN51" s="64">
        <f t="shared" si="1625"/>
        <v>1985</v>
      </c>
      <c r="DXO51" s="68">
        <f t="shared" si="1626"/>
        <v>330.83333333333331</v>
      </c>
      <c r="DXP51" s="48">
        <v>0</v>
      </c>
      <c r="DXQ51" s="49">
        <v>970</v>
      </c>
      <c r="DXR51" s="49">
        <v>0</v>
      </c>
      <c r="DXS51" s="49">
        <v>0</v>
      </c>
      <c r="DXT51" s="49"/>
      <c r="DXU51" s="49"/>
      <c r="DXV51" s="64">
        <f t="shared" si="1320"/>
        <v>970</v>
      </c>
      <c r="DXW51" s="68">
        <f t="shared" si="1321"/>
        <v>161.66666666666666</v>
      </c>
      <c r="DXX51" s="48">
        <v>983</v>
      </c>
      <c r="DXY51" s="49"/>
      <c r="DXZ51" s="49">
        <v>0</v>
      </c>
      <c r="DYA51" s="49">
        <v>0</v>
      </c>
      <c r="DYB51" s="49">
        <v>982</v>
      </c>
      <c r="DYC51" s="49">
        <v>0</v>
      </c>
      <c r="DYD51" s="64">
        <f t="shared" si="1322"/>
        <v>1965</v>
      </c>
      <c r="DYE51" s="68">
        <f t="shared" si="1323"/>
        <v>327.5</v>
      </c>
      <c r="DYF51" s="48">
        <v>0</v>
      </c>
      <c r="DYG51" s="49">
        <v>0</v>
      </c>
      <c r="DYH51" s="49">
        <v>0</v>
      </c>
      <c r="DYI51" s="49">
        <v>1200</v>
      </c>
      <c r="DYJ51" s="49">
        <v>0</v>
      </c>
      <c r="DYK51" s="49"/>
      <c r="DYL51" s="64">
        <f t="shared" si="1324"/>
        <v>1200</v>
      </c>
      <c r="DYM51" s="68">
        <f t="shared" si="1325"/>
        <v>200</v>
      </c>
      <c r="DYN51" s="48">
        <v>0</v>
      </c>
      <c r="DYO51" s="49">
        <v>590</v>
      </c>
      <c r="DYP51" s="49">
        <v>0</v>
      </c>
      <c r="DYQ51" s="49">
        <v>0</v>
      </c>
      <c r="DYR51" s="49"/>
      <c r="DYS51" s="49"/>
      <c r="DYT51" s="64">
        <f t="shared" si="1326"/>
        <v>590</v>
      </c>
      <c r="DYU51" s="68">
        <f t="shared" si="1327"/>
        <v>98.333333333333329</v>
      </c>
      <c r="DYV51" s="48">
        <v>0</v>
      </c>
      <c r="DYW51" s="49">
        <v>330</v>
      </c>
      <c r="DYX51" s="49">
        <v>332</v>
      </c>
      <c r="DYY51" s="49">
        <v>0</v>
      </c>
      <c r="DYZ51" s="49">
        <v>0</v>
      </c>
      <c r="DZA51" s="49">
        <v>0</v>
      </c>
      <c r="DZB51" s="64">
        <f t="shared" si="1328"/>
        <v>662</v>
      </c>
      <c r="DZC51" s="68">
        <f t="shared" si="1329"/>
        <v>110.33333333333333</v>
      </c>
      <c r="DZD51" s="48"/>
      <c r="DZE51" s="49"/>
      <c r="DZF51" s="49"/>
      <c r="DZG51" s="49">
        <v>272</v>
      </c>
      <c r="DZH51" s="49">
        <v>0</v>
      </c>
      <c r="DZI51" s="49">
        <v>0</v>
      </c>
      <c r="DZJ51" s="64">
        <f t="shared" si="1330"/>
        <v>272</v>
      </c>
      <c r="DZK51" s="68">
        <f t="shared" si="1331"/>
        <v>45.333333333333336</v>
      </c>
      <c r="DZL51" s="48">
        <v>0</v>
      </c>
      <c r="DZM51" s="49">
        <v>1002</v>
      </c>
      <c r="DZN51" s="49"/>
      <c r="DZO51" s="49">
        <v>0</v>
      </c>
      <c r="DZP51" s="49">
        <v>0</v>
      </c>
      <c r="DZQ51" s="49">
        <v>1656</v>
      </c>
      <c r="DZR51" s="64">
        <f t="shared" si="1332"/>
        <v>2658</v>
      </c>
      <c r="DZS51" s="68">
        <f t="shared" si="1333"/>
        <v>443</v>
      </c>
      <c r="DZT51" s="48">
        <v>1682</v>
      </c>
      <c r="DZU51" s="49">
        <v>0</v>
      </c>
      <c r="DZV51" s="49"/>
      <c r="DZW51" s="49"/>
      <c r="DZX51" s="49"/>
      <c r="DZY51" s="49"/>
      <c r="DZZ51" s="64">
        <f t="shared" si="1334"/>
        <v>1682</v>
      </c>
      <c r="EAA51" s="68">
        <f t="shared" si="1335"/>
        <v>280.33333333333331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36"/>
        <v>0</v>
      </c>
      <c r="EAI51" s="68">
        <f t="shared" si="1337"/>
        <v>0</v>
      </c>
      <c r="EAJ51" s="48">
        <v>59</v>
      </c>
      <c r="EAK51" s="49"/>
      <c r="EAL51" s="49"/>
      <c r="EAM51" s="49"/>
      <c r="EAN51" s="49">
        <v>990</v>
      </c>
      <c r="EAO51" s="49">
        <v>560</v>
      </c>
      <c r="EAP51" s="64">
        <f t="shared" si="1338"/>
        <v>1609</v>
      </c>
      <c r="EAQ51" s="68">
        <f t="shared" si="1339"/>
        <v>268.16666666666669</v>
      </c>
      <c r="EAR51" s="48"/>
      <c r="EAS51" s="49"/>
      <c r="EAT51" s="49">
        <v>669</v>
      </c>
      <c r="EAU51" s="49">
        <v>0</v>
      </c>
      <c r="EAV51" s="49">
        <v>0</v>
      </c>
      <c r="EAW51" s="49"/>
      <c r="EAX51" s="64">
        <f t="shared" si="1340"/>
        <v>669</v>
      </c>
      <c r="EAY51" s="68">
        <f t="shared" si="1341"/>
        <v>111.5</v>
      </c>
      <c r="EAZ51" s="48"/>
      <c r="EBA51" s="49"/>
      <c r="EBB51" s="49">
        <v>0</v>
      </c>
      <c r="EBC51" s="49">
        <v>309</v>
      </c>
      <c r="EBD51" s="49">
        <v>0</v>
      </c>
      <c r="EBE51" s="49">
        <v>0</v>
      </c>
      <c r="EBF51" s="64">
        <f t="shared" si="1342"/>
        <v>309</v>
      </c>
      <c r="EBG51" s="68">
        <f t="shared" si="1343"/>
        <v>51.5</v>
      </c>
      <c r="EBH51" s="48">
        <v>0</v>
      </c>
      <c r="EBI51" s="49">
        <v>0</v>
      </c>
      <c r="EBJ51" s="49">
        <v>0</v>
      </c>
      <c r="EBK51" s="49">
        <v>0</v>
      </c>
      <c r="EBL51" s="49"/>
      <c r="EBM51" s="49">
        <v>0</v>
      </c>
      <c r="EBN51" s="64">
        <f t="shared" si="1344"/>
        <v>0</v>
      </c>
      <c r="EBO51" s="68">
        <f t="shared" si="1345"/>
        <v>0</v>
      </c>
      <c r="EBP51" s="48">
        <v>0</v>
      </c>
      <c r="EBQ51" s="49"/>
      <c r="EBR51" s="49"/>
      <c r="EBS51" s="49">
        <v>0</v>
      </c>
      <c r="EBT51" s="49"/>
      <c r="EBU51" s="49"/>
      <c r="EBV51" s="64">
        <f t="shared" si="1346"/>
        <v>0</v>
      </c>
      <c r="EBW51" s="68">
        <f t="shared" si="1347"/>
        <v>0</v>
      </c>
      <c r="EBX51" s="48">
        <v>0</v>
      </c>
      <c r="EBY51" s="49"/>
      <c r="EBZ51" s="49">
        <v>0</v>
      </c>
      <c r="ECA51" s="49"/>
      <c r="ECB51" s="49"/>
      <c r="ECC51" s="49"/>
      <c r="ECD51" s="64">
        <f t="shared" si="1348"/>
        <v>0</v>
      </c>
      <c r="ECE51" s="68">
        <f t="shared" si="1349"/>
        <v>0</v>
      </c>
      <c r="ECF51" s="48">
        <v>335</v>
      </c>
      <c r="ECG51" s="49"/>
      <c r="ECH51" s="49">
        <v>663</v>
      </c>
      <c r="ECI51" s="49"/>
      <c r="ECJ51" s="49"/>
      <c r="ECK51" s="49"/>
      <c r="ECL51" s="64">
        <f t="shared" si="1350"/>
        <v>998</v>
      </c>
      <c r="ECM51" s="68">
        <f t="shared" si="1351"/>
        <v>166.33333333333334</v>
      </c>
      <c r="ECN51" s="48"/>
      <c r="ECO51" s="49"/>
      <c r="ECP51" s="49"/>
      <c r="ECQ51" s="49">
        <v>990</v>
      </c>
      <c r="ECR51" s="49"/>
      <c r="ECS51" s="49"/>
      <c r="ECT51" s="64">
        <f t="shared" si="1352"/>
        <v>990</v>
      </c>
      <c r="ECU51" s="68">
        <f t="shared" si="1353"/>
        <v>165</v>
      </c>
      <c r="ECV51" s="48"/>
      <c r="ECW51" s="49">
        <v>0</v>
      </c>
      <c r="ECX51" s="49">
        <v>1334</v>
      </c>
      <c r="ECY51" s="49"/>
      <c r="ECZ51" s="49"/>
      <c r="EDA51" s="49"/>
      <c r="EDB51" s="64">
        <f t="shared" si="1354"/>
        <v>1334</v>
      </c>
      <c r="EDC51" s="68">
        <f t="shared" si="1355"/>
        <v>222.33333333333334</v>
      </c>
      <c r="EDD51" s="48"/>
      <c r="EDE51" s="49">
        <v>989</v>
      </c>
      <c r="EDF51" s="49"/>
      <c r="EDG51" s="49"/>
      <c r="EDH51" s="49"/>
      <c r="EDI51" s="49"/>
      <c r="EDJ51" s="64">
        <f t="shared" si="1356"/>
        <v>989</v>
      </c>
      <c r="EDK51" s="68">
        <f t="shared" si="1357"/>
        <v>164.83333333333334</v>
      </c>
      <c r="EDL51" s="48"/>
      <c r="EDM51" s="49"/>
      <c r="EDN51" s="49"/>
      <c r="EDO51" s="49"/>
      <c r="EDP51" s="49"/>
      <c r="EDQ51" s="49"/>
      <c r="EDR51" s="64">
        <f t="shared" si="1358"/>
        <v>0</v>
      </c>
      <c r="EDS51" s="68">
        <f t="shared" si="1359"/>
        <v>0</v>
      </c>
      <c r="EDT51" s="48"/>
      <c r="EDU51" s="49"/>
      <c r="EDV51" s="49"/>
      <c r="EDW51" s="49"/>
      <c r="EDX51" s="49"/>
      <c r="EDY51" s="49"/>
      <c r="EDZ51" s="64">
        <f t="shared" si="1360"/>
        <v>0</v>
      </c>
      <c r="EEA51" s="68">
        <f t="shared" si="1361"/>
        <v>0</v>
      </c>
      <c r="EEB51" s="48">
        <v>1298</v>
      </c>
      <c r="EEC51" s="49">
        <v>0</v>
      </c>
      <c r="EED51" s="49">
        <v>951</v>
      </c>
      <c r="EEE51" s="49"/>
      <c r="EEF51" s="49">
        <v>0</v>
      </c>
      <c r="EEG51" s="49"/>
      <c r="EEH51" s="64">
        <f t="shared" si="1362"/>
        <v>2249</v>
      </c>
      <c r="EEI51" s="68">
        <f t="shared" si="1363"/>
        <v>374.83333333333331</v>
      </c>
      <c r="EEJ51" s="48">
        <v>0</v>
      </c>
      <c r="EEK51" s="49">
        <v>0</v>
      </c>
      <c r="EEL51" s="49">
        <v>0</v>
      </c>
      <c r="EEM51" s="49">
        <v>1228</v>
      </c>
      <c r="EEN51" s="49">
        <v>0</v>
      </c>
      <c r="EEO51" s="49">
        <v>0</v>
      </c>
      <c r="EEP51" s="64">
        <f t="shared" si="1364"/>
        <v>1228</v>
      </c>
      <c r="EEQ51" s="68">
        <f t="shared" si="1365"/>
        <v>204.66666666666666</v>
      </c>
      <c r="EER51" s="48">
        <v>0</v>
      </c>
      <c r="EES51" s="49">
        <v>0</v>
      </c>
      <c r="EET51" s="49">
        <v>0</v>
      </c>
      <c r="EEU51" s="49">
        <v>0</v>
      </c>
      <c r="EEV51" s="49">
        <v>1263</v>
      </c>
      <c r="EEW51" s="49"/>
      <c r="EEX51" s="64">
        <f t="shared" si="1366"/>
        <v>1263</v>
      </c>
      <c r="EEY51" s="68">
        <f t="shared" si="1367"/>
        <v>210.5</v>
      </c>
      <c r="EEZ51" s="48">
        <v>0</v>
      </c>
      <c r="EFA51" s="49"/>
      <c r="EFB51" s="49"/>
      <c r="EFC51" s="49"/>
      <c r="EFD51" s="49">
        <v>0</v>
      </c>
      <c r="EFE51" s="49">
        <v>0</v>
      </c>
      <c r="EFF51" s="64">
        <f t="shared" si="1368"/>
        <v>0</v>
      </c>
      <c r="EFG51" s="68">
        <f t="shared" si="1369"/>
        <v>0</v>
      </c>
      <c r="EFH51" s="48"/>
      <c r="EFI51" s="49">
        <v>0</v>
      </c>
      <c r="EFJ51" s="49">
        <v>877</v>
      </c>
      <c r="EFK51" s="49"/>
      <c r="EFL51" s="49"/>
      <c r="EFM51" s="49">
        <v>0</v>
      </c>
      <c r="EFN51" s="64">
        <f t="shared" si="1370"/>
        <v>877</v>
      </c>
      <c r="EFO51" s="68">
        <f t="shared" si="1371"/>
        <v>146.16666666666666</v>
      </c>
      <c r="EFP51" s="48"/>
      <c r="EFQ51" s="49"/>
      <c r="EFR51" s="49"/>
      <c r="EFS51" s="49"/>
      <c r="EFT51" s="49"/>
      <c r="EFU51" s="49">
        <v>882</v>
      </c>
      <c r="EFV51" s="64">
        <f t="shared" si="1372"/>
        <v>882</v>
      </c>
      <c r="EFW51" s="68">
        <f t="shared" si="1373"/>
        <v>147</v>
      </c>
      <c r="EFX51" s="48">
        <v>0</v>
      </c>
      <c r="EFY51" s="49"/>
      <c r="EFZ51" s="49"/>
      <c r="EGA51" s="49">
        <v>1308</v>
      </c>
      <c r="EGB51" s="49">
        <v>0</v>
      </c>
      <c r="EGC51" s="49"/>
      <c r="EGD51" s="64">
        <f t="shared" si="1374"/>
        <v>1308</v>
      </c>
      <c r="EGE51" s="68">
        <f t="shared" si="1375"/>
        <v>218</v>
      </c>
      <c r="EGF51" s="48">
        <v>0</v>
      </c>
      <c r="EGG51" s="49">
        <v>0</v>
      </c>
      <c r="EGH51" s="49"/>
      <c r="EGI51" s="49"/>
      <c r="EGJ51" s="49">
        <v>0</v>
      </c>
      <c r="EGK51" s="49">
        <v>0</v>
      </c>
      <c r="EGL51" s="64">
        <f t="shared" si="1376"/>
        <v>0</v>
      </c>
      <c r="EGM51" s="68">
        <f t="shared" si="1377"/>
        <v>0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78"/>
        <v>0</v>
      </c>
      <c r="EGU51" s="68">
        <f t="shared" si="1379"/>
        <v>0</v>
      </c>
      <c r="EGV51" s="48">
        <v>0</v>
      </c>
      <c r="EGW51" s="49"/>
      <c r="EGX51" s="49">
        <v>0</v>
      </c>
      <c r="EGY51" s="49">
        <v>1301</v>
      </c>
      <c r="EGZ51" s="49">
        <v>0</v>
      </c>
      <c r="EHA51" s="49">
        <v>0</v>
      </c>
      <c r="EHB51" s="64">
        <f t="shared" si="1380"/>
        <v>1301</v>
      </c>
      <c r="EHC51" s="68">
        <f t="shared" si="1381"/>
        <v>216.83333333333334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0</v>
      </c>
      <c r="EHJ51" s="64">
        <f t="shared" si="1382"/>
        <v>0</v>
      </c>
      <c r="EHK51" s="68">
        <f t="shared" si="1383"/>
        <v>0</v>
      </c>
      <c r="EHL51" s="48">
        <v>0</v>
      </c>
      <c r="EHM51" s="49">
        <v>0</v>
      </c>
      <c r="EHN51" s="49"/>
      <c r="EHO51" s="49"/>
      <c r="EHP51" s="49"/>
      <c r="EHQ51" s="49">
        <v>0</v>
      </c>
      <c r="EHR51" s="64">
        <f t="shared" si="1384"/>
        <v>0</v>
      </c>
      <c r="EHS51" s="68">
        <f t="shared" si="1385"/>
        <v>0</v>
      </c>
      <c r="EHT51" s="48">
        <v>0</v>
      </c>
      <c r="EHU51" s="49"/>
      <c r="EHV51" s="49"/>
      <c r="EHW51" s="49"/>
      <c r="EHX51" s="49"/>
      <c r="EHY51" s="49"/>
      <c r="EHZ51" s="64">
        <f t="shared" si="1386"/>
        <v>0</v>
      </c>
      <c r="EIA51" s="68">
        <f t="shared" si="1387"/>
        <v>0</v>
      </c>
      <c r="EIB51" s="48"/>
      <c r="EIC51" s="49"/>
      <c r="EID51" s="49"/>
      <c r="EIE51" s="49"/>
      <c r="EIF51" s="49"/>
      <c r="EIG51" s="49"/>
      <c r="EIH51" s="64">
        <f t="shared" si="1388"/>
        <v>0</v>
      </c>
      <c r="EII51" s="68">
        <f t="shared" si="1389"/>
        <v>0</v>
      </c>
      <c r="EIJ51" s="48"/>
      <c r="EIK51" s="49"/>
      <c r="EIL51" s="49"/>
      <c r="EIM51" s="49">
        <v>913</v>
      </c>
      <c r="EIN51" s="49"/>
      <c r="EIO51" s="49">
        <v>353</v>
      </c>
      <c r="EIP51" s="64">
        <f t="shared" si="1390"/>
        <v>1266</v>
      </c>
      <c r="EIQ51" s="68">
        <f t="shared" si="1391"/>
        <v>211</v>
      </c>
      <c r="EIR51" s="48"/>
      <c r="EIS51" s="49"/>
      <c r="EIT51" s="49"/>
      <c r="EIU51" s="49"/>
      <c r="EIV51" s="49">
        <v>268</v>
      </c>
      <c r="EIW51" s="49"/>
      <c r="EIX51" s="64">
        <f t="shared" si="1392"/>
        <v>268</v>
      </c>
      <c r="EIY51" s="68">
        <f t="shared" si="1393"/>
        <v>44.666666666666664</v>
      </c>
      <c r="EIZ51" s="48"/>
      <c r="EJA51" s="49"/>
      <c r="EJB51" s="49"/>
      <c r="EJC51" s="49">
        <v>945</v>
      </c>
      <c r="EJD51" s="49">
        <v>200</v>
      </c>
      <c r="EJE51" s="49">
        <v>1171</v>
      </c>
      <c r="EJF51" s="64">
        <f t="shared" si="1394"/>
        <v>2316</v>
      </c>
      <c r="EJG51" s="68">
        <f t="shared" si="1395"/>
        <v>386</v>
      </c>
      <c r="EJH51" s="48"/>
      <c r="EJI51" s="49"/>
      <c r="EJJ51" s="49"/>
      <c r="EJK51" s="49"/>
      <c r="EJL51" s="49"/>
      <c r="EJM51" s="49"/>
      <c r="EJN51" s="64">
        <f t="shared" si="1396"/>
        <v>0</v>
      </c>
      <c r="EJO51" s="68">
        <f t="shared" si="1397"/>
        <v>0</v>
      </c>
      <c r="EJP51" s="48"/>
      <c r="EJQ51" s="49">
        <v>429</v>
      </c>
      <c r="EJR51" s="49">
        <v>0</v>
      </c>
      <c r="EJS51" s="49"/>
      <c r="EJT51" s="49">
        <v>0</v>
      </c>
      <c r="EJU51" s="49">
        <v>0</v>
      </c>
      <c r="EJV51" s="64">
        <f t="shared" si="1398"/>
        <v>429</v>
      </c>
      <c r="EJW51" s="68">
        <f t="shared" si="1399"/>
        <v>71.5</v>
      </c>
      <c r="EJX51" s="48">
        <v>591</v>
      </c>
      <c r="EJY51" s="49">
        <v>0</v>
      </c>
      <c r="EJZ51" s="49">
        <v>0</v>
      </c>
      <c r="EKA51" s="49"/>
      <c r="EKB51" s="49">
        <v>658</v>
      </c>
      <c r="EKC51" s="49"/>
      <c r="EKD51" s="64">
        <f t="shared" si="1400"/>
        <v>1249</v>
      </c>
      <c r="EKE51" s="68">
        <f t="shared" si="1401"/>
        <v>208.16666666666666</v>
      </c>
      <c r="EKF51" s="48">
        <v>0</v>
      </c>
      <c r="EKG51" s="49"/>
      <c r="EKH51" s="49"/>
      <c r="EKI51" s="49">
        <v>0</v>
      </c>
      <c r="EKJ51" s="49">
        <v>0</v>
      </c>
      <c r="EKK51" s="49"/>
      <c r="EKL51" s="64">
        <f t="shared" si="1402"/>
        <v>0</v>
      </c>
      <c r="EKM51" s="68">
        <f t="shared" si="1403"/>
        <v>0</v>
      </c>
      <c r="EKN51" s="48">
        <v>178</v>
      </c>
      <c r="EKO51" s="49">
        <v>0</v>
      </c>
      <c r="EKP51" s="49">
        <v>0</v>
      </c>
      <c r="EKQ51" s="49">
        <v>0</v>
      </c>
      <c r="EKR51" s="49"/>
      <c r="EKS51" s="49">
        <v>0</v>
      </c>
      <c r="EKT51" s="64">
        <f t="shared" si="1404"/>
        <v>178</v>
      </c>
      <c r="EKU51" s="184">
        <f t="shared" si="1405"/>
        <v>29.666666666666668</v>
      </c>
      <c r="EKV51" s="665"/>
      <c r="EKW51" s="195">
        <v>0</v>
      </c>
      <c r="EKX51" s="49"/>
      <c r="EKY51" s="49"/>
      <c r="EKZ51" s="49">
        <v>0</v>
      </c>
      <c r="ELA51" s="49">
        <v>0</v>
      </c>
      <c r="ELB51" s="49"/>
      <c r="ELC51" s="64">
        <f t="shared" si="1406"/>
        <v>0</v>
      </c>
      <c r="ELD51" s="211">
        <f t="shared" si="1407"/>
        <v>0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08"/>
        <v>0</v>
      </c>
      <c r="ELL51" s="211">
        <f t="shared" si="1409"/>
        <v>0</v>
      </c>
      <c r="ELM51" s="195">
        <v>258</v>
      </c>
      <c r="ELN51" s="49">
        <v>555</v>
      </c>
      <c r="ELO51" s="49">
        <v>0</v>
      </c>
      <c r="ELP51" s="49">
        <v>0</v>
      </c>
      <c r="ELQ51" s="49">
        <v>0</v>
      </c>
      <c r="ELR51" s="49"/>
      <c r="ELS51" s="64">
        <f t="shared" si="1410"/>
        <v>813</v>
      </c>
      <c r="ELT51" s="211">
        <f t="shared" si="1411"/>
        <v>135.5</v>
      </c>
      <c r="ELU51" s="195"/>
      <c r="ELV51" s="49">
        <v>0</v>
      </c>
      <c r="ELW51" s="49">
        <v>314</v>
      </c>
      <c r="ELX51" s="49">
        <v>0</v>
      </c>
      <c r="ELY51" s="49"/>
      <c r="ELZ51" s="49">
        <v>366</v>
      </c>
      <c r="EMA51" s="64">
        <f t="shared" si="1412"/>
        <v>680</v>
      </c>
      <c r="EMB51" s="211">
        <f t="shared" si="1413"/>
        <v>113.33333333333333</v>
      </c>
      <c r="EMC51" s="195">
        <v>0</v>
      </c>
      <c r="EMD51" s="49"/>
      <c r="EME51" s="49">
        <v>0</v>
      </c>
      <c r="EMF51" s="49"/>
      <c r="EMG51" s="49"/>
      <c r="EMH51" s="49">
        <v>0</v>
      </c>
      <c r="EMI51" s="64">
        <f t="shared" si="1414"/>
        <v>0</v>
      </c>
      <c r="EMJ51" s="211">
        <f t="shared" si="1415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16"/>
        <v>0</v>
      </c>
      <c r="EMR51" s="211">
        <f t="shared" si="1417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18"/>
        <v>0</v>
      </c>
      <c r="EMZ51" s="211">
        <f t="shared" si="1419"/>
        <v>0</v>
      </c>
      <c r="ENA51" s="195">
        <v>641</v>
      </c>
      <c r="ENB51" s="49">
        <v>0</v>
      </c>
      <c r="ENC51" s="49">
        <v>865</v>
      </c>
      <c r="END51" s="49">
        <v>0</v>
      </c>
      <c r="ENE51" s="49">
        <v>0</v>
      </c>
      <c r="ENF51" s="49">
        <v>0</v>
      </c>
      <c r="ENG51" s="64">
        <f t="shared" si="1420"/>
        <v>1506</v>
      </c>
      <c r="ENH51" s="211">
        <f t="shared" si="1421"/>
        <v>251</v>
      </c>
      <c r="ENI51" s="195">
        <v>0</v>
      </c>
      <c r="ENJ51" s="49"/>
      <c r="ENK51" s="49"/>
      <c r="ENL51" s="49">
        <v>328</v>
      </c>
      <c r="ENM51" s="49">
        <v>0</v>
      </c>
      <c r="ENN51" s="49">
        <v>0</v>
      </c>
      <c r="ENO51" s="64">
        <f t="shared" si="1422"/>
        <v>328</v>
      </c>
      <c r="ENP51" s="211">
        <f t="shared" si="1423"/>
        <v>54.666666666666664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/>
      <c r="ENW51" s="64">
        <f t="shared" si="1424"/>
        <v>0</v>
      </c>
      <c r="ENX51" s="211">
        <f t="shared" si="1425"/>
        <v>0</v>
      </c>
      <c r="ENY51" s="195"/>
      <c r="ENZ51" s="49"/>
      <c r="EOA51" s="49"/>
      <c r="EOB51" s="49"/>
      <c r="EOC51" s="49"/>
      <c r="EOD51" s="49"/>
      <c r="EOE51" s="64">
        <f t="shared" si="1426"/>
        <v>0</v>
      </c>
      <c r="EOF51" s="211">
        <f t="shared" si="1427"/>
        <v>0</v>
      </c>
      <c r="EOG51" s="1"/>
      <c r="EOH51" s="195"/>
      <c r="EOI51" s="49"/>
      <c r="EOJ51" s="49"/>
      <c r="EOK51" s="49"/>
      <c r="EOL51" s="49"/>
      <c r="EOM51" s="49"/>
      <c r="EON51" s="184">
        <f t="shared" si="1428"/>
        <v>0</v>
      </c>
      <c r="EOO51" s="244"/>
      <c r="EOP51" s="49"/>
      <c r="EOQ51" s="49"/>
      <c r="EOR51" s="49"/>
      <c r="EOS51" s="49"/>
      <c r="EOT51" s="49"/>
      <c r="EOU51" s="64">
        <f t="shared" si="1429"/>
        <v>0</v>
      </c>
      <c r="EOV51" s="211">
        <f t="shared" si="1430"/>
        <v>0</v>
      </c>
      <c r="EOW51" s="195"/>
      <c r="EOX51" s="49"/>
      <c r="EOY51" s="49"/>
      <c r="EOZ51" s="49"/>
      <c r="EPA51" s="49"/>
      <c r="EPB51" s="49"/>
      <c r="EPC51" s="64">
        <f t="shared" si="1431"/>
        <v>0</v>
      </c>
      <c r="EPD51" s="211">
        <f t="shared" si="1432"/>
        <v>0</v>
      </c>
      <c r="EPE51" s="195"/>
      <c r="EPF51" s="49"/>
      <c r="EPG51" s="49"/>
      <c r="EPH51" s="49"/>
      <c r="EPI51" s="49"/>
      <c r="EPJ51" s="49">
        <v>440</v>
      </c>
      <c r="EPK51" s="64">
        <f t="shared" si="1433"/>
        <v>440</v>
      </c>
      <c r="EPL51" s="211">
        <f t="shared" si="1434"/>
        <v>73.333333333333329</v>
      </c>
      <c r="EPM51" s="195"/>
      <c r="EPN51" s="49"/>
      <c r="EPO51" s="49"/>
      <c r="EPP51" s="49">
        <v>440</v>
      </c>
      <c r="EPQ51" s="49">
        <v>179</v>
      </c>
      <c r="EPR51" s="49">
        <v>0</v>
      </c>
      <c r="EPS51" s="64">
        <f t="shared" si="1435"/>
        <v>619</v>
      </c>
      <c r="EPT51" s="211">
        <f t="shared" si="1436"/>
        <v>103.16666666666667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37"/>
        <v>0</v>
      </c>
      <c r="EQB51" s="211">
        <f t="shared" si="1438"/>
        <v>0</v>
      </c>
      <c r="EQC51" s="195">
        <v>0</v>
      </c>
      <c r="EQD51" s="49">
        <v>0</v>
      </c>
      <c r="EQE51" s="49">
        <v>0</v>
      </c>
      <c r="EQF51" s="49">
        <v>0</v>
      </c>
      <c r="EQG51" s="49">
        <v>0</v>
      </c>
      <c r="EQH51" s="49"/>
      <c r="EQI51" s="64">
        <f t="shared" si="1439"/>
        <v>0</v>
      </c>
      <c r="EQJ51" s="211">
        <f t="shared" si="1440"/>
        <v>0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41"/>
        <v>0</v>
      </c>
      <c r="EQR51" s="211">
        <f t="shared" si="1442"/>
        <v>0</v>
      </c>
      <c r="EQS51" s="195">
        <v>666</v>
      </c>
      <c r="EQT51" s="49">
        <v>0</v>
      </c>
      <c r="EQU51" s="49">
        <v>0</v>
      </c>
      <c r="EQV51" s="49">
        <v>0</v>
      </c>
      <c r="EQW51" s="49"/>
      <c r="EQX51" s="49">
        <v>0</v>
      </c>
      <c r="EQY51" s="64">
        <f t="shared" si="1443"/>
        <v>666</v>
      </c>
      <c r="EQZ51" s="211">
        <f t="shared" si="1444"/>
        <v>111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45"/>
        <v>0</v>
      </c>
      <c r="ERH51" s="211">
        <f t="shared" si="1446"/>
        <v>0</v>
      </c>
      <c r="ERI51" s="195"/>
      <c r="ERJ51" s="49">
        <v>0</v>
      </c>
      <c r="ERK51" s="49"/>
      <c r="ERL51" s="49">
        <v>0</v>
      </c>
      <c r="ERM51" s="49">
        <v>0</v>
      </c>
      <c r="ERN51" s="49"/>
      <c r="ERO51" s="64">
        <f t="shared" si="1447"/>
        <v>0</v>
      </c>
      <c r="ERP51" s="211">
        <f t="shared" si="1448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49"/>
        <v>0</v>
      </c>
      <c r="ERX51" s="211">
        <f t="shared" si="1450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51"/>
        <v>0</v>
      </c>
      <c r="ESF51" s="211">
        <f t="shared" si="1452"/>
        <v>0</v>
      </c>
      <c r="ESG51" s="195">
        <v>0</v>
      </c>
      <c r="ESH51" s="49">
        <v>0</v>
      </c>
      <c r="ESI51" s="49">
        <v>634</v>
      </c>
      <c r="ESJ51" s="49"/>
      <c r="ESK51" s="49"/>
      <c r="ESL51" s="49"/>
      <c r="ESM51" s="64">
        <f t="shared" si="1453"/>
        <v>634</v>
      </c>
      <c r="ESN51" s="211">
        <f t="shared" si="1454"/>
        <v>105.66666666666667</v>
      </c>
      <c r="ESO51" s="458">
        <v>0</v>
      </c>
      <c r="ESP51" s="83">
        <v>0</v>
      </c>
      <c r="ESQ51" s="83">
        <v>0</v>
      </c>
      <c r="ESR51" s="83">
        <v>307</v>
      </c>
      <c r="ESS51" s="83">
        <v>0</v>
      </c>
      <c r="EST51" s="83"/>
      <c r="ESU51" s="64">
        <f t="shared" si="1455"/>
        <v>307</v>
      </c>
      <c r="ESV51" s="211">
        <f t="shared" si="1456"/>
        <v>51.166666666666664</v>
      </c>
      <c r="ESW51" s="195"/>
      <c r="ESX51" s="49">
        <v>0</v>
      </c>
      <c r="ESY51" s="49">
        <v>0</v>
      </c>
      <c r="ESZ51" s="49">
        <v>638</v>
      </c>
      <c r="ETA51" s="49">
        <v>0</v>
      </c>
      <c r="ETB51" s="49">
        <v>0</v>
      </c>
      <c r="ETC51" s="808">
        <f t="shared" si="1457"/>
        <v>638</v>
      </c>
      <c r="ETD51" s="211">
        <f t="shared" si="1458"/>
        <v>106.33333333333333</v>
      </c>
      <c r="ETE51" s="195">
        <v>277</v>
      </c>
      <c r="ETF51" s="49">
        <v>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59"/>
        <v>277</v>
      </c>
      <c r="ETL51" s="211">
        <f t="shared" si="1460"/>
        <v>46.166666666666664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61"/>
        <v>0</v>
      </c>
      <c r="ETT51" s="211">
        <f t="shared" si="1462"/>
        <v>0</v>
      </c>
      <c r="ETU51" s="458">
        <v>0</v>
      </c>
      <c r="ETV51" s="83">
        <v>333</v>
      </c>
      <c r="ETW51" s="83">
        <v>0</v>
      </c>
      <c r="ETX51" s="83">
        <v>0</v>
      </c>
      <c r="ETY51" s="83"/>
      <c r="ETZ51" s="83"/>
      <c r="EUA51" s="808">
        <f t="shared" si="1463"/>
        <v>333</v>
      </c>
      <c r="EUB51" s="211">
        <f t="shared" si="1464"/>
        <v>55.5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65"/>
        <v>0</v>
      </c>
      <c r="EUJ51" s="211">
        <f t="shared" si="1466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67"/>
        <v>0</v>
      </c>
      <c r="EUR51" s="211">
        <f t="shared" si="1468"/>
        <v>0</v>
      </c>
      <c r="EUS51" s="195"/>
      <c r="EUT51" s="49">
        <v>0</v>
      </c>
      <c r="EUU51" s="49"/>
      <c r="EUV51" s="49">
        <v>0</v>
      </c>
      <c r="EUW51" s="49"/>
      <c r="EUX51" s="49"/>
      <c r="EUY51" s="808">
        <f t="shared" si="1469"/>
        <v>0</v>
      </c>
      <c r="EUZ51" s="211">
        <f t="shared" si="1470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71"/>
        <v>0</v>
      </c>
      <c r="EVH51" s="211">
        <f t="shared" si="1472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73"/>
        <v>0</v>
      </c>
      <c r="EVP51" s="211">
        <f t="shared" si="1474"/>
        <v>0</v>
      </c>
      <c r="EVQ51" s="195">
        <v>0</v>
      </c>
      <c r="EVR51" s="49"/>
      <c r="EVS51" s="49">
        <v>0</v>
      </c>
      <c r="EVT51" s="49"/>
      <c r="EVU51" s="49">
        <v>0</v>
      </c>
      <c r="EVV51" s="49">
        <v>0</v>
      </c>
      <c r="EVW51" s="808">
        <f t="shared" si="1475"/>
        <v>0</v>
      </c>
      <c r="EVX51" s="211">
        <f t="shared" si="1476"/>
        <v>0</v>
      </c>
      <c r="EVY51" s="195">
        <v>0</v>
      </c>
      <c r="EVZ51" s="49"/>
      <c r="EWA51" s="49"/>
      <c r="EWB51" s="49"/>
      <c r="EWC51" s="49">
        <v>251</v>
      </c>
      <c r="EWD51" s="49"/>
      <c r="EWE51" s="808">
        <f t="shared" si="1477"/>
        <v>251</v>
      </c>
      <c r="EWF51" s="211">
        <f t="shared" si="1478"/>
        <v>41.833333333333336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79"/>
        <v>0</v>
      </c>
      <c r="EWN51" s="211">
        <f t="shared" si="1480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81"/>
        <v>0</v>
      </c>
      <c r="EWV51" s="211">
        <f t="shared" si="1482"/>
        <v>0</v>
      </c>
      <c r="EWW51" s="195"/>
      <c r="EWX51" s="49"/>
      <c r="EWY51" s="49">
        <v>636</v>
      </c>
      <c r="EWZ51" s="49"/>
      <c r="EXA51" s="49">
        <v>0</v>
      </c>
      <c r="EXB51" s="49"/>
      <c r="EXC51" s="808">
        <f t="shared" si="1483"/>
        <v>636</v>
      </c>
      <c r="EXD51" s="211">
        <f t="shared" si="1484"/>
        <v>106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85"/>
        <v>0</v>
      </c>
      <c r="EXL51" s="211">
        <f t="shared" si="1486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/>
      <c r="EXS51" s="808">
        <f t="shared" si="1487"/>
        <v>0</v>
      </c>
      <c r="EXT51" s="211">
        <f t="shared" si="1488"/>
        <v>0</v>
      </c>
      <c r="EXU51" s="195">
        <v>0</v>
      </c>
      <c r="EXV51" s="49">
        <v>0</v>
      </c>
      <c r="EXW51" s="49"/>
      <c r="EXX51" s="49">
        <v>0</v>
      </c>
      <c r="EXY51" s="49"/>
      <c r="EXZ51" s="49">
        <v>0</v>
      </c>
      <c r="EYA51" s="808">
        <f t="shared" si="1489"/>
        <v>0</v>
      </c>
      <c r="EYB51" s="211">
        <f t="shared" si="1490"/>
        <v>0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491"/>
        <v>0</v>
      </c>
      <c r="EYJ51" s="211">
        <f t="shared" si="1492"/>
        <v>0</v>
      </c>
      <c r="EYK51" s="195">
        <v>0</v>
      </c>
      <c r="EYL51" s="49">
        <v>0</v>
      </c>
      <c r="EYM51" s="49"/>
      <c r="EYN51" s="49">
        <v>118</v>
      </c>
      <c r="EYO51" s="49"/>
      <c r="EYP51" s="49"/>
      <c r="EYQ51" s="808">
        <f t="shared" si="1493"/>
        <v>118</v>
      </c>
      <c r="EYR51" s="211">
        <f t="shared" si="1494"/>
        <v>19.666666666666668</v>
      </c>
      <c r="EYS51" s="195">
        <v>0</v>
      </c>
      <c r="EYT51" s="49">
        <v>0</v>
      </c>
      <c r="EYU51" s="49">
        <v>0</v>
      </c>
      <c r="EYV51" s="49"/>
      <c r="EYW51" s="49"/>
      <c r="EYX51" s="49"/>
      <c r="EYY51" s="872">
        <f t="shared" si="1495"/>
        <v>0</v>
      </c>
      <c r="EYZ51" s="873">
        <f t="shared" si="1496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497"/>
        <v>0</v>
      </c>
      <c r="EZH51" s="873">
        <f t="shared" si="1498"/>
        <v>0</v>
      </c>
      <c r="EZI51" s="195"/>
      <c r="EZJ51" s="49">
        <v>0</v>
      </c>
      <c r="EZK51" s="49"/>
      <c r="EZL51" s="49"/>
      <c r="EZM51" s="49"/>
      <c r="EZN51" s="49"/>
      <c r="EZO51" s="872">
        <f t="shared" si="1499"/>
        <v>0</v>
      </c>
      <c r="EZP51" s="873">
        <f t="shared" si="1500"/>
        <v>0</v>
      </c>
    </row>
    <row r="52" spans="1:4072" s="8" customFormat="1" ht="13.5" thickBot="1" x14ac:dyDescent="0.25">
      <c r="A52" s="21">
        <v>23</v>
      </c>
      <c r="B52" s="297" t="s">
        <v>150</v>
      </c>
      <c r="C52" s="730" t="s">
        <v>331</v>
      </c>
      <c r="D52" s="297">
        <v>25</v>
      </c>
      <c r="E52" s="24"/>
      <c r="F52" s="24">
        <v>1000</v>
      </c>
      <c r="G52" s="24"/>
      <c r="H52" s="24"/>
      <c r="I52" s="360"/>
      <c r="J52" s="360">
        <f>SUMIF(SUMPK!$B:$B,$B:$B,SUMPK!$O:$O)</f>
        <v>0</v>
      </c>
      <c r="K52" s="24">
        <f t="shared" si="1220"/>
        <v>0</v>
      </c>
      <c r="L52" s="24">
        <f t="shared" si="2415"/>
        <v>1000</v>
      </c>
      <c r="M52" s="15">
        <f t="shared" si="2416"/>
        <v>1000</v>
      </c>
      <c r="N52" s="15">
        <v>0</v>
      </c>
      <c r="O52" s="276">
        <f t="shared" si="1223"/>
        <v>0</v>
      </c>
      <c r="P52" s="712"/>
      <c r="Q52" s="276">
        <f t="shared" ref="Q52:Q56" si="2418">IF(P52=0,0,M52/P52*6)</f>
        <v>0</v>
      </c>
      <c r="R52" s="277">
        <f t="shared" ref="R52:R56" si="2419">S52/$S$3</f>
        <v>0</v>
      </c>
      <c r="S52" s="222"/>
      <c r="T52" s="276">
        <f t="shared" ref="T52:T56" si="2420">IF(R52=0,0,M52/R52)</f>
        <v>0</v>
      </c>
      <c r="U52" s="278"/>
      <c r="V52" s="276">
        <f t="shared" si="1227"/>
        <v>0</v>
      </c>
      <c r="W52" s="279">
        <f t="shared" si="2417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/>
      <c r="CPN52" s="49"/>
      <c r="CPO52" s="49"/>
      <c r="CPP52" s="49"/>
      <c r="CPQ52" s="49"/>
      <c r="CPR52" s="67"/>
      <c r="CPS52" s="68"/>
      <c r="CPT52" s="48"/>
      <c r="CPU52" s="49"/>
      <c r="CPV52" s="49"/>
      <c r="CPW52" s="49"/>
      <c r="CPX52" s="49"/>
      <c r="CPY52" s="49"/>
      <c r="CPZ52" s="67"/>
      <c r="CQA52" s="68"/>
      <c r="CQB52" s="48"/>
      <c r="CQC52" s="49"/>
      <c r="CQD52" s="49"/>
      <c r="CQE52" s="49"/>
      <c r="CQF52" s="49"/>
      <c r="CQG52" s="49"/>
      <c r="CQH52" s="67"/>
      <c r="CQI52" s="68"/>
      <c r="CQJ52" s="82"/>
      <c r="CQK52" s="83"/>
      <c r="CQL52" s="83"/>
      <c r="CQM52" s="83"/>
      <c r="CQN52" s="83"/>
      <c r="CQO52" s="83"/>
      <c r="CQP52" s="67"/>
      <c r="CQQ52" s="68"/>
      <c r="CQR52" s="239"/>
      <c r="CQS52" s="1"/>
      <c r="CQT52" s="1"/>
      <c r="CQU52" s="1"/>
      <c r="CQV52" s="1"/>
      <c r="CQW52" s="1"/>
      <c r="CQX52" s="67"/>
      <c r="CQY52" s="68"/>
      <c r="CQZ52" s="48"/>
      <c r="CRA52" s="49"/>
      <c r="CRB52" s="49"/>
      <c r="CRC52" s="49"/>
      <c r="CRD52" s="49"/>
      <c r="CRE52" s="49"/>
      <c r="CRF52" s="67"/>
      <c r="CRG52" s="68"/>
      <c r="CRH52" s="48"/>
      <c r="CRI52" s="49"/>
      <c r="CRJ52" s="49"/>
      <c r="CRK52" s="49"/>
      <c r="CRL52" s="49"/>
      <c r="CRM52" s="49"/>
      <c r="CRN52" s="67"/>
      <c r="CRO52" s="68"/>
      <c r="CRP52" s="48"/>
      <c r="CRQ52" s="49"/>
      <c r="CRR52" s="49"/>
      <c r="CRS52" s="49"/>
      <c r="CRT52" s="49"/>
      <c r="CRU52" s="49"/>
      <c r="CRV52" s="47"/>
      <c r="CRW52" s="68"/>
      <c r="CRX52" s="48"/>
      <c r="CRY52" s="49"/>
      <c r="CRZ52" s="49"/>
      <c r="CSA52" s="49"/>
      <c r="CSB52" s="49"/>
      <c r="CSC52" s="49"/>
      <c r="CSD52" s="67"/>
      <c r="CSE52" s="68"/>
      <c r="CSF52" s="48"/>
      <c r="CSG52" s="49"/>
      <c r="CSH52" s="49"/>
      <c r="CSI52" s="49"/>
      <c r="CSJ52" s="49"/>
      <c r="CSK52" s="360"/>
      <c r="CSL52" s="64"/>
      <c r="CSM52" s="68"/>
      <c r="CSN52" s="48"/>
      <c r="CSO52" s="49"/>
      <c r="CSP52" s="49"/>
      <c r="CSQ52" s="49"/>
      <c r="CSR52" s="49"/>
      <c r="CSS52" s="49"/>
      <c r="CST52" s="64"/>
      <c r="CSU52" s="68"/>
      <c r="CSV52" s="48"/>
      <c r="CSW52" s="49"/>
      <c r="CSX52" s="49"/>
      <c r="CSY52" s="49"/>
      <c r="CSZ52" s="49"/>
      <c r="CTA52" s="49"/>
      <c r="CTB52" s="64"/>
      <c r="CTC52" s="68"/>
      <c r="CTD52" s="48"/>
      <c r="CTE52" s="49"/>
      <c r="CTF52" s="49"/>
      <c r="CTG52" s="49"/>
      <c r="CTH52" s="49"/>
      <c r="CTI52" s="49"/>
      <c r="CTJ52" s="64"/>
      <c r="CTK52" s="68"/>
      <c r="CTL52" s="48"/>
      <c r="CTM52" s="49"/>
      <c r="CTN52" s="49"/>
      <c r="CTO52" s="49"/>
      <c r="CTP52" s="49"/>
      <c r="CTQ52" s="49"/>
      <c r="CTR52" s="64"/>
      <c r="CTS52" s="68"/>
      <c r="CTT52" s="48"/>
      <c r="CTU52" s="49"/>
      <c r="CTV52" s="49"/>
      <c r="CTW52" s="49"/>
      <c r="CTX52" s="49"/>
      <c r="CTY52" s="49"/>
      <c r="CTZ52" s="64"/>
      <c r="CUA52" s="68"/>
      <c r="CUB52" s="48"/>
      <c r="CUC52" s="49"/>
      <c r="CUD52" s="49"/>
      <c r="CUE52" s="49"/>
      <c r="CUF52" s="49"/>
      <c r="CUG52" s="49"/>
      <c r="CUH52" s="64"/>
      <c r="CUI52" s="68"/>
      <c r="CUJ52" s="48"/>
      <c r="CUK52" s="49"/>
      <c r="CUL52" s="49"/>
      <c r="CUM52" s="49"/>
      <c r="CUN52" s="49"/>
      <c r="CUO52" s="49"/>
      <c r="CUP52" s="64"/>
      <c r="CUQ52" s="68"/>
      <c r="CUR52" s="48"/>
      <c r="CUS52" s="49"/>
      <c r="CUT52" s="49"/>
      <c r="CUU52" s="49"/>
      <c r="CUV52" s="49"/>
      <c r="CUW52" s="49"/>
      <c r="CUX52" s="64"/>
      <c r="CUY52" s="68"/>
      <c r="CUZ52" s="48"/>
      <c r="CVA52" s="49"/>
      <c r="CVB52" s="49"/>
      <c r="CVC52" s="49"/>
      <c r="CVD52" s="49"/>
      <c r="CVE52" s="49"/>
      <c r="CVF52" s="64"/>
      <c r="CVG52" s="68"/>
      <c r="CVH52" s="48"/>
      <c r="CVI52" s="49"/>
      <c r="CVJ52" s="49"/>
      <c r="CVK52" s="49"/>
      <c r="CVL52" s="49"/>
      <c r="CVM52" s="49"/>
      <c r="CVN52" s="64"/>
      <c r="CVO52" s="68"/>
      <c r="CVP52" s="48"/>
      <c r="CVQ52" s="49"/>
      <c r="CVR52" s="49"/>
      <c r="CVS52" s="49"/>
      <c r="CVT52" s="49"/>
      <c r="CVU52" s="49"/>
      <c r="CVV52" s="64"/>
      <c r="CVW52" s="68"/>
      <c r="CVX52" s="48"/>
      <c r="CVY52" s="49"/>
      <c r="CVZ52" s="49"/>
      <c r="CWA52" s="49"/>
      <c r="CWB52" s="49"/>
      <c r="CWC52" s="49"/>
      <c r="CWD52" s="64"/>
      <c r="CWE52" s="68"/>
      <c r="CWF52" s="48"/>
      <c r="CWG52" s="49"/>
      <c r="CWH52" s="49"/>
      <c r="CWI52" s="49"/>
      <c r="CWJ52" s="49"/>
      <c r="CWK52" s="49"/>
      <c r="CWL52" s="64"/>
      <c r="CWM52" s="68"/>
      <c r="CWN52" s="48"/>
      <c r="CWO52" s="49"/>
      <c r="CWP52" s="49"/>
      <c r="CWQ52" s="49"/>
      <c r="CWR52" s="49"/>
      <c r="CWS52" s="49"/>
      <c r="CWT52" s="64"/>
      <c r="CWU52" s="68"/>
      <c r="CWV52" s="48"/>
      <c r="CWW52" s="49"/>
      <c r="CWX52" s="49"/>
      <c r="CWY52" s="49"/>
      <c r="CWZ52" s="49"/>
      <c r="CXA52" s="49"/>
      <c r="CXB52" s="127"/>
      <c r="CXC52" s="43"/>
      <c r="CXD52" s="48"/>
      <c r="CXE52" s="49"/>
      <c r="CXF52" s="49"/>
      <c r="CXG52" s="49"/>
      <c r="CXH52" s="49"/>
      <c r="CXI52" s="49"/>
      <c r="CXJ52" s="127"/>
      <c r="CXK52" s="43"/>
      <c r="CXL52" s="48"/>
      <c r="CXM52" s="49"/>
      <c r="CXN52" s="49"/>
      <c r="CXO52" s="49"/>
      <c r="CXP52" s="49"/>
      <c r="CXQ52" s="49"/>
      <c r="CXR52" s="127"/>
      <c r="CXS52" s="43"/>
      <c r="CXT52" s="48"/>
      <c r="CXU52" s="49"/>
      <c r="CXV52" s="49"/>
      <c r="CXW52" s="49"/>
      <c r="CXX52" s="49"/>
      <c r="CXY52" s="49"/>
      <c r="CXZ52" s="127"/>
      <c r="CYA52" s="43"/>
      <c r="CYB52" s="48"/>
      <c r="CYC52" s="49"/>
      <c r="CYD52" s="49"/>
      <c r="CYE52" s="49"/>
      <c r="CYF52" s="49"/>
      <c r="CYG52" s="49"/>
      <c r="CYH52" s="127"/>
      <c r="CYI52" s="43"/>
      <c r="CYJ52" s="48"/>
      <c r="CYK52" s="49"/>
      <c r="CYL52" s="49"/>
      <c r="CYM52" s="49"/>
      <c r="CYN52" s="49"/>
      <c r="CYO52" s="49"/>
      <c r="CYP52" s="127"/>
      <c r="CYQ52" s="43"/>
      <c r="CYR52" s="48"/>
      <c r="CYS52" s="49"/>
      <c r="CYT52" s="49"/>
      <c r="CYU52" s="49"/>
      <c r="CYV52" s="49"/>
      <c r="CYW52" s="49"/>
      <c r="CYX52" s="127"/>
      <c r="CYY52" s="43"/>
      <c r="CYZ52" s="48"/>
      <c r="CZA52" s="49"/>
      <c r="CZB52" s="49"/>
      <c r="CZC52" s="49"/>
      <c r="CZD52" s="49"/>
      <c r="CZE52" s="49"/>
      <c r="CZF52" s="127"/>
      <c r="CZG52" s="43"/>
      <c r="CZH52" s="48"/>
      <c r="CZI52" s="49"/>
      <c r="CZJ52" s="49"/>
      <c r="CZK52" s="49"/>
      <c r="CZL52" s="49"/>
      <c r="CZM52" s="49"/>
      <c r="CZN52" s="127"/>
      <c r="CZO52" s="43"/>
      <c r="CZP52" s="48"/>
      <c r="CZQ52" s="49"/>
      <c r="CZR52" s="49"/>
      <c r="CZS52" s="49"/>
      <c r="CZT52" s="49"/>
      <c r="CZU52" s="49"/>
      <c r="CZV52" s="127"/>
      <c r="CZW52" s="43"/>
      <c r="CZX52" s="48"/>
      <c r="CZY52" s="49"/>
      <c r="CZZ52" s="49"/>
      <c r="DAA52" s="49"/>
      <c r="DAB52" s="49"/>
      <c r="DAC52" s="49"/>
      <c r="DAD52" s="64"/>
      <c r="DAE52" s="68"/>
      <c r="DAF52" s="48"/>
      <c r="DAG52" s="49"/>
      <c r="DAH52" s="49"/>
      <c r="DAI52" s="49"/>
      <c r="DAJ52" s="49"/>
      <c r="DAK52" s="49"/>
      <c r="DAL52" s="64"/>
      <c r="DAM52" s="68"/>
      <c r="DAN52" s="48"/>
      <c r="DAO52" s="49"/>
      <c r="DAP52" s="49"/>
      <c r="DAQ52" s="49"/>
      <c r="DAR52" s="49"/>
      <c r="DAS52" s="49"/>
      <c r="DAT52" s="64"/>
      <c r="DAU52" s="68"/>
      <c r="DAV52" s="48"/>
      <c r="DAW52" s="49"/>
      <c r="DAX52" s="49"/>
      <c r="DAY52" s="49"/>
      <c r="DAZ52" s="49"/>
      <c r="DBA52" s="49"/>
      <c r="DBB52" s="64"/>
      <c r="DBC52" s="68"/>
      <c r="DBD52" s="48"/>
      <c r="DBE52" s="49"/>
      <c r="DBF52" s="49"/>
      <c r="DBG52" s="49"/>
      <c r="DBH52" s="49"/>
      <c r="DBI52" s="49"/>
      <c r="DBJ52" s="64"/>
      <c r="DBK52" s="68"/>
      <c r="DBL52" s="48"/>
      <c r="DBM52" s="49"/>
      <c r="DBN52" s="49"/>
      <c r="DBO52" s="49"/>
      <c r="DBP52" s="49"/>
      <c r="DBQ52" s="49"/>
      <c r="DBR52" s="64"/>
      <c r="DBS52" s="68"/>
      <c r="DBT52" s="48"/>
      <c r="DBU52" s="49"/>
      <c r="DBV52" s="49"/>
      <c r="DBW52" s="49"/>
      <c r="DBX52" s="49"/>
      <c r="DBY52" s="49"/>
      <c r="DBZ52" s="64"/>
      <c r="DCA52" s="68"/>
      <c r="DCB52" s="48"/>
      <c r="DCC52" s="49"/>
      <c r="DCD52" s="49"/>
      <c r="DCE52" s="49"/>
      <c r="DCF52" s="49"/>
      <c r="DCG52" s="49"/>
      <c r="DCH52" s="64"/>
      <c r="DCI52" s="68"/>
      <c r="DCJ52" s="48"/>
      <c r="DCK52" s="49"/>
      <c r="DCL52" s="49"/>
      <c r="DCM52" s="49"/>
      <c r="DCN52" s="49"/>
      <c r="DCO52" s="49"/>
      <c r="DCP52" s="64"/>
      <c r="DCQ52" s="68"/>
      <c r="DCR52" s="48"/>
      <c r="DCS52" s="49"/>
      <c r="DCT52" s="49"/>
      <c r="DCU52" s="49"/>
      <c r="DCV52" s="49"/>
      <c r="DCW52" s="49"/>
      <c r="DCX52" s="64"/>
      <c r="DCY52" s="68"/>
      <c r="DCZ52" s="48"/>
      <c r="DDA52" s="49"/>
      <c r="DDB52" s="49"/>
      <c r="DDC52" s="49"/>
      <c r="DDD52" s="49"/>
      <c r="DDE52" s="49"/>
      <c r="DDF52" s="64"/>
      <c r="DDG52" s="68"/>
      <c r="DDH52" s="48"/>
      <c r="DDI52" s="49"/>
      <c r="DDJ52" s="49"/>
      <c r="DDK52" s="49"/>
      <c r="DDL52" s="49"/>
      <c r="DDM52" s="49"/>
      <c r="DDN52" s="127"/>
      <c r="DDO52" s="43"/>
      <c r="DDP52" s="48"/>
      <c r="DDQ52" s="49"/>
      <c r="DDR52" s="49"/>
      <c r="DDS52" s="49"/>
      <c r="DDT52" s="49"/>
      <c r="DDU52" s="49"/>
      <c r="DDV52" s="127"/>
      <c r="DDW52" s="43"/>
      <c r="DDX52" s="48"/>
      <c r="DDY52" s="49"/>
      <c r="DDZ52" s="49"/>
      <c r="DEA52" s="49"/>
      <c r="DEB52" s="49"/>
      <c r="DEC52" s="49"/>
      <c r="DED52" s="127"/>
      <c r="DEE52" s="43"/>
      <c r="DEF52" s="48"/>
      <c r="DEG52" s="49"/>
      <c r="DEH52" s="49"/>
      <c r="DEI52" s="49"/>
      <c r="DEJ52" s="49"/>
      <c r="DEK52" s="49"/>
      <c r="DEL52" s="127"/>
      <c r="DEM52" s="43"/>
      <c r="DEN52" s="48"/>
      <c r="DEO52" s="49"/>
      <c r="DEP52" s="49"/>
      <c r="DEQ52" s="49"/>
      <c r="DER52" s="49"/>
      <c r="DES52" s="49"/>
      <c r="DET52" s="127"/>
      <c r="DEU52" s="43"/>
      <c r="DEV52" s="48"/>
      <c r="DEW52" s="49"/>
      <c r="DEX52" s="49"/>
      <c r="DEY52" s="49"/>
      <c r="DEZ52" s="49"/>
      <c r="DFA52" s="49"/>
      <c r="DFB52" s="127"/>
      <c r="DFC52" s="43"/>
      <c r="DFD52" s="48"/>
      <c r="DFE52" s="49"/>
      <c r="DFF52" s="49"/>
      <c r="DFG52" s="49"/>
      <c r="DFH52" s="49"/>
      <c r="DFI52" s="49"/>
      <c r="DFJ52" s="127"/>
      <c r="DFK52" s="43"/>
      <c r="DFL52" s="63"/>
      <c r="DFM52" s="64"/>
      <c r="DFN52" s="64"/>
      <c r="DFO52" s="64"/>
      <c r="DFP52" s="64"/>
      <c r="DFQ52" s="64"/>
      <c r="DFR52" s="64"/>
      <c r="DFS52" s="68"/>
      <c r="DFT52" s="48"/>
      <c r="DFU52" s="49"/>
      <c r="DFV52" s="49"/>
      <c r="DFW52" s="49"/>
      <c r="DFX52" s="49"/>
      <c r="DFY52" s="49"/>
      <c r="DFZ52" s="127"/>
      <c r="DGA52" s="43"/>
      <c r="DGB52" s="48"/>
      <c r="DGC52" s="49"/>
      <c r="DGD52" s="49"/>
      <c r="DGE52" s="49"/>
      <c r="DGF52" s="49"/>
      <c r="DGG52" s="49"/>
      <c r="DGH52" s="127"/>
      <c r="DGI52" s="43"/>
      <c r="DGJ52" s="48"/>
      <c r="DGK52" s="49"/>
      <c r="DGL52" s="49"/>
      <c r="DGM52" s="49"/>
      <c r="DGN52" s="49"/>
      <c r="DGO52" s="49"/>
      <c r="DGP52" s="64"/>
      <c r="DGQ52" s="68"/>
      <c r="DGR52" s="48"/>
      <c r="DGS52" s="49"/>
      <c r="DGT52" s="49"/>
      <c r="DGU52" s="49"/>
      <c r="DGV52" s="49"/>
      <c r="DGW52" s="49"/>
      <c r="DGX52" s="64"/>
      <c r="DGY52" s="68"/>
      <c r="DGZ52" s="48"/>
      <c r="DHA52" s="49"/>
      <c r="DHB52" s="49"/>
      <c r="DHC52" s="49"/>
      <c r="DHD52" s="49"/>
      <c r="DHE52" s="49"/>
      <c r="DHF52" s="64"/>
      <c r="DHG52" s="68"/>
      <c r="DHH52" s="63"/>
      <c r="DHI52" s="64"/>
      <c r="DHJ52" s="64"/>
      <c r="DHK52" s="64"/>
      <c r="DHL52" s="64"/>
      <c r="DHM52" s="64"/>
      <c r="DHN52" s="64"/>
      <c r="DHO52" s="68"/>
      <c r="DHP52" s="48"/>
      <c r="DHQ52" s="49"/>
      <c r="DHR52" s="49"/>
      <c r="DHS52" s="49"/>
      <c r="DHT52" s="49"/>
      <c r="DHU52" s="49"/>
      <c r="DHV52" s="64"/>
      <c r="DHW52" s="68"/>
      <c r="DHX52" s="48"/>
      <c r="DHY52" s="49"/>
      <c r="DHZ52" s="49"/>
      <c r="DIA52" s="49"/>
      <c r="DIB52" s="49"/>
      <c r="DIC52" s="49"/>
      <c r="DID52" s="64"/>
      <c r="DIE52" s="68"/>
      <c r="DIF52" s="48"/>
      <c r="DIG52" s="49"/>
      <c r="DIH52" s="49"/>
      <c r="DII52" s="49"/>
      <c r="DIJ52" s="49"/>
      <c r="DIK52" s="49"/>
      <c r="DIL52" s="64"/>
      <c r="DIM52" s="68"/>
      <c r="DIN52" s="48"/>
      <c r="DIO52" s="49"/>
      <c r="DIP52" s="49"/>
      <c r="DIQ52" s="49"/>
      <c r="DIR52" s="49"/>
      <c r="DIS52" s="49"/>
      <c r="DIT52" s="64"/>
      <c r="DIU52" s="68"/>
      <c r="DIV52" s="48"/>
      <c r="DIW52" s="49"/>
      <c r="DIX52" s="49"/>
      <c r="DIY52" s="49"/>
      <c r="DIZ52" s="49"/>
      <c r="DJA52" s="49"/>
      <c r="DJB52" s="64"/>
      <c r="DJC52" s="68"/>
      <c r="DJD52" s="48"/>
      <c r="DJE52" s="49"/>
      <c r="DJF52" s="49"/>
      <c r="DJG52" s="49"/>
      <c r="DJH52" s="49"/>
      <c r="DJI52" s="49"/>
      <c r="DJJ52" s="64"/>
      <c r="DJK52" s="68"/>
      <c r="DJL52" s="48"/>
      <c r="DJM52" s="49"/>
      <c r="DJN52" s="49"/>
      <c r="DJO52" s="49"/>
      <c r="DJP52" s="49"/>
      <c r="DJQ52" s="49"/>
      <c r="DJR52" s="64"/>
      <c r="DJS52" s="68"/>
      <c r="DJT52" s="48"/>
      <c r="DJU52" s="49"/>
      <c r="DJV52" s="49"/>
      <c r="DJW52" s="49"/>
      <c r="DJX52" s="49"/>
      <c r="DJY52" s="49"/>
      <c r="DJZ52" s="64"/>
      <c r="DKA52" s="68"/>
      <c r="DKB52" s="48"/>
      <c r="DKC52" s="49"/>
      <c r="DKD52" s="49"/>
      <c r="DKE52" s="49"/>
      <c r="DKF52" s="49"/>
      <c r="DKG52" s="49"/>
      <c r="DKH52" s="64"/>
      <c r="DKI52" s="68"/>
      <c r="DKJ52" s="48"/>
      <c r="DKK52" s="49"/>
      <c r="DKL52" s="49"/>
      <c r="DKM52" s="49"/>
      <c r="DKN52" s="49"/>
      <c r="DKO52" s="49"/>
      <c r="DKP52" s="64"/>
      <c r="DKQ52" s="68"/>
      <c r="DKR52" s="48"/>
      <c r="DKS52" s="49"/>
      <c r="DKT52" s="49"/>
      <c r="DKU52" s="49"/>
      <c r="DKV52" s="49"/>
      <c r="DKW52" s="49"/>
      <c r="DKX52" s="64"/>
      <c r="DKY52" s="68"/>
      <c r="DKZ52" s="48"/>
      <c r="DLA52" s="49"/>
      <c r="DLB52" s="49"/>
      <c r="DLC52" s="49"/>
      <c r="DLD52" s="49"/>
      <c r="DLE52" s="49"/>
      <c r="DLF52" s="64"/>
      <c r="DLG52" s="68"/>
      <c r="DLH52" s="48"/>
      <c r="DLI52" s="49"/>
      <c r="DLJ52" s="49"/>
      <c r="DLK52" s="49"/>
      <c r="DLL52" s="49"/>
      <c r="DLM52" s="49"/>
      <c r="DLN52" s="64"/>
      <c r="DLO52" s="68"/>
      <c r="DLP52" s="48"/>
      <c r="DLQ52" s="49"/>
      <c r="DLR52" s="49"/>
      <c r="DLS52" s="49"/>
      <c r="DLT52" s="49"/>
      <c r="DLU52" s="49"/>
      <c r="DLV52" s="64"/>
      <c r="DLW52" s="68"/>
      <c r="DLX52" s="48"/>
      <c r="DLY52" s="49"/>
      <c r="DLZ52" s="49"/>
      <c r="DMA52" s="49"/>
      <c r="DMB52" s="49"/>
      <c r="DMC52" s="49"/>
      <c r="DMD52" s="64"/>
      <c r="DME52" s="68"/>
      <c r="DMF52" s="48"/>
      <c r="DMG52" s="49"/>
      <c r="DMH52" s="49"/>
      <c r="DMI52" s="49"/>
      <c r="DMJ52" s="49"/>
      <c r="DMK52" s="49"/>
      <c r="DML52" s="64"/>
      <c r="DMM52" s="68"/>
      <c r="DMN52" s="48"/>
      <c r="DMO52" s="49"/>
      <c r="DMP52" s="49"/>
      <c r="DMQ52" s="49"/>
      <c r="DMR52" s="49"/>
      <c r="DMS52" s="49"/>
      <c r="DMT52" s="64"/>
      <c r="DMU52" s="68"/>
      <c r="DMV52" s="48"/>
      <c r="DMW52" s="49"/>
      <c r="DMX52" s="49"/>
      <c r="DMY52" s="49"/>
      <c r="DMZ52" s="49"/>
      <c r="DNA52" s="49"/>
      <c r="DNB52" s="64"/>
      <c r="DNC52" s="68"/>
      <c r="DND52" s="48"/>
      <c r="DNE52" s="49"/>
      <c r="DNF52" s="49"/>
      <c r="DNG52" s="49"/>
      <c r="DNH52" s="49"/>
      <c r="DNI52" s="49"/>
      <c r="DNJ52" s="64"/>
      <c r="DNK52" s="68"/>
      <c r="DNL52" s="48"/>
      <c r="DNM52" s="49"/>
      <c r="DNN52" s="49"/>
      <c r="DNO52" s="49"/>
      <c r="DNP52" s="49"/>
      <c r="DNQ52" s="49"/>
      <c r="DNR52" s="64"/>
      <c r="DNS52" s="68"/>
      <c r="DNT52" s="48"/>
      <c r="DNU52" s="49"/>
      <c r="DNV52" s="49"/>
      <c r="DNW52" s="49"/>
      <c r="DNX52" s="49"/>
      <c r="DNY52" s="49"/>
      <c r="DNZ52" s="64"/>
      <c r="DOA52" s="68"/>
      <c r="DOB52" s="48"/>
      <c r="DOC52" s="49"/>
      <c r="DOD52" s="49"/>
      <c r="DOE52" s="49"/>
      <c r="DOF52" s="49"/>
      <c r="DOG52" s="49"/>
      <c r="DOH52" s="64"/>
      <c r="DOI52" s="68"/>
      <c r="DOJ52" s="48"/>
      <c r="DOK52" s="49"/>
      <c r="DOL52" s="49"/>
      <c r="DOM52" s="49"/>
      <c r="DON52" s="49"/>
      <c r="DOO52" s="49"/>
      <c r="DOP52" s="64"/>
      <c r="DOQ52" s="68"/>
      <c r="DOR52" s="48"/>
      <c r="DOS52" s="49"/>
      <c r="DOT52" s="49"/>
      <c r="DOU52" s="49"/>
      <c r="DOV52" s="49"/>
      <c r="DOW52" s="49"/>
      <c r="DOX52" s="64"/>
      <c r="DOY52" s="68"/>
      <c r="DOZ52" s="48"/>
      <c r="DPA52" s="49"/>
      <c r="DPB52" s="49"/>
      <c r="DPC52" s="49"/>
      <c r="DPD52" s="49"/>
      <c r="DPE52" s="49"/>
      <c r="DPF52" s="64"/>
      <c r="DPG52" s="68"/>
      <c r="DPH52" s="48"/>
      <c r="DPI52" s="49"/>
      <c r="DPJ52" s="49"/>
      <c r="DPK52" s="49"/>
      <c r="DPL52" s="49"/>
      <c r="DPM52" s="49"/>
      <c r="DPN52" s="64"/>
      <c r="DPO52" s="68"/>
      <c r="DPP52" s="48"/>
      <c r="DPQ52" s="49"/>
      <c r="DPR52" s="49"/>
      <c r="DPS52" s="49"/>
      <c r="DPT52" s="49"/>
      <c r="DPU52" s="49"/>
      <c r="DPV52" s="491"/>
      <c r="DPW52" s="492"/>
      <c r="DPX52" s="48"/>
      <c r="DPY52" s="49"/>
      <c r="DPZ52" s="49"/>
      <c r="DQA52" s="49"/>
      <c r="DQB52" s="49"/>
      <c r="DQC52" s="49"/>
      <c r="DQD52" s="491"/>
      <c r="DQE52" s="492"/>
      <c r="DQF52" s="48"/>
      <c r="DQG52" s="49"/>
      <c r="DQH52" s="49"/>
      <c r="DQI52" s="49"/>
      <c r="DQJ52" s="49"/>
      <c r="DQK52" s="49"/>
      <c r="DQL52" s="489"/>
      <c r="DQM52" s="492"/>
      <c r="DQN52" s="48"/>
      <c r="DQO52" s="49"/>
      <c r="DQP52" s="49"/>
      <c r="DQQ52" s="49"/>
      <c r="DQR52" s="49"/>
      <c r="DQS52" s="49"/>
      <c r="DQT52" s="64"/>
      <c r="DQU52" s="68"/>
      <c r="DQV52" s="48"/>
      <c r="DQW52" s="49"/>
      <c r="DQX52" s="49"/>
      <c r="DQY52" s="49"/>
      <c r="DQZ52" s="49"/>
      <c r="DRA52" s="49"/>
      <c r="DRB52" s="491"/>
      <c r="DRC52" s="492"/>
      <c r="DRD52" s="48"/>
      <c r="DRE52" s="49"/>
      <c r="DRF52" s="49"/>
      <c r="DRG52" s="49"/>
      <c r="DRH52" s="49"/>
      <c r="DRI52" s="49"/>
      <c r="DRJ52" s="491"/>
      <c r="DRK52" s="492"/>
      <c r="DRL52" s="48"/>
      <c r="DRM52" s="49"/>
      <c r="DRN52" s="49"/>
      <c r="DRO52" s="49"/>
      <c r="DRP52" s="49"/>
      <c r="DRQ52" s="49"/>
      <c r="DRR52" s="64"/>
      <c r="DRS52" s="68"/>
      <c r="DRT52" s="48"/>
      <c r="DRU52" s="49"/>
      <c r="DRV52" s="49"/>
      <c r="DRW52" s="49"/>
      <c r="DRX52" s="49"/>
      <c r="DRY52" s="49"/>
      <c r="DRZ52" s="491"/>
      <c r="DSA52" s="68"/>
      <c r="DSB52" s="82"/>
      <c r="DSC52" s="83"/>
      <c r="DSD52" s="83"/>
      <c r="DSE52" s="83"/>
      <c r="DSF52" s="83"/>
      <c r="DSG52" s="83"/>
      <c r="DSH52" s="64"/>
      <c r="DSI52" s="68"/>
      <c r="DSJ52" s="48"/>
      <c r="DSK52" s="49"/>
      <c r="DSL52" s="49"/>
      <c r="DSM52" s="49"/>
      <c r="DSN52" s="49"/>
      <c r="DSO52" s="49"/>
      <c r="DSP52" s="64"/>
      <c r="DSQ52" s="68"/>
      <c r="DSR52" s="48"/>
      <c r="DSS52" s="49"/>
      <c r="DST52" s="49"/>
      <c r="DSU52" s="49"/>
      <c r="DSV52" s="49"/>
      <c r="DSW52" s="49"/>
      <c r="DSX52" s="64"/>
      <c r="DSY52" s="68"/>
      <c r="DSZ52" s="48"/>
      <c r="DTA52" s="49"/>
      <c r="DTB52" s="49"/>
      <c r="DTC52" s="49"/>
      <c r="DTD52" s="49"/>
      <c r="DTE52" s="49"/>
      <c r="DTF52" s="64"/>
      <c r="DTG52" s="68"/>
      <c r="DTH52" s="48"/>
      <c r="DTI52" s="49"/>
      <c r="DTJ52" s="49"/>
      <c r="DTK52" s="49"/>
      <c r="DTL52" s="49"/>
      <c r="DTM52" s="49"/>
      <c r="DTN52" s="64"/>
      <c r="DTO52" s="68"/>
      <c r="DTP52" s="48"/>
      <c r="DTQ52" s="49"/>
      <c r="DTR52" s="49"/>
      <c r="DTS52" s="49"/>
      <c r="DTT52" s="49"/>
      <c r="DTU52" s="49"/>
      <c r="DTV52" s="64"/>
      <c r="DTW52" s="68"/>
      <c r="DTX52" s="48"/>
      <c r="DTY52" s="49"/>
      <c r="DTZ52" s="49"/>
      <c r="DUA52" s="49"/>
      <c r="DUB52" s="49"/>
      <c r="DUC52" s="49"/>
      <c r="DUD52" s="64"/>
      <c r="DUE52" s="68"/>
      <c r="DUF52" s="48"/>
      <c r="DUG52" s="49"/>
      <c r="DUH52" s="49"/>
      <c r="DUI52" s="49"/>
      <c r="DUJ52" s="49"/>
      <c r="DUK52" s="49"/>
      <c r="DUL52" s="64"/>
      <c r="DUM52" s="68"/>
      <c r="DUN52" s="48"/>
      <c r="DUO52" s="49"/>
      <c r="DUP52" s="49"/>
      <c r="DUQ52" s="49"/>
      <c r="DUR52" s="49"/>
      <c r="DUS52" s="49"/>
      <c r="DUT52" s="64"/>
      <c r="DUU52" s="68"/>
      <c r="DUV52" s="48"/>
      <c r="DUW52" s="49"/>
      <c r="DUX52" s="49"/>
      <c r="DUY52" s="49"/>
      <c r="DUZ52" s="49"/>
      <c r="DVA52" s="49"/>
      <c r="DVB52" s="64"/>
      <c r="DVC52" s="68"/>
      <c r="DVD52" s="48"/>
      <c r="DVE52" s="49"/>
      <c r="DVF52" s="49"/>
      <c r="DVG52" s="49"/>
      <c r="DVH52" s="49"/>
      <c r="DVI52" s="49"/>
      <c r="DVJ52" s="64"/>
      <c r="DVK52" s="68"/>
      <c r="DVL52" s="48"/>
      <c r="DVM52" s="49"/>
      <c r="DVN52" s="49"/>
      <c r="DVO52" s="49"/>
      <c r="DVP52" s="49"/>
      <c r="DVQ52" s="49"/>
      <c r="DVR52" s="64"/>
      <c r="DVS52" s="68"/>
      <c r="DVT52" s="48"/>
      <c r="DVU52" s="49"/>
      <c r="DVV52" s="49"/>
      <c r="DVW52" s="49"/>
      <c r="DVX52" s="49"/>
      <c r="DVY52" s="49"/>
      <c r="DVZ52" s="64"/>
      <c r="DWA52" s="68"/>
      <c r="DWB52" s="48"/>
      <c r="DWC52" s="49"/>
      <c r="DWD52" s="49"/>
      <c r="DWE52" s="49"/>
      <c r="DWF52" s="49"/>
      <c r="DWG52" s="49"/>
      <c r="DWH52" s="64"/>
      <c r="DWI52" s="68"/>
      <c r="DWJ52" s="48"/>
      <c r="DWK52" s="49"/>
      <c r="DWL52" s="49"/>
      <c r="DWM52" s="49"/>
      <c r="DWN52" s="49"/>
      <c r="DWO52" s="49"/>
      <c r="DWP52" s="64"/>
      <c r="DWQ52" s="68"/>
      <c r="DWR52" s="48"/>
      <c r="DWS52" s="49"/>
      <c r="DWT52" s="49"/>
      <c r="DWU52" s="49"/>
      <c r="DWV52" s="49"/>
      <c r="DWW52" s="49"/>
      <c r="DWX52" s="64"/>
      <c r="DWY52" s="68"/>
      <c r="DWZ52" s="48"/>
      <c r="DXA52" s="49"/>
      <c r="DXB52" s="49"/>
      <c r="DXC52" s="49"/>
      <c r="DXD52" s="49"/>
      <c r="DXE52" s="49"/>
      <c r="DXF52" s="64"/>
      <c r="DXG52" s="68"/>
      <c r="DXH52" s="48"/>
      <c r="DXI52" s="49"/>
      <c r="DXJ52" s="49"/>
      <c r="DXK52" s="49"/>
      <c r="DXL52" s="49"/>
      <c r="DXM52" s="49"/>
      <c r="DXN52" s="64"/>
      <c r="DXO52" s="68"/>
      <c r="DXP52" s="48"/>
      <c r="DXQ52" s="49"/>
      <c r="DXR52" s="49"/>
      <c r="DXS52" s="49"/>
      <c r="DXT52" s="49"/>
      <c r="DXU52" s="49"/>
      <c r="DXV52" s="64"/>
      <c r="DXW52" s="68"/>
      <c r="DXX52" s="48"/>
      <c r="DXY52" s="49"/>
      <c r="DXZ52" s="49"/>
      <c r="DYA52" s="49"/>
      <c r="DYB52" s="49"/>
      <c r="DYC52" s="49"/>
      <c r="DYD52" s="64"/>
      <c r="DYE52" s="68"/>
      <c r="DYF52" s="48"/>
      <c r="DYG52" s="49"/>
      <c r="DYH52" s="49"/>
      <c r="DYI52" s="49"/>
      <c r="DYJ52" s="49"/>
      <c r="DYK52" s="49"/>
      <c r="DYL52" s="64"/>
      <c r="DYM52" s="68"/>
      <c r="DYN52" s="48"/>
      <c r="DYO52" s="49"/>
      <c r="DYP52" s="49"/>
      <c r="DYQ52" s="49"/>
      <c r="DYR52" s="49"/>
      <c r="DYS52" s="49"/>
      <c r="DYT52" s="64"/>
      <c r="DYU52" s="68"/>
      <c r="DYV52" s="48"/>
      <c r="DYW52" s="49"/>
      <c r="DYX52" s="49"/>
      <c r="DYY52" s="49"/>
      <c r="DYZ52" s="49"/>
      <c r="DZA52" s="49"/>
      <c r="DZB52" s="64"/>
      <c r="DZC52" s="68"/>
      <c r="DZD52" s="48"/>
      <c r="DZE52" s="49"/>
      <c r="DZF52" s="49"/>
      <c r="DZG52" s="49"/>
      <c r="DZH52" s="49"/>
      <c r="DZI52" s="49"/>
      <c r="DZJ52" s="64"/>
      <c r="DZK52" s="68"/>
      <c r="DZL52" s="48"/>
      <c r="DZM52" s="49"/>
      <c r="DZN52" s="49"/>
      <c r="DZO52" s="49"/>
      <c r="DZP52" s="49"/>
      <c r="DZQ52" s="49"/>
      <c r="DZR52" s="64"/>
      <c r="DZS52" s="68"/>
      <c r="DZT52" s="48"/>
      <c r="DZU52" s="49"/>
      <c r="DZV52" s="49"/>
      <c r="DZW52" s="49"/>
      <c r="DZX52" s="49"/>
      <c r="DZY52" s="49"/>
      <c r="DZZ52" s="64"/>
      <c r="EAA52" s="68"/>
      <c r="EAB52" s="48"/>
      <c r="EAC52" s="49"/>
      <c r="EAD52" s="49"/>
      <c r="EAE52" s="49"/>
      <c r="EAF52" s="49"/>
      <c r="EAG52" s="49"/>
      <c r="EAH52" s="64"/>
      <c r="EAI52" s="68"/>
      <c r="EAJ52" s="48"/>
      <c r="EAK52" s="49"/>
      <c r="EAL52" s="49"/>
      <c r="EAM52" s="49"/>
      <c r="EAN52" s="49"/>
      <c r="EAO52" s="49"/>
      <c r="EAP52" s="64"/>
      <c r="EAQ52" s="68"/>
      <c r="EAR52" s="48"/>
      <c r="EAS52" s="49"/>
      <c r="EAT52" s="49"/>
      <c r="EAU52" s="49"/>
      <c r="EAV52" s="49"/>
      <c r="EAW52" s="49"/>
      <c r="EAX52" s="64"/>
      <c r="EAY52" s="68"/>
      <c r="EAZ52" s="48"/>
      <c r="EBA52" s="49"/>
      <c r="EBB52" s="49"/>
      <c r="EBC52" s="49"/>
      <c r="EBD52" s="49"/>
      <c r="EBE52" s="49"/>
      <c r="EBF52" s="64"/>
      <c r="EBG52" s="68"/>
      <c r="EBH52" s="48"/>
      <c r="EBI52" s="49"/>
      <c r="EBJ52" s="49"/>
      <c r="EBK52" s="49"/>
      <c r="EBL52" s="49"/>
      <c r="EBM52" s="49"/>
      <c r="EBN52" s="64"/>
      <c r="EBO52" s="68"/>
      <c r="EBP52" s="48"/>
      <c r="EBQ52" s="49"/>
      <c r="EBR52" s="49"/>
      <c r="EBS52" s="49"/>
      <c r="EBT52" s="49"/>
      <c r="EBU52" s="49"/>
      <c r="EBV52" s="64"/>
      <c r="EBW52" s="68"/>
      <c r="EBX52" s="48"/>
      <c r="EBY52" s="49"/>
      <c r="EBZ52" s="49"/>
      <c r="ECA52" s="49"/>
      <c r="ECB52" s="49"/>
      <c r="ECC52" s="49"/>
      <c r="ECD52" s="64"/>
      <c r="ECE52" s="68"/>
      <c r="ECF52" s="48"/>
      <c r="ECG52" s="49"/>
      <c r="ECH52" s="49"/>
      <c r="ECI52" s="49"/>
      <c r="ECJ52" s="49"/>
      <c r="ECK52" s="49"/>
      <c r="ECL52" s="64"/>
      <c r="ECM52" s="68"/>
      <c r="ECN52" s="48"/>
      <c r="ECO52" s="49"/>
      <c r="ECP52" s="49"/>
      <c r="ECQ52" s="49"/>
      <c r="ECR52" s="49"/>
      <c r="ECS52" s="49"/>
      <c r="ECT52" s="64"/>
      <c r="ECU52" s="68"/>
      <c r="ECV52" s="48"/>
      <c r="ECW52" s="49"/>
      <c r="ECX52" s="49"/>
      <c r="ECY52" s="49"/>
      <c r="ECZ52" s="49"/>
      <c r="EDA52" s="49"/>
      <c r="EDB52" s="64"/>
      <c r="EDC52" s="68"/>
      <c r="EDD52" s="48"/>
      <c r="EDE52" s="49"/>
      <c r="EDF52" s="49"/>
      <c r="EDG52" s="49"/>
      <c r="EDH52" s="49"/>
      <c r="EDI52" s="49"/>
      <c r="EDJ52" s="64"/>
      <c r="EDK52" s="68"/>
      <c r="EDL52" s="48"/>
      <c r="EDM52" s="49"/>
      <c r="EDN52" s="49"/>
      <c r="EDO52" s="49"/>
      <c r="EDP52" s="49"/>
      <c r="EDQ52" s="49"/>
      <c r="EDR52" s="64"/>
      <c r="EDS52" s="68"/>
      <c r="EDT52" s="48"/>
      <c r="EDU52" s="49"/>
      <c r="EDV52" s="49"/>
      <c r="EDW52" s="49"/>
      <c r="EDX52" s="49"/>
      <c r="EDY52" s="49"/>
      <c r="EDZ52" s="64"/>
      <c r="EEA52" s="68"/>
      <c r="EEB52" s="48"/>
      <c r="EEC52" s="49"/>
      <c r="EED52" s="49"/>
      <c r="EEE52" s="49"/>
      <c r="EEF52" s="49"/>
      <c r="EEG52" s="49"/>
      <c r="EEH52" s="64"/>
      <c r="EEI52" s="68"/>
      <c r="EEJ52" s="91"/>
      <c r="EEK52" s="88"/>
      <c r="EEL52" s="88"/>
      <c r="EEM52" s="88"/>
      <c r="EEN52" s="88"/>
      <c r="EEO52" s="88"/>
      <c r="EEP52" s="179"/>
      <c r="EEQ52" s="95"/>
      <c r="EER52" s="91"/>
      <c r="EES52" s="88"/>
      <c r="EET52" s="88"/>
      <c r="EEU52" s="88"/>
      <c r="EEV52" s="88"/>
      <c r="EEW52" s="88"/>
      <c r="EEX52" s="179"/>
      <c r="EEY52" s="95"/>
      <c r="EEZ52" s="91"/>
      <c r="EFA52" s="88"/>
      <c r="EFB52" s="88"/>
      <c r="EFC52" s="88"/>
      <c r="EFD52" s="88"/>
      <c r="EFE52" s="88"/>
      <c r="EFF52" s="179"/>
      <c r="EFG52" s="95"/>
      <c r="EFH52" s="91"/>
      <c r="EFI52" s="88"/>
      <c r="EFJ52" s="88"/>
      <c r="EFK52" s="88"/>
      <c r="EFL52" s="88"/>
      <c r="EFM52" s="88"/>
      <c r="EFN52" s="179"/>
      <c r="EFO52" s="95"/>
      <c r="EFP52" s="91"/>
      <c r="EFQ52" s="88"/>
      <c r="EFR52" s="88"/>
      <c r="EFS52" s="88"/>
      <c r="EFT52" s="88"/>
      <c r="EFU52" s="88"/>
      <c r="EFV52" s="179"/>
      <c r="EFW52" s="95"/>
      <c r="EFX52" s="91"/>
      <c r="EFY52" s="88"/>
      <c r="EFZ52" s="88"/>
      <c r="EGA52" s="88"/>
      <c r="EGB52" s="88"/>
      <c r="EGC52" s="88"/>
      <c r="EGD52" s="179"/>
      <c r="EGE52" s="95"/>
      <c r="EGF52" s="91"/>
      <c r="EGG52" s="88"/>
      <c r="EGH52" s="88"/>
      <c r="EGI52" s="88"/>
      <c r="EGJ52" s="88"/>
      <c r="EGK52" s="88"/>
      <c r="EGL52" s="179"/>
      <c r="EGM52" s="95"/>
      <c r="EGN52" s="91"/>
      <c r="EGO52" s="88"/>
      <c r="EGP52" s="88"/>
      <c r="EGQ52" s="88"/>
      <c r="EGR52" s="88"/>
      <c r="EGS52" s="88"/>
      <c r="EGT52" s="179"/>
      <c r="EGU52" s="95"/>
      <c r="EGV52" s="91"/>
      <c r="EGW52" s="88"/>
      <c r="EGX52" s="88"/>
      <c r="EGY52" s="88"/>
      <c r="EGZ52" s="88"/>
      <c r="EHA52" s="88"/>
      <c r="EHB52" s="64"/>
      <c r="EHC52" s="68"/>
      <c r="EHD52" s="91"/>
      <c r="EHE52" s="88"/>
      <c r="EHF52" s="88"/>
      <c r="EHG52" s="88"/>
      <c r="EHH52" s="88"/>
      <c r="EHI52" s="88"/>
      <c r="EHJ52" s="179"/>
      <c r="EHK52" s="95"/>
      <c r="EHL52" s="91"/>
      <c r="EHM52" s="88"/>
      <c r="EHN52" s="88"/>
      <c r="EHO52" s="88"/>
      <c r="EHP52" s="88"/>
      <c r="EHQ52" s="88"/>
      <c r="EHR52" s="179"/>
      <c r="EHS52" s="95"/>
      <c r="EHT52" s="91"/>
      <c r="EHU52" s="88"/>
      <c r="EHV52" s="88"/>
      <c r="EHW52" s="88"/>
      <c r="EHX52" s="88"/>
      <c r="EHY52" s="88"/>
      <c r="EHZ52" s="179"/>
      <c r="EIA52" s="95"/>
      <c r="EIB52" s="91"/>
      <c r="EIC52" s="88"/>
      <c r="EID52" s="88"/>
      <c r="EIE52" s="88"/>
      <c r="EIF52" s="88"/>
      <c r="EIG52" s="88"/>
      <c r="EIH52" s="179"/>
      <c r="EII52" s="95"/>
      <c r="EIJ52" s="91"/>
      <c r="EIK52" s="88"/>
      <c r="EIL52" s="88"/>
      <c r="EIM52" s="88"/>
      <c r="EIN52" s="88"/>
      <c r="EIO52" s="88"/>
      <c r="EIP52" s="179"/>
      <c r="EIQ52" s="95"/>
      <c r="EIR52" s="91"/>
      <c r="EIS52" s="88"/>
      <c r="EIT52" s="88"/>
      <c r="EIU52" s="88"/>
      <c r="EIV52" s="88"/>
      <c r="EIW52" s="88"/>
      <c r="EIX52" s="179"/>
      <c r="EIY52" s="95"/>
      <c r="EIZ52" s="91"/>
      <c r="EJA52" s="88"/>
      <c r="EJB52" s="88"/>
      <c r="EJC52" s="88"/>
      <c r="EJD52" s="88"/>
      <c r="EJE52" s="88"/>
      <c r="EJF52" s="179"/>
      <c r="EJG52" s="95"/>
      <c r="EJH52" s="91"/>
      <c r="EJI52" s="88"/>
      <c r="EJJ52" s="88"/>
      <c r="EJK52" s="88"/>
      <c r="EJL52" s="88"/>
      <c r="EJM52" s="88"/>
      <c r="EJN52" s="179"/>
      <c r="EJO52" s="95"/>
      <c r="EJP52" s="91"/>
      <c r="EJQ52" s="88"/>
      <c r="EJR52" s="88"/>
      <c r="EJS52" s="88"/>
      <c r="EJT52" s="88"/>
      <c r="EJU52" s="88"/>
      <c r="EJV52" s="179"/>
      <c r="EJW52" s="95"/>
      <c r="EJX52" s="91"/>
      <c r="EJY52" s="88"/>
      <c r="EJZ52" s="88"/>
      <c r="EKA52" s="88"/>
      <c r="EKB52" s="88"/>
      <c r="EKC52" s="88"/>
      <c r="EKD52" s="179"/>
      <c r="EKE52" s="95"/>
      <c r="EKF52" s="91"/>
      <c r="EKG52" s="88"/>
      <c r="EKH52" s="88"/>
      <c r="EKI52" s="88"/>
      <c r="EKJ52" s="88"/>
      <c r="EKK52" s="88"/>
      <c r="EKL52" s="179"/>
      <c r="EKM52" s="95"/>
      <c r="EKN52" s="91"/>
      <c r="EKO52" s="88"/>
      <c r="EKP52" s="88"/>
      <c r="EKQ52" s="88"/>
      <c r="EKR52" s="88"/>
      <c r="EKS52" s="88"/>
      <c r="EKT52" s="179"/>
      <c r="EKU52" s="218"/>
      <c r="EKV52" s="665"/>
      <c r="EKW52" s="219"/>
      <c r="EKX52" s="88"/>
      <c r="EKY52" s="88"/>
      <c r="EKZ52" s="88"/>
      <c r="ELA52" s="88">
        <v>0</v>
      </c>
      <c r="ELB52" s="88"/>
      <c r="ELC52" s="179"/>
      <c r="ELD52" s="386"/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08"/>
        <v>0</v>
      </c>
      <c r="ELL52" s="211">
        <f t="shared" si="1409"/>
        <v>0</v>
      </c>
      <c r="ELM52" s="195"/>
      <c r="ELN52" s="49"/>
      <c r="ELO52" s="49">
        <v>0</v>
      </c>
      <c r="ELP52" s="49">
        <v>0</v>
      </c>
      <c r="ELQ52" s="49">
        <v>0</v>
      </c>
      <c r="ELR52" s="49">
        <v>510</v>
      </c>
      <c r="ELS52" s="64">
        <f t="shared" si="1410"/>
        <v>510</v>
      </c>
      <c r="ELT52" s="211">
        <f t="shared" si="1411"/>
        <v>85</v>
      </c>
      <c r="ELU52" s="195"/>
      <c r="ELV52" s="49">
        <v>0</v>
      </c>
      <c r="ELW52" s="49"/>
      <c r="ELX52" s="49"/>
      <c r="ELY52" s="49"/>
      <c r="ELZ52" s="49"/>
      <c r="EMA52" s="64">
        <f t="shared" si="1412"/>
        <v>0</v>
      </c>
      <c r="EMB52" s="211">
        <f t="shared" si="1413"/>
        <v>0</v>
      </c>
      <c r="EMC52" s="195"/>
      <c r="EMD52" s="49"/>
      <c r="EME52" s="49"/>
      <c r="EMF52" s="49"/>
      <c r="EMG52" s="49"/>
      <c r="EMH52" s="49"/>
      <c r="EMI52" s="64">
        <f t="shared" si="1414"/>
        <v>0</v>
      </c>
      <c r="EMJ52" s="211">
        <f t="shared" si="1415"/>
        <v>0</v>
      </c>
      <c r="EMK52" s="195"/>
      <c r="EML52" s="49"/>
      <c r="EMM52" s="49"/>
      <c r="EMN52" s="49"/>
      <c r="EMO52" s="49"/>
      <c r="EMP52" s="49">
        <v>0</v>
      </c>
      <c r="EMQ52" s="64">
        <f t="shared" si="1416"/>
        <v>0</v>
      </c>
      <c r="EMR52" s="211">
        <f t="shared" si="1417"/>
        <v>0</v>
      </c>
      <c r="EMS52" s="195"/>
      <c r="EMT52" s="49">
        <v>0</v>
      </c>
      <c r="EMU52" s="49"/>
      <c r="EMV52" s="49">
        <v>0</v>
      </c>
      <c r="EMW52" s="49"/>
      <c r="EMX52" s="49">
        <v>0</v>
      </c>
      <c r="EMY52" s="64">
        <f t="shared" si="1418"/>
        <v>0</v>
      </c>
      <c r="EMZ52" s="211">
        <f t="shared" si="1419"/>
        <v>0</v>
      </c>
      <c r="ENA52" s="195"/>
      <c r="ENB52" s="49"/>
      <c r="ENC52" s="49"/>
      <c r="END52" s="49"/>
      <c r="ENE52" s="49"/>
      <c r="ENF52" s="49">
        <v>0</v>
      </c>
      <c r="ENG52" s="64">
        <f t="shared" si="1420"/>
        <v>0</v>
      </c>
      <c r="ENH52" s="211">
        <f t="shared" si="1421"/>
        <v>0</v>
      </c>
      <c r="ENI52" s="195">
        <v>0</v>
      </c>
      <c r="ENJ52" s="49"/>
      <c r="ENK52" s="49">
        <v>231</v>
      </c>
      <c r="ENL52" s="49"/>
      <c r="ENM52" s="49"/>
      <c r="ENN52" s="49"/>
      <c r="ENO52" s="64">
        <f t="shared" si="1422"/>
        <v>231</v>
      </c>
      <c r="ENP52" s="211">
        <f t="shared" si="1423"/>
        <v>38.5</v>
      </c>
      <c r="ENQ52" s="195"/>
      <c r="ENR52" s="49"/>
      <c r="ENS52" s="49"/>
      <c r="ENT52" s="49"/>
      <c r="ENU52" s="49"/>
      <c r="ENV52" s="49"/>
      <c r="ENW52" s="64">
        <f t="shared" si="1424"/>
        <v>0</v>
      </c>
      <c r="ENX52" s="211">
        <f t="shared" si="1425"/>
        <v>0</v>
      </c>
      <c r="ENY52" s="195">
        <v>275</v>
      </c>
      <c r="ENZ52" s="49"/>
      <c r="EOA52" s="49">
        <v>0</v>
      </c>
      <c r="EOB52" s="49">
        <v>0</v>
      </c>
      <c r="EOC52" s="49">
        <v>0</v>
      </c>
      <c r="EOD52" s="49">
        <v>0</v>
      </c>
      <c r="EOE52" s="64">
        <f t="shared" si="1426"/>
        <v>275</v>
      </c>
      <c r="EOF52" s="211">
        <f t="shared" si="1427"/>
        <v>45.833333333333336</v>
      </c>
      <c r="EOG52" s="1"/>
      <c r="EOH52" s="195"/>
      <c r="EOI52" s="49">
        <v>0</v>
      </c>
      <c r="EOJ52" s="49">
        <v>603</v>
      </c>
      <c r="EOK52" s="49"/>
      <c r="EOL52" s="49"/>
      <c r="EOM52" s="49"/>
      <c r="EON52" s="184">
        <f t="shared" si="1428"/>
        <v>603</v>
      </c>
      <c r="EOO52" s="244"/>
      <c r="EOP52" s="49"/>
      <c r="EOQ52" s="49">
        <v>0</v>
      </c>
      <c r="EOR52" s="49">
        <v>0</v>
      </c>
      <c r="EOS52" s="49"/>
      <c r="EOT52" s="49">
        <v>0</v>
      </c>
      <c r="EOU52" s="64">
        <f t="shared" si="1429"/>
        <v>0</v>
      </c>
      <c r="EOV52" s="211">
        <f t="shared" si="1430"/>
        <v>0</v>
      </c>
      <c r="EOW52" s="195"/>
      <c r="EOX52" s="49">
        <v>0</v>
      </c>
      <c r="EOY52" s="49">
        <v>0</v>
      </c>
      <c r="EOZ52" s="49"/>
      <c r="EPA52" s="49">
        <v>0</v>
      </c>
      <c r="EPB52" s="49">
        <v>0</v>
      </c>
      <c r="EPC52" s="64">
        <f t="shared" si="1431"/>
        <v>0</v>
      </c>
      <c r="EPD52" s="211">
        <f t="shared" si="1432"/>
        <v>0</v>
      </c>
      <c r="EPE52" s="195">
        <v>252</v>
      </c>
      <c r="EPF52" s="49">
        <v>0</v>
      </c>
      <c r="EPG52" s="49"/>
      <c r="EPH52" s="49">
        <v>0</v>
      </c>
      <c r="EPI52" s="49"/>
      <c r="EPJ52" s="49"/>
      <c r="EPK52" s="64">
        <f t="shared" si="1433"/>
        <v>252</v>
      </c>
      <c r="EPL52" s="211">
        <f t="shared" si="1434"/>
        <v>42</v>
      </c>
      <c r="EPM52" s="195">
        <v>629</v>
      </c>
      <c r="EPN52" s="49">
        <v>321</v>
      </c>
      <c r="EPO52" s="49">
        <v>0</v>
      </c>
      <c r="EPP52" s="49"/>
      <c r="EPQ52" s="49"/>
      <c r="EPR52" s="49"/>
      <c r="EPS52" s="64">
        <f t="shared" si="1435"/>
        <v>950</v>
      </c>
      <c r="EPT52" s="211">
        <f t="shared" si="1436"/>
        <v>158.33333333333334</v>
      </c>
      <c r="EPU52" s="195"/>
      <c r="EPV52" s="49"/>
      <c r="EPW52" s="49"/>
      <c r="EPX52" s="49"/>
      <c r="EPY52" s="49"/>
      <c r="EPZ52" s="49"/>
      <c r="EQA52" s="64">
        <f t="shared" si="1437"/>
        <v>0</v>
      </c>
      <c r="EQB52" s="211">
        <f t="shared" si="1438"/>
        <v>0</v>
      </c>
      <c r="EQC52" s="195"/>
      <c r="EQD52" s="49"/>
      <c r="EQE52" s="49"/>
      <c r="EQF52" s="49"/>
      <c r="EQG52" s="49"/>
      <c r="EQH52" s="49"/>
      <c r="EQI52" s="64">
        <f t="shared" si="1439"/>
        <v>0</v>
      </c>
      <c r="EQJ52" s="211">
        <f t="shared" si="1440"/>
        <v>0</v>
      </c>
      <c r="EQK52" s="195"/>
      <c r="EQL52" s="49"/>
      <c r="EQM52" s="49"/>
      <c r="EQN52" s="49"/>
      <c r="EQO52" s="49"/>
      <c r="EQP52" s="49"/>
      <c r="EQQ52" s="64">
        <f t="shared" si="1441"/>
        <v>0</v>
      </c>
      <c r="EQR52" s="211">
        <f t="shared" si="1442"/>
        <v>0</v>
      </c>
      <c r="EQS52" s="195"/>
      <c r="EQT52" s="49"/>
      <c r="EQU52" s="49">
        <v>0</v>
      </c>
      <c r="EQV52" s="49"/>
      <c r="EQW52" s="49"/>
      <c r="EQX52" s="49"/>
      <c r="EQY52" s="64">
        <f t="shared" si="1443"/>
        <v>0</v>
      </c>
      <c r="EQZ52" s="211">
        <f t="shared" si="1444"/>
        <v>0</v>
      </c>
      <c r="ERA52" s="195"/>
      <c r="ERB52" s="49"/>
      <c r="ERC52" s="49"/>
      <c r="ERD52" s="49"/>
      <c r="ERE52" s="49"/>
      <c r="ERF52" s="49"/>
      <c r="ERG52" s="64">
        <f t="shared" si="1445"/>
        <v>0</v>
      </c>
      <c r="ERH52" s="211">
        <f t="shared" si="1446"/>
        <v>0</v>
      </c>
      <c r="ERI52" s="195"/>
      <c r="ERJ52" s="49"/>
      <c r="ERK52" s="49"/>
      <c r="ERL52" s="49"/>
      <c r="ERM52" s="49"/>
      <c r="ERN52" s="49"/>
      <c r="ERO52" s="64">
        <f t="shared" si="1447"/>
        <v>0</v>
      </c>
      <c r="ERP52" s="211">
        <f t="shared" si="1448"/>
        <v>0</v>
      </c>
      <c r="ERQ52" s="195"/>
      <c r="ERR52" s="49"/>
      <c r="ERS52" s="49"/>
      <c r="ERT52" s="49"/>
      <c r="ERU52" s="49"/>
      <c r="ERV52" s="49"/>
      <c r="ERW52" s="64">
        <f t="shared" si="1449"/>
        <v>0</v>
      </c>
      <c r="ERX52" s="211">
        <f t="shared" si="1450"/>
        <v>0</v>
      </c>
      <c r="ERY52" s="195"/>
      <c r="ERZ52" s="49"/>
      <c r="ESA52" s="49"/>
      <c r="ESB52" s="49">
        <v>0</v>
      </c>
      <c r="ESC52" s="49">
        <v>0</v>
      </c>
      <c r="ESD52" s="49">
        <v>0</v>
      </c>
      <c r="ESE52" s="64">
        <f t="shared" si="1451"/>
        <v>0</v>
      </c>
      <c r="ESF52" s="211">
        <f t="shared" si="1452"/>
        <v>0</v>
      </c>
      <c r="ESG52" s="195">
        <v>0</v>
      </c>
      <c r="ESH52" s="49">
        <v>0</v>
      </c>
      <c r="ESI52" s="49"/>
      <c r="ESJ52" s="49"/>
      <c r="ESK52" s="49"/>
      <c r="ESL52" s="49"/>
      <c r="ESM52" s="64">
        <f t="shared" si="1453"/>
        <v>0</v>
      </c>
      <c r="ESN52" s="211">
        <f t="shared" si="1454"/>
        <v>0</v>
      </c>
      <c r="ESO52" s="458"/>
      <c r="ESP52" s="83"/>
      <c r="ESQ52" s="83">
        <v>0</v>
      </c>
      <c r="ESR52" s="83">
        <v>307</v>
      </c>
      <c r="ESS52" s="83">
        <v>0</v>
      </c>
      <c r="EST52" s="83"/>
      <c r="ESU52" s="64">
        <f t="shared" si="1455"/>
        <v>307</v>
      </c>
      <c r="ESV52" s="211">
        <f t="shared" si="1456"/>
        <v>51.166666666666664</v>
      </c>
      <c r="ESW52" s="195"/>
      <c r="ESX52" s="49">
        <v>0</v>
      </c>
      <c r="ESY52" s="49">
        <v>0</v>
      </c>
      <c r="ESZ52" s="49"/>
      <c r="ETA52" s="49"/>
      <c r="ETB52" s="49"/>
      <c r="ETC52" s="808">
        <f t="shared" si="1457"/>
        <v>0</v>
      </c>
      <c r="ETD52" s="211">
        <f t="shared" si="1458"/>
        <v>0</v>
      </c>
      <c r="ETE52" s="195"/>
      <c r="ETF52" s="49"/>
      <c r="ETG52" s="49">
        <v>0</v>
      </c>
      <c r="ETH52" s="49">
        <v>0</v>
      </c>
      <c r="ETI52" s="49">
        <v>0</v>
      </c>
      <c r="ETJ52" s="49"/>
      <c r="ETK52" s="808">
        <f t="shared" si="1459"/>
        <v>0</v>
      </c>
      <c r="ETL52" s="211">
        <f t="shared" si="1460"/>
        <v>0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61"/>
        <v>0</v>
      </c>
      <c r="ETT52" s="211">
        <f t="shared" si="1462"/>
        <v>0</v>
      </c>
      <c r="ETU52" s="458"/>
      <c r="ETV52" s="83"/>
      <c r="ETW52" s="83"/>
      <c r="ETX52" s="83">
        <v>0</v>
      </c>
      <c r="ETY52" s="83"/>
      <c r="ETZ52" s="83"/>
      <c r="EUA52" s="808">
        <f t="shared" si="1463"/>
        <v>0</v>
      </c>
      <c r="EUB52" s="211">
        <f t="shared" si="1464"/>
        <v>0</v>
      </c>
      <c r="EUC52" s="458"/>
      <c r="EUD52" s="83"/>
      <c r="EUE52" s="83"/>
      <c r="EUF52" s="83">
        <v>0</v>
      </c>
      <c r="EUG52" s="83"/>
      <c r="EUH52" s="83"/>
      <c r="EUI52" s="808">
        <f t="shared" si="1465"/>
        <v>0</v>
      </c>
      <c r="EUJ52" s="211">
        <f t="shared" si="1466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67"/>
        <v>0</v>
      </c>
      <c r="EUR52" s="211">
        <f t="shared" si="1468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69"/>
        <v>0</v>
      </c>
      <c r="EUZ52" s="211">
        <f t="shared" si="1470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71"/>
        <v>0</v>
      </c>
      <c r="EVH52" s="211">
        <f t="shared" si="1472"/>
        <v>0</v>
      </c>
      <c r="EVI52" s="195"/>
      <c r="EVJ52" s="49"/>
      <c r="EVK52" s="49">
        <f>SUMIF(SUMPK!$B:$B,$B:$B,SUMPK!$O:$O)</f>
        <v>0</v>
      </c>
      <c r="EVL52" s="49"/>
      <c r="EVM52" s="49"/>
      <c r="EVN52" s="49">
        <v>0</v>
      </c>
      <c r="EVO52" s="808">
        <f t="shared" si="1473"/>
        <v>0</v>
      </c>
      <c r="EVP52" s="211">
        <f t="shared" si="1474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75"/>
        <v>0</v>
      </c>
      <c r="EVX52" s="211">
        <f t="shared" si="1476"/>
        <v>0</v>
      </c>
      <c r="EVY52" s="195">
        <v>0</v>
      </c>
      <c r="EVZ52" s="49"/>
      <c r="EWA52" s="49"/>
      <c r="EWB52" s="49"/>
      <c r="EWC52" s="49">
        <v>0</v>
      </c>
      <c r="EWD52" s="49"/>
      <c r="EWE52" s="808">
        <f t="shared" si="1477"/>
        <v>0</v>
      </c>
      <c r="EWF52" s="211">
        <f t="shared" si="1478"/>
        <v>0</v>
      </c>
      <c r="EWG52" s="195"/>
      <c r="EWH52" s="49"/>
      <c r="EWI52" s="49"/>
      <c r="EWJ52" s="49">
        <v>0</v>
      </c>
      <c r="EWK52" s="49"/>
      <c r="EWL52" s="49"/>
      <c r="EWM52" s="808">
        <f t="shared" si="1479"/>
        <v>0</v>
      </c>
      <c r="EWN52" s="211">
        <f t="shared" si="1480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81"/>
        <v>0</v>
      </c>
      <c r="EWV52" s="211">
        <f t="shared" si="1482"/>
        <v>0</v>
      </c>
      <c r="EWW52" s="195"/>
      <c r="EWX52" s="49"/>
      <c r="EWY52" s="49"/>
      <c r="EWZ52" s="49"/>
      <c r="EXA52" s="49"/>
      <c r="EXB52" s="49"/>
      <c r="EXC52" s="808">
        <f t="shared" si="1483"/>
        <v>0</v>
      </c>
      <c r="EXD52" s="211">
        <f t="shared" si="1484"/>
        <v>0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85"/>
        <v>0</v>
      </c>
      <c r="EXL52" s="211">
        <f t="shared" si="1486"/>
        <v>0</v>
      </c>
      <c r="EXM52" s="458"/>
      <c r="EXN52" s="83">
        <v>0</v>
      </c>
      <c r="EXO52" s="83">
        <v>0</v>
      </c>
      <c r="EXP52" s="83">
        <v>0</v>
      </c>
      <c r="EXQ52" s="83"/>
      <c r="EXR52" s="83"/>
      <c r="EXS52" s="808">
        <f t="shared" si="1487"/>
        <v>0</v>
      </c>
      <c r="EXT52" s="211">
        <f t="shared" si="1488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89"/>
        <v>0</v>
      </c>
      <c r="EYB52" s="211">
        <f t="shared" si="1490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491"/>
        <v>0</v>
      </c>
      <c r="EYJ52" s="211">
        <f t="shared" si="1492"/>
        <v>0</v>
      </c>
      <c r="EYK52" s="195">
        <v>0</v>
      </c>
      <c r="EYL52" s="49">
        <v>0</v>
      </c>
      <c r="EYM52" s="49"/>
      <c r="EYN52" s="49"/>
      <c r="EYO52" s="49"/>
      <c r="EYP52" s="49"/>
      <c r="EYQ52" s="808">
        <f t="shared" si="1493"/>
        <v>0</v>
      </c>
      <c r="EYR52" s="211">
        <f t="shared" si="1494"/>
        <v>0</v>
      </c>
      <c r="EYS52" s="195"/>
      <c r="EYT52" s="49"/>
      <c r="EYU52" s="49"/>
      <c r="EYV52" s="49"/>
      <c r="EYW52" s="49"/>
      <c r="EYX52" s="49"/>
      <c r="EYY52" s="872">
        <f t="shared" si="1495"/>
        <v>0</v>
      </c>
      <c r="EYZ52" s="873">
        <f t="shared" si="1496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497"/>
        <v>0</v>
      </c>
      <c r="EZH52" s="873">
        <f t="shared" si="1498"/>
        <v>0</v>
      </c>
      <c r="EZI52" s="195"/>
      <c r="EZJ52" s="49">
        <v>0</v>
      </c>
      <c r="EZK52" s="49"/>
      <c r="EZL52" s="49"/>
      <c r="EZM52" s="49"/>
      <c r="EZN52" s="49"/>
      <c r="EZO52" s="872">
        <f t="shared" si="1499"/>
        <v>0</v>
      </c>
      <c r="EZP52" s="873">
        <f t="shared" si="1500"/>
        <v>0</v>
      </c>
    </row>
    <row r="53" spans="1:4072" s="8" customFormat="1" ht="13.5" thickBot="1" x14ac:dyDescent="0.25">
      <c r="A53" s="21">
        <v>24</v>
      </c>
      <c r="B53" s="297" t="s">
        <v>335</v>
      </c>
      <c r="C53" s="730" t="s">
        <v>333</v>
      </c>
      <c r="D53" s="297">
        <v>25</v>
      </c>
      <c r="E53" s="24"/>
      <c r="F53" s="24">
        <v>2010</v>
      </c>
      <c r="G53" s="24"/>
      <c r="H53" s="24"/>
      <c r="I53" s="360"/>
      <c r="J53" s="360">
        <f>SUMIF(SUMPK!$B:$B,$B:$B,SUMPK!$O:$O)</f>
        <v>0</v>
      </c>
      <c r="K53" s="24">
        <f t="shared" si="1220"/>
        <v>0</v>
      </c>
      <c r="L53" s="24">
        <f t="shared" si="2415"/>
        <v>2010</v>
      </c>
      <c r="M53" s="15">
        <f t="shared" si="2416"/>
        <v>2010</v>
      </c>
      <c r="N53" s="15">
        <v>0</v>
      </c>
      <c r="O53" s="276">
        <f t="shared" si="1223"/>
        <v>0</v>
      </c>
      <c r="P53" s="712"/>
      <c r="Q53" s="276">
        <f t="shared" si="2418"/>
        <v>0</v>
      </c>
      <c r="R53" s="277">
        <f t="shared" si="2419"/>
        <v>0</v>
      </c>
      <c r="S53" s="222"/>
      <c r="T53" s="276">
        <f t="shared" si="2420"/>
        <v>0</v>
      </c>
      <c r="U53" s="278"/>
      <c r="V53" s="276">
        <f t="shared" si="1227"/>
        <v>0</v>
      </c>
      <c r="W53" s="279">
        <f t="shared" si="2417"/>
        <v>1</v>
      </c>
      <c r="X53" s="278"/>
      <c r="Y53" s="7"/>
      <c r="Z53" s="7"/>
      <c r="AA53" s="7"/>
      <c r="AB53" s="7"/>
      <c r="AC53" s="662">
        <v>21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/>
      <c r="ELB53" s="88"/>
      <c r="ELC53" s="179"/>
      <c r="ELD53" s="386"/>
      <c r="ELE53" s="195">
        <v>0</v>
      </c>
      <c r="ELF53" s="49">
        <v>0</v>
      </c>
      <c r="ELG53" s="49">
        <v>614</v>
      </c>
      <c r="ELH53" s="49">
        <v>365</v>
      </c>
      <c r="ELI53" s="49">
        <v>771</v>
      </c>
      <c r="ELJ53" s="49">
        <v>0</v>
      </c>
      <c r="ELK53" s="64">
        <f t="shared" si="1408"/>
        <v>1750</v>
      </c>
      <c r="ELL53" s="211">
        <f t="shared" si="1409"/>
        <v>291.66666666666669</v>
      </c>
      <c r="ELM53" s="195">
        <v>666</v>
      </c>
      <c r="ELN53" s="49">
        <v>0</v>
      </c>
      <c r="ELO53" s="49">
        <v>0</v>
      </c>
      <c r="ELP53" s="49">
        <v>0</v>
      </c>
      <c r="ELQ53" s="49">
        <v>0</v>
      </c>
      <c r="ELR53" s="49">
        <v>0</v>
      </c>
      <c r="ELS53" s="64">
        <f t="shared" si="1410"/>
        <v>666</v>
      </c>
      <c r="ELT53" s="211">
        <f t="shared" si="1411"/>
        <v>111</v>
      </c>
      <c r="ELU53" s="195"/>
      <c r="ELV53" s="49">
        <v>0</v>
      </c>
      <c r="ELW53" s="49"/>
      <c r="ELX53" s="49"/>
      <c r="ELY53" s="49"/>
      <c r="ELZ53" s="49">
        <v>0</v>
      </c>
      <c r="EMA53" s="64">
        <f t="shared" si="1412"/>
        <v>0</v>
      </c>
      <c r="EMB53" s="211">
        <f t="shared" si="1413"/>
        <v>0</v>
      </c>
      <c r="EMC53" s="195">
        <v>0</v>
      </c>
      <c r="EMD53" s="49"/>
      <c r="EME53" s="49">
        <v>0</v>
      </c>
      <c r="EMF53" s="49"/>
      <c r="EMG53" s="49"/>
      <c r="EMH53" s="49">
        <v>0</v>
      </c>
      <c r="EMI53" s="64">
        <f t="shared" si="1414"/>
        <v>0</v>
      </c>
      <c r="EMJ53" s="211">
        <f t="shared" si="1415"/>
        <v>0</v>
      </c>
      <c r="EMK53" s="195">
        <v>0</v>
      </c>
      <c r="EML53" s="49"/>
      <c r="EMM53" s="49">
        <v>0</v>
      </c>
      <c r="EMN53" s="49">
        <v>0</v>
      </c>
      <c r="EMO53" s="49">
        <v>0</v>
      </c>
      <c r="EMP53" s="49">
        <v>0</v>
      </c>
      <c r="EMQ53" s="64">
        <f t="shared" si="1416"/>
        <v>0</v>
      </c>
      <c r="EMR53" s="211">
        <f t="shared" si="1417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18"/>
        <v>0</v>
      </c>
      <c r="EMZ53" s="211">
        <f t="shared" si="1419"/>
        <v>0</v>
      </c>
      <c r="ENA53" s="195">
        <v>0</v>
      </c>
      <c r="ENB53" s="49">
        <v>0</v>
      </c>
      <c r="ENC53" s="49">
        <v>580</v>
      </c>
      <c r="END53" s="49">
        <v>0</v>
      </c>
      <c r="ENE53" s="49">
        <v>331</v>
      </c>
      <c r="ENF53" s="49">
        <v>1015</v>
      </c>
      <c r="ENG53" s="64">
        <f t="shared" si="1420"/>
        <v>1926</v>
      </c>
      <c r="ENH53" s="211">
        <f t="shared" si="1421"/>
        <v>321</v>
      </c>
      <c r="ENI53" s="195">
        <v>0</v>
      </c>
      <c r="ENJ53" s="49"/>
      <c r="ENK53" s="49">
        <v>0</v>
      </c>
      <c r="ENL53" s="49">
        <v>69</v>
      </c>
      <c r="ENM53" s="49">
        <v>0</v>
      </c>
      <c r="ENN53" s="49">
        <v>0</v>
      </c>
      <c r="ENO53" s="64">
        <f t="shared" si="1422"/>
        <v>69</v>
      </c>
      <c r="ENP53" s="211">
        <f t="shared" si="1423"/>
        <v>11.5</v>
      </c>
      <c r="ENQ53" s="195">
        <v>153</v>
      </c>
      <c r="ENR53" s="49"/>
      <c r="ENS53" s="49"/>
      <c r="ENT53" s="49">
        <v>0</v>
      </c>
      <c r="ENU53" s="49">
        <v>0</v>
      </c>
      <c r="ENV53" s="49"/>
      <c r="ENW53" s="64">
        <f t="shared" si="1424"/>
        <v>153</v>
      </c>
      <c r="ENX53" s="211">
        <f t="shared" si="1425"/>
        <v>25.5</v>
      </c>
      <c r="ENY53" s="195">
        <v>0</v>
      </c>
      <c r="ENZ53" s="49"/>
      <c r="EOA53" s="49">
        <v>0</v>
      </c>
      <c r="EOB53" s="49"/>
      <c r="EOC53" s="49">
        <v>0</v>
      </c>
      <c r="EOD53" s="49">
        <v>0</v>
      </c>
      <c r="EOE53" s="64">
        <f t="shared" si="1426"/>
        <v>0</v>
      </c>
      <c r="EOF53" s="211">
        <f t="shared" si="1427"/>
        <v>0</v>
      </c>
      <c r="EOG53" s="1"/>
      <c r="EOH53" s="195"/>
      <c r="EOI53" s="49">
        <v>0</v>
      </c>
      <c r="EOJ53" s="49">
        <v>0</v>
      </c>
      <c r="EOK53" s="49"/>
      <c r="EOL53" s="49"/>
      <c r="EOM53" s="49"/>
      <c r="EON53" s="184">
        <f t="shared" si="1428"/>
        <v>0</v>
      </c>
      <c r="EOO53" s="244"/>
      <c r="EOP53" s="49"/>
      <c r="EOQ53" s="49">
        <v>0</v>
      </c>
      <c r="EOR53" s="49">
        <v>0</v>
      </c>
      <c r="EOS53" s="49"/>
      <c r="EOT53" s="49"/>
      <c r="EOU53" s="64">
        <f t="shared" si="1429"/>
        <v>0</v>
      </c>
      <c r="EOV53" s="211">
        <f t="shared" si="1430"/>
        <v>0</v>
      </c>
      <c r="EOW53" s="195"/>
      <c r="EOX53" s="49"/>
      <c r="EOY53" s="49">
        <v>0</v>
      </c>
      <c r="EOZ53" s="49"/>
      <c r="EPA53" s="49">
        <v>0</v>
      </c>
      <c r="EPB53" s="49">
        <v>0</v>
      </c>
      <c r="EPC53" s="64">
        <f t="shared" si="1431"/>
        <v>0</v>
      </c>
      <c r="EPD53" s="211">
        <f t="shared" si="1432"/>
        <v>0</v>
      </c>
      <c r="EPE53" s="195">
        <v>0</v>
      </c>
      <c r="EPF53" s="49">
        <v>0</v>
      </c>
      <c r="EPG53" s="49"/>
      <c r="EPH53" s="49">
        <v>0</v>
      </c>
      <c r="EPI53" s="49"/>
      <c r="EPJ53" s="49">
        <v>0</v>
      </c>
      <c r="EPK53" s="64">
        <f t="shared" si="1433"/>
        <v>0</v>
      </c>
      <c r="EPL53" s="211">
        <f t="shared" si="1434"/>
        <v>0</v>
      </c>
      <c r="EPM53" s="195">
        <v>0</v>
      </c>
      <c r="EPN53" s="49">
        <v>0</v>
      </c>
      <c r="EPO53" s="49">
        <v>0</v>
      </c>
      <c r="EPP53" s="49">
        <v>0</v>
      </c>
      <c r="EPQ53" s="49">
        <v>0</v>
      </c>
      <c r="EPR53" s="49"/>
      <c r="EPS53" s="64">
        <f t="shared" si="1435"/>
        <v>0</v>
      </c>
      <c r="EPT53" s="211">
        <f t="shared" si="1436"/>
        <v>0</v>
      </c>
      <c r="EPU53" s="195"/>
      <c r="EPV53" s="49">
        <v>0</v>
      </c>
      <c r="EPW53" s="49">
        <v>0</v>
      </c>
      <c r="EPX53" s="49">
        <v>369</v>
      </c>
      <c r="EPY53" s="49"/>
      <c r="EPZ53" s="49"/>
      <c r="EQA53" s="64">
        <f t="shared" si="1437"/>
        <v>369</v>
      </c>
      <c r="EQB53" s="211">
        <f t="shared" si="1438"/>
        <v>61.5</v>
      </c>
      <c r="EQC53" s="195">
        <v>0</v>
      </c>
      <c r="EQD53" s="49">
        <v>362</v>
      </c>
      <c r="EQE53" s="49">
        <v>0</v>
      </c>
      <c r="EQF53" s="49">
        <v>0</v>
      </c>
      <c r="EQG53" s="49">
        <v>330</v>
      </c>
      <c r="EQH53" s="49"/>
      <c r="EQI53" s="64">
        <f t="shared" si="1439"/>
        <v>692</v>
      </c>
      <c r="EQJ53" s="211">
        <f t="shared" si="1440"/>
        <v>115.33333333333333</v>
      </c>
      <c r="EQK53" s="195">
        <v>0</v>
      </c>
      <c r="EQL53" s="49">
        <v>0</v>
      </c>
      <c r="EQM53" s="49">
        <v>0</v>
      </c>
      <c r="EQN53" s="49"/>
      <c r="EQO53" s="49"/>
      <c r="EQP53" s="49">
        <v>0</v>
      </c>
      <c r="EQQ53" s="64">
        <f t="shared" si="1441"/>
        <v>0</v>
      </c>
      <c r="EQR53" s="211">
        <f t="shared" si="1442"/>
        <v>0</v>
      </c>
      <c r="EQS53" s="195">
        <v>0</v>
      </c>
      <c r="EQT53" s="49">
        <v>0</v>
      </c>
      <c r="EQU53" s="49">
        <v>0</v>
      </c>
      <c r="EQV53" s="49">
        <v>0</v>
      </c>
      <c r="EQW53" s="49"/>
      <c r="EQX53" s="49">
        <v>0</v>
      </c>
      <c r="EQY53" s="64">
        <f t="shared" si="1443"/>
        <v>0</v>
      </c>
      <c r="EQZ53" s="211">
        <f t="shared" si="1444"/>
        <v>0</v>
      </c>
      <c r="ERA53" s="195"/>
      <c r="ERB53" s="49">
        <v>0</v>
      </c>
      <c r="ERC53" s="49"/>
      <c r="ERD53" s="49"/>
      <c r="ERE53" s="49"/>
      <c r="ERF53" s="49"/>
      <c r="ERG53" s="64">
        <f t="shared" si="1445"/>
        <v>0</v>
      </c>
      <c r="ERH53" s="211">
        <f t="shared" si="1446"/>
        <v>0</v>
      </c>
      <c r="ERI53" s="195"/>
      <c r="ERJ53" s="49">
        <v>0</v>
      </c>
      <c r="ERK53" s="49"/>
      <c r="ERL53" s="49">
        <v>0</v>
      </c>
      <c r="ERM53" s="49">
        <v>0</v>
      </c>
      <c r="ERN53" s="49"/>
      <c r="ERO53" s="64">
        <f t="shared" si="1447"/>
        <v>0</v>
      </c>
      <c r="ERP53" s="211">
        <f t="shared" si="1448"/>
        <v>0</v>
      </c>
      <c r="ERQ53" s="195"/>
      <c r="ERR53" s="49">
        <v>0</v>
      </c>
      <c r="ERS53" s="49"/>
      <c r="ERT53" s="49"/>
      <c r="ERU53" s="49">
        <v>0</v>
      </c>
      <c r="ERV53" s="49">
        <v>0</v>
      </c>
      <c r="ERW53" s="64">
        <f t="shared" si="1449"/>
        <v>0</v>
      </c>
      <c r="ERX53" s="211">
        <f t="shared" si="1450"/>
        <v>0</v>
      </c>
      <c r="ERY53" s="195">
        <v>0</v>
      </c>
      <c r="ERZ53" s="49">
        <v>0</v>
      </c>
      <c r="ESA53" s="49"/>
      <c r="ESB53" s="49"/>
      <c r="ESC53" s="49">
        <v>0</v>
      </c>
      <c r="ESD53" s="49">
        <v>0</v>
      </c>
      <c r="ESE53" s="64">
        <f t="shared" si="1451"/>
        <v>0</v>
      </c>
      <c r="ESF53" s="211">
        <f t="shared" si="1452"/>
        <v>0</v>
      </c>
      <c r="ESG53" s="195">
        <v>0</v>
      </c>
      <c r="ESH53" s="49">
        <v>0</v>
      </c>
      <c r="ESI53" s="49">
        <v>0</v>
      </c>
      <c r="ESJ53" s="49"/>
      <c r="ESK53" s="49"/>
      <c r="ESL53" s="49"/>
      <c r="ESM53" s="64">
        <f t="shared" si="1453"/>
        <v>0</v>
      </c>
      <c r="ESN53" s="211">
        <f t="shared" si="1454"/>
        <v>0</v>
      </c>
      <c r="ESO53" s="458">
        <v>0</v>
      </c>
      <c r="ESP53" s="83">
        <v>0</v>
      </c>
      <c r="ESQ53" s="83">
        <v>0</v>
      </c>
      <c r="ESR53" s="83">
        <v>0</v>
      </c>
      <c r="ESS53" s="83">
        <v>0</v>
      </c>
      <c r="EST53" s="83"/>
      <c r="ESU53" s="64">
        <f t="shared" si="1455"/>
        <v>0</v>
      </c>
      <c r="ESV53" s="211">
        <f t="shared" si="1456"/>
        <v>0</v>
      </c>
      <c r="ESW53" s="195"/>
      <c r="ESX53" s="49">
        <v>0</v>
      </c>
      <c r="ESY53" s="49">
        <v>0</v>
      </c>
      <c r="ESZ53" s="49">
        <v>0</v>
      </c>
      <c r="ETA53" s="49">
        <v>0</v>
      </c>
      <c r="ETB53" s="49">
        <v>0</v>
      </c>
      <c r="ETC53" s="808">
        <f t="shared" si="1457"/>
        <v>0</v>
      </c>
      <c r="ETD53" s="211">
        <f t="shared" si="1458"/>
        <v>0</v>
      </c>
      <c r="ETE53" s="195">
        <v>0</v>
      </c>
      <c r="ETF53" s="49">
        <v>0</v>
      </c>
      <c r="ETG53" s="49">
        <v>0</v>
      </c>
      <c r="ETH53" s="49">
        <v>0</v>
      </c>
      <c r="ETI53" s="49">
        <v>0</v>
      </c>
      <c r="ETJ53" s="49"/>
      <c r="ETK53" s="808">
        <f t="shared" si="1459"/>
        <v>0</v>
      </c>
      <c r="ETL53" s="211">
        <f t="shared" si="1460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61"/>
        <v>0</v>
      </c>
      <c r="ETT53" s="211">
        <f t="shared" si="1462"/>
        <v>0</v>
      </c>
      <c r="ETU53" s="458"/>
      <c r="ETV53" s="83">
        <v>0</v>
      </c>
      <c r="ETW53" s="83">
        <v>0</v>
      </c>
      <c r="ETX53" s="83">
        <v>0</v>
      </c>
      <c r="ETY53" s="83"/>
      <c r="ETZ53" s="83"/>
      <c r="EUA53" s="808">
        <f t="shared" si="1463"/>
        <v>0</v>
      </c>
      <c r="EUB53" s="211">
        <f t="shared" si="1464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65"/>
        <v>0</v>
      </c>
      <c r="EUJ53" s="211">
        <f t="shared" si="1466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67"/>
        <v>0</v>
      </c>
      <c r="EUR53" s="211">
        <f t="shared" si="1468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69"/>
        <v>0</v>
      </c>
      <c r="EUZ53" s="211">
        <f t="shared" si="1470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71"/>
        <v>0</v>
      </c>
      <c r="EVH53" s="211">
        <f t="shared" si="1472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73"/>
        <v>0</v>
      </c>
      <c r="EVP53" s="211">
        <f t="shared" si="1474"/>
        <v>0</v>
      </c>
      <c r="EVQ53" s="195"/>
      <c r="EVR53" s="49"/>
      <c r="EVS53" s="49">
        <v>0</v>
      </c>
      <c r="EVT53" s="49"/>
      <c r="EVU53" s="49">
        <v>0</v>
      </c>
      <c r="EVV53" s="49">
        <v>0</v>
      </c>
      <c r="EVW53" s="808">
        <f t="shared" si="1475"/>
        <v>0</v>
      </c>
      <c r="EVX53" s="211">
        <f t="shared" si="1476"/>
        <v>0</v>
      </c>
      <c r="EVY53" s="195"/>
      <c r="EVZ53" s="49"/>
      <c r="EWA53" s="49"/>
      <c r="EWB53" s="49"/>
      <c r="EWC53" s="49"/>
      <c r="EWD53" s="49"/>
      <c r="EWE53" s="808">
        <f t="shared" si="1477"/>
        <v>0</v>
      </c>
      <c r="EWF53" s="211">
        <f t="shared" si="1478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79"/>
        <v>0</v>
      </c>
      <c r="EWN53" s="211">
        <f t="shared" si="1480"/>
        <v>0</v>
      </c>
      <c r="EWO53" s="195">
        <v>290</v>
      </c>
      <c r="EWP53" s="49"/>
      <c r="EWQ53" s="49"/>
      <c r="EWR53" s="49">
        <v>0</v>
      </c>
      <c r="EWS53" s="49"/>
      <c r="EWT53" s="49">
        <v>0</v>
      </c>
      <c r="EWU53" s="808">
        <f t="shared" si="1481"/>
        <v>290</v>
      </c>
      <c r="EWV53" s="211">
        <f t="shared" si="1482"/>
        <v>48.333333333333336</v>
      </c>
      <c r="EWW53" s="195"/>
      <c r="EWX53" s="49"/>
      <c r="EWY53" s="49">
        <v>0</v>
      </c>
      <c r="EWZ53" s="49"/>
      <c r="EXA53" s="49"/>
      <c r="EXB53" s="49"/>
      <c r="EXC53" s="808">
        <f t="shared" si="1483"/>
        <v>0</v>
      </c>
      <c r="EXD53" s="211">
        <f t="shared" si="1484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85"/>
        <v>0</v>
      </c>
      <c r="EXL53" s="211">
        <f t="shared" si="1486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87"/>
        <v>0</v>
      </c>
      <c r="EXT53" s="211">
        <f t="shared" si="1488"/>
        <v>0</v>
      </c>
      <c r="EXU53" s="195">
        <v>0</v>
      </c>
      <c r="EXV53" s="49"/>
      <c r="EXW53" s="49"/>
      <c r="EXX53" s="49">
        <v>0</v>
      </c>
      <c r="EXY53" s="49"/>
      <c r="EXZ53" s="49">
        <v>0</v>
      </c>
      <c r="EYA53" s="808">
        <f t="shared" si="1489"/>
        <v>0</v>
      </c>
      <c r="EYB53" s="211">
        <f t="shared" si="1490"/>
        <v>0</v>
      </c>
      <c r="EYC53" s="195">
        <v>0</v>
      </c>
      <c r="EYD53" s="49"/>
      <c r="EYE53" s="49"/>
      <c r="EYF53" s="49"/>
      <c r="EYG53" s="49">
        <v>0</v>
      </c>
      <c r="EYH53" s="49">
        <v>0</v>
      </c>
      <c r="EYI53" s="808">
        <f t="shared" si="1491"/>
        <v>0</v>
      </c>
      <c r="EYJ53" s="211">
        <f t="shared" si="1492"/>
        <v>0</v>
      </c>
      <c r="EYK53" s="195">
        <v>0</v>
      </c>
      <c r="EYL53" s="49"/>
      <c r="EYM53" s="49"/>
      <c r="EYN53" s="49">
        <v>333</v>
      </c>
      <c r="EYO53" s="49"/>
      <c r="EYP53" s="49"/>
      <c r="EYQ53" s="808">
        <f t="shared" si="1493"/>
        <v>333</v>
      </c>
      <c r="EYR53" s="211">
        <f t="shared" si="1494"/>
        <v>55.5</v>
      </c>
      <c r="EYS53" s="195">
        <v>1122</v>
      </c>
      <c r="EYT53" s="49">
        <v>0</v>
      </c>
      <c r="EYU53" s="49">
        <v>0</v>
      </c>
      <c r="EYV53" s="49"/>
      <c r="EYW53" s="49"/>
      <c r="EYX53" s="49"/>
      <c r="EYY53" s="872">
        <f t="shared" si="1495"/>
        <v>1122</v>
      </c>
      <c r="EYZ53" s="873">
        <f t="shared" si="1496"/>
        <v>187</v>
      </c>
      <c r="EZA53" s="195">
        <v>0</v>
      </c>
      <c r="EZB53" s="49">
        <v>0</v>
      </c>
      <c r="EZC53" s="49"/>
      <c r="EZD53" s="49"/>
      <c r="EZE53" s="49">
        <v>0</v>
      </c>
      <c r="EZF53" s="49">
        <v>0</v>
      </c>
      <c r="EZG53" s="872">
        <f t="shared" si="1497"/>
        <v>0</v>
      </c>
      <c r="EZH53" s="873">
        <f t="shared" si="1498"/>
        <v>0</v>
      </c>
      <c r="EZI53" s="195"/>
      <c r="EZJ53" s="49">
        <v>0</v>
      </c>
      <c r="EZK53" s="49"/>
      <c r="EZL53" s="49"/>
      <c r="EZM53" s="49"/>
      <c r="EZN53" s="49"/>
      <c r="EZO53" s="872">
        <f t="shared" si="1499"/>
        <v>0</v>
      </c>
      <c r="EZP53" s="873">
        <f t="shared" si="1500"/>
        <v>0</v>
      </c>
    </row>
    <row r="54" spans="1:4072" s="8" customFormat="1" ht="13.5" thickBot="1" x14ac:dyDescent="0.25">
      <c r="A54" s="21">
        <v>25</v>
      </c>
      <c r="B54" s="297" t="s">
        <v>336</v>
      </c>
      <c r="C54" s="730" t="s">
        <v>332</v>
      </c>
      <c r="D54" s="297">
        <v>25</v>
      </c>
      <c r="E54" s="24"/>
      <c r="F54" s="24">
        <v>2305</v>
      </c>
      <c r="G54" s="24"/>
      <c r="H54" s="24"/>
      <c r="I54" s="360"/>
      <c r="J54" s="360">
        <f>SUMIF(SUMPK!$B:$B,$B:$B,SUMPK!$O:$O)</f>
        <v>0</v>
      </c>
      <c r="K54" s="24">
        <f t="shared" si="1220"/>
        <v>0</v>
      </c>
      <c r="L54" s="24">
        <f t="shared" si="2415"/>
        <v>2305</v>
      </c>
      <c r="M54" s="15">
        <f t="shared" si="2416"/>
        <v>2305</v>
      </c>
      <c r="N54" s="15">
        <v>0</v>
      </c>
      <c r="O54" s="276">
        <f t="shared" si="1223"/>
        <v>0</v>
      </c>
      <c r="P54" s="712"/>
      <c r="Q54" s="276">
        <f t="shared" si="2418"/>
        <v>0</v>
      </c>
      <c r="R54" s="277">
        <f t="shared" si="2419"/>
        <v>0</v>
      </c>
      <c r="S54" s="222"/>
      <c r="T54" s="276">
        <f t="shared" si="2420"/>
        <v>0</v>
      </c>
      <c r="U54" s="278"/>
      <c r="V54" s="276">
        <f t="shared" si="1227"/>
        <v>0</v>
      </c>
      <c r="W54" s="279">
        <f t="shared" si="2417"/>
        <v>1</v>
      </c>
      <c r="X54" s="278"/>
      <c r="Y54" s="7"/>
      <c r="Z54" s="7"/>
      <c r="AA54" s="7"/>
      <c r="AB54" s="7"/>
      <c r="AC54" s="662">
        <v>21.5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>
        <v>376</v>
      </c>
      <c r="ELB54" s="88"/>
      <c r="ELC54" s="179"/>
      <c r="ELD54" s="386"/>
      <c r="ELE54" s="195">
        <v>440</v>
      </c>
      <c r="ELF54" s="49">
        <v>525</v>
      </c>
      <c r="ELG54" s="49">
        <v>0</v>
      </c>
      <c r="ELH54" s="49">
        <v>0</v>
      </c>
      <c r="ELI54" s="49">
        <v>0</v>
      </c>
      <c r="ELJ54" s="49">
        <v>1002</v>
      </c>
      <c r="ELK54" s="64">
        <f t="shared" si="1408"/>
        <v>1967</v>
      </c>
      <c r="ELL54" s="211">
        <f t="shared" si="1409"/>
        <v>327.83333333333331</v>
      </c>
      <c r="ELM54" s="195">
        <v>0</v>
      </c>
      <c r="ELN54" s="49"/>
      <c r="ELO54" s="49">
        <v>0</v>
      </c>
      <c r="ELP54" s="49">
        <v>0</v>
      </c>
      <c r="ELQ54" s="49">
        <v>0</v>
      </c>
      <c r="ELR54" s="49">
        <v>0</v>
      </c>
      <c r="ELS54" s="64">
        <f t="shared" si="1410"/>
        <v>0</v>
      </c>
      <c r="ELT54" s="211">
        <f t="shared" si="1411"/>
        <v>0</v>
      </c>
      <c r="ELU54" s="195"/>
      <c r="ELV54" s="49"/>
      <c r="ELW54" s="49"/>
      <c r="ELX54" s="49"/>
      <c r="ELY54" s="49"/>
      <c r="ELZ54" s="49">
        <v>0</v>
      </c>
      <c r="EMA54" s="64">
        <f t="shared" si="1412"/>
        <v>0</v>
      </c>
      <c r="EMB54" s="211">
        <f t="shared" si="1413"/>
        <v>0</v>
      </c>
      <c r="EMC54" s="195">
        <v>0</v>
      </c>
      <c r="EMD54" s="49"/>
      <c r="EME54" s="49">
        <v>421</v>
      </c>
      <c r="EMF54" s="49"/>
      <c r="EMG54" s="49"/>
      <c r="EMH54" s="49">
        <v>0</v>
      </c>
      <c r="EMI54" s="64">
        <f t="shared" si="1414"/>
        <v>421</v>
      </c>
      <c r="EMJ54" s="211">
        <f t="shared" si="1415"/>
        <v>70.166666666666671</v>
      </c>
      <c r="EMK54" s="195">
        <v>0</v>
      </c>
      <c r="EML54" s="49"/>
      <c r="EMM54" s="49">
        <v>0</v>
      </c>
      <c r="EMN54" s="49">
        <v>1201</v>
      </c>
      <c r="EMO54" s="49">
        <v>155</v>
      </c>
      <c r="EMP54" s="49">
        <v>0</v>
      </c>
      <c r="EMQ54" s="64">
        <f t="shared" si="1416"/>
        <v>1356</v>
      </c>
      <c r="EMR54" s="211">
        <f t="shared" si="1417"/>
        <v>226</v>
      </c>
      <c r="EMS54" s="195"/>
      <c r="EMT54" s="49">
        <v>0</v>
      </c>
      <c r="EMU54" s="49"/>
      <c r="EMV54" s="49">
        <v>0</v>
      </c>
      <c r="EMW54" s="49"/>
      <c r="EMX54" s="49">
        <v>115</v>
      </c>
      <c r="EMY54" s="64">
        <f t="shared" si="1418"/>
        <v>115</v>
      </c>
      <c r="EMZ54" s="211">
        <f t="shared" si="1419"/>
        <v>19.166666666666668</v>
      </c>
      <c r="ENA54" s="195">
        <v>0</v>
      </c>
      <c r="ENB54" s="49">
        <v>0</v>
      </c>
      <c r="ENC54" s="49">
        <v>0</v>
      </c>
      <c r="END54" s="49">
        <v>0</v>
      </c>
      <c r="ENE54" s="49">
        <v>0</v>
      </c>
      <c r="ENF54" s="49">
        <v>0</v>
      </c>
      <c r="ENG54" s="64">
        <f t="shared" si="1420"/>
        <v>0</v>
      </c>
      <c r="ENH54" s="211">
        <f t="shared" si="1421"/>
        <v>0</v>
      </c>
      <c r="ENI54" s="195">
        <v>0</v>
      </c>
      <c r="ENJ54" s="49"/>
      <c r="ENK54" s="49">
        <v>333</v>
      </c>
      <c r="ENL54" s="49">
        <v>0</v>
      </c>
      <c r="ENM54" s="49"/>
      <c r="ENN54" s="49">
        <v>0</v>
      </c>
      <c r="ENO54" s="64">
        <f t="shared" si="1422"/>
        <v>333</v>
      </c>
      <c r="ENP54" s="211">
        <f t="shared" si="1423"/>
        <v>55.5</v>
      </c>
      <c r="ENQ54" s="195">
        <v>0</v>
      </c>
      <c r="ENR54" s="49"/>
      <c r="ENS54" s="49"/>
      <c r="ENT54" s="49">
        <v>0</v>
      </c>
      <c r="ENU54" s="49">
        <v>0</v>
      </c>
      <c r="ENV54" s="49"/>
      <c r="ENW54" s="64">
        <f t="shared" si="1424"/>
        <v>0</v>
      </c>
      <c r="ENX54" s="211">
        <f t="shared" si="1425"/>
        <v>0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26"/>
        <v>0</v>
      </c>
      <c r="EOF54" s="211">
        <f t="shared" si="1427"/>
        <v>0</v>
      </c>
      <c r="EOG54" s="1"/>
      <c r="EOH54" s="195"/>
      <c r="EOI54" s="49">
        <v>0</v>
      </c>
      <c r="EOJ54" s="49">
        <v>262</v>
      </c>
      <c r="EOK54" s="49"/>
      <c r="EOL54" s="49"/>
      <c r="EOM54" s="49"/>
      <c r="EON54" s="184">
        <f t="shared" si="1428"/>
        <v>262</v>
      </c>
      <c r="EOO54" s="244"/>
      <c r="EOP54" s="49"/>
      <c r="EOQ54" s="49">
        <v>651</v>
      </c>
      <c r="EOR54" s="49"/>
      <c r="EOS54" s="49"/>
      <c r="EOT54" s="49"/>
      <c r="EOU54" s="64">
        <f t="shared" si="1429"/>
        <v>651</v>
      </c>
      <c r="EOV54" s="211">
        <f t="shared" si="1430"/>
        <v>108.5</v>
      </c>
      <c r="EOW54" s="195"/>
      <c r="EOX54" s="49"/>
      <c r="EOY54" s="49">
        <v>0</v>
      </c>
      <c r="EOZ54" s="49"/>
      <c r="EPA54" s="49"/>
      <c r="EPB54" s="49">
        <v>0</v>
      </c>
      <c r="EPC54" s="64">
        <f t="shared" si="1431"/>
        <v>0</v>
      </c>
      <c r="EPD54" s="211">
        <f t="shared" si="1432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33"/>
        <v>0</v>
      </c>
      <c r="EPL54" s="211">
        <f t="shared" si="1434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35"/>
        <v>0</v>
      </c>
      <c r="EPT54" s="211">
        <f t="shared" si="1436"/>
        <v>0</v>
      </c>
      <c r="EPU54" s="195"/>
      <c r="EPV54" s="49">
        <v>0</v>
      </c>
      <c r="EPW54" s="49">
        <v>810</v>
      </c>
      <c r="EPX54" s="49">
        <v>0</v>
      </c>
      <c r="EPY54" s="49"/>
      <c r="EPZ54" s="49"/>
      <c r="EQA54" s="64">
        <f t="shared" si="1437"/>
        <v>810</v>
      </c>
      <c r="EQB54" s="211">
        <f t="shared" si="1438"/>
        <v>135</v>
      </c>
      <c r="EQC54" s="195">
        <v>0</v>
      </c>
      <c r="EQD54" s="49">
        <v>0</v>
      </c>
      <c r="EQE54" s="49">
        <v>0</v>
      </c>
      <c r="EQF54" s="49"/>
      <c r="EQG54" s="49">
        <v>0</v>
      </c>
      <c r="EQH54" s="49"/>
      <c r="EQI54" s="64">
        <f t="shared" si="1439"/>
        <v>0</v>
      </c>
      <c r="EQJ54" s="211">
        <f t="shared" si="1440"/>
        <v>0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41"/>
        <v>0</v>
      </c>
      <c r="EQR54" s="211">
        <f t="shared" si="1442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43"/>
        <v>0</v>
      </c>
      <c r="EQZ54" s="211">
        <f t="shared" si="1444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45"/>
        <v>0</v>
      </c>
      <c r="ERH54" s="211">
        <f t="shared" si="1446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47"/>
        <v>0</v>
      </c>
      <c r="ERP54" s="211">
        <f t="shared" si="1448"/>
        <v>0</v>
      </c>
      <c r="ERQ54" s="195"/>
      <c r="ERR54" s="49">
        <v>0</v>
      </c>
      <c r="ERS54" s="49"/>
      <c r="ERT54" s="49"/>
      <c r="ERU54" s="49"/>
      <c r="ERV54" s="49"/>
      <c r="ERW54" s="64">
        <f t="shared" si="1449"/>
        <v>0</v>
      </c>
      <c r="ERX54" s="211">
        <f t="shared" si="1450"/>
        <v>0</v>
      </c>
      <c r="ERY54" s="195">
        <v>0</v>
      </c>
      <c r="ERZ54" s="49">
        <v>0</v>
      </c>
      <c r="ESA54" s="49"/>
      <c r="ESB54" s="49"/>
      <c r="ESC54" s="49">
        <v>0</v>
      </c>
      <c r="ESD54" s="49"/>
      <c r="ESE54" s="64">
        <f t="shared" si="1451"/>
        <v>0</v>
      </c>
      <c r="ESF54" s="211">
        <f t="shared" si="1452"/>
        <v>0</v>
      </c>
      <c r="ESG54" s="195">
        <v>0</v>
      </c>
      <c r="ESH54" s="49"/>
      <c r="ESI54" s="49"/>
      <c r="ESJ54" s="49"/>
      <c r="ESK54" s="49"/>
      <c r="ESL54" s="49"/>
      <c r="ESM54" s="64">
        <f t="shared" si="1453"/>
        <v>0</v>
      </c>
      <c r="ESN54" s="211">
        <f t="shared" si="1454"/>
        <v>0</v>
      </c>
      <c r="ESO54" s="458"/>
      <c r="ESP54" s="83"/>
      <c r="ESQ54" s="83">
        <v>0</v>
      </c>
      <c r="ESR54" s="83">
        <v>0</v>
      </c>
      <c r="ESS54" s="83">
        <v>0</v>
      </c>
      <c r="EST54" s="83"/>
      <c r="ESU54" s="64">
        <f t="shared" si="1455"/>
        <v>0</v>
      </c>
      <c r="ESV54" s="211">
        <f t="shared" si="1456"/>
        <v>0</v>
      </c>
      <c r="ESW54" s="195"/>
      <c r="ESX54" s="49">
        <v>0</v>
      </c>
      <c r="ESY54" s="49">
        <v>0</v>
      </c>
      <c r="ESZ54" s="49">
        <v>0</v>
      </c>
      <c r="ETA54" s="49"/>
      <c r="ETB54" s="49">
        <v>0</v>
      </c>
      <c r="ETC54" s="808">
        <f t="shared" si="1457"/>
        <v>0</v>
      </c>
      <c r="ETD54" s="211">
        <f t="shared" si="1458"/>
        <v>0</v>
      </c>
      <c r="ETE54" s="195">
        <v>253</v>
      </c>
      <c r="ETF54" s="49">
        <v>0</v>
      </c>
      <c r="ETG54" s="49">
        <v>0</v>
      </c>
      <c r="ETH54" s="49"/>
      <c r="ETI54" s="49"/>
      <c r="ETJ54" s="49"/>
      <c r="ETK54" s="808">
        <f t="shared" si="1459"/>
        <v>253</v>
      </c>
      <c r="ETL54" s="211">
        <f t="shared" si="1460"/>
        <v>42.166666666666664</v>
      </c>
      <c r="ETM54" s="814"/>
      <c r="ETN54" s="815"/>
      <c r="ETO54" s="815"/>
      <c r="ETP54" s="815"/>
      <c r="ETQ54" s="815"/>
      <c r="ETR54" s="815"/>
      <c r="ETS54" s="808">
        <f t="shared" si="1461"/>
        <v>0</v>
      </c>
      <c r="ETT54" s="211">
        <f t="shared" si="1462"/>
        <v>0</v>
      </c>
      <c r="ETU54" s="458"/>
      <c r="ETV54" s="83">
        <v>0</v>
      </c>
      <c r="ETW54" s="83">
        <v>0</v>
      </c>
      <c r="ETX54" s="83"/>
      <c r="ETY54" s="83"/>
      <c r="ETZ54" s="83"/>
      <c r="EUA54" s="808">
        <f t="shared" si="1463"/>
        <v>0</v>
      </c>
      <c r="EUB54" s="211">
        <f t="shared" si="1464"/>
        <v>0</v>
      </c>
      <c r="EUC54" s="458"/>
      <c r="EUD54" s="83"/>
      <c r="EUE54" s="83"/>
      <c r="EUF54" s="83"/>
      <c r="EUG54" s="83"/>
      <c r="EUH54" s="83"/>
      <c r="EUI54" s="808">
        <f t="shared" si="1465"/>
        <v>0</v>
      </c>
      <c r="EUJ54" s="211">
        <f t="shared" si="1466"/>
        <v>0</v>
      </c>
      <c r="EUK54" s="195"/>
      <c r="EUL54" s="49"/>
      <c r="EUM54" s="49"/>
      <c r="EUN54" s="49">
        <v>0</v>
      </c>
      <c r="EUO54" s="49"/>
      <c r="EUP54" s="49">
        <v>0</v>
      </c>
      <c r="EUQ54" s="808">
        <f t="shared" si="1467"/>
        <v>0</v>
      </c>
      <c r="EUR54" s="211">
        <f t="shared" si="1468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69"/>
        <v>0</v>
      </c>
      <c r="EUZ54" s="211">
        <f t="shared" si="1470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71"/>
        <v>0</v>
      </c>
      <c r="EVH54" s="211">
        <f t="shared" si="1472"/>
        <v>0</v>
      </c>
      <c r="EVI54" s="195"/>
      <c r="EVJ54" s="49"/>
      <c r="EVK54" s="49">
        <f>SUMIF(SUMPK!$B:$B,$B:$B,SUMPK!$O:$O)</f>
        <v>0</v>
      </c>
      <c r="EVL54" s="49"/>
      <c r="EVM54" s="49"/>
      <c r="EVN54" s="49"/>
      <c r="EVO54" s="808">
        <f t="shared" si="1473"/>
        <v>0</v>
      </c>
      <c r="EVP54" s="211">
        <f t="shared" si="1474"/>
        <v>0</v>
      </c>
      <c r="EVQ54" s="195"/>
      <c r="EVR54" s="49"/>
      <c r="EVS54" s="49"/>
      <c r="EVT54" s="49"/>
      <c r="EVU54" s="49"/>
      <c r="EVV54" s="49"/>
      <c r="EVW54" s="808">
        <f t="shared" si="1475"/>
        <v>0</v>
      </c>
      <c r="EVX54" s="211">
        <f t="shared" si="1476"/>
        <v>0</v>
      </c>
      <c r="EVY54" s="195"/>
      <c r="EVZ54" s="49"/>
      <c r="EWA54" s="49"/>
      <c r="EWB54" s="49"/>
      <c r="EWC54" s="49"/>
      <c r="EWD54" s="49"/>
      <c r="EWE54" s="808">
        <f t="shared" si="1477"/>
        <v>0</v>
      </c>
      <c r="EWF54" s="211">
        <f t="shared" si="1478"/>
        <v>0</v>
      </c>
      <c r="EWG54" s="195"/>
      <c r="EWH54" s="49"/>
      <c r="EWI54" s="49"/>
      <c r="EWJ54" s="49"/>
      <c r="EWK54" s="49"/>
      <c r="EWL54" s="49"/>
      <c r="EWM54" s="808">
        <f t="shared" si="1479"/>
        <v>0</v>
      </c>
      <c r="EWN54" s="211">
        <f t="shared" si="1480"/>
        <v>0</v>
      </c>
      <c r="EWO54" s="195">
        <v>0</v>
      </c>
      <c r="EWP54" s="49"/>
      <c r="EWQ54" s="49"/>
      <c r="EWR54" s="49">
        <v>0</v>
      </c>
      <c r="EWS54" s="49"/>
      <c r="EWT54" s="49"/>
      <c r="EWU54" s="808">
        <f t="shared" si="1481"/>
        <v>0</v>
      </c>
      <c r="EWV54" s="211">
        <f t="shared" si="1482"/>
        <v>0</v>
      </c>
      <c r="EWW54" s="195"/>
      <c r="EWX54" s="49"/>
      <c r="EWY54" s="49"/>
      <c r="EWZ54" s="49"/>
      <c r="EXA54" s="49"/>
      <c r="EXB54" s="49"/>
      <c r="EXC54" s="808">
        <f t="shared" si="1483"/>
        <v>0</v>
      </c>
      <c r="EXD54" s="211">
        <f t="shared" si="1484"/>
        <v>0</v>
      </c>
      <c r="EXE54" s="195"/>
      <c r="EXF54" s="49"/>
      <c r="EXG54" s="49">
        <v>0</v>
      </c>
      <c r="EXH54" s="49"/>
      <c r="EXI54" s="49">
        <v>332</v>
      </c>
      <c r="EXJ54" s="49">
        <v>0</v>
      </c>
      <c r="EXK54" s="808">
        <f t="shared" si="1485"/>
        <v>332</v>
      </c>
      <c r="EXL54" s="211">
        <f t="shared" si="1486"/>
        <v>55.333333333333336</v>
      </c>
      <c r="EXM54" s="458"/>
      <c r="EXN54" s="83">
        <v>0</v>
      </c>
      <c r="EXO54" s="83"/>
      <c r="EXP54" s="83">
        <v>628</v>
      </c>
      <c r="EXQ54" s="83"/>
      <c r="EXR54" s="83"/>
      <c r="EXS54" s="808">
        <f t="shared" si="1487"/>
        <v>628</v>
      </c>
      <c r="EXT54" s="211">
        <f t="shared" si="1488"/>
        <v>104.66666666666667</v>
      </c>
      <c r="EXU54" s="195">
        <v>627</v>
      </c>
      <c r="EXV54" s="49"/>
      <c r="EXW54" s="49"/>
      <c r="EXX54" s="49">
        <v>0</v>
      </c>
      <c r="EXY54" s="49"/>
      <c r="EXZ54" s="49">
        <v>635</v>
      </c>
      <c r="EYA54" s="808">
        <f t="shared" si="1489"/>
        <v>1262</v>
      </c>
      <c r="EYB54" s="211">
        <f t="shared" si="1490"/>
        <v>210.33333333333334</v>
      </c>
      <c r="EYC54" s="195">
        <v>0</v>
      </c>
      <c r="EYD54" s="49"/>
      <c r="EYE54" s="49"/>
      <c r="EYF54" s="49"/>
      <c r="EYG54" s="49"/>
      <c r="EYH54" s="49">
        <v>0</v>
      </c>
      <c r="EYI54" s="808">
        <f t="shared" si="1491"/>
        <v>0</v>
      </c>
      <c r="EYJ54" s="211">
        <f t="shared" si="1492"/>
        <v>0</v>
      </c>
      <c r="EYK54" s="195">
        <v>0</v>
      </c>
      <c r="EYL54" s="49"/>
      <c r="EYM54" s="49"/>
      <c r="EYN54" s="49">
        <v>0</v>
      </c>
      <c r="EYO54" s="49"/>
      <c r="EYP54" s="49"/>
      <c r="EYQ54" s="808">
        <f t="shared" si="1493"/>
        <v>0</v>
      </c>
      <c r="EYR54" s="211">
        <f t="shared" si="1494"/>
        <v>0</v>
      </c>
      <c r="EYS54" s="195">
        <v>0</v>
      </c>
      <c r="EYT54" s="49"/>
      <c r="EYU54" s="49">
        <v>0</v>
      </c>
      <c r="EYV54" s="49"/>
      <c r="EYW54" s="49"/>
      <c r="EYX54" s="49"/>
      <c r="EYY54" s="872">
        <f t="shared" si="1495"/>
        <v>0</v>
      </c>
      <c r="EYZ54" s="873">
        <f t="shared" si="1496"/>
        <v>0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497"/>
        <v>0</v>
      </c>
      <c r="EZH54" s="873">
        <f t="shared" si="1498"/>
        <v>0</v>
      </c>
      <c r="EZI54" s="195"/>
      <c r="EZJ54" s="49">
        <v>0</v>
      </c>
      <c r="EZK54" s="49"/>
      <c r="EZL54" s="49"/>
      <c r="EZM54" s="49"/>
      <c r="EZN54" s="49"/>
      <c r="EZO54" s="872">
        <f t="shared" si="1499"/>
        <v>0</v>
      </c>
      <c r="EZP54" s="873">
        <f t="shared" si="1500"/>
        <v>0</v>
      </c>
    </row>
    <row r="55" spans="1:4072" s="8" customFormat="1" ht="13.5" thickBot="1" x14ac:dyDescent="0.25">
      <c r="A55" s="21">
        <v>26</v>
      </c>
      <c r="B55" s="297" t="s">
        <v>336</v>
      </c>
      <c r="C55" s="730" t="s">
        <v>352</v>
      </c>
      <c r="D55" s="297">
        <v>25</v>
      </c>
      <c r="E55" s="24"/>
      <c r="F55" s="24">
        <v>2411</v>
      </c>
      <c r="G55" s="24"/>
      <c r="H55" s="24"/>
      <c r="I55" s="360"/>
      <c r="J55" s="360">
        <f>SUMIF(SUMPK!$B:$B,$B:$B,SUMPK!$O:$O)</f>
        <v>0</v>
      </c>
      <c r="K55" s="24">
        <f t="shared" si="1220"/>
        <v>0</v>
      </c>
      <c r="L55" s="24">
        <f t="shared" ref="L55:L59" si="2421">F55+H55-J55</f>
        <v>2411</v>
      </c>
      <c r="M55" s="15">
        <f t="shared" ref="M55:M59" si="2422">K55+L55</f>
        <v>2411</v>
      </c>
      <c r="N55" s="15">
        <v>0</v>
      </c>
      <c r="O55" s="276"/>
      <c r="P55" s="712"/>
      <c r="Q55" s="276">
        <f t="shared" si="2418"/>
        <v>0</v>
      </c>
      <c r="R55" s="277">
        <f t="shared" si="2419"/>
        <v>0</v>
      </c>
      <c r="S55" s="222"/>
      <c r="T55" s="276">
        <f t="shared" si="2420"/>
        <v>0</v>
      </c>
      <c r="U55" s="278"/>
      <c r="V55" s="276">
        <f t="shared" si="1227"/>
        <v>0</v>
      </c>
      <c r="W55" s="279">
        <f>F55/(E55+F55)</f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/>
      <c r="ELB55" s="88"/>
      <c r="ELC55" s="179"/>
      <c r="ELD55" s="386"/>
      <c r="ELE55" s="219"/>
      <c r="ELF55" s="88"/>
      <c r="ELG55" s="88"/>
      <c r="ELH55" s="88"/>
      <c r="ELI55" s="88"/>
      <c r="ELJ55" s="88"/>
      <c r="ELK55" s="179"/>
      <c r="ELL55" s="386"/>
      <c r="ELM55" s="219"/>
      <c r="ELN55" s="88"/>
      <c r="ELO55" s="88"/>
      <c r="ELP55" s="88"/>
      <c r="ELQ55" s="88"/>
      <c r="ELR55" s="88"/>
      <c r="ELS55" s="179"/>
      <c r="ELT55" s="386"/>
      <c r="ELU55" s="195"/>
      <c r="ELV55" s="49"/>
      <c r="ELW55" s="49"/>
      <c r="ELX55" s="49"/>
      <c r="ELY55" s="49"/>
      <c r="ELZ55" s="49"/>
      <c r="EMA55" s="64"/>
      <c r="EMB55" s="211"/>
      <c r="EMC55" s="195"/>
      <c r="EMD55" s="49"/>
      <c r="EME55" s="49"/>
      <c r="EMF55" s="49"/>
      <c r="EMG55" s="49"/>
      <c r="EMH55" s="49"/>
      <c r="EMI55" s="64"/>
      <c r="EMJ55" s="211"/>
      <c r="EMK55" s="195"/>
      <c r="EML55" s="49"/>
      <c r="EMM55" s="49"/>
      <c r="EMN55" s="49"/>
      <c r="EMO55" s="49"/>
      <c r="EMP55" s="49"/>
      <c r="EMQ55" s="64"/>
      <c r="EMR55" s="211"/>
      <c r="EMS55" s="195"/>
      <c r="EMT55" s="49"/>
      <c r="EMU55" s="49"/>
      <c r="EMV55" s="49"/>
      <c r="EMW55" s="49"/>
      <c r="EMX55" s="49"/>
      <c r="EMY55" s="64"/>
      <c r="EMZ55" s="211"/>
      <c r="ENA55" s="195"/>
      <c r="ENB55" s="49"/>
      <c r="ENC55" s="49"/>
      <c r="END55" s="49"/>
      <c r="ENE55" s="49"/>
      <c r="ENF55" s="49"/>
      <c r="ENG55" s="64"/>
      <c r="ENH55" s="211"/>
      <c r="ENI55" s="195"/>
      <c r="ENJ55" s="49"/>
      <c r="ENK55" s="49"/>
      <c r="ENL55" s="49"/>
      <c r="ENM55" s="49"/>
      <c r="ENN55" s="49"/>
      <c r="ENO55" s="64"/>
      <c r="ENP55" s="211"/>
      <c r="ENQ55" s="195"/>
      <c r="ENR55" s="49"/>
      <c r="ENS55" s="49"/>
      <c r="ENT55" s="49"/>
      <c r="ENU55" s="49"/>
      <c r="ENV55" s="49"/>
      <c r="ENW55" s="64"/>
      <c r="ENX55" s="211"/>
      <c r="ENY55" s="195"/>
      <c r="ENZ55" s="49"/>
      <c r="EOA55" s="49"/>
      <c r="EOB55" s="49"/>
      <c r="EOC55" s="49"/>
      <c r="EOD55" s="49"/>
      <c r="EOE55" s="64"/>
      <c r="EOF55" s="211"/>
      <c r="EOG55" s="1"/>
      <c r="EOH55" s="195"/>
      <c r="EOI55" s="49"/>
      <c r="EOJ55" s="49"/>
      <c r="EOK55" s="49"/>
      <c r="EOL55" s="49"/>
      <c r="EOM55" s="49"/>
      <c r="EON55" s="184"/>
      <c r="EOO55" s="244"/>
      <c r="EOP55" s="49"/>
      <c r="EOQ55" s="49"/>
      <c r="EOR55" s="49"/>
      <c r="EOS55" s="49"/>
      <c r="EOT55" s="49"/>
      <c r="EOU55" s="64"/>
      <c r="EOV55" s="211"/>
      <c r="EOW55" s="195"/>
      <c r="EOX55" s="49"/>
      <c r="EOY55" s="49"/>
      <c r="EOZ55" s="49"/>
      <c r="EPA55" s="49"/>
      <c r="EPB55" s="49"/>
      <c r="EPC55" s="64"/>
      <c r="EPD55" s="211"/>
      <c r="EPE55" s="195"/>
      <c r="EPF55" s="49"/>
      <c r="EPG55" s="49"/>
      <c r="EPH55" s="49"/>
      <c r="EPI55" s="49"/>
      <c r="EPJ55" s="49"/>
      <c r="EPK55" s="64"/>
      <c r="EPL55" s="211"/>
      <c r="EPM55" s="195"/>
      <c r="EPN55" s="49"/>
      <c r="EPO55" s="49"/>
      <c r="EPP55" s="49"/>
      <c r="EPQ55" s="49"/>
      <c r="EPR55" s="49"/>
      <c r="EPS55" s="64"/>
      <c r="EPT55" s="211"/>
      <c r="EPU55" s="195"/>
      <c r="EPV55" s="49"/>
      <c r="EPW55" s="49"/>
      <c r="EPX55" s="49"/>
      <c r="EPY55" s="49"/>
      <c r="EPZ55" s="49"/>
      <c r="EQA55" s="64"/>
      <c r="EQB55" s="211"/>
      <c r="EQC55" s="195"/>
      <c r="EQD55" s="49"/>
      <c r="EQE55" s="49"/>
      <c r="EQF55" s="49"/>
      <c r="EQG55" s="49"/>
      <c r="EQH55" s="49"/>
      <c r="EQI55" s="64">
        <f t="shared" si="1439"/>
        <v>0</v>
      </c>
      <c r="EQJ55" s="211">
        <f t="shared" si="1440"/>
        <v>0</v>
      </c>
      <c r="EQK55" s="195"/>
      <c r="EQL55" s="49"/>
      <c r="EQM55" s="49"/>
      <c r="EQN55" s="49"/>
      <c r="EQO55" s="49"/>
      <c r="EQP55" s="49"/>
      <c r="EQQ55" s="64">
        <f t="shared" si="1441"/>
        <v>0</v>
      </c>
      <c r="EQR55" s="211">
        <f t="shared" si="1442"/>
        <v>0</v>
      </c>
      <c r="EQS55" s="195"/>
      <c r="EQT55" s="49"/>
      <c r="EQU55" s="49">
        <v>0</v>
      </c>
      <c r="EQV55" s="49">
        <v>0</v>
      </c>
      <c r="EQW55" s="49"/>
      <c r="EQX55" s="49">
        <v>0</v>
      </c>
      <c r="EQY55" s="64">
        <f t="shared" si="1443"/>
        <v>0</v>
      </c>
      <c r="EQZ55" s="211">
        <f t="shared" si="1444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45"/>
        <v>0</v>
      </c>
      <c r="ERH55" s="211">
        <f t="shared" si="1446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47"/>
        <v>0</v>
      </c>
      <c r="ERP55" s="211">
        <f t="shared" si="1448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49"/>
        <v>0</v>
      </c>
      <c r="ERX55" s="211">
        <f t="shared" si="1450"/>
        <v>0</v>
      </c>
      <c r="ERY55" s="195"/>
      <c r="ERZ55" s="49">
        <v>0</v>
      </c>
      <c r="ESA55" s="49"/>
      <c r="ESB55" s="49"/>
      <c r="ESC55" s="49">
        <v>0</v>
      </c>
      <c r="ESD55" s="49"/>
      <c r="ESE55" s="64">
        <f t="shared" si="1451"/>
        <v>0</v>
      </c>
      <c r="ESF55" s="211">
        <f t="shared" si="1452"/>
        <v>0</v>
      </c>
      <c r="ESG55" s="195">
        <v>0</v>
      </c>
      <c r="ESH55" s="49">
        <v>600</v>
      </c>
      <c r="ESI55" s="49">
        <v>0</v>
      </c>
      <c r="ESJ55" s="49"/>
      <c r="ESK55" s="49"/>
      <c r="ESL55" s="49"/>
      <c r="ESM55" s="64">
        <f t="shared" si="1453"/>
        <v>600</v>
      </c>
      <c r="ESN55" s="211">
        <f t="shared" si="1454"/>
        <v>100</v>
      </c>
      <c r="ESO55" s="458">
        <v>0</v>
      </c>
      <c r="ESP55" s="83">
        <v>622</v>
      </c>
      <c r="ESQ55" s="83">
        <v>0</v>
      </c>
      <c r="ESR55" s="83">
        <v>0</v>
      </c>
      <c r="ESS55" s="83">
        <v>0</v>
      </c>
      <c r="EST55" s="83"/>
      <c r="ESU55" s="64">
        <f t="shared" si="1455"/>
        <v>622</v>
      </c>
      <c r="ESV55" s="211">
        <f t="shared" si="1456"/>
        <v>103.66666666666667</v>
      </c>
      <c r="ESW55" s="195"/>
      <c r="ESX55" s="49">
        <v>0</v>
      </c>
      <c r="ESY55" s="49">
        <v>0</v>
      </c>
      <c r="ESZ55" s="49">
        <v>0</v>
      </c>
      <c r="ETA55" s="49"/>
      <c r="ETB55" s="49"/>
      <c r="ETC55" s="808">
        <f t="shared" si="1457"/>
        <v>0</v>
      </c>
      <c r="ETD55" s="211">
        <f t="shared" si="1458"/>
        <v>0</v>
      </c>
      <c r="ETE55" s="195">
        <v>253</v>
      </c>
      <c r="ETF55" s="49">
        <v>0</v>
      </c>
      <c r="ETG55" s="49">
        <v>0</v>
      </c>
      <c r="ETH55" s="49">
        <v>602</v>
      </c>
      <c r="ETI55" s="49"/>
      <c r="ETJ55" s="49"/>
      <c r="ETK55" s="808">
        <f t="shared" si="1459"/>
        <v>855</v>
      </c>
      <c r="ETL55" s="211">
        <f t="shared" si="1460"/>
        <v>142.5</v>
      </c>
      <c r="ETM55" s="814"/>
      <c r="ETN55" s="815"/>
      <c r="ETO55" s="815">
        <v>590</v>
      </c>
      <c r="ETP55" s="815">
        <v>0</v>
      </c>
      <c r="ETQ55" s="815"/>
      <c r="ETR55" s="815">
        <v>0</v>
      </c>
      <c r="ETS55" s="808">
        <f t="shared" si="1461"/>
        <v>590</v>
      </c>
      <c r="ETT55" s="211">
        <f t="shared" si="1462"/>
        <v>98.333333333333329</v>
      </c>
      <c r="ETU55" s="458"/>
      <c r="ETV55" s="83"/>
      <c r="ETW55" s="83">
        <v>0</v>
      </c>
      <c r="ETX55" s="83">
        <v>604</v>
      </c>
      <c r="ETY55" s="83"/>
      <c r="ETZ55" s="83"/>
      <c r="EUA55" s="808">
        <f t="shared" si="1463"/>
        <v>604</v>
      </c>
      <c r="EUB55" s="211">
        <f t="shared" si="1464"/>
        <v>100.66666666666667</v>
      </c>
      <c r="EUC55" s="458"/>
      <c r="EUD55" s="83"/>
      <c r="EUE55" s="83"/>
      <c r="EUF55" s="83">
        <v>0</v>
      </c>
      <c r="EUG55" s="83"/>
      <c r="EUH55" s="83"/>
      <c r="EUI55" s="808">
        <f t="shared" si="1465"/>
        <v>0</v>
      </c>
      <c r="EUJ55" s="211">
        <f t="shared" si="1466"/>
        <v>0</v>
      </c>
      <c r="EUK55" s="195"/>
      <c r="EUL55" s="49"/>
      <c r="EUM55" s="49"/>
      <c r="EUN55" s="49">
        <v>0</v>
      </c>
      <c r="EUO55" s="49">
        <v>269</v>
      </c>
      <c r="EUP55" s="49">
        <v>0</v>
      </c>
      <c r="EUQ55" s="808">
        <f t="shared" si="1467"/>
        <v>269</v>
      </c>
      <c r="EUR55" s="211">
        <f t="shared" si="1468"/>
        <v>44.833333333333336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69"/>
        <v>0</v>
      </c>
      <c r="EUZ55" s="211">
        <f t="shared" si="1470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71"/>
        <v>0</v>
      </c>
      <c r="EVH55" s="211">
        <f t="shared" si="1472"/>
        <v>0</v>
      </c>
      <c r="EVI55" s="195"/>
      <c r="EVJ55" s="49"/>
      <c r="EVK55" s="49">
        <f>SUMIF(SUMPK!$B:$B,$B:$B,SUMPK!$O:$O)</f>
        <v>0</v>
      </c>
      <c r="EVL55" s="49"/>
      <c r="EVM55" s="49"/>
      <c r="EVN55" s="49">
        <v>0</v>
      </c>
      <c r="EVO55" s="808">
        <f t="shared" si="1473"/>
        <v>0</v>
      </c>
      <c r="EVP55" s="211">
        <f t="shared" si="1474"/>
        <v>0</v>
      </c>
      <c r="EVQ55" s="195"/>
      <c r="EVR55" s="49"/>
      <c r="EVS55" s="49"/>
      <c r="EVT55" s="49"/>
      <c r="EVU55" s="49"/>
      <c r="EVV55" s="49">
        <v>0</v>
      </c>
      <c r="EVW55" s="808">
        <f t="shared" si="1475"/>
        <v>0</v>
      </c>
      <c r="EVX55" s="211">
        <f t="shared" si="1476"/>
        <v>0</v>
      </c>
      <c r="EVY55" s="195"/>
      <c r="EVZ55" s="49"/>
      <c r="EWA55" s="49"/>
      <c r="EWB55" s="49"/>
      <c r="EWC55" s="49"/>
      <c r="EWD55" s="49"/>
      <c r="EWE55" s="808">
        <f t="shared" si="1477"/>
        <v>0</v>
      </c>
      <c r="EWF55" s="211">
        <f t="shared" si="1478"/>
        <v>0</v>
      </c>
      <c r="EWG55" s="195"/>
      <c r="EWH55" s="49"/>
      <c r="EWI55" s="49"/>
      <c r="EWJ55" s="49">
        <v>0</v>
      </c>
      <c r="EWK55" s="49"/>
      <c r="EWL55" s="49"/>
      <c r="EWM55" s="808">
        <f t="shared" si="1479"/>
        <v>0</v>
      </c>
      <c r="EWN55" s="211">
        <f t="shared" si="1480"/>
        <v>0</v>
      </c>
      <c r="EWO55" s="195"/>
      <c r="EWP55" s="49"/>
      <c r="EWQ55" s="49"/>
      <c r="EWR55" s="49">
        <v>0</v>
      </c>
      <c r="EWS55" s="49"/>
      <c r="EWT55" s="49"/>
      <c r="EWU55" s="808">
        <f t="shared" si="1481"/>
        <v>0</v>
      </c>
      <c r="EWV55" s="211">
        <f t="shared" si="1482"/>
        <v>0</v>
      </c>
      <c r="EWW55" s="195"/>
      <c r="EWX55" s="49"/>
      <c r="EWY55" s="49">
        <v>0</v>
      </c>
      <c r="EWZ55" s="49"/>
      <c r="EXA55" s="49"/>
      <c r="EXB55" s="49"/>
      <c r="EXC55" s="808">
        <f t="shared" si="1483"/>
        <v>0</v>
      </c>
      <c r="EXD55" s="211">
        <f t="shared" si="1484"/>
        <v>0</v>
      </c>
      <c r="EXE55" s="195"/>
      <c r="EXF55" s="49"/>
      <c r="EXG55" s="49">
        <v>0</v>
      </c>
      <c r="EXH55" s="49"/>
      <c r="EXI55" s="49"/>
      <c r="EXJ55" s="49"/>
      <c r="EXK55" s="808">
        <f t="shared" si="1485"/>
        <v>0</v>
      </c>
      <c r="EXL55" s="211">
        <f t="shared" si="1486"/>
        <v>0</v>
      </c>
      <c r="EXM55" s="458"/>
      <c r="EXN55" s="83"/>
      <c r="EXO55" s="83"/>
      <c r="EXP55" s="83"/>
      <c r="EXQ55" s="83"/>
      <c r="EXR55" s="83"/>
      <c r="EXS55" s="808">
        <f t="shared" si="1487"/>
        <v>0</v>
      </c>
      <c r="EXT55" s="211">
        <f t="shared" si="1488"/>
        <v>0</v>
      </c>
      <c r="EXU55" s="195"/>
      <c r="EXV55" s="49"/>
      <c r="EXW55" s="49"/>
      <c r="EXX55" s="49"/>
      <c r="EXY55" s="49"/>
      <c r="EXZ55" s="49"/>
      <c r="EYA55" s="808">
        <f t="shared" si="1489"/>
        <v>0</v>
      </c>
      <c r="EYB55" s="211">
        <f t="shared" si="1490"/>
        <v>0</v>
      </c>
      <c r="EYC55" s="195"/>
      <c r="EYD55" s="49"/>
      <c r="EYE55" s="49"/>
      <c r="EYF55" s="49"/>
      <c r="EYG55" s="49"/>
      <c r="EYH55" s="49"/>
      <c r="EYI55" s="808">
        <f t="shared" si="1491"/>
        <v>0</v>
      </c>
      <c r="EYJ55" s="211">
        <f t="shared" si="1492"/>
        <v>0</v>
      </c>
      <c r="EYK55" s="195"/>
      <c r="EYL55" s="49"/>
      <c r="EYM55" s="49"/>
      <c r="EYN55" s="49"/>
      <c r="EYO55" s="49"/>
      <c r="EYP55" s="49"/>
      <c r="EYQ55" s="808">
        <f t="shared" si="1493"/>
        <v>0</v>
      </c>
      <c r="EYR55" s="211">
        <f t="shared" si="1494"/>
        <v>0</v>
      </c>
      <c r="EYS55" s="195"/>
      <c r="EYT55" s="49"/>
      <c r="EYU55" s="49">
        <v>0</v>
      </c>
      <c r="EYV55" s="49"/>
      <c r="EYW55" s="49"/>
      <c r="EYX55" s="49"/>
      <c r="EYY55" s="872">
        <f t="shared" si="1495"/>
        <v>0</v>
      </c>
      <c r="EYZ55" s="873">
        <f t="shared" si="1496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497"/>
        <v>0</v>
      </c>
      <c r="EZH55" s="873">
        <f t="shared" si="1498"/>
        <v>0</v>
      </c>
      <c r="EZI55" s="195"/>
      <c r="EZJ55" s="49">
        <v>0</v>
      </c>
      <c r="EZK55" s="49"/>
      <c r="EZL55" s="49"/>
      <c r="EZM55" s="49"/>
      <c r="EZN55" s="49"/>
      <c r="EZO55" s="872">
        <f t="shared" si="1499"/>
        <v>0</v>
      </c>
      <c r="EZP55" s="873">
        <f t="shared" si="1500"/>
        <v>0</v>
      </c>
    </row>
    <row r="56" spans="1:4072" s="8" customFormat="1" ht="13.5" thickBot="1" x14ac:dyDescent="0.25">
      <c r="A56" s="21">
        <v>27</v>
      </c>
      <c r="B56" s="297" t="s">
        <v>338</v>
      </c>
      <c r="C56" s="730" t="s">
        <v>339</v>
      </c>
      <c r="D56" s="297">
        <v>25</v>
      </c>
      <c r="E56" s="24"/>
      <c r="F56" s="24">
        <v>4637</v>
      </c>
      <c r="G56" s="24"/>
      <c r="H56" s="24"/>
      <c r="I56" s="360"/>
      <c r="J56" s="360">
        <f>SUMIF(SUMPK!$B:$B,$B:$B,SUMPK!$O:$O)</f>
        <v>637</v>
      </c>
      <c r="K56" s="24">
        <f t="shared" si="1220"/>
        <v>0</v>
      </c>
      <c r="L56" s="24">
        <f t="shared" si="2421"/>
        <v>4000</v>
      </c>
      <c r="M56" s="15">
        <f t="shared" si="2422"/>
        <v>4000</v>
      </c>
      <c r="N56" s="15">
        <v>0</v>
      </c>
      <c r="O56" s="276"/>
      <c r="P56" s="712"/>
      <c r="Q56" s="276">
        <f t="shared" si="2418"/>
        <v>0</v>
      </c>
      <c r="R56" s="277">
        <f t="shared" si="2419"/>
        <v>0</v>
      </c>
      <c r="S56" s="222"/>
      <c r="T56" s="276">
        <f t="shared" si="2420"/>
        <v>0</v>
      </c>
      <c r="U56" s="278"/>
      <c r="V56" s="276">
        <f t="shared" si="1227"/>
        <v>0</v>
      </c>
      <c r="W56" s="279">
        <f t="shared" si="2417"/>
        <v>1</v>
      </c>
      <c r="X56" s="278"/>
      <c r="Y56" s="7"/>
      <c r="Z56" s="7"/>
      <c r="AA56" s="7"/>
      <c r="AB56" s="7"/>
      <c r="AC56" s="662">
        <v>21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>
        <v>0</v>
      </c>
      <c r="ELN56" s="88"/>
      <c r="ELO56" s="88">
        <v>0</v>
      </c>
      <c r="ELP56" s="88"/>
      <c r="ELQ56" s="88"/>
      <c r="ELR56" s="88">
        <v>0</v>
      </c>
      <c r="ELS56" s="179"/>
      <c r="ELT56" s="386"/>
      <c r="ELU56" s="195"/>
      <c r="ELV56" s="49"/>
      <c r="ELW56" s="49"/>
      <c r="ELX56" s="49"/>
      <c r="ELY56" s="49"/>
      <c r="ELZ56" s="49">
        <v>0</v>
      </c>
      <c r="EMA56" s="64">
        <f t="shared" si="1412"/>
        <v>0</v>
      </c>
      <c r="EMB56" s="211">
        <f t="shared" si="1413"/>
        <v>0</v>
      </c>
      <c r="EMC56" s="195">
        <v>0</v>
      </c>
      <c r="EMD56" s="49"/>
      <c r="EME56" s="49">
        <v>0</v>
      </c>
      <c r="EMF56" s="49"/>
      <c r="EMG56" s="49"/>
      <c r="EMH56" s="49">
        <v>0</v>
      </c>
      <c r="EMI56" s="64">
        <f t="shared" si="1414"/>
        <v>0</v>
      </c>
      <c r="EMJ56" s="211">
        <f t="shared" si="1415"/>
        <v>0</v>
      </c>
      <c r="EMK56" s="195"/>
      <c r="EML56" s="49"/>
      <c r="EMM56" s="49">
        <v>0</v>
      </c>
      <c r="EMN56" s="49">
        <v>0</v>
      </c>
      <c r="EMO56" s="49">
        <v>0</v>
      </c>
      <c r="EMP56" s="49">
        <v>0</v>
      </c>
      <c r="EMQ56" s="64">
        <f t="shared" si="1416"/>
        <v>0</v>
      </c>
      <c r="EMR56" s="211">
        <f t="shared" si="1417"/>
        <v>0</v>
      </c>
      <c r="EMS56" s="195"/>
      <c r="EMT56" s="49">
        <v>0</v>
      </c>
      <c r="EMU56" s="49"/>
      <c r="EMV56" s="49">
        <v>0</v>
      </c>
      <c r="EMW56" s="49"/>
      <c r="EMX56" s="49">
        <v>0</v>
      </c>
      <c r="EMY56" s="64">
        <f t="shared" si="1418"/>
        <v>0</v>
      </c>
      <c r="EMZ56" s="211">
        <f t="shared" si="1419"/>
        <v>0</v>
      </c>
      <c r="ENA56" s="195">
        <v>0</v>
      </c>
      <c r="ENB56" s="49">
        <v>0</v>
      </c>
      <c r="ENC56" s="49">
        <v>0</v>
      </c>
      <c r="END56" s="49"/>
      <c r="ENE56" s="49">
        <v>0</v>
      </c>
      <c r="ENF56" s="49">
        <v>0</v>
      </c>
      <c r="ENG56" s="64">
        <f t="shared" si="1420"/>
        <v>0</v>
      </c>
      <c r="ENH56" s="211">
        <f t="shared" si="1421"/>
        <v>0</v>
      </c>
      <c r="ENI56" s="195">
        <v>0</v>
      </c>
      <c r="ENJ56" s="49"/>
      <c r="ENK56" s="49">
        <v>0</v>
      </c>
      <c r="ENL56" s="49">
        <v>0</v>
      </c>
      <c r="ENM56" s="49"/>
      <c r="ENN56" s="49">
        <v>0</v>
      </c>
      <c r="ENO56" s="64">
        <f t="shared" si="1422"/>
        <v>0</v>
      </c>
      <c r="ENP56" s="211">
        <f t="shared" si="1423"/>
        <v>0</v>
      </c>
      <c r="ENQ56" s="195">
        <v>0</v>
      </c>
      <c r="ENR56" s="49"/>
      <c r="ENS56" s="49"/>
      <c r="ENT56" s="49">
        <v>0</v>
      </c>
      <c r="ENU56" s="49">
        <v>0</v>
      </c>
      <c r="ENV56" s="49"/>
      <c r="ENW56" s="64">
        <f t="shared" si="1424"/>
        <v>0</v>
      </c>
      <c r="ENX56" s="211">
        <f t="shared" si="1425"/>
        <v>0</v>
      </c>
      <c r="ENY56" s="195">
        <v>0</v>
      </c>
      <c r="ENZ56" s="49"/>
      <c r="EOA56" s="49">
        <v>2000</v>
      </c>
      <c r="EOB56" s="49"/>
      <c r="EOC56" s="49">
        <v>0</v>
      </c>
      <c r="EOD56" s="49">
        <v>0</v>
      </c>
      <c r="EOE56" s="64">
        <f t="shared" si="1426"/>
        <v>2000</v>
      </c>
      <c r="EOF56" s="211">
        <f t="shared" si="1427"/>
        <v>333.33333333333331</v>
      </c>
      <c r="EOG56" s="1"/>
      <c r="EOH56" s="195"/>
      <c r="EOI56" s="49">
        <v>0</v>
      </c>
      <c r="EOJ56" s="49">
        <v>0</v>
      </c>
      <c r="EOK56" s="49"/>
      <c r="EOL56" s="49"/>
      <c r="EOM56" s="49"/>
      <c r="EON56" s="184">
        <f t="shared" si="1428"/>
        <v>0</v>
      </c>
      <c r="EOO56" s="244"/>
      <c r="EOP56" s="49"/>
      <c r="EOQ56" s="49">
        <v>0</v>
      </c>
      <c r="EOR56" s="49"/>
      <c r="EOS56" s="49"/>
      <c r="EOT56" s="49"/>
      <c r="EOU56" s="64">
        <f t="shared" si="1429"/>
        <v>0</v>
      </c>
      <c r="EOV56" s="211">
        <f t="shared" si="1430"/>
        <v>0</v>
      </c>
      <c r="EOW56" s="195"/>
      <c r="EOX56" s="49"/>
      <c r="EOY56" s="49">
        <v>227</v>
      </c>
      <c r="EOZ56" s="49"/>
      <c r="EPA56" s="49"/>
      <c r="EPB56" s="49">
        <v>0</v>
      </c>
      <c r="EPC56" s="64">
        <f t="shared" si="1431"/>
        <v>227</v>
      </c>
      <c r="EPD56" s="211">
        <f t="shared" si="1432"/>
        <v>37.833333333333336</v>
      </c>
      <c r="EPE56" s="195">
        <v>0</v>
      </c>
      <c r="EPF56" s="49">
        <v>348</v>
      </c>
      <c r="EPG56" s="49"/>
      <c r="EPH56" s="49">
        <v>0</v>
      </c>
      <c r="EPI56" s="49"/>
      <c r="EPJ56" s="49">
        <v>0</v>
      </c>
      <c r="EPK56" s="64">
        <f t="shared" si="1433"/>
        <v>348</v>
      </c>
      <c r="EPL56" s="211">
        <f t="shared" si="1434"/>
        <v>58</v>
      </c>
      <c r="EPM56" s="195">
        <v>861</v>
      </c>
      <c r="EPN56" s="49"/>
      <c r="EPO56" s="49">
        <v>0</v>
      </c>
      <c r="EPP56" s="49">
        <v>0</v>
      </c>
      <c r="EPQ56" s="49">
        <v>0</v>
      </c>
      <c r="EPR56" s="49"/>
      <c r="EPS56" s="64">
        <f t="shared" si="1435"/>
        <v>861</v>
      </c>
      <c r="EPT56" s="211">
        <f t="shared" si="1436"/>
        <v>143.5</v>
      </c>
      <c r="EPU56" s="195"/>
      <c r="EPV56" s="49">
        <v>0</v>
      </c>
      <c r="EPW56" s="49">
        <v>613</v>
      </c>
      <c r="EPX56" s="49">
        <v>0</v>
      </c>
      <c r="EPY56" s="49"/>
      <c r="EPZ56" s="49"/>
      <c r="EQA56" s="64">
        <f t="shared" si="1437"/>
        <v>613</v>
      </c>
      <c r="EQB56" s="211">
        <f t="shared" si="1438"/>
        <v>102.16666666666667</v>
      </c>
      <c r="EQC56" s="195">
        <v>918</v>
      </c>
      <c r="EQD56" s="49">
        <v>0</v>
      </c>
      <c r="EQE56" s="49">
        <v>0</v>
      </c>
      <c r="EQF56" s="49"/>
      <c r="EQG56" s="49">
        <v>0</v>
      </c>
      <c r="EQH56" s="49"/>
      <c r="EQI56" s="64">
        <f t="shared" si="1439"/>
        <v>918</v>
      </c>
      <c r="EQJ56" s="211">
        <f t="shared" si="1440"/>
        <v>153</v>
      </c>
      <c r="EQK56" s="195"/>
      <c r="EQL56" s="49">
        <v>214</v>
      </c>
      <c r="EQM56" s="49">
        <v>0</v>
      </c>
      <c r="EQN56" s="49"/>
      <c r="EQO56" s="49"/>
      <c r="EQP56" s="49">
        <v>0</v>
      </c>
      <c r="EQQ56" s="64">
        <f t="shared" si="1441"/>
        <v>214</v>
      </c>
      <c r="EQR56" s="211">
        <f t="shared" si="1442"/>
        <v>35.666666666666664</v>
      </c>
      <c r="EQS56" s="195">
        <v>319</v>
      </c>
      <c r="EQT56" s="49">
        <v>925</v>
      </c>
      <c r="EQU56" s="49">
        <v>0</v>
      </c>
      <c r="EQV56" s="49"/>
      <c r="EQW56" s="49"/>
      <c r="EQX56" s="49">
        <v>0</v>
      </c>
      <c r="EQY56" s="64">
        <f t="shared" si="1443"/>
        <v>1244</v>
      </c>
      <c r="EQZ56" s="211">
        <f t="shared" si="1444"/>
        <v>207.33333333333334</v>
      </c>
      <c r="ERA56" s="195"/>
      <c r="ERB56" s="49">
        <v>1597</v>
      </c>
      <c r="ERC56" s="49"/>
      <c r="ERD56" s="49"/>
      <c r="ERE56" s="49"/>
      <c r="ERF56" s="49"/>
      <c r="ERG56" s="64">
        <f t="shared" si="1445"/>
        <v>1597</v>
      </c>
      <c r="ERH56" s="211">
        <f t="shared" si="1446"/>
        <v>266.16666666666669</v>
      </c>
      <c r="ERI56" s="195"/>
      <c r="ERJ56" s="49">
        <v>1565</v>
      </c>
      <c r="ERK56" s="49"/>
      <c r="ERL56" s="49"/>
      <c r="ERM56" s="49">
        <v>668</v>
      </c>
      <c r="ERN56" s="49"/>
      <c r="ERO56" s="64">
        <f t="shared" si="1447"/>
        <v>2233</v>
      </c>
      <c r="ERP56" s="211">
        <f t="shared" si="1448"/>
        <v>372.16666666666669</v>
      </c>
      <c r="ERQ56" s="195">
        <v>700</v>
      </c>
      <c r="ERR56" s="49">
        <v>640</v>
      </c>
      <c r="ERS56" s="49"/>
      <c r="ERT56" s="49"/>
      <c r="ERU56" s="49"/>
      <c r="ERV56" s="49"/>
      <c r="ERW56" s="64">
        <f t="shared" si="1449"/>
        <v>1340</v>
      </c>
      <c r="ERX56" s="211">
        <f t="shared" si="1450"/>
        <v>223.33333333333334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51"/>
        <v>0</v>
      </c>
      <c r="ESF56" s="211">
        <f t="shared" si="1452"/>
        <v>0</v>
      </c>
      <c r="ESG56" s="195">
        <v>0</v>
      </c>
      <c r="ESH56" s="49">
        <v>0</v>
      </c>
      <c r="ESI56" s="49">
        <v>981</v>
      </c>
      <c r="ESJ56" s="49"/>
      <c r="ESK56" s="49"/>
      <c r="ESL56" s="49"/>
      <c r="ESM56" s="64">
        <f t="shared" si="1453"/>
        <v>981</v>
      </c>
      <c r="ESN56" s="211">
        <f t="shared" si="1454"/>
        <v>163.5</v>
      </c>
      <c r="ESO56" s="458">
        <v>0</v>
      </c>
      <c r="ESP56" s="83">
        <v>0</v>
      </c>
      <c r="ESQ56" s="83">
        <v>1334</v>
      </c>
      <c r="ESR56" s="83">
        <v>0</v>
      </c>
      <c r="ESS56" s="83">
        <v>0</v>
      </c>
      <c r="EST56" s="83"/>
      <c r="ESU56" s="64">
        <f t="shared" si="1455"/>
        <v>1334</v>
      </c>
      <c r="ESV56" s="211">
        <f t="shared" si="1456"/>
        <v>222.33333333333334</v>
      </c>
      <c r="ESW56" s="195"/>
      <c r="ESX56" s="49">
        <v>616</v>
      </c>
      <c r="ESY56" s="49">
        <v>434</v>
      </c>
      <c r="ESZ56" s="49">
        <v>15</v>
      </c>
      <c r="ETA56" s="49"/>
      <c r="ETB56" s="49"/>
      <c r="ETC56" s="808">
        <f t="shared" si="1457"/>
        <v>1065</v>
      </c>
      <c r="ETD56" s="211">
        <f t="shared" si="1458"/>
        <v>177.5</v>
      </c>
      <c r="ETE56" s="195">
        <v>0</v>
      </c>
      <c r="ETF56" s="49">
        <v>0</v>
      </c>
      <c r="ETG56" s="49">
        <v>1226</v>
      </c>
      <c r="ETH56" s="49">
        <v>0</v>
      </c>
      <c r="ETI56" s="49"/>
      <c r="ETJ56" s="49"/>
      <c r="ETK56" s="808">
        <f t="shared" si="1459"/>
        <v>1226</v>
      </c>
      <c r="ETL56" s="211">
        <f t="shared" si="1460"/>
        <v>204.33333333333334</v>
      </c>
      <c r="ETM56" s="814"/>
      <c r="ETN56" s="815"/>
      <c r="ETO56" s="815">
        <v>0</v>
      </c>
      <c r="ETP56" s="815">
        <v>1250</v>
      </c>
      <c r="ETQ56" s="815"/>
      <c r="ETR56" s="815">
        <v>0</v>
      </c>
      <c r="ETS56" s="808">
        <f t="shared" si="1461"/>
        <v>1250</v>
      </c>
      <c r="ETT56" s="211">
        <f t="shared" si="1462"/>
        <v>208.33333333333334</v>
      </c>
      <c r="ETU56" s="458"/>
      <c r="ETV56" s="83"/>
      <c r="ETW56" s="83">
        <v>440</v>
      </c>
      <c r="ETX56" s="83">
        <v>0</v>
      </c>
      <c r="ETY56" s="83"/>
      <c r="ETZ56" s="83"/>
      <c r="EUA56" s="808">
        <f t="shared" si="1463"/>
        <v>440</v>
      </c>
      <c r="EUB56" s="211">
        <f t="shared" si="1464"/>
        <v>73.333333333333329</v>
      </c>
      <c r="EUC56" s="458"/>
      <c r="EUD56" s="83"/>
      <c r="EUE56" s="83"/>
      <c r="EUF56" s="83">
        <v>632</v>
      </c>
      <c r="EUG56" s="83"/>
      <c r="EUH56" s="83"/>
      <c r="EUI56" s="808">
        <f t="shared" si="1465"/>
        <v>632</v>
      </c>
      <c r="EUJ56" s="211">
        <f t="shared" si="1466"/>
        <v>105.33333333333333</v>
      </c>
      <c r="EUK56" s="195"/>
      <c r="EUL56" s="49"/>
      <c r="EUM56" s="49"/>
      <c r="EUN56" s="49">
        <v>662</v>
      </c>
      <c r="EUO56" s="49">
        <v>0</v>
      </c>
      <c r="EUP56" s="49"/>
      <c r="EUQ56" s="808">
        <f t="shared" si="1467"/>
        <v>662</v>
      </c>
      <c r="EUR56" s="211">
        <f t="shared" si="1468"/>
        <v>110.33333333333333</v>
      </c>
      <c r="EUS56" s="195"/>
      <c r="EUT56" s="49">
        <v>0</v>
      </c>
      <c r="EUU56" s="49"/>
      <c r="EUV56" s="49">
        <v>613</v>
      </c>
      <c r="EUW56" s="49"/>
      <c r="EUX56" s="49"/>
      <c r="EUY56" s="808">
        <f t="shared" si="1469"/>
        <v>613</v>
      </c>
      <c r="EUZ56" s="211">
        <f t="shared" si="1470"/>
        <v>102.16666666666667</v>
      </c>
      <c r="EVA56" s="195">
        <v>0</v>
      </c>
      <c r="EVB56" s="49"/>
      <c r="EVC56" s="49"/>
      <c r="EVD56" s="49"/>
      <c r="EVE56" s="49"/>
      <c r="EVF56" s="49"/>
      <c r="EVG56" s="808">
        <f t="shared" si="1471"/>
        <v>0</v>
      </c>
      <c r="EVH56" s="211">
        <f t="shared" si="1472"/>
        <v>0</v>
      </c>
      <c r="EVI56" s="195"/>
      <c r="EVJ56" s="49"/>
      <c r="EVK56" s="49">
        <f>SUMIF(SUMPK!$B:$B,$B:$B,SUMPK!$O:$O)</f>
        <v>637</v>
      </c>
      <c r="EVL56" s="49"/>
      <c r="EVM56" s="49"/>
      <c r="EVN56" s="49">
        <v>0</v>
      </c>
      <c r="EVO56" s="808">
        <f t="shared" si="1473"/>
        <v>637</v>
      </c>
      <c r="EVP56" s="211">
        <f t="shared" si="1474"/>
        <v>106.16666666666667</v>
      </c>
      <c r="EVQ56" s="195"/>
      <c r="EVR56" s="49"/>
      <c r="EVS56" s="49"/>
      <c r="EVT56" s="49"/>
      <c r="EVU56" s="49"/>
      <c r="EVV56" s="49"/>
      <c r="EVW56" s="808">
        <f t="shared" si="1475"/>
        <v>0</v>
      </c>
      <c r="EVX56" s="211">
        <f t="shared" si="1476"/>
        <v>0</v>
      </c>
      <c r="EVY56" s="195"/>
      <c r="EVZ56" s="49"/>
      <c r="EWA56" s="49"/>
      <c r="EWB56" s="49"/>
      <c r="EWC56" s="49"/>
      <c r="EWD56" s="49"/>
      <c r="EWE56" s="808">
        <f t="shared" si="1477"/>
        <v>0</v>
      </c>
      <c r="EWF56" s="211">
        <f t="shared" si="1478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79"/>
        <v>0</v>
      </c>
      <c r="EWN56" s="211">
        <f t="shared" si="1480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81"/>
        <v>0</v>
      </c>
      <c r="EWV56" s="211">
        <f t="shared" si="1482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83"/>
        <v>0</v>
      </c>
      <c r="EXD56" s="211">
        <f t="shared" si="1484"/>
        <v>0</v>
      </c>
      <c r="EXE56" s="195"/>
      <c r="EXF56" s="49"/>
      <c r="EXG56" s="49">
        <v>0</v>
      </c>
      <c r="EXH56" s="49"/>
      <c r="EXI56" s="49">
        <v>0</v>
      </c>
      <c r="EXJ56" s="49">
        <v>627</v>
      </c>
      <c r="EXK56" s="808">
        <f t="shared" si="1485"/>
        <v>627</v>
      </c>
      <c r="EXL56" s="211">
        <f t="shared" si="1486"/>
        <v>104.5</v>
      </c>
      <c r="EXM56" s="458"/>
      <c r="EXN56" s="83"/>
      <c r="EXO56" s="83"/>
      <c r="EXP56" s="83">
        <v>0</v>
      </c>
      <c r="EXQ56" s="83"/>
      <c r="EXR56" s="83"/>
      <c r="EXS56" s="808">
        <f t="shared" si="1487"/>
        <v>0</v>
      </c>
      <c r="EXT56" s="211">
        <f t="shared" si="1488"/>
        <v>0</v>
      </c>
      <c r="EXU56" s="195"/>
      <c r="EXV56" s="49"/>
      <c r="EXW56" s="49"/>
      <c r="EXX56" s="49"/>
      <c r="EXY56" s="49"/>
      <c r="EXZ56" s="49">
        <v>0</v>
      </c>
      <c r="EYA56" s="808">
        <f t="shared" si="1489"/>
        <v>0</v>
      </c>
      <c r="EYB56" s="211">
        <f t="shared" si="1490"/>
        <v>0</v>
      </c>
      <c r="EYC56" s="195">
        <v>666</v>
      </c>
      <c r="EYD56" s="49"/>
      <c r="EYE56" s="49"/>
      <c r="EYF56" s="49"/>
      <c r="EYG56" s="49"/>
      <c r="EYH56" s="49">
        <v>315</v>
      </c>
      <c r="EYI56" s="808">
        <f t="shared" si="1491"/>
        <v>981</v>
      </c>
      <c r="EYJ56" s="211">
        <f t="shared" si="1492"/>
        <v>163.5</v>
      </c>
      <c r="EYK56" s="195">
        <v>0</v>
      </c>
      <c r="EYL56" s="49"/>
      <c r="EYM56" s="49"/>
      <c r="EYN56" s="49"/>
      <c r="EYO56" s="49"/>
      <c r="EYP56" s="49"/>
      <c r="EYQ56" s="808">
        <f t="shared" si="1493"/>
        <v>0</v>
      </c>
      <c r="EYR56" s="211">
        <f t="shared" si="1494"/>
        <v>0</v>
      </c>
      <c r="EYS56" s="195">
        <v>0</v>
      </c>
      <c r="EYT56" s="49"/>
      <c r="EYU56" s="49">
        <v>0</v>
      </c>
      <c r="EYV56" s="49"/>
      <c r="EYW56" s="49"/>
      <c r="EYX56" s="49"/>
      <c r="EYY56" s="872">
        <f t="shared" si="1495"/>
        <v>0</v>
      </c>
      <c r="EYZ56" s="873">
        <f t="shared" si="1496"/>
        <v>0</v>
      </c>
      <c r="EZA56" s="195">
        <v>0</v>
      </c>
      <c r="EZB56" s="49">
        <v>0</v>
      </c>
      <c r="EZC56" s="49"/>
      <c r="EZD56" s="49"/>
      <c r="EZE56" s="49">
        <v>0</v>
      </c>
      <c r="EZF56" s="49"/>
      <c r="EZG56" s="872">
        <f t="shared" si="1497"/>
        <v>0</v>
      </c>
      <c r="EZH56" s="873">
        <f t="shared" si="1498"/>
        <v>0</v>
      </c>
      <c r="EZI56" s="195"/>
      <c r="EZJ56" s="49">
        <v>0</v>
      </c>
      <c r="EZK56" s="49"/>
      <c r="EZL56" s="49"/>
      <c r="EZM56" s="49"/>
      <c r="EZN56" s="49"/>
      <c r="EZO56" s="872">
        <f t="shared" si="1499"/>
        <v>0</v>
      </c>
      <c r="EZP56" s="873">
        <f t="shared" si="1500"/>
        <v>0</v>
      </c>
    </row>
    <row r="57" spans="1:4072" s="8" customFormat="1" ht="13.5" thickBot="1" x14ac:dyDescent="0.25">
      <c r="A57" s="21">
        <v>28</v>
      </c>
      <c r="B57" s="297" t="s">
        <v>183</v>
      </c>
      <c r="C57" s="730" t="s">
        <v>298</v>
      </c>
      <c r="D57" s="297">
        <v>25</v>
      </c>
      <c r="E57" s="24"/>
      <c r="F57" s="24">
        <v>6100</v>
      </c>
      <c r="G57" s="24"/>
      <c r="H57" s="24"/>
      <c r="I57" s="360"/>
      <c r="J57" s="360">
        <f>SUMIF(SUMPK!$B:$B,$B:$B,SUMPK!$O:$O)</f>
        <v>276</v>
      </c>
      <c r="K57" s="24">
        <v>0</v>
      </c>
      <c r="L57" s="24">
        <f t="shared" si="2421"/>
        <v>5824</v>
      </c>
      <c r="M57" s="15">
        <f t="shared" si="2422"/>
        <v>5824</v>
      </c>
      <c r="N57" s="15">
        <v>55.5</v>
      </c>
      <c r="O57" s="276">
        <v>0</v>
      </c>
      <c r="P57" s="712"/>
      <c r="Q57" s="276">
        <v>0</v>
      </c>
      <c r="R57" s="277">
        <v>0</v>
      </c>
      <c r="S57" s="222"/>
      <c r="T57" s="276">
        <v>0</v>
      </c>
      <c r="U57" s="278"/>
      <c r="V57" s="276">
        <v>0</v>
      </c>
      <c r="W57" s="279">
        <f t="shared" si="2417"/>
        <v>1</v>
      </c>
      <c r="X57" s="278"/>
      <c r="Y57" s="7"/>
      <c r="Z57" s="7"/>
      <c r="AA57" s="7"/>
      <c r="AB57" s="7"/>
      <c r="AC57" s="662">
        <v>19.5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/>
      <c r="ELN57" s="88"/>
      <c r="ELO57" s="88"/>
      <c r="ELP57" s="88"/>
      <c r="ELQ57" s="88"/>
      <c r="ELR57" s="88"/>
      <c r="ELS57" s="179"/>
      <c r="ELT57" s="386"/>
      <c r="ELU57" s="219"/>
      <c r="ELV57" s="88"/>
      <c r="ELW57" s="88"/>
      <c r="ELX57" s="88"/>
      <c r="ELY57" s="88"/>
      <c r="ELZ57" s="88"/>
      <c r="EMA57" s="179"/>
      <c r="EMB57" s="386"/>
      <c r="EMC57" s="219"/>
      <c r="EMD57" s="88"/>
      <c r="EME57" s="88"/>
      <c r="EMF57" s="88"/>
      <c r="EMG57" s="88"/>
      <c r="EMH57" s="88"/>
      <c r="EMI57" s="179"/>
      <c r="EMJ57" s="386"/>
      <c r="EMK57" s="219"/>
      <c r="EML57" s="88"/>
      <c r="EMM57" s="88"/>
      <c r="EMN57" s="88"/>
      <c r="EMO57" s="88"/>
      <c r="EMP57" s="88"/>
      <c r="EMQ57" s="179"/>
      <c r="EMR57" s="386"/>
      <c r="EMS57" s="219"/>
      <c r="EMT57" s="88"/>
      <c r="EMU57" s="88"/>
      <c r="EMV57" s="88"/>
      <c r="EMW57" s="88"/>
      <c r="EMX57" s="88"/>
      <c r="EMY57" s="179"/>
      <c r="EMZ57" s="386"/>
      <c r="ENA57" s="219"/>
      <c r="ENB57" s="88"/>
      <c r="ENC57" s="88"/>
      <c r="END57" s="88"/>
      <c r="ENE57" s="88"/>
      <c r="ENF57" s="88"/>
      <c r="ENG57" s="179"/>
      <c r="ENH57" s="386"/>
      <c r="ENI57" s="219"/>
      <c r="ENJ57" s="88"/>
      <c r="ENK57" s="88"/>
      <c r="ENL57" s="88"/>
      <c r="ENM57" s="88"/>
      <c r="ENN57" s="88"/>
      <c r="ENO57" s="179"/>
      <c r="ENP57" s="386"/>
      <c r="ENQ57" s="219"/>
      <c r="ENR57" s="88"/>
      <c r="ENS57" s="88"/>
      <c r="ENT57" s="88"/>
      <c r="ENU57" s="88"/>
      <c r="ENV57" s="88"/>
      <c r="ENW57" s="179"/>
      <c r="ENX57" s="386"/>
      <c r="ENY57" s="219"/>
      <c r="ENZ57" s="88"/>
      <c r="EOA57" s="88"/>
      <c r="EOB57" s="88"/>
      <c r="EOC57" s="88"/>
      <c r="EOD57" s="88"/>
      <c r="EOE57" s="179"/>
      <c r="EOF57" s="386"/>
      <c r="EOG57" s="1"/>
      <c r="EOH57" s="219"/>
      <c r="EOI57" s="88"/>
      <c r="EOJ57" s="88"/>
      <c r="EOK57" s="88"/>
      <c r="EOL57" s="88"/>
      <c r="EOM57" s="88"/>
      <c r="EON57" s="218"/>
      <c r="EOO57" s="880"/>
      <c r="EOP57" s="88"/>
      <c r="EOQ57" s="88"/>
      <c r="EOR57" s="88"/>
      <c r="EOS57" s="88"/>
      <c r="EOT57" s="88"/>
      <c r="EOU57" s="179"/>
      <c r="EOV57" s="386"/>
      <c r="EOW57" s="219"/>
      <c r="EOX57" s="88"/>
      <c r="EOY57" s="88"/>
      <c r="EOZ57" s="88"/>
      <c r="EPA57" s="88"/>
      <c r="EPB57" s="88"/>
      <c r="EPC57" s="179"/>
      <c r="EPD57" s="386"/>
      <c r="EPE57" s="219"/>
      <c r="EPF57" s="88"/>
      <c r="EPG57" s="88"/>
      <c r="EPH57" s="88"/>
      <c r="EPI57" s="88"/>
      <c r="EPJ57" s="88"/>
      <c r="EPK57" s="179"/>
      <c r="EPL57" s="386"/>
      <c r="EPM57" s="219"/>
      <c r="EPN57" s="88"/>
      <c r="EPO57" s="88"/>
      <c r="EPP57" s="88"/>
      <c r="EPQ57" s="88"/>
      <c r="EPR57" s="88"/>
      <c r="EPS57" s="179"/>
      <c r="EPT57" s="386"/>
      <c r="EPU57" s="219"/>
      <c r="EPV57" s="88"/>
      <c r="EPW57" s="88"/>
      <c r="EPX57" s="88"/>
      <c r="EPY57" s="88"/>
      <c r="EPZ57" s="88"/>
      <c r="EQA57" s="179"/>
      <c r="EQB57" s="386"/>
      <c r="EQC57" s="219"/>
      <c r="EQD57" s="88"/>
      <c r="EQE57" s="88"/>
      <c r="EQF57" s="88"/>
      <c r="EQG57" s="88"/>
      <c r="EQH57" s="88"/>
      <c r="EQI57" s="179"/>
      <c r="EQJ57" s="386"/>
      <c r="EQK57" s="219"/>
      <c r="EQL57" s="88"/>
      <c r="EQM57" s="88"/>
      <c r="EQN57" s="88"/>
      <c r="EQO57" s="88"/>
      <c r="EQP57" s="88"/>
      <c r="EQQ57" s="179"/>
      <c r="EQR57" s="386"/>
      <c r="EQS57" s="219"/>
      <c r="EQT57" s="88"/>
      <c r="EQU57" s="88"/>
      <c r="EQV57" s="88"/>
      <c r="EQW57" s="88"/>
      <c r="EQX57" s="88"/>
      <c r="EQY57" s="179"/>
      <c r="EQZ57" s="386"/>
      <c r="ERA57" s="219"/>
      <c r="ERB57" s="88"/>
      <c r="ERC57" s="88"/>
      <c r="ERD57" s="88"/>
      <c r="ERE57" s="88"/>
      <c r="ERF57" s="88"/>
      <c r="ERG57" s="179"/>
      <c r="ERH57" s="386"/>
      <c r="ERI57" s="219"/>
      <c r="ERJ57" s="88"/>
      <c r="ERK57" s="88"/>
      <c r="ERL57" s="88"/>
      <c r="ERM57" s="88"/>
      <c r="ERN57" s="88"/>
      <c r="ERO57" s="179"/>
      <c r="ERP57" s="386"/>
      <c r="ERQ57" s="219"/>
      <c r="ERR57" s="88"/>
      <c r="ERS57" s="88"/>
      <c r="ERT57" s="88"/>
      <c r="ERU57" s="88"/>
      <c r="ERV57" s="88"/>
      <c r="ERW57" s="179"/>
      <c r="ERX57" s="386"/>
      <c r="ERY57" s="219"/>
      <c r="ERZ57" s="88"/>
      <c r="ESA57" s="88"/>
      <c r="ESB57" s="88"/>
      <c r="ESC57" s="88"/>
      <c r="ESD57" s="88"/>
      <c r="ESE57" s="179"/>
      <c r="ESF57" s="386"/>
      <c r="ESG57" s="219"/>
      <c r="ESH57" s="88"/>
      <c r="ESI57" s="88"/>
      <c r="ESJ57" s="88"/>
      <c r="ESK57" s="88"/>
      <c r="ESL57" s="88"/>
      <c r="ESM57" s="64"/>
      <c r="ESN57" s="211"/>
      <c r="ESO57" s="881"/>
      <c r="ESP57" s="93"/>
      <c r="ESQ57" s="93"/>
      <c r="ESR57" s="93"/>
      <c r="ESS57" s="93"/>
      <c r="EST57" s="93"/>
      <c r="ESU57" s="179"/>
      <c r="ESV57" s="386"/>
      <c r="ESW57" s="219"/>
      <c r="ESX57" s="88"/>
      <c r="ESY57" s="88"/>
      <c r="ESZ57" s="88"/>
      <c r="ETA57" s="88"/>
      <c r="ETB57" s="88"/>
      <c r="ETC57" s="857"/>
      <c r="ETD57" s="386"/>
      <c r="ETE57" s="219"/>
      <c r="ETF57" s="88"/>
      <c r="ETG57" s="88"/>
      <c r="ETH57" s="88"/>
      <c r="ETI57" s="88"/>
      <c r="ETJ57" s="88"/>
      <c r="ETK57" s="857"/>
      <c r="ETL57" s="386"/>
      <c r="ETM57" s="882"/>
      <c r="ETN57" s="883"/>
      <c r="ETO57" s="883"/>
      <c r="ETP57" s="883"/>
      <c r="ETQ57" s="883"/>
      <c r="ETR57" s="883"/>
      <c r="ETS57" s="857"/>
      <c r="ETT57" s="386"/>
      <c r="ETU57" s="881"/>
      <c r="ETV57" s="93"/>
      <c r="ETW57" s="93"/>
      <c r="ETX57" s="93"/>
      <c r="ETY57" s="93"/>
      <c r="ETZ57" s="93"/>
      <c r="EUA57" s="857"/>
      <c r="EUB57" s="386"/>
      <c r="EUC57" s="881"/>
      <c r="EUD57" s="93"/>
      <c r="EUE57" s="93"/>
      <c r="EUF57" s="93"/>
      <c r="EUG57" s="93"/>
      <c r="EUH57" s="93"/>
      <c r="EUI57" s="857"/>
      <c r="EUJ57" s="386"/>
      <c r="EUK57" s="219"/>
      <c r="EUL57" s="88"/>
      <c r="EUM57" s="88"/>
      <c r="EUN57" s="88"/>
      <c r="EUO57" s="88"/>
      <c r="EUP57" s="88"/>
      <c r="EUQ57" s="857"/>
      <c r="EUR57" s="386"/>
      <c r="EUS57" s="219"/>
      <c r="EUT57" s="88"/>
      <c r="EUU57" s="88"/>
      <c r="EUV57" s="88"/>
      <c r="EUW57" s="88"/>
      <c r="EUX57" s="88"/>
      <c r="EUY57" s="857"/>
      <c r="EUZ57" s="386"/>
      <c r="EVA57" s="219"/>
      <c r="EVB57" s="88"/>
      <c r="EVC57" s="88"/>
      <c r="EVD57" s="88"/>
      <c r="EVE57" s="88"/>
      <c r="EVF57" s="88"/>
      <c r="EVG57" s="857"/>
      <c r="EVH57" s="386"/>
      <c r="EVI57" s="219"/>
      <c r="EVJ57" s="88"/>
      <c r="EVK57" s="88"/>
      <c r="EVL57" s="88"/>
      <c r="EVM57" s="88"/>
      <c r="EVN57" s="88"/>
      <c r="EVO57" s="857"/>
      <c r="EVP57" s="386"/>
      <c r="EVQ57" s="219"/>
      <c r="EVR57" s="88"/>
      <c r="EVS57" s="88"/>
      <c r="EVT57" s="88"/>
      <c r="EVU57" s="88"/>
      <c r="EVV57" s="88"/>
      <c r="EVW57" s="857"/>
      <c r="EVX57" s="386"/>
      <c r="EVY57" s="219"/>
      <c r="EVZ57" s="88"/>
      <c r="EWA57" s="88"/>
      <c r="EWB57" s="88"/>
      <c r="EWC57" s="88"/>
      <c r="EWD57" s="88"/>
      <c r="EWE57" s="857"/>
      <c r="EWF57" s="386"/>
      <c r="EWG57" s="219"/>
      <c r="EWH57" s="88"/>
      <c r="EWI57" s="88"/>
      <c r="EWJ57" s="88"/>
      <c r="EWK57" s="88"/>
      <c r="EWL57" s="88"/>
      <c r="EWM57" s="857"/>
      <c r="EWN57" s="386"/>
      <c r="EWO57" s="219"/>
      <c r="EWP57" s="88"/>
      <c r="EWQ57" s="88"/>
      <c r="EWR57" s="88"/>
      <c r="EWS57" s="88"/>
      <c r="EWT57" s="88"/>
      <c r="EWU57" s="857"/>
      <c r="EWV57" s="386"/>
      <c r="EWW57" s="219"/>
      <c r="EWX57" s="88"/>
      <c r="EWY57" s="88"/>
      <c r="EWZ57" s="88"/>
      <c r="EXA57" s="88"/>
      <c r="EXB57" s="88"/>
      <c r="EXC57" s="857"/>
      <c r="EXD57" s="386"/>
      <c r="EXE57" s="219"/>
      <c r="EXF57" s="88"/>
      <c r="EXG57" s="88"/>
      <c r="EXH57" s="88"/>
      <c r="EXI57" s="88"/>
      <c r="EXJ57" s="88"/>
      <c r="EXK57" s="857"/>
      <c r="EXL57" s="386"/>
      <c r="EXM57" s="881"/>
      <c r="EXN57" s="93"/>
      <c r="EXO57" s="93"/>
      <c r="EXP57" s="93"/>
      <c r="EXQ57" s="93"/>
      <c r="EXR57" s="93"/>
      <c r="EXS57" s="857"/>
      <c r="EXT57" s="386"/>
      <c r="EXU57" s="219"/>
      <c r="EXV57" s="88"/>
      <c r="EXW57" s="88"/>
      <c r="EXX57" s="88"/>
      <c r="EXY57" s="88"/>
      <c r="EXZ57" s="88"/>
      <c r="EYA57" s="857"/>
      <c r="EYB57" s="386"/>
      <c r="EYC57" s="219"/>
      <c r="EYD57" s="88"/>
      <c r="EYE57" s="88"/>
      <c r="EYF57" s="88"/>
      <c r="EYG57" s="88"/>
      <c r="EYH57" s="88"/>
      <c r="EYI57" s="857"/>
      <c r="EYJ57" s="386"/>
      <c r="EYK57" s="219"/>
      <c r="EYL57" s="88"/>
      <c r="EYM57" s="88"/>
      <c r="EYN57" s="88"/>
      <c r="EYO57" s="88"/>
      <c r="EYP57" s="88"/>
      <c r="EYQ57" s="857"/>
      <c r="EYR57" s="386"/>
      <c r="EYS57" s="219"/>
      <c r="EYT57" s="88"/>
      <c r="EYU57" s="88">
        <v>0</v>
      </c>
      <c r="EYV57" s="88"/>
      <c r="EYW57" s="88"/>
      <c r="EYX57" s="88"/>
      <c r="EYY57" s="884"/>
      <c r="EYZ57" s="885"/>
      <c r="EZA57" s="195">
        <v>333</v>
      </c>
      <c r="EZB57" s="49">
        <v>0</v>
      </c>
      <c r="EZC57" s="49"/>
      <c r="EZD57" s="49"/>
      <c r="EZE57" s="49">
        <v>0</v>
      </c>
      <c r="EZF57" s="49"/>
      <c r="EZG57" s="872">
        <f t="shared" si="1497"/>
        <v>333</v>
      </c>
      <c r="EZH57" s="873">
        <f t="shared" si="1498"/>
        <v>55.5</v>
      </c>
      <c r="EZI57" s="195"/>
      <c r="EZJ57" s="49">
        <v>0</v>
      </c>
      <c r="EZK57" s="49"/>
      <c r="EZL57" s="49"/>
      <c r="EZM57" s="49"/>
      <c r="EZN57" s="49"/>
      <c r="EZO57" s="872">
        <f t="shared" si="1499"/>
        <v>0</v>
      </c>
      <c r="EZP57" s="873">
        <f t="shared" si="1500"/>
        <v>0</v>
      </c>
    </row>
    <row r="58" spans="1:4072" s="8" customFormat="1" ht="13.5" thickBot="1" x14ac:dyDescent="0.25">
      <c r="A58" s="21">
        <v>29</v>
      </c>
      <c r="B58" s="297" t="s">
        <v>551</v>
      </c>
      <c r="C58" s="730" t="s">
        <v>553</v>
      </c>
      <c r="D58" s="297">
        <v>40</v>
      </c>
      <c r="E58" s="24"/>
      <c r="F58" s="24">
        <v>1700</v>
      </c>
      <c r="G58" s="24"/>
      <c r="H58" s="24"/>
      <c r="I58" s="360"/>
      <c r="J58" s="360">
        <f>SUMIF(SUMPK!$B:$B,$B:$B,SUMPK!$O:$O)</f>
        <v>0</v>
      </c>
      <c r="K58" s="24">
        <v>0</v>
      </c>
      <c r="L58" s="24">
        <f t="shared" si="2421"/>
        <v>1700</v>
      </c>
      <c r="M58" s="15">
        <f t="shared" si="2422"/>
        <v>1700</v>
      </c>
      <c r="N58" s="15">
        <v>16.666666666666668</v>
      </c>
      <c r="O58" s="276"/>
      <c r="P58" s="712"/>
      <c r="Q58" s="276"/>
      <c r="R58" s="277"/>
      <c r="S58" s="222"/>
      <c r="T58" s="276"/>
      <c r="U58" s="278"/>
      <c r="V58" s="276"/>
      <c r="W58" s="279">
        <f t="shared" si="2417"/>
        <v>1</v>
      </c>
      <c r="X58" s="278"/>
      <c r="Y58" s="7"/>
      <c r="Z58" s="7"/>
      <c r="AA58" s="7"/>
      <c r="AB58" s="7"/>
      <c r="AC58" s="662"/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>
        <v>100</v>
      </c>
      <c r="EYV58" s="88"/>
      <c r="EYW58" s="88"/>
      <c r="EYX58" s="88"/>
      <c r="EYY58" s="884"/>
      <c r="EYZ58" s="885"/>
      <c r="EZA58" s="195">
        <v>0</v>
      </c>
      <c r="EZB58" s="49">
        <v>0</v>
      </c>
      <c r="EZC58" s="49"/>
      <c r="EZD58" s="49"/>
      <c r="EZE58" s="49">
        <v>100</v>
      </c>
      <c r="EZF58" s="49"/>
      <c r="EZG58" s="872">
        <f t="shared" si="1497"/>
        <v>100</v>
      </c>
      <c r="EZH58" s="873">
        <f t="shared" si="1498"/>
        <v>16.666666666666668</v>
      </c>
      <c r="EZI58" s="195"/>
      <c r="EZJ58" s="49">
        <v>100</v>
      </c>
      <c r="EZK58" s="49"/>
      <c r="EZL58" s="49"/>
      <c r="EZM58" s="49"/>
      <c r="EZN58" s="49"/>
      <c r="EZO58" s="872">
        <f t="shared" si="1499"/>
        <v>100</v>
      </c>
      <c r="EZP58" s="873">
        <f t="shared" si="1500"/>
        <v>16.666666666666668</v>
      </c>
    </row>
    <row r="59" spans="1:4072" s="8" customFormat="1" ht="13.5" thickBot="1" x14ac:dyDescent="0.25">
      <c r="A59" s="21">
        <v>30</v>
      </c>
      <c r="B59" s="297" t="s">
        <v>552</v>
      </c>
      <c r="C59" s="730" t="s">
        <v>554</v>
      </c>
      <c r="D59" s="297">
        <v>40</v>
      </c>
      <c r="E59" s="24"/>
      <c r="F59" s="24">
        <v>2030</v>
      </c>
      <c r="G59" s="24"/>
      <c r="H59" s="24"/>
      <c r="I59" s="360"/>
      <c r="J59" s="360">
        <f>SUMIF(SUMPK!$B:$B,$B:$B,SUMPK!$O:$O)</f>
        <v>0</v>
      </c>
      <c r="K59" s="24">
        <v>0</v>
      </c>
      <c r="L59" s="24">
        <f t="shared" si="2421"/>
        <v>2030</v>
      </c>
      <c r="M59" s="15">
        <f t="shared" si="2422"/>
        <v>2030</v>
      </c>
      <c r="N59" s="15">
        <v>0</v>
      </c>
      <c r="O59" s="276"/>
      <c r="P59" s="712"/>
      <c r="Q59" s="276"/>
      <c r="R59" s="277"/>
      <c r="S59" s="222"/>
      <c r="T59" s="276"/>
      <c r="U59" s="278"/>
      <c r="V59" s="276"/>
      <c r="W59" s="279">
        <f t="shared" si="2417"/>
        <v>1</v>
      </c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>
        <f t="shared" si="1702"/>
        <v>0</v>
      </c>
      <c r="COM59" s="68">
        <f t="shared" si="1703"/>
        <v>0</v>
      </c>
      <c r="CON59" s="48"/>
      <c r="COO59" s="49"/>
      <c r="COP59" s="49"/>
      <c r="COQ59" s="49"/>
      <c r="COR59" s="49"/>
      <c r="COS59" s="49"/>
      <c r="COT59" s="67">
        <f t="shared" si="1704"/>
        <v>0</v>
      </c>
      <c r="COU59" s="68">
        <f t="shared" si="1705"/>
        <v>0</v>
      </c>
      <c r="COV59" s="48"/>
      <c r="COW59" s="49"/>
      <c r="COX59" s="49"/>
      <c r="COY59" s="49">
        <v>267</v>
      </c>
      <c r="COZ59" s="49"/>
      <c r="CPA59" s="49"/>
      <c r="CPB59" s="67">
        <f t="shared" si="1706"/>
        <v>267</v>
      </c>
      <c r="CPC59" s="68">
        <f t="shared" si="1707"/>
        <v>44.5</v>
      </c>
      <c r="CPD59" s="48"/>
      <c r="CPE59" s="49">
        <v>0</v>
      </c>
      <c r="CPF59" s="49">
        <v>0</v>
      </c>
      <c r="CPG59" s="49">
        <v>260</v>
      </c>
      <c r="CPH59" s="49"/>
      <c r="CPI59" s="49"/>
      <c r="CPJ59" s="67">
        <f t="shared" si="1708"/>
        <v>260</v>
      </c>
      <c r="CPK59" s="68">
        <f t="shared" si="1709"/>
        <v>43.333333333333336</v>
      </c>
      <c r="CPL59" s="48"/>
      <c r="CPM59" s="49">
        <v>1073</v>
      </c>
      <c r="CPN59" s="49">
        <v>0</v>
      </c>
      <c r="CPO59" s="49"/>
      <c r="CPP59" s="49">
        <v>0</v>
      </c>
      <c r="CPQ59" s="49"/>
      <c r="CPR59" s="67">
        <f t="shared" si="1710"/>
        <v>1073</v>
      </c>
      <c r="CPS59" s="68">
        <f t="shared" si="1711"/>
        <v>178.83333333333334</v>
      </c>
      <c r="CPT59" s="48">
        <v>0</v>
      </c>
      <c r="CPU59" s="49">
        <v>0</v>
      </c>
      <c r="CPV59" s="49">
        <v>496</v>
      </c>
      <c r="CPW59" s="49"/>
      <c r="CPX59" s="49"/>
      <c r="CPY59" s="49">
        <v>1203</v>
      </c>
      <c r="CPZ59" s="67">
        <f t="shared" si="1712"/>
        <v>1699</v>
      </c>
      <c r="CQA59" s="68">
        <f t="shared" si="1713"/>
        <v>283.16666666666669</v>
      </c>
      <c r="CQB59" s="48"/>
      <c r="CQC59" s="49">
        <v>0</v>
      </c>
      <c r="CQD59" s="49"/>
      <c r="CQE59" s="49">
        <v>0</v>
      </c>
      <c r="CQF59" s="49">
        <v>0</v>
      </c>
      <c r="CQG59" s="49">
        <v>0</v>
      </c>
      <c r="CQH59" s="67">
        <f t="shared" si="1714"/>
        <v>0</v>
      </c>
      <c r="CQI59" s="68">
        <f t="shared" si="1715"/>
        <v>0</v>
      </c>
      <c r="CQJ59" s="82">
        <v>0</v>
      </c>
      <c r="CQK59" s="83">
        <v>1220</v>
      </c>
      <c r="CQL59" s="83"/>
      <c r="CQM59" s="83">
        <v>1904</v>
      </c>
      <c r="CQN59" s="83"/>
      <c r="CQO59" s="83"/>
      <c r="CQP59" s="67">
        <f t="shared" si="1716"/>
        <v>3124</v>
      </c>
      <c r="CQQ59" s="68">
        <f t="shared" si="1717"/>
        <v>520.66666666666663</v>
      </c>
      <c r="CQR59" s="239"/>
      <c r="CQS59" s="1">
        <v>0</v>
      </c>
      <c r="CQT59" s="1"/>
      <c r="CQU59" s="1"/>
      <c r="CQV59" s="1">
        <v>1268</v>
      </c>
      <c r="CQW59" s="1"/>
      <c r="CQX59" s="67">
        <f t="shared" si="1718"/>
        <v>1268</v>
      </c>
      <c r="CQY59" s="68">
        <f t="shared" si="1719"/>
        <v>211.33333333333334</v>
      </c>
      <c r="CQZ59" s="48">
        <v>0</v>
      </c>
      <c r="CRA59" s="49"/>
      <c r="CRB59" s="49">
        <v>0</v>
      </c>
      <c r="CRC59" s="49">
        <v>1531</v>
      </c>
      <c r="CRD59" s="49">
        <v>0</v>
      </c>
      <c r="CRE59" s="49">
        <v>0</v>
      </c>
      <c r="CRF59" s="67">
        <f t="shared" si="1720"/>
        <v>1531</v>
      </c>
      <c r="CRG59" s="68">
        <f t="shared" si="1721"/>
        <v>255.16666666666666</v>
      </c>
      <c r="CRH59" s="48"/>
      <c r="CRI59" s="49"/>
      <c r="CRJ59" s="49">
        <v>1358</v>
      </c>
      <c r="CRK59" s="49">
        <v>0</v>
      </c>
      <c r="CRL59" s="49">
        <v>1928</v>
      </c>
      <c r="CRM59" s="49"/>
      <c r="CRN59" s="67">
        <f t="shared" si="1722"/>
        <v>3286</v>
      </c>
      <c r="CRO59" s="68">
        <f t="shared" si="1723"/>
        <v>547.66666666666663</v>
      </c>
      <c r="CRP59" s="48"/>
      <c r="CRQ59" s="49">
        <v>0</v>
      </c>
      <c r="CRR59" s="49">
        <v>0</v>
      </c>
      <c r="CRS59" s="49">
        <v>0</v>
      </c>
      <c r="CRT59" s="49">
        <v>560</v>
      </c>
      <c r="CRU59" s="49">
        <v>0</v>
      </c>
      <c r="CRV59" s="47">
        <f t="shared" si="1724"/>
        <v>560</v>
      </c>
      <c r="CRW59" s="68">
        <f t="shared" si="1725"/>
        <v>93.333333333333329</v>
      </c>
      <c r="CRX59" s="48">
        <v>100</v>
      </c>
      <c r="CRY59" s="49">
        <v>1647</v>
      </c>
      <c r="CRZ59" s="49">
        <v>1135</v>
      </c>
      <c r="CSA59" s="49"/>
      <c r="CSB59" s="49">
        <v>0</v>
      </c>
      <c r="CSC59" s="49">
        <v>0</v>
      </c>
      <c r="CSD59" s="67">
        <f t="shared" si="1726"/>
        <v>2882</v>
      </c>
      <c r="CSE59" s="68">
        <f t="shared" si="1727"/>
        <v>480.33333333333331</v>
      </c>
      <c r="CSF59" s="48"/>
      <c r="CSG59" s="49"/>
      <c r="CSH59" s="49">
        <v>0</v>
      </c>
      <c r="CSI59" s="49">
        <v>760</v>
      </c>
      <c r="CSJ59" s="49">
        <v>770</v>
      </c>
      <c r="CSK59" s="360">
        <f>SUMIF(SUMPK!$B:$B,$B:$B,SUMPK!$O:$O)</f>
        <v>0</v>
      </c>
      <c r="CSL59" s="64">
        <f t="shared" si="1728"/>
        <v>1530</v>
      </c>
      <c r="CSM59" s="68">
        <f t="shared" si="1729"/>
        <v>255</v>
      </c>
      <c r="CSN59" s="48">
        <v>0</v>
      </c>
      <c r="CSO59" s="49">
        <v>1979</v>
      </c>
      <c r="CSP59" s="49"/>
      <c r="CSQ59" s="49"/>
      <c r="CSR59" s="49"/>
      <c r="CSS59" s="49">
        <v>0</v>
      </c>
      <c r="CST59" s="64">
        <f t="shared" si="1730"/>
        <v>1979</v>
      </c>
      <c r="CSU59" s="68">
        <f t="shared" si="1731"/>
        <v>329.83333333333331</v>
      </c>
      <c r="CSV59" s="48">
        <v>2271</v>
      </c>
      <c r="CSW59" s="49"/>
      <c r="CSX59" s="49"/>
      <c r="CSY59" s="49">
        <v>0</v>
      </c>
      <c r="CSZ59" s="49">
        <v>0</v>
      </c>
      <c r="CTA59" s="49">
        <v>0</v>
      </c>
      <c r="CTB59" s="64">
        <f t="shared" si="1732"/>
        <v>2271</v>
      </c>
      <c r="CTC59" s="68">
        <f t="shared" si="1733"/>
        <v>378.5</v>
      </c>
      <c r="CTD59" s="48">
        <v>591</v>
      </c>
      <c r="CTE59" s="49">
        <v>1855</v>
      </c>
      <c r="CTF59" s="49">
        <v>633</v>
      </c>
      <c r="CTG59" s="49">
        <v>0</v>
      </c>
      <c r="CTH59" s="49"/>
      <c r="CTI59" s="49"/>
      <c r="CTJ59" s="64">
        <f t="shared" si="1734"/>
        <v>3079</v>
      </c>
      <c r="CTK59" s="68">
        <f t="shared" si="1735"/>
        <v>513.16666666666663</v>
      </c>
      <c r="CTL59" s="48">
        <v>0</v>
      </c>
      <c r="CTM59" s="49">
        <v>0</v>
      </c>
      <c r="CTN59" s="49"/>
      <c r="CTO59" s="49"/>
      <c r="CTP59" s="49">
        <v>0</v>
      </c>
      <c r="CTQ59" s="49">
        <v>0</v>
      </c>
      <c r="CTR59" s="64">
        <f t="shared" si="1736"/>
        <v>0</v>
      </c>
      <c r="CTS59" s="68">
        <f t="shared" si="1737"/>
        <v>0</v>
      </c>
      <c r="CTT59" s="48">
        <v>0</v>
      </c>
      <c r="CTU59" s="49"/>
      <c r="CTV59" s="49">
        <v>0</v>
      </c>
      <c r="CTW59" s="49"/>
      <c r="CTX59" s="49"/>
      <c r="CTY59" s="49"/>
      <c r="CTZ59" s="64">
        <f t="shared" si="1738"/>
        <v>0</v>
      </c>
      <c r="CUA59" s="68">
        <f t="shared" si="1739"/>
        <v>0</v>
      </c>
      <c r="CUB59" s="48"/>
      <c r="CUC59" s="49"/>
      <c r="CUD59" s="49"/>
      <c r="CUE59" s="49"/>
      <c r="CUF59" s="49">
        <v>0</v>
      </c>
      <c r="CUG59" s="49">
        <v>0</v>
      </c>
      <c r="CUH59" s="64">
        <f t="shared" si="1740"/>
        <v>0</v>
      </c>
      <c r="CUI59" s="68">
        <f t="shared" si="1741"/>
        <v>0</v>
      </c>
      <c r="CUJ59" s="48">
        <v>0</v>
      </c>
      <c r="CUK59" s="49">
        <v>0</v>
      </c>
      <c r="CUL59" s="49">
        <v>0</v>
      </c>
      <c r="CUM59" s="49">
        <v>0</v>
      </c>
      <c r="CUN59" s="49">
        <v>0</v>
      </c>
      <c r="CUO59" s="49">
        <v>0</v>
      </c>
      <c r="CUP59" s="64">
        <f t="shared" si="1742"/>
        <v>0</v>
      </c>
      <c r="CUQ59" s="68">
        <f t="shared" si="1743"/>
        <v>0</v>
      </c>
      <c r="CUR59" s="48">
        <v>0</v>
      </c>
      <c r="CUS59" s="49"/>
      <c r="CUT59" s="49"/>
      <c r="CUU59" s="49">
        <v>670</v>
      </c>
      <c r="CUV59" s="49">
        <v>0</v>
      </c>
      <c r="CUW59" s="49">
        <v>0</v>
      </c>
      <c r="CUX59" s="64">
        <f t="shared" si="1744"/>
        <v>670</v>
      </c>
      <c r="CUY59" s="68">
        <f t="shared" si="1745"/>
        <v>111.66666666666667</v>
      </c>
      <c r="CUZ59" s="48">
        <v>0</v>
      </c>
      <c r="CVA59" s="49">
        <v>0</v>
      </c>
      <c r="CVB59" s="49"/>
      <c r="CVC59" s="49">
        <v>0</v>
      </c>
      <c r="CVD59" s="49">
        <v>658</v>
      </c>
      <c r="CVE59" s="49"/>
      <c r="CVF59" s="64">
        <f t="shared" si="1746"/>
        <v>658</v>
      </c>
      <c r="CVG59" s="68">
        <f t="shared" si="1747"/>
        <v>109.66666666666667</v>
      </c>
      <c r="CVH59" s="48"/>
      <c r="CVI59" s="49"/>
      <c r="CVJ59" s="49"/>
      <c r="CVK59" s="49"/>
      <c r="CVL59" s="49">
        <v>641</v>
      </c>
      <c r="CVM59" s="49"/>
      <c r="CVN59" s="64">
        <f t="shared" si="1748"/>
        <v>641</v>
      </c>
      <c r="CVO59" s="68">
        <f t="shared" si="1749"/>
        <v>106.83333333333333</v>
      </c>
      <c r="CVP59" s="48"/>
      <c r="CVQ59" s="49"/>
      <c r="CVR59" s="49"/>
      <c r="CVS59" s="49"/>
      <c r="CVT59" s="49"/>
      <c r="CVU59" s="49"/>
      <c r="CVV59" s="64">
        <f t="shared" si="1750"/>
        <v>0</v>
      </c>
      <c r="CVW59" s="68">
        <f t="shared" si="1751"/>
        <v>0</v>
      </c>
      <c r="CVX59" s="48"/>
      <c r="CVY59" s="49">
        <v>503</v>
      </c>
      <c r="CVZ59" s="49">
        <v>194</v>
      </c>
      <c r="CWA59" s="49"/>
      <c r="CWB59" s="49"/>
      <c r="CWC59" s="49"/>
      <c r="CWD59" s="64">
        <f t="shared" si="1752"/>
        <v>697</v>
      </c>
      <c r="CWE59" s="68">
        <f t="shared" si="1753"/>
        <v>116.16666666666667</v>
      </c>
      <c r="CWF59" s="48"/>
      <c r="CWG59" s="49"/>
      <c r="CWH59" s="49"/>
      <c r="CWI59" s="49"/>
      <c r="CWJ59" s="49"/>
      <c r="CWK59" s="49"/>
      <c r="CWL59" s="64">
        <f t="shared" si="1754"/>
        <v>0</v>
      </c>
      <c r="CWM59" s="68">
        <f t="shared" si="1755"/>
        <v>0</v>
      </c>
      <c r="CWN59" s="48"/>
      <c r="CWO59" s="49">
        <v>336</v>
      </c>
      <c r="CWP59" s="49"/>
      <c r="CWQ59" s="49"/>
      <c r="CWR59" s="49"/>
      <c r="CWS59" s="49"/>
      <c r="CWT59" s="64">
        <f t="shared" si="1756"/>
        <v>336</v>
      </c>
      <c r="CWU59" s="68">
        <f t="shared" si="1757"/>
        <v>56</v>
      </c>
      <c r="CWV59" s="48"/>
      <c r="CWW59" s="49"/>
      <c r="CWX59" s="49"/>
      <c r="CWY59" s="49"/>
      <c r="CWZ59" s="49"/>
      <c r="CXA59" s="49"/>
      <c r="CXB59" s="127">
        <f t="shared" si="1758"/>
        <v>0</v>
      </c>
      <c r="CXC59" s="43">
        <f t="shared" si="1759"/>
        <v>0</v>
      </c>
      <c r="CXD59" s="48"/>
      <c r="CXE59" s="49"/>
      <c r="CXF59" s="49">
        <v>645</v>
      </c>
      <c r="CXG59" s="49"/>
      <c r="CXH59" s="49"/>
      <c r="CXI59" s="49"/>
      <c r="CXJ59" s="127">
        <f t="shared" si="1760"/>
        <v>645</v>
      </c>
      <c r="CXK59" s="43">
        <f t="shared" si="1761"/>
        <v>107.5</v>
      </c>
      <c r="CXL59" s="48">
        <v>1344</v>
      </c>
      <c r="CXM59" s="49">
        <v>500</v>
      </c>
      <c r="CXN59" s="49">
        <v>0</v>
      </c>
      <c r="CXO59" s="49">
        <v>0</v>
      </c>
      <c r="CXP59" s="49">
        <v>0</v>
      </c>
      <c r="CXQ59" s="49">
        <v>0</v>
      </c>
      <c r="CXR59" s="127">
        <f t="shared" si="1762"/>
        <v>1844</v>
      </c>
      <c r="CXS59" s="43">
        <f t="shared" si="1763"/>
        <v>307.33333333333331</v>
      </c>
      <c r="CXT59" s="48">
        <v>0</v>
      </c>
      <c r="CXU59" s="49">
        <v>54</v>
      </c>
      <c r="CXV59" s="49">
        <v>0</v>
      </c>
      <c r="CXW59" s="49">
        <v>120</v>
      </c>
      <c r="CXX59" s="49">
        <v>0</v>
      </c>
      <c r="CXY59" s="49">
        <v>0</v>
      </c>
      <c r="CXZ59" s="127">
        <f t="shared" si="1764"/>
        <v>174</v>
      </c>
      <c r="CYA59" s="43">
        <f t="shared" si="1765"/>
        <v>29</v>
      </c>
      <c r="CYB59" s="48">
        <v>0</v>
      </c>
      <c r="CYC59" s="49">
        <v>0</v>
      </c>
      <c r="CYD59" s="49">
        <v>0</v>
      </c>
      <c r="CYE59" s="49">
        <v>0</v>
      </c>
      <c r="CYF59" s="49"/>
      <c r="CYG59" s="49"/>
      <c r="CYH59" s="127">
        <f t="shared" si="1766"/>
        <v>0</v>
      </c>
      <c r="CYI59" s="43">
        <f t="shared" si="1767"/>
        <v>0</v>
      </c>
      <c r="CYJ59" s="48"/>
      <c r="CYK59" s="49">
        <v>350</v>
      </c>
      <c r="CYL59" s="49"/>
      <c r="CYM59" s="49">
        <v>0</v>
      </c>
      <c r="CYN59" s="49">
        <v>0</v>
      </c>
      <c r="CYO59" s="49">
        <v>728</v>
      </c>
      <c r="CYP59" s="127">
        <f t="shared" si="1768"/>
        <v>1078</v>
      </c>
      <c r="CYQ59" s="43">
        <f t="shared" si="1769"/>
        <v>179.66666666666666</v>
      </c>
      <c r="CYR59" s="48">
        <v>0</v>
      </c>
      <c r="CYS59" s="49">
        <v>0</v>
      </c>
      <c r="CYT59" s="49">
        <v>0</v>
      </c>
      <c r="CYU59" s="49">
        <v>605</v>
      </c>
      <c r="CYV59" s="49">
        <v>0</v>
      </c>
      <c r="CYW59" s="49">
        <v>300</v>
      </c>
      <c r="CYX59" s="127">
        <f t="shared" si="1770"/>
        <v>905</v>
      </c>
      <c r="CYY59" s="43">
        <f t="shared" si="1771"/>
        <v>150.83333333333334</v>
      </c>
      <c r="CYZ59" s="48">
        <v>696</v>
      </c>
      <c r="CZA59" s="49">
        <v>0</v>
      </c>
      <c r="CZB59" s="49">
        <v>0</v>
      </c>
      <c r="CZC59" s="49">
        <v>0</v>
      </c>
      <c r="CZD59" s="49">
        <v>1051</v>
      </c>
      <c r="CZE59" s="49">
        <v>0</v>
      </c>
      <c r="CZF59" s="127">
        <f t="shared" si="1772"/>
        <v>1747</v>
      </c>
      <c r="CZG59" s="43">
        <f t="shared" si="1773"/>
        <v>349.4</v>
      </c>
      <c r="CZH59" s="48">
        <v>0</v>
      </c>
      <c r="CZI59" s="49">
        <v>0</v>
      </c>
      <c r="CZJ59" s="49">
        <v>0</v>
      </c>
      <c r="CZK59" s="49">
        <v>0</v>
      </c>
      <c r="CZL59" s="49">
        <v>0</v>
      </c>
      <c r="CZM59" s="49">
        <v>0</v>
      </c>
      <c r="CZN59" s="127">
        <f t="shared" si="1774"/>
        <v>0</v>
      </c>
      <c r="CZO59" s="43">
        <f t="shared" si="1775"/>
        <v>0</v>
      </c>
      <c r="CZP59" s="48"/>
      <c r="CZQ59" s="49">
        <v>0</v>
      </c>
      <c r="CZR59" s="49"/>
      <c r="CZS59" s="49"/>
      <c r="CZT59" s="49">
        <v>0</v>
      </c>
      <c r="CZU59" s="49"/>
      <c r="CZV59" s="127">
        <f t="shared" si="1776"/>
        <v>0</v>
      </c>
      <c r="CZW59" s="43">
        <f t="shared" si="1777"/>
        <v>0</v>
      </c>
      <c r="CZX59" s="48"/>
      <c r="CZY59" s="49">
        <v>1044</v>
      </c>
      <c r="CZZ59" s="49">
        <v>261</v>
      </c>
      <c r="DAA59" s="49">
        <v>0</v>
      </c>
      <c r="DAB59" s="49"/>
      <c r="DAC59" s="49">
        <v>503</v>
      </c>
      <c r="DAD59" s="64">
        <f t="shared" si="1778"/>
        <v>1808</v>
      </c>
      <c r="DAE59" s="68">
        <f t="shared" si="1779"/>
        <v>301.33333333333331</v>
      </c>
      <c r="DAF59" s="48">
        <v>515</v>
      </c>
      <c r="DAG59" s="49">
        <v>0</v>
      </c>
      <c r="DAH59" s="49">
        <v>0</v>
      </c>
      <c r="DAI59" s="49">
        <v>0</v>
      </c>
      <c r="DAJ59" s="49">
        <v>401</v>
      </c>
      <c r="DAK59" s="49">
        <v>0</v>
      </c>
      <c r="DAL59" s="64">
        <f t="shared" si="1780"/>
        <v>916</v>
      </c>
      <c r="DAM59" s="68">
        <f t="shared" si="1781"/>
        <v>152.66666666666666</v>
      </c>
      <c r="DAN59" s="48">
        <v>665</v>
      </c>
      <c r="DAO59" s="49"/>
      <c r="DAP59" s="49"/>
      <c r="DAQ59" s="49"/>
      <c r="DAR59" s="49">
        <v>0</v>
      </c>
      <c r="DAS59" s="49">
        <v>0</v>
      </c>
      <c r="DAT59" s="64">
        <f t="shared" si="1782"/>
        <v>665</v>
      </c>
      <c r="DAU59" s="68">
        <f t="shared" si="1783"/>
        <v>110.83333333333333</v>
      </c>
      <c r="DAV59" s="48"/>
      <c r="DAW59" s="49">
        <v>0</v>
      </c>
      <c r="DAX59" s="49">
        <v>657</v>
      </c>
      <c r="DAY59" s="49">
        <v>0</v>
      </c>
      <c r="DAZ59" s="49">
        <v>0</v>
      </c>
      <c r="DBA59" s="49">
        <v>0</v>
      </c>
      <c r="DBB59" s="64">
        <f t="shared" si="1784"/>
        <v>657</v>
      </c>
      <c r="DBC59" s="68">
        <f t="shared" si="1785"/>
        <v>109.5</v>
      </c>
      <c r="DBD59" s="48"/>
      <c r="DBE59" s="49">
        <v>1324</v>
      </c>
      <c r="DBF59" s="49">
        <v>682</v>
      </c>
      <c r="DBG59" s="49">
        <v>0</v>
      </c>
      <c r="DBH59" s="49"/>
      <c r="DBI59" s="49">
        <v>0</v>
      </c>
      <c r="DBJ59" s="64">
        <f t="shared" si="1786"/>
        <v>2006</v>
      </c>
      <c r="DBK59" s="68">
        <f t="shared" si="1787"/>
        <v>334.33333333333331</v>
      </c>
      <c r="DBL59" s="48">
        <v>666</v>
      </c>
      <c r="DBM59" s="49">
        <v>0</v>
      </c>
      <c r="DBN59" s="49"/>
      <c r="DBO59" s="49"/>
      <c r="DBP59" s="49"/>
      <c r="DBQ59" s="49">
        <v>0</v>
      </c>
      <c r="DBR59" s="64">
        <f t="shared" si="1788"/>
        <v>666</v>
      </c>
      <c r="DBS59" s="68">
        <f t="shared" si="1789"/>
        <v>111</v>
      </c>
      <c r="DBT59" s="48">
        <v>629</v>
      </c>
      <c r="DBU59" s="49"/>
      <c r="DBV59" s="49"/>
      <c r="DBW59" s="49"/>
      <c r="DBX59" s="49"/>
      <c r="DBY59" s="49"/>
      <c r="DBZ59" s="64">
        <f t="shared" si="1790"/>
        <v>629</v>
      </c>
      <c r="DCA59" s="68">
        <f t="shared" si="1791"/>
        <v>125.8</v>
      </c>
      <c r="DCB59" s="48"/>
      <c r="DCC59" s="49">
        <v>405</v>
      </c>
      <c r="DCD59" s="49">
        <v>590</v>
      </c>
      <c r="DCE59" s="49"/>
      <c r="DCF59" s="49"/>
      <c r="DCG59" s="49"/>
      <c r="DCH59" s="64">
        <f t="shared" si="1792"/>
        <v>995</v>
      </c>
      <c r="DCI59" s="68">
        <f t="shared" si="1793"/>
        <v>165.83333333333334</v>
      </c>
      <c r="DCJ59" s="48"/>
      <c r="DCK59" s="49"/>
      <c r="DCL59" s="49"/>
      <c r="DCM59" s="49">
        <v>681</v>
      </c>
      <c r="DCN59" s="49">
        <v>0</v>
      </c>
      <c r="DCO59" s="49"/>
      <c r="DCP59" s="64">
        <f t="shared" si="1794"/>
        <v>681</v>
      </c>
      <c r="DCQ59" s="68">
        <f t="shared" si="1795"/>
        <v>113.5</v>
      </c>
      <c r="DCR59" s="48">
        <v>0</v>
      </c>
      <c r="DCS59" s="49">
        <v>0</v>
      </c>
      <c r="DCT59" s="49">
        <v>0</v>
      </c>
      <c r="DCU59" s="49"/>
      <c r="DCV59" s="49">
        <v>0</v>
      </c>
      <c r="DCW59" s="49">
        <v>602</v>
      </c>
      <c r="DCX59" s="64">
        <f t="shared" si="1796"/>
        <v>602</v>
      </c>
      <c r="DCY59" s="68">
        <f t="shared" si="1797"/>
        <v>100.33333333333333</v>
      </c>
      <c r="DCZ59" s="48">
        <v>524</v>
      </c>
      <c r="DDA59" s="49">
        <v>373</v>
      </c>
      <c r="DDB59" s="49">
        <v>761</v>
      </c>
      <c r="DDC59" s="49"/>
      <c r="DDD59" s="49"/>
      <c r="DDE59" s="49">
        <v>0</v>
      </c>
      <c r="DDF59" s="64">
        <f t="shared" si="1798"/>
        <v>1658</v>
      </c>
      <c r="DDG59" s="68">
        <f t="shared" si="1799"/>
        <v>276.33333333333331</v>
      </c>
      <c r="DDH59" s="48">
        <v>0</v>
      </c>
      <c r="DDI59" s="49"/>
      <c r="DDJ59" s="49"/>
      <c r="DDK59" s="49"/>
      <c r="DDL59" s="49"/>
      <c r="DDM59" s="49">
        <v>0</v>
      </c>
      <c r="DDN59" s="127">
        <f t="shared" si="1800"/>
        <v>0</v>
      </c>
      <c r="DDO59" s="43">
        <f t="shared" si="1801"/>
        <v>0</v>
      </c>
      <c r="DDP59" s="48">
        <v>0</v>
      </c>
      <c r="DDQ59" s="49">
        <v>0</v>
      </c>
      <c r="DDR59" s="49">
        <v>0</v>
      </c>
      <c r="DDS59" s="49">
        <v>0</v>
      </c>
      <c r="DDT59" s="49"/>
      <c r="DDU59" s="49"/>
      <c r="DDV59" s="127">
        <f t="shared" si="1802"/>
        <v>0</v>
      </c>
      <c r="DDW59" s="43">
        <f t="shared" si="1803"/>
        <v>0</v>
      </c>
      <c r="DDX59" s="48">
        <v>668</v>
      </c>
      <c r="DDY59" s="49">
        <v>673</v>
      </c>
      <c r="DDZ59" s="49"/>
      <c r="DEA59" s="49"/>
      <c r="DEB59" s="49">
        <v>0</v>
      </c>
      <c r="DEC59" s="49">
        <v>362</v>
      </c>
      <c r="DED59" s="127">
        <f t="shared" si="1804"/>
        <v>1703</v>
      </c>
      <c r="DEE59" s="43">
        <f t="shared" si="1805"/>
        <v>283.83333333333331</v>
      </c>
      <c r="DEF59" s="48">
        <v>0</v>
      </c>
      <c r="DEG59" s="49"/>
      <c r="DEH59" s="49"/>
      <c r="DEI59" s="49"/>
      <c r="DEJ59" s="49">
        <v>0</v>
      </c>
      <c r="DEK59" s="49"/>
      <c r="DEL59" s="127">
        <f t="shared" si="1806"/>
        <v>0</v>
      </c>
      <c r="DEM59" s="43">
        <f t="shared" si="1807"/>
        <v>0</v>
      </c>
      <c r="DEN59" s="48"/>
      <c r="DEO59" s="49">
        <v>636</v>
      </c>
      <c r="DEP59" s="49"/>
      <c r="DEQ59" s="49">
        <v>550</v>
      </c>
      <c r="DER59" s="49"/>
      <c r="DES59" s="49"/>
      <c r="DET59" s="127">
        <f t="shared" si="1808"/>
        <v>1186</v>
      </c>
      <c r="DEU59" s="43">
        <f t="shared" si="1809"/>
        <v>197.66666666666666</v>
      </c>
      <c r="DEV59" s="48">
        <v>0</v>
      </c>
      <c r="DEW59" s="49">
        <v>281</v>
      </c>
      <c r="DEX59" s="49"/>
      <c r="DEY59" s="49"/>
      <c r="DEZ59" s="49">
        <v>662</v>
      </c>
      <c r="DFA59" s="49">
        <v>0</v>
      </c>
      <c r="DFB59" s="127">
        <f t="shared" si="1810"/>
        <v>943</v>
      </c>
      <c r="DFC59" s="43">
        <f t="shared" si="1811"/>
        <v>157.16666666666666</v>
      </c>
      <c r="DFD59" s="48"/>
      <c r="DFE59" s="49"/>
      <c r="DFF59" s="49">
        <v>667</v>
      </c>
      <c r="DFG59" s="49"/>
      <c r="DFH59" s="49"/>
      <c r="DFI59" s="49"/>
      <c r="DFJ59" s="127">
        <f t="shared" si="1812"/>
        <v>667</v>
      </c>
      <c r="DFK59" s="43">
        <f t="shared" si="1813"/>
        <v>111.16666666666667</v>
      </c>
      <c r="DFL59" s="63"/>
      <c r="DFM59" s="64">
        <v>661</v>
      </c>
      <c r="DFN59" s="64"/>
      <c r="DFO59" s="64"/>
      <c r="DFP59" s="64">
        <v>0</v>
      </c>
      <c r="DFQ59" s="64">
        <v>673</v>
      </c>
      <c r="DFR59" s="64">
        <f t="shared" si="1814"/>
        <v>1334</v>
      </c>
      <c r="DFS59" s="68">
        <f t="shared" si="1815"/>
        <v>222.33333333333334</v>
      </c>
      <c r="DFT59" s="48"/>
      <c r="DFU59" s="49">
        <v>0</v>
      </c>
      <c r="DFV59" s="49"/>
      <c r="DFW59" s="49">
        <v>1346</v>
      </c>
      <c r="DFX59" s="49"/>
      <c r="DFY59" s="49"/>
      <c r="DFZ59" s="127">
        <f t="shared" si="1816"/>
        <v>1346</v>
      </c>
      <c r="DGA59" s="43">
        <f t="shared" si="1817"/>
        <v>224.33333333333334</v>
      </c>
      <c r="DGB59" s="48"/>
      <c r="DGC59" s="49">
        <v>668</v>
      </c>
      <c r="DGD59" s="49">
        <v>652</v>
      </c>
      <c r="DGE59" s="49"/>
      <c r="DGF59" s="49"/>
      <c r="DGG59" s="49">
        <v>0</v>
      </c>
      <c r="DGH59" s="127">
        <f t="shared" si="1818"/>
        <v>1320</v>
      </c>
      <c r="DGI59" s="43">
        <f t="shared" si="1819"/>
        <v>220</v>
      </c>
      <c r="DGJ59" s="48"/>
      <c r="DGK59" s="49"/>
      <c r="DGL59" s="49">
        <v>606</v>
      </c>
      <c r="DGM59" s="49">
        <v>0</v>
      </c>
      <c r="DGN59" s="49"/>
      <c r="DGO59" s="49">
        <v>660</v>
      </c>
      <c r="DGP59" s="64">
        <f t="shared" si="1820"/>
        <v>1266</v>
      </c>
      <c r="DGQ59" s="68">
        <f t="shared" si="1821"/>
        <v>211</v>
      </c>
      <c r="DGR59" s="48">
        <v>945</v>
      </c>
      <c r="DGS59" s="49">
        <v>0</v>
      </c>
      <c r="DGT59" s="49">
        <v>0</v>
      </c>
      <c r="DGU59" s="49"/>
      <c r="DGV59" s="49"/>
      <c r="DGW59" s="49">
        <v>0</v>
      </c>
      <c r="DGX59" s="64">
        <f t="shared" si="1822"/>
        <v>945</v>
      </c>
      <c r="DGY59" s="68">
        <f t="shared" si="1823"/>
        <v>157.5</v>
      </c>
      <c r="DGZ59" s="48"/>
      <c r="DHA59" s="49"/>
      <c r="DHB59" s="49"/>
      <c r="DHC59" s="49"/>
      <c r="DHD59" s="49">
        <v>966</v>
      </c>
      <c r="DHE59" s="49"/>
      <c r="DHF59" s="64">
        <f t="shared" si="1824"/>
        <v>966</v>
      </c>
      <c r="DHG59" s="68">
        <f t="shared" si="1825"/>
        <v>161</v>
      </c>
      <c r="DHH59" s="63">
        <v>0</v>
      </c>
      <c r="DHI59" s="64">
        <v>914</v>
      </c>
      <c r="DHJ59" s="64"/>
      <c r="DHK59" s="64">
        <v>580</v>
      </c>
      <c r="DHL59" s="64"/>
      <c r="DHM59" s="64"/>
      <c r="DHN59" s="64">
        <f t="shared" si="1826"/>
        <v>1494</v>
      </c>
      <c r="DHO59" s="68">
        <f t="shared" si="1827"/>
        <v>249</v>
      </c>
      <c r="DHP59" s="48">
        <v>882</v>
      </c>
      <c r="DHQ59" s="49">
        <v>0</v>
      </c>
      <c r="DHR59" s="49"/>
      <c r="DHS59" s="49"/>
      <c r="DHT59" s="49"/>
      <c r="DHU59" s="49">
        <v>1583</v>
      </c>
      <c r="DHV59" s="64">
        <f t="shared" si="1828"/>
        <v>2465</v>
      </c>
      <c r="DHW59" s="68">
        <f t="shared" si="1829"/>
        <v>410.83333333333331</v>
      </c>
      <c r="DHX59" s="48"/>
      <c r="DHY59" s="49"/>
      <c r="DHZ59" s="49"/>
      <c r="DIA59" s="49"/>
      <c r="DIB59" s="49"/>
      <c r="DIC59" s="49">
        <v>1390</v>
      </c>
      <c r="DID59" s="64">
        <f t="shared" si="1830"/>
        <v>1390</v>
      </c>
      <c r="DIE59" s="68">
        <f t="shared" si="1831"/>
        <v>231.66666666666666</v>
      </c>
      <c r="DIF59" s="48">
        <v>216</v>
      </c>
      <c r="DIG59" s="49"/>
      <c r="DIH59" s="49"/>
      <c r="DII59" s="49">
        <v>933</v>
      </c>
      <c r="DIJ59" s="49"/>
      <c r="DIK59" s="49"/>
      <c r="DIL59" s="64">
        <f t="shared" si="1832"/>
        <v>1149</v>
      </c>
      <c r="DIM59" s="68">
        <f t="shared" si="1833"/>
        <v>191.5</v>
      </c>
      <c r="DIN59" s="48"/>
      <c r="DIO59" s="49"/>
      <c r="DIP59" s="49">
        <v>1345</v>
      </c>
      <c r="DIQ59" s="49"/>
      <c r="DIR59" s="49">
        <v>0</v>
      </c>
      <c r="DIS59" s="49"/>
      <c r="DIT59" s="64">
        <f t="shared" si="1834"/>
        <v>1345</v>
      </c>
      <c r="DIU59" s="68">
        <f t="shared" si="1835"/>
        <v>224.16666666666666</v>
      </c>
      <c r="DIV59" s="48">
        <v>1979</v>
      </c>
      <c r="DIW59" s="49">
        <v>0</v>
      </c>
      <c r="DIX59" s="49"/>
      <c r="DIY59" s="49">
        <v>0</v>
      </c>
      <c r="DIZ59" s="49">
        <v>0</v>
      </c>
      <c r="DJA59" s="49">
        <v>643</v>
      </c>
      <c r="DJB59" s="64">
        <f t="shared" si="1836"/>
        <v>2622</v>
      </c>
      <c r="DJC59" s="68">
        <f t="shared" si="1837"/>
        <v>437</v>
      </c>
      <c r="DJD59" s="48">
        <v>0</v>
      </c>
      <c r="DJE59" s="49"/>
      <c r="DJF59" s="49"/>
      <c r="DJG59" s="49"/>
      <c r="DJH59" s="49">
        <v>1664</v>
      </c>
      <c r="DJI59" s="49"/>
      <c r="DJJ59" s="64">
        <f t="shared" si="1838"/>
        <v>1664</v>
      </c>
      <c r="DJK59" s="68">
        <f t="shared" si="1839"/>
        <v>277.33333333333331</v>
      </c>
      <c r="DJL59" s="48">
        <v>0</v>
      </c>
      <c r="DJM59" s="49"/>
      <c r="DJN59" s="49"/>
      <c r="DJO59" s="49"/>
      <c r="DJP59" s="49">
        <v>3258</v>
      </c>
      <c r="DJQ59" s="49">
        <v>0</v>
      </c>
      <c r="DJR59" s="64">
        <f t="shared" si="1840"/>
        <v>3258</v>
      </c>
      <c r="DJS59" s="68">
        <f t="shared" si="1841"/>
        <v>543</v>
      </c>
      <c r="DJT59" s="48"/>
      <c r="DJU59" s="49"/>
      <c r="DJV59" s="49">
        <v>0</v>
      </c>
      <c r="DJW59" s="49"/>
      <c r="DJX59" s="49">
        <v>0</v>
      </c>
      <c r="DJY59" s="49">
        <v>44</v>
      </c>
      <c r="DJZ59" s="64">
        <f t="shared" si="1842"/>
        <v>44</v>
      </c>
      <c r="DKA59" s="68">
        <f t="shared" si="1843"/>
        <v>7.333333333333333</v>
      </c>
      <c r="DKB59" s="48">
        <v>507</v>
      </c>
      <c r="DKC59" s="49"/>
      <c r="DKD59" s="49">
        <v>930</v>
      </c>
      <c r="DKE59" s="49">
        <v>0</v>
      </c>
      <c r="DKF59" s="49">
        <v>0</v>
      </c>
      <c r="DKG59" s="49">
        <v>0</v>
      </c>
      <c r="DKH59" s="64">
        <f t="shared" si="1844"/>
        <v>1437</v>
      </c>
      <c r="DKI59" s="68">
        <f t="shared" si="1845"/>
        <v>239.5</v>
      </c>
      <c r="DKJ59" s="48"/>
      <c r="DKK59" s="49"/>
      <c r="DKL59" s="49">
        <v>552</v>
      </c>
      <c r="DKM59" s="49"/>
      <c r="DKN59" s="49">
        <v>0</v>
      </c>
      <c r="DKO59" s="49"/>
      <c r="DKP59" s="64">
        <f t="shared" si="1846"/>
        <v>552</v>
      </c>
      <c r="DKQ59" s="68">
        <f t="shared" si="1847"/>
        <v>92</v>
      </c>
      <c r="DKR59" s="48"/>
      <c r="DKS59" s="49">
        <v>0</v>
      </c>
      <c r="DKT59" s="49"/>
      <c r="DKU59" s="49">
        <v>0</v>
      </c>
      <c r="DKV59" s="49">
        <v>1287</v>
      </c>
      <c r="DKW59" s="49"/>
      <c r="DKX59" s="64">
        <f t="shared" si="1848"/>
        <v>1287</v>
      </c>
      <c r="DKY59" s="68">
        <f t="shared" si="1849"/>
        <v>214.5</v>
      </c>
      <c r="DKZ59" s="48"/>
      <c r="DLA59" s="49">
        <v>0</v>
      </c>
      <c r="DLB59" s="49">
        <v>0</v>
      </c>
      <c r="DLC59" s="49">
        <v>0</v>
      </c>
      <c r="DLD59" s="49"/>
      <c r="DLE59" s="49">
        <v>1646</v>
      </c>
      <c r="DLF59" s="64">
        <f t="shared" si="1850"/>
        <v>1646</v>
      </c>
      <c r="DLG59" s="68">
        <f t="shared" si="1851"/>
        <v>274.33333333333331</v>
      </c>
      <c r="DLH59" s="48"/>
      <c r="DLI59" s="49"/>
      <c r="DLJ59" s="49">
        <v>669</v>
      </c>
      <c r="DLK59" s="49"/>
      <c r="DLL59" s="49"/>
      <c r="DLM59" s="49"/>
      <c r="DLN59" s="64">
        <f t="shared" si="1852"/>
        <v>669</v>
      </c>
      <c r="DLO59" s="68">
        <f t="shared" si="1853"/>
        <v>111.5</v>
      </c>
      <c r="DLP59" s="48"/>
      <c r="DLQ59" s="49"/>
      <c r="DLR59" s="49">
        <v>1546</v>
      </c>
      <c r="DLS59" s="49"/>
      <c r="DLT59" s="49">
        <v>941</v>
      </c>
      <c r="DLU59" s="49"/>
      <c r="DLV59" s="64">
        <f t="shared" si="1854"/>
        <v>2487</v>
      </c>
      <c r="DLW59" s="68">
        <f t="shared" si="1855"/>
        <v>414.5</v>
      </c>
      <c r="DLX59" s="48">
        <v>0</v>
      </c>
      <c r="DLY59" s="49"/>
      <c r="DLZ59" s="49"/>
      <c r="DMA59" s="49"/>
      <c r="DMB59" s="49"/>
      <c r="DMC59" s="49">
        <v>996</v>
      </c>
      <c r="DMD59" s="64">
        <f t="shared" si="1856"/>
        <v>996</v>
      </c>
      <c r="DME59" s="68">
        <f t="shared" si="1857"/>
        <v>166</v>
      </c>
      <c r="DMF59" s="48"/>
      <c r="DMG59" s="49"/>
      <c r="DMH59" s="49"/>
      <c r="DMI59" s="49">
        <v>2640</v>
      </c>
      <c r="DMJ59" s="49">
        <v>322</v>
      </c>
      <c r="DMK59" s="49"/>
      <c r="DML59" s="64">
        <f t="shared" si="1858"/>
        <v>2962</v>
      </c>
      <c r="DMM59" s="68">
        <f t="shared" si="1859"/>
        <v>493.66666666666669</v>
      </c>
      <c r="DMN59" s="48"/>
      <c r="DMO59" s="49"/>
      <c r="DMP59" s="49"/>
      <c r="DMQ59" s="49">
        <v>330</v>
      </c>
      <c r="DMR59" s="49">
        <v>400</v>
      </c>
      <c r="DMS59" s="49">
        <v>600</v>
      </c>
      <c r="DMT59" s="64">
        <f t="shared" si="1860"/>
        <v>1330</v>
      </c>
      <c r="DMU59" s="68">
        <f t="shared" si="1861"/>
        <v>221.66666666666666</v>
      </c>
      <c r="DMV59" s="48">
        <v>300</v>
      </c>
      <c r="DMW59" s="49">
        <v>371</v>
      </c>
      <c r="DMX59" s="49">
        <v>0</v>
      </c>
      <c r="DMY59" s="49">
        <v>0</v>
      </c>
      <c r="DMZ59" s="49">
        <v>1710</v>
      </c>
      <c r="DNA59" s="49">
        <v>0</v>
      </c>
      <c r="DNB59" s="64">
        <f t="shared" si="1862"/>
        <v>2381</v>
      </c>
      <c r="DNC59" s="68">
        <f t="shared" si="1863"/>
        <v>396.83333333333331</v>
      </c>
      <c r="DND59" s="48"/>
      <c r="DNE59" s="49">
        <v>0</v>
      </c>
      <c r="DNF59" s="49">
        <v>1000</v>
      </c>
      <c r="DNG59" s="49"/>
      <c r="DNH59" s="49"/>
      <c r="DNI59" s="49"/>
      <c r="DNJ59" s="64">
        <f t="shared" si="1864"/>
        <v>1000</v>
      </c>
      <c r="DNK59" s="68">
        <f t="shared" si="1865"/>
        <v>166.66666666666666</v>
      </c>
      <c r="DNL59" s="48"/>
      <c r="DNM59" s="49">
        <v>996</v>
      </c>
      <c r="DNN59" s="49">
        <v>294</v>
      </c>
      <c r="DNO59" s="49"/>
      <c r="DNP59" s="49"/>
      <c r="DNQ59" s="49">
        <v>1018</v>
      </c>
      <c r="DNR59" s="64">
        <f t="shared" si="1866"/>
        <v>2308</v>
      </c>
      <c r="DNS59" s="68">
        <f t="shared" si="1867"/>
        <v>384.66666666666669</v>
      </c>
      <c r="DNT59" s="48"/>
      <c r="DNU59" s="49"/>
      <c r="DNV59" s="49">
        <v>100</v>
      </c>
      <c r="DNW59" s="49">
        <v>902</v>
      </c>
      <c r="DNX59" s="49">
        <v>1411</v>
      </c>
      <c r="DNY59" s="49">
        <v>0</v>
      </c>
      <c r="DNZ59" s="64">
        <f t="shared" si="1868"/>
        <v>2413</v>
      </c>
      <c r="DOA59" s="68">
        <f t="shared" si="1869"/>
        <v>402.16666666666669</v>
      </c>
      <c r="DOB59" s="48"/>
      <c r="DOC59" s="49"/>
      <c r="DOD59" s="49"/>
      <c r="DOE59" s="49">
        <v>0</v>
      </c>
      <c r="DOF59" s="49">
        <v>1920</v>
      </c>
      <c r="DOG59" s="49">
        <v>490</v>
      </c>
      <c r="DOH59" s="64">
        <f t="shared" si="1870"/>
        <v>2410</v>
      </c>
      <c r="DOI59" s="68">
        <f t="shared" si="1871"/>
        <v>401.66666666666669</v>
      </c>
      <c r="DOJ59" s="48"/>
      <c r="DOK59" s="49">
        <v>0</v>
      </c>
      <c r="DOL59" s="49"/>
      <c r="DOM59" s="49"/>
      <c r="DON59" s="49"/>
      <c r="DOO59" s="49">
        <v>0</v>
      </c>
      <c r="DOP59" s="64">
        <f t="shared" si="1872"/>
        <v>0</v>
      </c>
      <c r="DOQ59" s="68">
        <f t="shared" si="1873"/>
        <v>0</v>
      </c>
      <c r="DOR59" s="48">
        <v>903</v>
      </c>
      <c r="DOS59" s="49">
        <v>1703</v>
      </c>
      <c r="DOT59" s="49"/>
      <c r="DOU59" s="49">
        <v>322</v>
      </c>
      <c r="DOV59" s="49">
        <v>2272</v>
      </c>
      <c r="DOW59" s="49"/>
      <c r="DOX59" s="64">
        <f t="shared" si="1874"/>
        <v>5200</v>
      </c>
      <c r="DOY59" s="68">
        <f t="shared" si="1875"/>
        <v>866.66666666666663</v>
      </c>
      <c r="DOZ59" s="48"/>
      <c r="DPA59" s="49"/>
      <c r="DPB59" s="49"/>
      <c r="DPC59" s="49">
        <v>1965</v>
      </c>
      <c r="DPD59" s="49"/>
      <c r="DPE59" s="49">
        <v>0</v>
      </c>
      <c r="DPF59" s="64">
        <f t="shared" si="1876"/>
        <v>1965</v>
      </c>
      <c r="DPG59" s="68">
        <f t="shared" si="1877"/>
        <v>327.5</v>
      </c>
      <c r="DPH59" s="48">
        <v>2588</v>
      </c>
      <c r="DPI59" s="49"/>
      <c r="DPJ59" s="49"/>
      <c r="DPK59" s="49"/>
      <c r="DPL59" s="49"/>
      <c r="DPM59" s="49"/>
      <c r="DPN59" s="64">
        <f t="shared" si="1878"/>
        <v>2588</v>
      </c>
      <c r="DPO59" s="68">
        <f t="shared" si="1879"/>
        <v>431.33333333333331</v>
      </c>
      <c r="DPP59" s="48">
        <v>1365</v>
      </c>
      <c r="DPQ59" s="49">
        <v>932</v>
      </c>
      <c r="DPR59" s="49">
        <v>0</v>
      </c>
      <c r="DPS59" s="49"/>
      <c r="DPT59" s="49"/>
      <c r="DPU59" s="49"/>
      <c r="DPV59" s="491">
        <f t="shared" si="1880"/>
        <v>2297</v>
      </c>
      <c r="DPW59" s="492">
        <f t="shared" si="1881"/>
        <v>382.83333333333331</v>
      </c>
      <c r="DPX59" s="48">
        <v>0</v>
      </c>
      <c r="DPY59" s="49"/>
      <c r="DPZ59" s="49">
        <v>880</v>
      </c>
      <c r="DQA59" s="49">
        <v>1450</v>
      </c>
      <c r="DQB59" s="49">
        <v>0</v>
      </c>
      <c r="DQC59" s="49">
        <v>0</v>
      </c>
      <c r="DQD59" s="491">
        <f t="shared" si="1882"/>
        <v>2330</v>
      </c>
      <c r="DQE59" s="492">
        <f t="shared" si="1883"/>
        <v>388.33333333333331</v>
      </c>
      <c r="DQF59" s="48"/>
      <c r="DQG59" s="49">
        <v>0</v>
      </c>
      <c r="DQH59" s="49"/>
      <c r="DQI59" s="49"/>
      <c r="DQJ59" s="49">
        <v>1640</v>
      </c>
      <c r="DQK59" s="49"/>
      <c r="DQL59" s="489">
        <f t="shared" si="1884"/>
        <v>1640</v>
      </c>
      <c r="DQM59" s="492">
        <f t="shared" si="1885"/>
        <v>273.33333333333331</v>
      </c>
      <c r="DQN59" s="48">
        <v>0</v>
      </c>
      <c r="DQO59" s="49">
        <v>0</v>
      </c>
      <c r="DQP59" s="49">
        <v>0</v>
      </c>
      <c r="DQQ59" s="49">
        <v>1683</v>
      </c>
      <c r="DQR59" s="49">
        <v>1361</v>
      </c>
      <c r="DQS59" s="49">
        <v>0</v>
      </c>
      <c r="DQT59" s="64">
        <f t="shared" si="1886"/>
        <v>3044</v>
      </c>
      <c r="DQU59" s="68">
        <f t="shared" si="1887"/>
        <v>507.33333333333331</v>
      </c>
      <c r="DQV59" s="48"/>
      <c r="DQW59" s="49"/>
      <c r="DQX59" s="49"/>
      <c r="DQY59" s="49">
        <v>2621</v>
      </c>
      <c r="DQZ59" s="49">
        <v>0</v>
      </c>
      <c r="DRA59" s="49"/>
      <c r="DRB59" s="491">
        <f t="shared" si="1888"/>
        <v>2621</v>
      </c>
      <c r="DRC59" s="492">
        <f t="shared" si="1889"/>
        <v>436.83333333333331</v>
      </c>
      <c r="DRD59" s="48">
        <v>0</v>
      </c>
      <c r="DRE59" s="49"/>
      <c r="DRF59" s="49">
        <v>1210</v>
      </c>
      <c r="DRG59" s="49">
        <v>775</v>
      </c>
      <c r="DRH59" s="49"/>
      <c r="DRI59" s="49"/>
      <c r="DRJ59" s="491">
        <f t="shared" si="1890"/>
        <v>1985</v>
      </c>
      <c r="DRK59" s="492">
        <f t="shared" si="1891"/>
        <v>330.83333333333331</v>
      </c>
      <c r="DRL59" s="48">
        <v>0</v>
      </c>
      <c r="DRM59" s="49">
        <v>3080</v>
      </c>
      <c r="DRN59" s="49">
        <v>264</v>
      </c>
      <c r="DRO59" s="49"/>
      <c r="DRP59" s="49">
        <v>0</v>
      </c>
      <c r="DRQ59" s="49"/>
      <c r="DRR59" s="64">
        <f t="shared" si="1587"/>
        <v>3344</v>
      </c>
      <c r="DRS59" s="68">
        <f t="shared" si="1588"/>
        <v>557.33333333333337</v>
      </c>
      <c r="DRT59" s="48">
        <v>0</v>
      </c>
      <c r="DRU59" s="49"/>
      <c r="DRV59" s="49">
        <v>3869</v>
      </c>
      <c r="DRW59" s="49">
        <v>508</v>
      </c>
      <c r="DRX59" s="49">
        <v>0</v>
      </c>
      <c r="DRY59" s="49"/>
      <c r="DRZ59" s="491">
        <f t="shared" si="1589"/>
        <v>4377</v>
      </c>
      <c r="DSA59" s="68">
        <f t="shared" si="1590"/>
        <v>729.5</v>
      </c>
      <c r="DSB59" s="82"/>
      <c r="DSC59" s="83"/>
      <c r="DSD59" s="83">
        <v>4027</v>
      </c>
      <c r="DSE59" s="83"/>
      <c r="DSF59" s="83">
        <v>0</v>
      </c>
      <c r="DSG59" s="83">
        <v>1548</v>
      </c>
      <c r="DSH59" s="64">
        <f t="shared" si="1591"/>
        <v>5575</v>
      </c>
      <c r="DSI59" s="68">
        <f t="shared" si="1592"/>
        <v>929.16666666666663</v>
      </c>
      <c r="DSJ59" s="48">
        <v>0</v>
      </c>
      <c r="DSK59" s="49"/>
      <c r="DSL59" s="49"/>
      <c r="DSM59" s="49">
        <v>0</v>
      </c>
      <c r="DSN59" s="49"/>
      <c r="DSO59" s="49">
        <v>0</v>
      </c>
      <c r="DSP59" s="64">
        <f t="shared" si="1593"/>
        <v>0</v>
      </c>
      <c r="DSQ59" s="68">
        <f t="shared" si="1594"/>
        <v>0</v>
      </c>
      <c r="DSR59" s="48"/>
      <c r="DSS59" s="49"/>
      <c r="DST59" s="49">
        <v>0</v>
      </c>
      <c r="DSU59" s="49">
        <v>3345</v>
      </c>
      <c r="DSV59" s="49">
        <v>5</v>
      </c>
      <c r="DSW59" s="49"/>
      <c r="DSX59" s="64">
        <f t="shared" si="1595"/>
        <v>3350</v>
      </c>
      <c r="DSY59" s="68">
        <f t="shared" si="1596"/>
        <v>558.33333333333337</v>
      </c>
      <c r="DSZ59" s="48"/>
      <c r="DTA59" s="49">
        <v>301</v>
      </c>
      <c r="DTB59" s="49">
        <v>2246</v>
      </c>
      <c r="DTC59" s="49">
        <v>146</v>
      </c>
      <c r="DTD59" s="49"/>
      <c r="DTE59" s="49"/>
      <c r="DTF59" s="64">
        <f t="shared" si="1597"/>
        <v>2693</v>
      </c>
      <c r="DTG59" s="68">
        <f t="shared" si="1598"/>
        <v>448.83333333333331</v>
      </c>
      <c r="DTH59" s="48">
        <v>0</v>
      </c>
      <c r="DTI59" s="49"/>
      <c r="DTJ59" s="49">
        <v>0</v>
      </c>
      <c r="DTK59" s="49">
        <v>0</v>
      </c>
      <c r="DTL59" s="49">
        <v>0</v>
      </c>
      <c r="DTM59" s="49">
        <v>2500</v>
      </c>
      <c r="DTN59" s="64">
        <f t="shared" si="1599"/>
        <v>2500</v>
      </c>
      <c r="DTO59" s="68">
        <f t="shared" si="1600"/>
        <v>416.66666666666669</v>
      </c>
      <c r="DTP59" s="48">
        <v>849</v>
      </c>
      <c r="DTQ59" s="49"/>
      <c r="DTR59" s="49"/>
      <c r="DTS59" s="49"/>
      <c r="DTT59" s="49">
        <v>1432</v>
      </c>
      <c r="DTU59" s="49">
        <v>2202</v>
      </c>
      <c r="DTV59" s="64">
        <f t="shared" si="1601"/>
        <v>4483</v>
      </c>
      <c r="DTW59" s="68">
        <f t="shared" si="1602"/>
        <v>747.16666666666663</v>
      </c>
      <c r="DTX59" s="48">
        <v>900</v>
      </c>
      <c r="DTY59" s="49">
        <v>510</v>
      </c>
      <c r="DTZ59" s="49">
        <v>5</v>
      </c>
      <c r="DUA59" s="49"/>
      <c r="DUB59" s="49">
        <v>0</v>
      </c>
      <c r="DUC59" s="49">
        <v>0</v>
      </c>
      <c r="DUD59" s="64">
        <f t="shared" si="1603"/>
        <v>1415</v>
      </c>
      <c r="DUE59" s="68">
        <f t="shared" si="1604"/>
        <v>235.83333333333334</v>
      </c>
      <c r="DUF59" s="48">
        <v>2597</v>
      </c>
      <c r="DUG59" s="49">
        <v>716</v>
      </c>
      <c r="DUH59" s="49"/>
      <c r="DUI59" s="49">
        <v>397</v>
      </c>
      <c r="DUJ59" s="49">
        <v>3085</v>
      </c>
      <c r="DUK59" s="49">
        <v>0</v>
      </c>
      <c r="DUL59" s="64">
        <f t="shared" si="1605"/>
        <v>6795</v>
      </c>
      <c r="DUM59" s="68">
        <f t="shared" si="1606"/>
        <v>1132.5</v>
      </c>
      <c r="DUN59" s="48"/>
      <c r="DUO59" s="49">
        <v>0</v>
      </c>
      <c r="DUP59" s="49">
        <v>4371</v>
      </c>
      <c r="DUQ59" s="49">
        <v>5</v>
      </c>
      <c r="DUR59" s="49"/>
      <c r="DUS59" s="49">
        <v>0</v>
      </c>
      <c r="DUT59" s="64">
        <f t="shared" si="1607"/>
        <v>4376</v>
      </c>
      <c r="DUU59" s="68">
        <f t="shared" si="1608"/>
        <v>729.33333333333337</v>
      </c>
      <c r="DUV59" s="48"/>
      <c r="DUW59" s="49">
        <v>0</v>
      </c>
      <c r="DUX59" s="49">
        <v>5</v>
      </c>
      <c r="DUY59" s="49">
        <v>1929</v>
      </c>
      <c r="DUZ59" s="49">
        <v>0</v>
      </c>
      <c r="DVA59" s="49"/>
      <c r="DVB59" s="64">
        <f t="shared" si="1609"/>
        <v>1934</v>
      </c>
      <c r="DVC59" s="68">
        <f t="shared" si="1610"/>
        <v>322.33333333333331</v>
      </c>
      <c r="DVD59" s="48"/>
      <c r="DVE59" s="49">
        <v>2860</v>
      </c>
      <c r="DVF59" s="49">
        <v>507</v>
      </c>
      <c r="DVG59" s="49">
        <v>0</v>
      </c>
      <c r="DVH59" s="49">
        <v>0</v>
      </c>
      <c r="DVI59" s="49">
        <v>0</v>
      </c>
      <c r="DVJ59" s="64">
        <f t="shared" si="1611"/>
        <v>3367</v>
      </c>
      <c r="DVK59" s="68">
        <f t="shared" si="1612"/>
        <v>561.16666666666663</v>
      </c>
      <c r="DVL59" s="48"/>
      <c r="DVM59" s="49">
        <v>2</v>
      </c>
      <c r="DVN59" s="49">
        <v>1356</v>
      </c>
      <c r="DVO59" s="49">
        <v>3336</v>
      </c>
      <c r="DVP59" s="49">
        <v>2</v>
      </c>
      <c r="DVQ59" s="49">
        <v>0</v>
      </c>
      <c r="DVR59" s="64">
        <f t="shared" si="1613"/>
        <v>4696</v>
      </c>
      <c r="DVS59" s="68">
        <f t="shared" si="1614"/>
        <v>782.66666666666663</v>
      </c>
      <c r="DVT59" s="48"/>
      <c r="DVU59" s="49">
        <v>2588</v>
      </c>
      <c r="DVV59" s="49">
        <v>1</v>
      </c>
      <c r="DVW59" s="49">
        <v>0</v>
      </c>
      <c r="DVX59" s="49">
        <v>1100</v>
      </c>
      <c r="DVY59" s="49">
        <v>3994</v>
      </c>
      <c r="DVZ59" s="64">
        <f t="shared" si="1615"/>
        <v>7683</v>
      </c>
      <c r="DWA59" s="68">
        <f t="shared" si="1616"/>
        <v>1280.5</v>
      </c>
      <c r="DWB59" s="48">
        <v>0</v>
      </c>
      <c r="DWC59" s="49">
        <v>0</v>
      </c>
      <c r="DWD59" s="49">
        <v>0</v>
      </c>
      <c r="DWE59" s="49">
        <v>0</v>
      </c>
      <c r="DWF59" s="49">
        <v>3345</v>
      </c>
      <c r="DWG59" s="49"/>
      <c r="DWH59" s="64">
        <f t="shared" si="1617"/>
        <v>3345</v>
      </c>
      <c r="DWI59" s="68">
        <f t="shared" si="1618"/>
        <v>557.5</v>
      </c>
      <c r="DWJ59" s="48">
        <v>2347</v>
      </c>
      <c r="DWK59" s="49">
        <v>0</v>
      </c>
      <c r="DWL59" s="49">
        <v>648</v>
      </c>
      <c r="DWM59" s="49"/>
      <c r="DWN59" s="49">
        <v>0</v>
      </c>
      <c r="DWO59" s="49"/>
      <c r="DWP59" s="64">
        <f t="shared" si="1619"/>
        <v>2995</v>
      </c>
      <c r="DWQ59" s="68">
        <f t="shared" si="1620"/>
        <v>499.16666666666669</v>
      </c>
      <c r="DWR59" s="48"/>
      <c r="DWS59" s="49"/>
      <c r="DWT59" s="49">
        <v>3037</v>
      </c>
      <c r="DWU59" s="49"/>
      <c r="DWV59" s="49">
        <v>0</v>
      </c>
      <c r="DWW59" s="49">
        <v>2001</v>
      </c>
      <c r="DWX59" s="64">
        <f t="shared" si="1621"/>
        <v>5038</v>
      </c>
      <c r="DWY59" s="68">
        <f t="shared" si="1622"/>
        <v>839.66666666666663</v>
      </c>
      <c r="DWZ59" s="48">
        <v>0</v>
      </c>
      <c r="DXA59" s="49">
        <v>2533</v>
      </c>
      <c r="DXB59" s="49"/>
      <c r="DXC59" s="49">
        <v>0</v>
      </c>
      <c r="DXD59" s="49">
        <v>2828</v>
      </c>
      <c r="DXE59" s="49"/>
      <c r="DXF59" s="64">
        <f t="shared" si="1623"/>
        <v>5361</v>
      </c>
      <c r="DXG59" s="68">
        <f t="shared" si="1624"/>
        <v>893.5</v>
      </c>
      <c r="DXH59" s="48">
        <v>0</v>
      </c>
      <c r="DXI59" s="49">
        <v>0</v>
      </c>
      <c r="DXJ59" s="49">
        <v>0</v>
      </c>
      <c r="DXK59" s="49">
        <v>2000</v>
      </c>
      <c r="DXL59" s="49"/>
      <c r="DXM59" s="49">
        <v>1165</v>
      </c>
      <c r="DXN59" s="64">
        <f t="shared" si="1625"/>
        <v>3165</v>
      </c>
      <c r="DXO59" s="68">
        <f t="shared" si="1626"/>
        <v>527.5</v>
      </c>
      <c r="DXP59" s="48">
        <v>1148</v>
      </c>
      <c r="DXQ59" s="49">
        <v>0</v>
      </c>
      <c r="DXR59" s="49">
        <v>4464</v>
      </c>
      <c r="DXS59" s="49">
        <v>461</v>
      </c>
      <c r="DXT59" s="49"/>
      <c r="DXU59" s="49"/>
      <c r="DXV59" s="64">
        <f t="shared" si="1320"/>
        <v>6073</v>
      </c>
      <c r="DXW59" s="68">
        <f t="shared" si="1321"/>
        <v>1012.1666666666666</v>
      </c>
      <c r="DXX59" s="48">
        <v>0</v>
      </c>
      <c r="DXY59" s="49"/>
      <c r="DXZ59" s="49">
        <v>0</v>
      </c>
      <c r="DYA59" s="49">
        <v>0</v>
      </c>
      <c r="DYB59" s="49">
        <v>0</v>
      </c>
      <c r="DYC59" s="49">
        <v>3322</v>
      </c>
      <c r="DYD59" s="64">
        <f t="shared" si="1322"/>
        <v>3322</v>
      </c>
      <c r="DYE59" s="68">
        <f t="shared" si="1323"/>
        <v>553.66666666666663</v>
      </c>
      <c r="DYF59" s="48">
        <v>0</v>
      </c>
      <c r="DYG59" s="49">
        <v>0</v>
      </c>
      <c r="DYH59" s="49">
        <v>0</v>
      </c>
      <c r="DYI59" s="49">
        <v>900</v>
      </c>
      <c r="DYJ59" s="49">
        <v>0</v>
      </c>
      <c r="DYK59" s="49"/>
      <c r="DYL59" s="64">
        <f t="shared" si="1324"/>
        <v>900</v>
      </c>
      <c r="DYM59" s="68">
        <f t="shared" si="1325"/>
        <v>150</v>
      </c>
      <c r="DYN59" s="48"/>
      <c r="DYO59" s="49">
        <v>0</v>
      </c>
      <c r="DYP59" s="49">
        <v>0</v>
      </c>
      <c r="DYQ59" s="49">
        <v>600</v>
      </c>
      <c r="DYR59" s="49"/>
      <c r="DYS59" s="49"/>
      <c r="DYT59" s="64">
        <f t="shared" si="1326"/>
        <v>600</v>
      </c>
      <c r="DYU59" s="68">
        <f t="shared" si="1327"/>
        <v>100</v>
      </c>
      <c r="DYV59" s="48">
        <v>0</v>
      </c>
      <c r="DYW59" s="49">
        <v>1467</v>
      </c>
      <c r="DYX59" s="49">
        <v>494</v>
      </c>
      <c r="DYY59" s="49">
        <v>0</v>
      </c>
      <c r="DYZ59" s="49">
        <v>1230</v>
      </c>
      <c r="DZA59" s="49">
        <v>2238</v>
      </c>
      <c r="DZB59" s="64">
        <f t="shared" si="1328"/>
        <v>5429</v>
      </c>
      <c r="DZC59" s="68">
        <f t="shared" si="1329"/>
        <v>904.83333333333337</v>
      </c>
      <c r="DZD59" s="48"/>
      <c r="DZE59" s="49"/>
      <c r="DZF59" s="49"/>
      <c r="DZG59" s="49">
        <v>0</v>
      </c>
      <c r="DZH59" s="49">
        <v>967</v>
      </c>
      <c r="DZI59" s="49">
        <v>667</v>
      </c>
      <c r="DZJ59" s="64">
        <f t="shared" si="1330"/>
        <v>1634</v>
      </c>
      <c r="DZK59" s="68">
        <f t="shared" si="1331"/>
        <v>272.33333333333331</v>
      </c>
      <c r="DZL59" s="48">
        <v>0</v>
      </c>
      <c r="DZM59" s="49">
        <v>0</v>
      </c>
      <c r="DZN59" s="49"/>
      <c r="DZO59" s="49"/>
      <c r="DZP59" s="49">
        <v>330</v>
      </c>
      <c r="DZQ59" s="49">
        <v>1000</v>
      </c>
      <c r="DZR59" s="64">
        <f t="shared" si="1332"/>
        <v>1330</v>
      </c>
      <c r="DZS59" s="68">
        <f t="shared" si="1333"/>
        <v>221.66666666666666</v>
      </c>
      <c r="DZT59" s="48">
        <v>660</v>
      </c>
      <c r="DZU59" s="49">
        <v>988</v>
      </c>
      <c r="DZV59" s="49"/>
      <c r="DZW59" s="49"/>
      <c r="DZX59" s="49"/>
      <c r="DZY59" s="49"/>
      <c r="DZZ59" s="64">
        <f t="shared" si="1334"/>
        <v>1648</v>
      </c>
      <c r="EAA59" s="68">
        <f t="shared" si="1335"/>
        <v>274.66666666666669</v>
      </c>
      <c r="EAB59" s="48"/>
      <c r="EAC59" s="49"/>
      <c r="EAD59" s="49">
        <v>0</v>
      </c>
      <c r="EAE59" s="49"/>
      <c r="EAF59" s="49">
        <v>989</v>
      </c>
      <c r="EAG59" s="49"/>
      <c r="EAH59" s="64">
        <f t="shared" si="1336"/>
        <v>989</v>
      </c>
      <c r="EAI59" s="68">
        <f t="shared" si="1337"/>
        <v>164.83333333333334</v>
      </c>
      <c r="EAJ59" s="48">
        <v>0</v>
      </c>
      <c r="EAK59" s="49"/>
      <c r="EAL59" s="49"/>
      <c r="EAM59" s="49"/>
      <c r="EAN59" s="49">
        <v>0</v>
      </c>
      <c r="EAO59" s="49">
        <v>0</v>
      </c>
      <c r="EAP59" s="64">
        <f t="shared" si="1338"/>
        <v>0</v>
      </c>
      <c r="EAQ59" s="68">
        <f t="shared" si="1339"/>
        <v>0</v>
      </c>
      <c r="EAR59" s="48"/>
      <c r="EAS59" s="49"/>
      <c r="EAT59" s="49">
        <v>1210</v>
      </c>
      <c r="EAU59" s="49">
        <v>445</v>
      </c>
      <c r="EAV59" s="49">
        <v>0</v>
      </c>
      <c r="EAW59" s="49"/>
      <c r="EAX59" s="64">
        <f t="shared" si="1340"/>
        <v>1655</v>
      </c>
      <c r="EAY59" s="68">
        <f t="shared" si="1341"/>
        <v>275.83333333333331</v>
      </c>
      <c r="EAZ59" s="48"/>
      <c r="EBA59" s="49"/>
      <c r="EBB59" s="49">
        <v>2327</v>
      </c>
      <c r="EBC59" s="49">
        <v>0</v>
      </c>
      <c r="EBD59" s="49">
        <v>0</v>
      </c>
      <c r="EBE59" s="49">
        <v>0</v>
      </c>
      <c r="EBF59" s="64">
        <f t="shared" si="1342"/>
        <v>2327</v>
      </c>
      <c r="EBG59" s="68">
        <f t="shared" si="1343"/>
        <v>387.83333333333331</v>
      </c>
      <c r="EBH59" s="48">
        <v>0</v>
      </c>
      <c r="EBI59" s="49">
        <v>0</v>
      </c>
      <c r="EBJ59" s="49">
        <v>1912</v>
      </c>
      <c r="EBK59" s="49">
        <v>0</v>
      </c>
      <c r="EBL59" s="49"/>
      <c r="EBM59" s="49">
        <v>0</v>
      </c>
      <c r="EBN59" s="64">
        <f t="shared" si="1344"/>
        <v>1912</v>
      </c>
      <c r="EBO59" s="68">
        <f t="shared" si="1345"/>
        <v>318.66666666666669</v>
      </c>
      <c r="EBP59" s="48">
        <v>0</v>
      </c>
      <c r="EBQ59" s="49"/>
      <c r="EBR59" s="49"/>
      <c r="EBS59" s="49">
        <v>1273</v>
      </c>
      <c r="EBT59" s="49"/>
      <c r="EBU59" s="49"/>
      <c r="EBV59" s="64">
        <f t="shared" si="1346"/>
        <v>1273</v>
      </c>
      <c r="EBW59" s="68">
        <f t="shared" si="1347"/>
        <v>212.16666666666666</v>
      </c>
      <c r="EBX59" s="48">
        <v>1672</v>
      </c>
      <c r="EBY59" s="49"/>
      <c r="EBZ59" s="49">
        <v>0</v>
      </c>
      <c r="ECA59" s="49"/>
      <c r="ECB59" s="49">
        <v>0</v>
      </c>
      <c r="ECC59" s="49">
        <v>0</v>
      </c>
      <c r="ECD59" s="64">
        <f t="shared" si="1348"/>
        <v>1672</v>
      </c>
      <c r="ECE59" s="68">
        <f t="shared" si="1349"/>
        <v>278.66666666666669</v>
      </c>
      <c r="ECF59" s="48">
        <v>1594</v>
      </c>
      <c r="ECG59" s="49"/>
      <c r="ECH59" s="49"/>
      <c r="ECI59" s="49"/>
      <c r="ECJ59" s="49"/>
      <c r="ECK59" s="49"/>
      <c r="ECL59" s="64">
        <f t="shared" si="1350"/>
        <v>1594</v>
      </c>
      <c r="ECM59" s="68">
        <f t="shared" si="1351"/>
        <v>265.66666666666669</v>
      </c>
      <c r="ECN59" s="48"/>
      <c r="ECO59" s="49"/>
      <c r="ECP59" s="49"/>
      <c r="ECQ59" s="49"/>
      <c r="ECR59" s="49"/>
      <c r="ECS59" s="49"/>
      <c r="ECT59" s="64">
        <f t="shared" si="1352"/>
        <v>0</v>
      </c>
      <c r="ECU59" s="68">
        <f t="shared" si="1353"/>
        <v>0</v>
      </c>
      <c r="ECV59" s="48"/>
      <c r="ECW59" s="49">
        <v>990</v>
      </c>
      <c r="ECX59" s="49">
        <v>339</v>
      </c>
      <c r="ECY59" s="49"/>
      <c r="ECZ59" s="49"/>
      <c r="EDA59" s="49"/>
      <c r="EDB59" s="64">
        <f t="shared" si="1354"/>
        <v>1329</v>
      </c>
      <c r="EDC59" s="68">
        <f t="shared" si="1355"/>
        <v>221.5</v>
      </c>
      <c r="EDD59" s="48"/>
      <c r="EDE59" s="49"/>
      <c r="EDF59" s="49">
        <v>0</v>
      </c>
      <c r="EDG59" s="49"/>
      <c r="EDH59" s="49"/>
      <c r="EDI59" s="49">
        <v>1333</v>
      </c>
      <c r="EDJ59" s="64">
        <f t="shared" si="1356"/>
        <v>1333</v>
      </c>
      <c r="EDK59" s="68">
        <f t="shared" si="1357"/>
        <v>222.16666666666666</v>
      </c>
      <c r="EDL59" s="48"/>
      <c r="EDM59" s="49">
        <v>1325</v>
      </c>
      <c r="EDN59" s="49"/>
      <c r="EDO59" s="49"/>
      <c r="EDP59" s="49"/>
      <c r="EDQ59" s="49"/>
      <c r="EDR59" s="64">
        <f t="shared" si="1358"/>
        <v>1325</v>
      </c>
      <c r="EDS59" s="68">
        <f t="shared" si="1359"/>
        <v>220.83333333333334</v>
      </c>
      <c r="EDT59" s="48">
        <v>220</v>
      </c>
      <c r="EDU59" s="49">
        <v>569</v>
      </c>
      <c r="EDV59" s="49"/>
      <c r="EDW59" s="49">
        <v>1617</v>
      </c>
      <c r="EDX59" s="49"/>
      <c r="EDY59" s="49"/>
      <c r="EDZ59" s="64">
        <f t="shared" si="1360"/>
        <v>2406</v>
      </c>
      <c r="EEA59" s="68">
        <f t="shared" si="1361"/>
        <v>401</v>
      </c>
      <c r="EEB59" s="48">
        <v>880</v>
      </c>
      <c r="EEC59" s="49">
        <v>2438</v>
      </c>
      <c r="EED59" s="49"/>
      <c r="EEE59" s="49"/>
      <c r="EEF59" s="49">
        <v>0</v>
      </c>
      <c r="EEG59" s="49"/>
      <c r="EEH59" s="64">
        <f t="shared" si="1362"/>
        <v>3318</v>
      </c>
      <c r="EEI59" s="68">
        <f t="shared" si="1363"/>
        <v>553</v>
      </c>
      <c r="EEJ59" s="50">
        <v>0</v>
      </c>
      <c r="EEK59" s="51">
        <v>0</v>
      </c>
      <c r="EEL59" s="51"/>
      <c r="EEM59" s="51"/>
      <c r="EEN59" s="51">
        <v>0</v>
      </c>
      <c r="EEO59" s="51">
        <v>1594</v>
      </c>
      <c r="EEP59" s="66">
        <f t="shared" si="1364"/>
        <v>1594</v>
      </c>
      <c r="EEQ59" s="70">
        <f t="shared" si="1365"/>
        <v>265.66666666666669</v>
      </c>
      <c r="EER59" s="50">
        <v>0</v>
      </c>
      <c r="EES59" s="51">
        <v>1320</v>
      </c>
      <c r="EET59" s="51">
        <v>282</v>
      </c>
      <c r="EEU59" s="51"/>
      <c r="EEV59" s="51"/>
      <c r="EEW59" s="51"/>
      <c r="EEX59" s="66">
        <f t="shared" si="1366"/>
        <v>1602</v>
      </c>
      <c r="EEY59" s="70">
        <f t="shared" si="1367"/>
        <v>267</v>
      </c>
      <c r="EEZ59" s="50">
        <v>0</v>
      </c>
      <c r="EFA59" s="51"/>
      <c r="EFB59" s="51"/>
      <c r="EFC59" s="51"/>
      <c r="EFD59" s="51">
        <v>1100</v>
      </c>
      <c r="EFE59" s="51">
        <v>1793</v>
      </c>
      <c r="EFF59" s="66">
        <f t="shared" si="1368"/>
        <v>2893</v>
      </c>
      <c r="EFG59" s="70">
        <f t="shared" si="1369"/>
        <v>482.16666666666669</v>
      </c>
      <c r="EFH59" s="50"/>
      <c r="EFI59" s="51">
        <v>0</v>
      </c>
      <c r="EFJ59" s="51">
        <v>0</v>
      </c>
      <c r="EFK59" s="51"/>
      <c r="EFL59" s="51"/>
      <c r="EFM59" s="51">
        <v>1946</v>
      </c>
      <c r="EFN59" s="66">
        <f t="shared" si="1370"/>
        <v>1946</v>
      </c>
      <c r="EFO59" s="70">
        <f t="shared" si="1371"/>
        <v>324.33333333333331</v>
      </c>
      <c r="EFP59" s="50"/>
      <c r="EFQ59" s="51"/>
      <c r="EFR59" s="51"/>
      <c r="EFS59" s="51"/>
      <c r="EFT59" s="51"/>
      <c r="EFU59" s="51">
        <v>0</v>
      </c>
      <c r="EFV59" s="66">
        <f t="shared" si="1372"/>
        <v>0</v>
      </c>
      <c r="EFW59" s="70">
        <f t="shared" si="1373"/>
        <v>0</v>
      </c>
      <c r="EFX59" s="50">
        <v>0</v>
      </c>
      <c r="EFY59" s="51"/>
      <c r="EFZ59" s="51"/>
      <c r="EGA59" s="51">
        <v>2600</v>
      </c>
      <c r="EGB59" s="51">
        <v>0</v>
      </c>
      <c r="EGC59" s="51"/>
      <c r="EGD59" s="66">
        <f t="shared" si="1374"/>
        <v>2600</v>
      </c>
      <c r="EGE59" s="70">
        <f t="shared" si="1375"/>
        <v>433.33333333333331</v>
      </c>
      <c r="EGF59" s="50">
        <v>2622</v>
      </c>
      <c r="EGG59" s="51"/>
      <c r="EGH59" s="51"/>
      <c r="EGI59" s="51"/>
      <c r="EGJ59" s="51">
        <v>1916</v>
      </c>
      <c r="EGK59" s="51">
        <v>0</v>
      </c>
      <c r="EGL59" s="66">
        <f t="shared" si="1376"/>
        <v>4538</v>
      </c>
      <c r="EGM59" s="70">
        <f t="shared" si="1377"/>
        <v>756.33333333333337</v>
      </c>
      <c r="EGN59" s="50">
        <v>0</v>
      </c>
      <c r="EGO59" s="51"/>
      <c r="EGP59" s="51">
        <v>2478</v>
      </c>
      <c r="EGQ59" s="51">
        <v>455</v>
      </c>
      <c r="EGR59" s="51"/>
      <c r="EGS59" s="51">
        <v>1320</v>
      </c>
      <c r="EGT59" s="66">
        <f t="shared" si="1378"/>
        <v>4253</v>
      </c>
      <c r="EGU59" s="70">
        <f t="shared" si="1379"/>
        <v>708.83333333333337</v>
      </c>
      <c r="EGV59" s="50">
        <v>316</v>
      </c>
      <c r="EGW59" s="51"/>
      <c r="EGX59" s="51"/>
      <c r="EGY59" s="51">
        <v>3640</v>
      </c>
      <c r="EGZ59" s="51">
        <v>0</v>
      </c>
      <c r="EHA59" s="51">
        <v>316</v>
      </c>
      <c r="EHB59" s="64">
        <f t="shared" ref="EHB59" si="2423">SUM(EGV59:EHA59)</f>
        <v>4272</v>
      </c>
      <c r="EHC59" s="68">
        <f t="shared" ref="EHC59" si="2424">EHB59/$EHC$5</f>
        <v>712</v>
      </c>
      <c r="EHD59" s="50">
        <v>1851</v>
      </c>
      <c r="EHE59" s="51"/>
      <c r="EHF59" s="51"/>
      <c r="EHG59" s="51"/>
      <c r="EHH59" s="51"/>
      <c r="EHI59" s="51">
        <v>0</v>
      </c>
      <c r="EHJ59" s="66">
        <f t="shared" si="1382"/>
        <v>1851</v>
      </c>
      <c r="EHK59" s="70">
        <f t="shared" si="1383"/>
        <v>308.5</v>
      </c>
      <c r="EHL59" s="50"/>
      <c r="EHM59" s="51">
        <v>0</v>
      </c>
      <c r="EHN59" s="51"/>
      <c r="EHO59" s="51">
        <v>220</v>
      </c>
      <c r="EHP59" s="51">
        <v>1529</v>
      </c>
      <c r="EHQ59" s="51">
        <v>763</v>
      </c>
      <c r="EHR59" s="66">
        <f t="shared" si="1384"/>
        <v>2512</v>
      </c>
      <c r="EHS59" s="70">
        <f t="shared" si="1385"/>
        <v>418.66666666666669</v>
      </c>
      <c r="EHT59" s="50">
        <v>1729</v>
      </c>
      <c r="EHU59" s="51"/>
      <c r="EHV59" s="51"/>
      <c r="EHW59" s="51">
        <v>575</v>
      </c>
      <c r="EHX59" s="51">
        <v>0</v>
      </c>
      <c r="EHY59" s="51"/>
      <c r="EHZ59" s="66">
        <f t="shared" si="1386"/>
        <v>2304</v>
      </c>
      <c r="EIA59" s="70">
        <f t="shared" si="1387"/>
        <v>384</v>
      </c>
      <c r="EIB59" s="50">
        <v>1986</v>
      </c>
      <c r="EIC59" s="51">
        <v>3575</v>
      </c>
      <c r="EID59" s="51">
        <v>373</v>
      </c>
      <c r="EIE59" s="51">
        <v>0</v>
      </c>
      <c r="EIF59" s="51"/>
      <c r="EIG59" s="51"/>
      <c r="EIH59" s="66">
        <f t="shared" si="1388"/>
        <v>5934</v>
      </c>
      <c r="EII59" s="70">
        <f t="shared" si="1389"/>
        <v>989</v>
      </c>
      <c r="EIJ59" s="50">
        <v>2320</v>
      </c>
      <c r="EIK59" s="51">
        <v>848</v>
      </c>
      <c r="EIL59" s="51"/>
      <c r="EIM59" s="51">
        <v>0</v>
      </c>
      <c r="EIN59" s="51">
        <v>800</v>
      </c>
      <c r="EIO59" s="51">
        <v>2219</v>
      </c>
      <c r="EIP59" s="66">
        <f t="shared" si="1390"/>
        <v>6187</v>
      </c>
      <c r="EIQ59" s="70">
        <f t="shared" si="1391"/>
        <v>1031.1666666666667</v>
      </c>
      <c r="EIR59" s="50"/>
      <c r="EIS59" s="51"/>
      <c r="EIT59" s="51">
        <v>1329</v>
      </c>
      <c r="EIU59" s="51"/>
      <c r="EIV59" s="51"/>
      <c r="EIW59" s="51"/>
      <c r="EIX59" s="66">
        <f t="shared" si="1392"/>
        <v>1329</v>
      </c>
      <c r="EIY59" s="70">
        <f t="shared" si="1393"/>
        <v>221.5</v>
      </c>
      <c r="EIZ59" s="50"/>
      <c r="EJA59" s="51"/>
      <c r="EJB59" s="51"/>
      <c r="EJC59" s="51">
        <v>0</v>
      </c>
      <c r="EJD59" s="51">
        <v>1931</v>
      </c>
      <c r="EJE59" s="51"/>
      <c r="EJF59" s="66">
        <f t="shared" si="1394"/>
        <v>1931</v>
      </c>
      <c r="EJG59" s="70">
        <f t="shared" si="1395"/>
        <v>321.83333333333331</v>
      </c>
      <c r="EJH59" s="50">
        <v>1540</v>
      </c>
      <c r="EJI59" s="51">
        <v>987</v>
      </c>
      <c r="EJJ59" s="51"/>
      <c r="EJK59" s="51"/>
      <c r="EJL59" s="51"/>
      <c r="EJM59" s="51"/>
      <c r="EJN59" s="66">
        <f t="shared" si="1396"/>
        <v>2527</v>
      </c>
      <c r="EJO59" s="70">
        <f t="shared" si="1397"/>
        <v>421.16666666666669</v>
      </c>
      <c r="EJP59" s="50"/>
      <c r="EJQ59" s="51">
        <v>1642</v>
      </c>
      <c r="EJR59" s="51">
        <v>0</v>
      </c>
      <c r="EJS59" s="51"/>
      <c r="EJT59" s="51"/>
      <c r="EJU59" s="51">
        <v>0</v>
      </c>
      <c r="EJV59" s="66">
        <f t="shared" si="1398"/>
        <v>1642</v>
      </c>
      <c r="EJW59" s="70">
        <f t="shared" si="1399"/>
        <v>273.66666666666669</v>
      </c>
      <c r="EJX59" s="50">
        <v>990</v>
      </c>
      <c r="EJY59" s="51">
        <v>633</v>
      </c>
      <c r="EJZ59" s="51">
        <v>960</v>
      </c>
      <c r="EKA59" s="51"/>
      <c r="EKB59" s="51">
        <v>0</v>
      </c>
      <c r="EKC59" s="51"/>
      <c r="EKD59" s="66">
        <f t="shared" si="1400"/>
        <v>2583</v>
      </c>
      <c r="EKE59" s="70">
        <f t="shared" si="1401"/>
        <v>430.5</v>
      </c>
      <c r="EKF59" s="50"/>
      <c r="EKG59" s="51"/>
      <c r="EKH59" s="51"/>
      <c r="EKI59" s="51">
        <v>330</v>
      </c>
      <c r="EKJ59" s="51">
        <v>1687</v>
      </c>
      <c r="EKK59" s="51"/>
      <c r="EKL59" s="66">
        <f t="shared" si="1402"/>
        <v>2017</v>
      </c>
      <c r="EKM59" s="70">
        <f t="shared" si="1403"/>
        <v>336.16666666666669</v>
      </c>
      <c r="EKN59" s="50">
        <v>0</v>
      </c>
      <c r="EKO59" s="51"/>
      <c r="EKP59" s="51">
        <v>220</v>
      </c>
      <c r="EKQ59" s="51">
        <v>1406</v>
      </c>
      <c r="EKR59" s="51"/>
      <c r="EKS59" s="51">
        <v>0</v>
      </c>
      <c r="EKT59" s="66">
        <f t="shared" si="1404"/>
        <v>1626</v>
      </c>
      <c r="EKU59" s="210">
        <f t="shared" si="1405"/>
        <v>271</v>
      </c>
      <c r="EKV59" s="665"/>
      <c r="EKW59" s="196">
        <v>0</v>
      </c>
      <c r="EKX59" s="197"/>
      <c r="EKY59" s="197"/>
      <c r="EKZ59" s="197"/>
      <c r="ELA59" s="197">
        <v>0</v>
      </c>
      <c r="ELB59" s="197"/>
      <c r="ELC59" s="246">
        <f t="shared" si="1406"/>
        <v>0</v>
      </c>
      <c r="ELD59" s="212">
        <f t="shared" si="1407"/>
        <v>0</v>
      </c>
      <c r="ELE59" s="196">
        <v>0</v>
      </c>
      <c r="ELF59" s="197">
        <v>0</v>
      </c>
      <c r="ELG59" s="197">
        <v>0</v>
      </c>
      <c r="ELH59" s="197">
        <v>0</v>
      </c>
      <c r="ELI59" s="197">
        <v>0</v>
      </c>
      <c r="ELJ59" s="197">
        <v>1993</v>
      </c>
      <c r="ELK59" s="246">
        <f t="shared" si="1408"/>
        <v>1993</v>
      </c>
      <c r="ELL59" s="212">
        <f t="shared" si="1409"/>
        <v>332.16666666666669</v>
      </c>
      <c r="ELM59" s="196">
        <v>0</v>
      </c>
      <c r="ELN59" s="197"/>
      <c r="ELO59" s="197">
        <v>1989</v>
      </c>
      <c r="ELP59" s="197"/>
      <c r="ELQ59" s="197"/>
      <c r="ELR59" s="197">
        <v>0</v>
      </c>
      <c r="ELS59" s="246">
        <f t="shared" si="1410"/>
        <v>1989</v>
      </c>
      <c r="ELT59" s="212">
        <f t="shared" si="1411"/>
        <v>331.5</v>
      </c>
      <c r="ELU59" s="196"/>
      <c r="ELV59" s="197"/>
      <c r="ELW59" s="197"/>
      <c r="ELX59" s="197"/>
      <c r="ELY59" s="197"/>
      <c r="ELZ59" s="197">
        <v>1018</v>
      </c>
      <c r="EMA59" s="246">
        <f t="shared" si="1412"/>
        <v>1018</v>
      </c>
      <c r="EMB59" s="212">
        <f t="shared" si="1413"/>
        <v>169.66666666666666</v>
      </c>
      <c r="EMC59" s="196"/>
      <c r="EMD59" s="197"/>
      <c r="EME59" s="197">
        <v>1001</v>
      </c>
      <c r="EMF59" s="197"/>
      <c r="EMG59" s="197"/>
      <c r="EMH59" s="197">
        <v>2011</v>
      </c>
      <c r="EMI59" s="246">
        <f t="shared" si="1414"/>
        <v>3012</v>
      </c>
      <c r="EMJ59" s="212">
        <f t="shared" si="1415"/>
        <v>502</v>
      </c>
      <c r="EMK59" s="196"/>
      <c r="EML59" s="197"/>
      <c r="EMM59" s="197">
        <v>200</v>
      </c>
      <c r="EMN59" s="197">
        <v>1819</v>
      </c>
      <c r="EMO59" s="197">
        <v>1363</v>
      </c>
      <c r="EMP59" s="197">
        <v>1174</v>
      </c>
      <c r="EMQ59" s="246">
        <f t="shared" si="1416"/>
        <v>4556</v>
      </c>
      <c r="EMR59" s="212">
        <f t="shared" si="1417"/>
        <v>759.33333333333337</v>
      </c>
      <c r="EMS59" s="196"/>
      <c r="EMT59" s="197"/>
      <c r="EMU59" s="197"/>
      <c r="EMV59" s="197">
        <v>1652</v>
      </c>
      <c r="EMW59" s="197"/>
      <c r="EMX59" s="197">
        <v>0</v>
      </c>
      <c r="EMY59" s="246">
        <f t="shared" si="1418"/>
        <v>1652</v>
      </c>
      <c r="EMZ59" s="212">
        <f t="shared" si="1419"/>
        <v>275.33333333333331</v>
      </c>
      <c r="ENA59" s="196">
        <v>1591</v>
      </c>
      <c r="ENB59" s="197">
        <v>0</v>
      </c>
      <c r="ENC59" s="197">
        <v>1974</v>
      </c>
      <c r="END59" s="197"/>
      <c r="ENE59" s="197">
        <v>0</v>
      </c>
      <c r="ENF59" s="197">
        <v>0</v>
      </c>
      <c r="ENG59" s="246">
        <f t="shared" si="1420"/>
        <v>3565</v>
      </c>
      <c r="ENH59" s="212">
        <f t="shared" si="1421"/>
        <v>594.16666666666663</v>
      </c>
      <c r="ENI59" s="196">
        <v>1559</v>
      </c>
      <c r="ENJ59" s="197">
        <v>1940</v>
      </c>
      <c r="ENK59" s="197">
        <v>0</v>
      </c>
      <c r="ENL59" s="197">
        <v>0</v>
      </c>
      <c r="ENM59" s="197"/>
      <c r="ENN59" s="197"/>
      <c r="ENO59" s="246">
        <f t="shared" si="1422"/>
        <v>3499</v>
      </c>
      <c r="ENP59" s="212">
        <f t="shared" si="1423"/>
        <v>583.16666666666663</v>
      </c>
      <c r="ENQ59" s="196"/>
      <c r="ENR59" s="197"/>
      <c r="ENS59" s="197"/>
      <c r="ENT59" s="197">
        <v>900</v>
      </c>
      <c r="ENU59" s="197">
        <v>2068</v>
      </c>
      <c r="ENV59" s="197"/>
      <c r="ENW59" s="246">
        <f t="shared" si="1424"/>
        <v>2968</v>
      </c>
      <c r="ENX59" s="212">
        <f t="shared" si="1425"/>
        <v>494.66666666666669</v>
      </c>
      <c r="ENY59" s="196"/>
      <c r="ENZ59" s="197"/>
      <c r="EOA59" s="197">
        <v>0</v>
      </c>
      <c r="EOB59" s="197"/>
      <c r="EOC59" s="197">
        <v>1320</v>
      </c>
      <c r="EOD59" s="197">
        <v>1328</v>
      </c>
      <c r="EOE59" s="246">
        <f t="shared" si="1426"/>
        <v>2648</v>
      </c>
      <c r="EOF59" s="212">
        <f t="shared" si="1427"/>
        <v>441.33333333333331</v>
      </c>
      <c r="EOG59" s="1"/>
      <c r="EOH59" s="196"/>
      <c r="EOI59" s="197">
        <v>0</v>
      </c>
      <c r="EOJ59" s="197">
        <v>0</v>
      </c>
      <c r="EOK59" s="197"/>
      <c r="EOL59" s="197"/>
      <c r="EOM59" s="197"/>
      <c r="EON59" s="199">
        <f t="shared" si="1428"/>
        <v>0</v>
      </c>
      <c r="EOO59" s="245"/>
      <c r="EOP59" s="197"/>
      <c r="EOQ59" s="197">
        <v>950</v>
      </c>
      <c r="EOR59" s="197"/>
      <c r="EOS59" s="197"/>
      <c r="EOT59" s="197"/>
      <c r="EOU59" s="246">
        <f t="shared" si="1429"/>
        <v>950</v>
      </c>
      <c r="EOV59" s="212">
        <f t="shared" si="1430"/>
        <v>158.33333333333334</v>
      </c>
      <c r="EOW59" s="196"/>
      <c r="EOX59" s="197"/>
      <c r="EOY59" s="197">
        <v>0</v>
      </c>
      <c r="EOZ59" s="197"/>
      <c r="EPA59" s="197"/>
      <c r="EPB59" s="197">
        <v>703</v>
      </c>
      <c r="EPC59" s="246">
        <f t="shared" si="1431"/>
        <v>703</v>
      </c>
      <c r="EPD59" s="212">
        <f t="shared" si="1432"/>
        <v>117.16666666666667</v>
      </c>
      <c r="EPE59" s="196">
        <v>643</v>
      </c>
      <c r="EPF59" s="197">
        <v>913</v>
      </c>
      <c r="EPG59" s="197"/>
      <c r="EPH59" s="197">
        <v>0</v>
      </c>
      <c r="EPI59" s="197"/>
      <c r="EPJ59" s="197"/>
      <c r="EPK59" s="246">
        <f t="shared" si="1433"/>
        <v>1556</v>
      </c>
      <c r="EPL59" s="212">
        <f t="shared" si="1434"/>
        <v>259.33333333333331</v>
      </c>
      <c r="EPM59" s="196">
        <v>0</v>
      </c>
      <c r="EPN59" s="197"/>
      <c r="EPO59" s="197">
        <v>1840</v>
      </c>
      <c r="EPP59" s="197">
        <v>165</v>
      </c>
      <c r="EPQ59" s="197"/>
      <c r="EPR59" s="197"/>
      <c r="EPS59" s="246">
        <f t="shared" si="1435"/>
        <v>2005</v>
      </c>
      <c r="EPT59" s="212">
        <f t="shared" si="1436"/>
        <v>334.16666666666669</v>
      </c>
      <c r="EPU59" s="196"/>
      <c r="EPV59" s="197">
        <v>2642</v>
      </c>
      <c r="EPW59" s="197">
        <v>0</v>
      </c>
      <c r="EPX59" s="197"/>
      <c r="EPY59" s="197"/>
      <c r="EPZ59" s="197"/>
      <c r="EQA59" s="246">
        <f t="shared" si="1437"/>
        <v>2642</v>
      </c>
      <c r="EQB59" s="212">
        <f t="shared" si="1438"/>
        <v>440.33333333333331</v>
      </c>
      <c r="EQC59" s="196">
        <v>0</v>
      </c>
      <c r="EQD59" s="197">
        <v>0</v>
      </c>
      <c r="EQE59" s="197">
        <v>1297</v>
      </c>
      <c r="EQF59" s="197"/>
      <c r="EQG59" s="197">
        <v>0</v>
      </c>
      <c r="EQH59" s="197"/>
      <c r="EQI59" s="246">
        <f t="shared" si="1439"/>
        <v>1297</v>
      </c>
      <c r="EQJ59" s="212">
        <f t="shared" si="1440"/>
        <v>216.16666666666666</v>
      </c>
      <c r="EQK59" s="196"/>
      <c r="EQL59" s="197">
        <v>0</v>
      </c>
      <c r="EQM59" s="197">
        <v>966</v>
      </c>
      <c r="EQN59" s="197"/>
      <c r="EQO59" s="197"/>
      <c r="EQP59" s="197">
        <v>0</v>
      </c>
      <c r="EQQ59" s="246">
        <f t="shared" si="1441"/>
        <v>966</v>
      </c>
      <c r="EQR59" s="212">
        <f t="shared" si="1442"/>
        <v>161</v>
      </c>
      <c r="EQS59" s="196">
        <v>0</v>
      </c>
      <c r="EQT59" s="197">
        <v>0</v>
      </c>
      <c r="EQU59" s="197">
        <v>1624</v>
      </c>
      <c r="EQV59" s="197"/>
      <c r="EQW59" s="197"/>
      <c r="EQX59" s="197"/>
      <c r="EQY59" s="246">
        <f t="shared" si="1443"/>
        <v>1624</v>
      </c>
      <c r="EQZ59" s="212">
        <f t="shared" si="1444"/>
        <v>270.66666666666669</v>
      </c>
      <c r="ERA59" s="196"/>
      <c r="ERB59" s="197">
        <v>0</v>
      </c>
      <c r="ERC59" s="197"/>
      <c r="ERD59" s="197"/>
      <c r="ERE59" s="197"/>
      <c r="ERF59" s="197"/>
      <c r="ERG59" s="246">
        <f t="shared" si="1445"/>
        <v>0</v>
      </c>
      <c r="ERH59" s="212">
        <f t="shared" si="1446"/>
        <v>0</v>
      </c>
      <c r="ERI59" s="196"/>
      <c r="ERJ59" s="197">
        <v>1683</v>
      </c>
      <c r="ERK59" s="197"/>
      <c r="ERL59" s="197"/>
      <c r="ERM59" s="197">
        <v>0</v>
      </c>
      <c r="ERN59" s="197"/>
      <c r="ERO59" s="246">
        <f t="shared" si="1447"/>
        <v>1683</v>
      </c>
      <c r="ERP59" s="212">
        <f t="shared" si="1448"/>
        <v>280.5</v>
      </c>
      <c r="ERQ59" s="196"/>
      <c r="ERR59" s="197">
        <v>1633</v>
      </c>
      <c r="ERS59" s="197"/>
      <c r="ERT59" s="197"/>
      <c r="ERU59" s="197"/>
      <c r="ERV59" s="197"/>
      <c r="ERW59" s="246">
        <f t="shared" si="1449"/>
        <v>1633</v>
      </c>
      <c r="ERX59" s="212">
        <f t="shared" si="1450"/>
        <v>272.16666666666669</v>
      </c>
      <c r="ERY59" s="196"/>
      <c r="ERZ59" s="197">
        <v>887</v>
      </c>
      <c r="ESA59" s="197"/>
      <c r="ESB59" s="197"/>
      <c r="ESC59" s="197">
        <v>0</v>
      </c>
      <c r="ESD59" s="197"/>
      <c r="ESE59" s="246">
        <f t="shared" si="1451"/>
        <v>887</v>
      </c>
      <c r="ESF59" s="212">
        <f t="shared" si="1452"/>
        <v>147.83333333333334</v>
      </c>
      <c r="ESG59" s="196">
        <v>0</v>
      </c>
      <c r="ESH59" s="197">
        <v>0</v>
      </c>
      <c r="ESI59" s="197">
        <v>0</v>
      </c>
      <c r="ESJ59" s="197"/>
      <c r="ESK59" s="197"/>
      <c r="ESL59" s="197"/>
      <c r="ESM59" s="64">
        <f t="shared" si="1453"/>
        <v>0</v>
      </c>
      <c r="ESN59" s="211">
        <f t="shared" si="1454"/>
        <v>0</v>
      </c>
      <c r="ESO59" s="459"/>
      <c r="ESP59" s="460">
        <v>0</v>
      </c>
      <c r="ESQ59" s="460">
        <v>0</v>
      </c>
      <c r="ESR59" s="460">
        <v>0</v>
      </c>
      <c r="ESS59" s="460">
        <v>100</v>
      </c>
      <c r="EST59" s="460">
        <v>576</v>
      </c>
      <c r="ESU59" s="246">
        <f t="shared" si="1455"/>
        <v>676</v>
      </c>
      <c r="ESV59" s="212">
        <f t="shared" si="1456"/>
        <v>112.66666666666667</v>
      </c>
      <c r="ESW59" s="196"/>
      <c r="ESX59" s="197">
        <v>0</v>
      </c>
      <c r="ESY59" s="197"/>
      <c r="ESZ59" s="197">
        <v>0</v>
      </c>
      <c r="ETA59" s="197"/>
      <c r="ETB59" s="197"/>
      <c r="ETC59" s="810">
        <f t="shared" si="1457"/>
        <v>0</v>
      </c>
      <c r="ETD59" s="212">
        <f t="shared" si="1458"/>
        <v>0</v>
      </c>
      <c r="ETE59" s="196">
        <v>0</v>
      </c>
      <c r="ETF59" s="197"/>
      <c r="ETG59" s="197">
        <v>0</v>
      </c>
      <c r="ETH59" s="197">
        <v>0</v>
      </c>
      <c r="ETI59" s="197"/>
      <c r="ETJ59" s="197"/>
      <c r="ETK59" s="810">
        <f t="shared" si="1459"/>
        <v>0</v>
      </c>
      <c r="ETL59" s="212">
        <f t="shared" si="1460"/>
        <v>0</v>
      </c>
      <c r="ETM59" s="816"/>
      <c r="ETN59" s="817"/>
      <c r="ETO59" s="817">
        <v>0</v>
      </c>
      <c r="ETP59" s="817">
        <v>0</v>
      </c>
      <c r="ETQ59" s="817"/>
      <c r="ETR59" s="817">
        <v>688</v>
      </c>
      <c r="ETS59" s="810">
        <f t="shared" si="1461"/>
        <v>688</v>
      </c>
      <c r="ETT59" s="212">
        <f t="shared" si="1462"/>
        <v>114.66666666666667</v>
      </c>
      <c r="ETU59" s="459"/>
      <c r="ETV59" s="460"/>
      <c r="ETW59" s="460">
        <v>657</v>
      </c>
      <c r="ETX59" s="460">
        <v>0</v>
      </c>
      <c r="ETY59" s="460"/>
      <c r="ETZ59" s="460"/>
      <c r="EUA59" s="810">
        <f t="shared" si="1463"/>
        <v>657</v>
      </c>
      <c r="EUB59" s="212">
        <f t="shared" si="1464"/>
        <v>109.5</v>
      </c>
      <c r="EUC59" s="459"/>
      <c r="EUD59" s="460"/>
      <c r="EUE59" s="460"/>
      <c r="EUF59" s="460">
        <v>0</v>
      </c>
      <c r="EUG59" s="460"/>
      <c r="EUH59" s="460"/>
      <c r="EUI59" s="810">
        <f t="shared" si="1465"/>
        <v>0</v>
      </c>
      <c r="EUJ59" s="212">
        <f t="shared" si="1466"/>
        <v>0</v>
      </c>
      <c r="EUK59" s="196"/>
      <c r="EUL59" s="197"/>
      <c r="EUM59" s="197"/>
      <c r="EUN59" s="197">
        <v>0</v>
      </c>
      <c r="EUO59" s="197">
        <v>0</v>
      </c>
      <c r="EUP59" s="197"/>
      <c r="EUQ59" s="810">
        <f t="shared" si="1467"/>
        <v>0</v>
      </c>
      <c r="EUR59" s="212">
        <f t="shared" si="1468"/>
        <v>0</v>
      </c>
      <c r="EUS59" s="196"/>
      <c r="EUT59" s="197">
        <v>288</v>
      </c>
      <c r="EUU59" s="197"/>
      <c r="EUV59" s="197"/>
      <c r="EUW59" s="197"/>
      <c r="EUX59" s="197"/>
      <c r="EUY59" s="810">
        <f t="shared" si="1469"/>
        <v>288</v>
      </c>
      <c r="EUZ59" s="212">
        <f t="shared" si="1470"/>
        <v>48</v>
      </c>
      <c r="EVA59" s="196">
        <v>327</v>
      </c>
      <c r="EVB59" s="197"/>
      <c r="EVC59" s="197"/>
      <c r="EVD59" s="197"/>
      <c r="EVE59" s="197"/>
      <c r="EVF59" s="197"/>
      <c r="EVG59" s="810">
        <f t="shared" si="1471"/>
        <v>327</v>
      </c>
      <c r="EVH59" s="212">
        <f t="shared" si="1472"/>
        <v>54.5</v>
      </c>
      <c r="EVI59" s="196"/>
      <c r="EVJ59" s="197"/>
      <c r="EVK59" s="197">
        <f>SUMIF(SUMPK!$B:$B,$B:$B,SUMPK!$O:$O)</f>
        <v>0</v>
      </c>
      <c r="EVL59" s="197"/>
      <c r="EVM59" s="197"/>
      <c r="EVN59" s="197">
        <v>343</v>
      </c>
      <c r="EVO59" s="810">
        <f t="shared" si="1473"/>
        <v>343</v>
      </c>
      <c r="EVP59" s="212">
        <f t="shared" si="1474"/>
        <v>57.166666666666664</v>
      </c>
      <c r="EVQ59" s="196"/>
      <c r="EVR59" s="197"/>
      <c r="EVS59" s="197"/>
      <c r="EVT59" s="197"/>
      <c r="EVU59" s="197"/>
      <c r="EVV59" s="197"/>
      <c r="EVW59" s="810">
        <f t="shared" si="1475"/>
        <v>0</v>
      </c>
      <c r="EVX59" s="212">
        <f t="shared" si="1476"/>
        <v>0</v>
      </c>
      <c r="EVY59" s="196"/>
      <c r="EVZ59" s="197"/>
      <c r="EWA59" s="197"/>
      <c r="EWB59" s="197"/>
      <c r="EWC59" s="197"/>
      <c r="EWD59" s="197"/>
      <c r="EWE59" s="810">
        <f t="shared" si="1477"/>
        <v>0</v>
      </c>
      <c r="EWF59" s="212">
        <f t="shared" si="1478"/>
        <v>0</v>
      </c>
      <c r="EWG59" s="196"/>
      <c r="EWH59" s="197"/>
      <c r="EWI59" s="197"/>
      <c r="EWJ59" s="197">
        <v>611</v>
      </c>
      <c r="EWK59" s="197"/>
      <c r="EWL59" s="197"/>
      <c r="EWM59" s="810">
        <f t="shared" si="1479"/>
        <v>611</v>
      </c>
      <c r="EWN59" s="212">
        <f t="shared" si="1480"/>
        <v>101.83333333333333</v>
      </c>
      <c r="EWO59" s="196"/>
      <c r="EWP59" s="197"/>
      <c r="EWQ59" s="197"/>
      <c r="EWR59" s="197">
        <v>330</v>
      </c>
      <c r="EWS59" s="197"/>
      <c r="EWT59" s="197"/>
      <c r="EWU59" s="810">
        <f t="shared" si="1481"/>
        <v>330</v>
      </c>
      <c r="EWV59" s="212">
        <f t="shared" si="1482"/>
        <v>55</v>
      </c>
      <c r="EWW59" s="196"/>
      <c r="EWX59" s="197"/>
      <c r="EWY59" s="197">
        <v>0</v>
      </c>
      <c r="EWZ59" s="197"/>
      <c r="EXA59" s="197"/>
      <c r="EXB59" s="197"/>
      <c r="EXC59" s="810">
        <f t="shared" si="1483"/>
        <v>0</v>
      </c>
      <c r="EXD59" s="212">
        <f t="shared" si="1484"/>
        <v>0</v>
      </c>
      <c r="EXE59" s="196"/>
      <c r="EXF59" s="197"/>
      <c r="EXG59" s="197">
        <v>308</v>
      </c>
      <c r="EXH59" s="197"/>
      <c r="EXI59" s="197"/>
      <c r="EXJ59" s="197">
        <v>0</v>
      </c>
      <c r="EXK59" s="810">
        <f t="shared" si="1485"/>
        <v>308</v>
      </c>
      <c r="EXL59" s="212">
        <f t="shared" si="1486"/>
        <v>51.333333333333336</v>
      </c>
      <c r="EXM59" s="459"/>
      <c r="EXN59" s="460"/>
      <c r="EXO59" s="460"/>
      <c r="EXP59" s="460">
        <v>295</v>
      </c>
      <c r="EXQ59" s="460"/>
      <c r="EXR59" s="460"/>
      <c r="EXS59" s="810">
        <f t="shared" si="1487"/>
        <v>295</v>
      </c>
      <c r="EXT59" s="212">
        <f t="shared" si="1488"/>
        <v>49.166666666666664</v>
      </c>
      <c r="EXU59" s="196"/>
      <c r="EXV59" s="197"/>
      <c r="EXW59" s="197"/>
      <c r="EXX59" s="197"/>
      <c r="EXY59" s="197"/>
      <c r="EXZ59" s="197">
        <v>333</v>
      </c>
      <c r="EYA59" s="810">
        <f t="shared" si="1489"/>
        <v>333</v>
      </c>
      <c r="EYB59" s="212">
        <f t="shared" si="1490"/>
        <v>55.5</v>
      </c>
      <c r="EYC59" s="196">
        <v>0</v>
      </c>
      <c r="EYD59" s="197"/>
      <c r="EYE59" s="197"/>
      <c r="EYF59" s="197"/>
      <c r="EYG59" s="197"/>
      <c r="EYH59" s="197">
        <v>0</v>
      </c>
      <c r="EYI59" s="810">
        <f t="shared" si="1491"/>
        <v>0</v>
      </c>
      <c r="EYJ59" s="212">
        <f t="shared" si="1492"/>
        <v>0</v>
      </c>
      <c r="EYK59" s="196">
        <v>0</v>
      </c>
      <c r="EYL59" s="197"/>
      <c r="EYM59" s="197"/>
      <c r="EYN59" s="197"/>
      <c r="EYO59" s="197"/>
      <c r="EYP59" s="197"/>
      <c r="EYQ59" s="810">
        <f t="shared" si="1493"/>
        <v>0</v>
      </c>
      <c r="EYR59" s="212">
        <f t="shared" si="1494"/>
        <v>0</v>
      </c>
      <c r="EYS59" s="196">
        <v>0</v>
      </c>
      <c r="EYT59" s="197"/>
      <c r="EYU59" s="197">
        <v>0</v>
      </c>
      <c r="EYV59" s="197"/>
      <c r="EYW59" s="197"/>
      <c r="EYX59" s="197"/>
      <c r="EYY59" s="878">
        <f t="shared" si="1495"/>
        <v>0</v>
      </c>
      <c r="EYZ59" s="879">
        <f t="shared" si="1496"/>
        <v>0</v>
      </c>
      <c r="EZA59" s="196">
        <v>0</v>
      </c>
      <c r="EZB59" s="197">
        <v>0</v>
      </c>
      <c r="EZC59" s="197"/>
      <c r="EZD59" s="197"/>
      <c r="EZE59" s="197">
        <v>0</v>
      </c>
      <c r="EZF59" s="197"/>
      <c r="EZG59" s="878">
        <f t="shared" si="1497"/>
        <v>0</v>
      </c>
      <c r="EZH59" s="879">
        <f t="shared" si="1498"/>
        <v>0</v>
      </c>
      <c r="EZI59" s="196"/>
      <c r="EZJ59" s="197">
        <v>0</v>
      </c>
      <c r="EZK59" s="197"/>
      <c r="EZL59" s="197"/>
      <c r="EZM59" s="197"/>
      <c r="EZN59" s="197"/>
      <c r="EZO59" s="878">
        <f t="shared" si="1499"/>
        <v>0</v>
      </c>
      <c r="EZP59" s="879">
        <f t="shared" si="1500"/>
        <v>0</v>
      </c>
    </row>
    <row r="60" spans="1:4072" s="8" customFormat="1" ht="13.5" thickBot="1" x14ac:dyDescent="0.25">
      <c r="A60" s="977" t="s">
        <v>14</v>
      </c>
      <c r="B60" s="977"/>
      <c r="C60" s="977"/>
      <c r="D60" s="469">
        <v>25</v>
      </c>
      <c r="E60" s="225">
        <f>SUM(E30:E57)</f>
        <v>0</v>
      </c>
      <c r="F60" s="225">
        <f t="shared" ref="F60:X60" si="2425">SUM(F30:F57)</f>
        <v>73063</v>
      </c>
      <c r="G60" s="225">
        <f t="shared" si="2425"/>
        <v>0</v>
      </c>
      <c r="H60" s="225">
        <f t="shared" si="2425"/>
        <v>0</v>
      </c>
      <c r="I60" s="225">
        <f t="shared" si="2425"/>
        <v>0</v>
      </c>
      <c r="J60" s="225">
        <f t="shared" si="2425"/>
        <v>2476</v>
      </c>
      <c r="K60" s="225">
        <f t="shared" si="2425"/>
        <v>0</v>
      </c>
      <c r="L60" s="225">
        <f t="shared" si="2425"/>
        <v>70587</v>
      </c>
      <c r="M60" s="225">
        <f t="shared" si="2425"/>
        <v>70587</v>
      </c>
      <c r="N60" s="225">
        <f t="shared" si="2425"/>
        <v>2017.1666666666667</v>
      </c>
      <c r="O60" s="225">
        <f t="shared" si="2425"/>
        <v>465.37334188962927</v>
      </c>
      <c r="P60" s="225">
        <f t="shared" si="2425"/>
        <v>1937.6666666666665</v>
      </c>
      <c r="Q60" s="225">
        <f t="shared" si="2425"/>
        <v>2342.6645244693218</v>
      </c>
      <c r="R60" s="225">
        <f t="shared" si="2425"/>
        <v>2100</v>
      </c>
      <c r="S60" s="225">
        <f t="shared" si="2425"/>
        <v>54600</v>
      </c>
      <c r="T60" s="225">
        <f t="shared" si="2425"/>
        <v>418.32121278616108</v>
      </c>
      <c r="U60" s="225">
        <f t="shared" si="2425"/>
        <v>0</v>
      </c>
      <c r="V60" s="225">
        <f t="shared" si="2425"/>
        <v>418.32121278616108</v>
      </c>
      <c r="W60" s="225" t="e">
        <f t="shared" si="2425"/>
        <v>#DIV/0!</v>
      </c>
      <c r="X60" s="225">
        <f t="shared" si="2425"/>
        <v>0</v>
      </c>
      <c r="Y60" s="225">
        <f>SUM(Y34:Y59)</f>
        <v>0</v>
      </c>
      <c r="Z60" s="225">
        <f>SUM(Z34:Z59)</f>
        <v>0</v>
      </c>
      <c r="AA60" s="225">
        <f>SUM(AA34:AA59)</f>
        <v>0</v>
      </c>
      <c r="AB60" s="225">
        <f>SUM(AB34:AB59)</f>
        <v>0</v>
      </c>
      <c r="AC60" s="886"/>
      <c r="AD60" s="9"/>
      <c r="AL60" s="1"/>
      <c r="AM60" s="1"/>
      <c r="AN60" s="1"/>
      <c r="AO60" s="1"/>
      <c r="AP60" s="1"/>
      <c r="AQ60" s="1"/>
      <c r="AT60" s="1"/>
      <c r="AU60" s="1"/>
      <c r="AV60" s="1"/>
      <c r="AW60" s="1"/>
      <c r="AX60" s="1"/>
      <c r="AY60" s="1"/>
      <c r="BB60" s="1"/>
      <c r="BC60" s="1"/>
      <c r="BD60" s="1"/>
      <c r="BE60" s="1"/>
      <c r="BF60" s="1"/>
      <c r="BG60" s="1"/>
      <c r="BJ60" s="1"/>
      <c r="BK60" s="1"/>
      <c r="BL60" s="1"/>
      <c r="BM60" s="1"/>
      <c r="BN60" s="1"/>
      <c r="BO60" s="1"/>
      <c r="BR60" s="1"/>
      <c r="BS60" s="1"/>
      <c r="BT60" s="1"/>
      <c r="BU60" s="1"/>
      <c r="BV60" s="1"/>
      <c r="BW60" s="1"/>
      <c r="BZ60" s="1"/>
      <c r="CA60" s="1"/>
      <c r="CB60" s="1"/>
      <c r="CC60" s="1"/>
      <c r="CD60" s="1"/>
      <c r="CE60" s="1"/>
      <c r="CH60" s="1"/>
      <c r="CI60" s="1"/>
      <c r="CJ60" s="1"/>
      <c r="CK60" s="1"/>
      <c r="CL60" s="1"/>
      <c r="CM60" s="1"/>
      <c r="CP60" s="1"/>
      <c r="CQ60" s="1"/>
      <c r="CR60" s="1"/>
      <c r="CS60" s="1"/>
      <c r="CT60" s="1"/>
      <c r="CU60" s="1"/>
      <c r="CX60" s="1"/>
      <c r="CY60" s="1"/>
      <c r="CZ60" s="1"/>
      <c r="DA60" s="1"/>
      <c r="DB60" s="1"/>
      <c r="DC60" s="1"/>
      <c r="DF60" s="1"/>
      <c r="DG60" s="1"/>
      <c r="DH60" s="1"/>
      <c r="DI60" s="1"/>
      <c r="DJ60" s="1"/>
      <c r="DK60" s="1"/>
      <c r="DN60" s="1"/>
      <c r="DO60" s="1"/>
      <c r="DP60" s="1"/>
      <c r="DQ60" s="1"/>
      <c r="DR60" s="1"/>
      <c r="DS60" s="1"/>
      <c r="DV60" s="1"/>
      <c r="DW60" s="1"/>
      <c r="DX60" s="1"/>
      <c r="DY60" s="1"/>
      <c r="DZ60" s="1"/>
      <c r="EA60" s="1"/>
      <c r="ED60" s="1"/>
      <c r="EE60" s="1"/>
      <c r="EF60" s="1"/>
      <c r="EG60" s="1"/>
      <c r="EH60" s="1"/>
      <c r="EI60" s="1"/>
      <c r="EL60" s="1"/>
      <c r="EM60" s="1"/>
      <c r="EN60" s="1"/>
      <c r="EO60" s="1"/>
      <c r="EP60" s="1"/>
      <c r="EQ60" s="1"/>
      <c r="ET60" s="1"/>
      <c r="EU60" s="1"/>
      <c r="EV60" s="1"/>
      <c r="EW60" s="1"/>
      <c r="EX60" s="1"/>
      <c r="EY60" s="1"/>
      <c r="FB60" s="1"/>
      <c r="FC60" s="1"/>
      <c r="FD60" s="1"/>
      <c r="FE60" s="1"/>
      <c r="FF60" s="1"/>
      <c r="FG60" s="1"/>
      <c r="FJ60" s="1"/>
      <c r="FK60" s="1"/>
      <c r="FL60" s="1"/>
      <c r="FM60" s="1"/>
      <c r="FN60" s="1"/>
      <c r="FO60" s="1"/>
      <c r="FR60" s="1"/>
      <c r="FS60" s="1"/>
      <c r="FT60" s="1"/>
      <c r="FU60" s="1"/>
      <c r="FV60" s="1"/>
      <c r="FW60" s="1"/>
      <c r="FZ60" s="1"/>
      <c r="GA60" s="1"/>
      <c r="GB60" s="1"/>
      <c r="GC60" s="1"/>
      <c r="GD60" s="1"/>
      <c r="GE60" s="1"/>
      <c r="GH60" s="1"/>
      <c r="GI60" s="1"/>
      <c r="GJ60" s="1"/>
      <c r="GK60" s="1"/>
      <c r="GL60" s="1"/>
      <c r="GM60" s="1"/>
      <c r="GP60" s="1"/>
      <c r="GQ60" s="1"/>
      <c r="GR60" s="1"/>
      <c r="GS60" s="1"/>
      <c r="GT60" s="1"/>
      <c r="GU60" s="1"/>
      <c r="GX60" s="1"/>
      <c r="GY60" s="1"/>
      <c r="GZ60" s="1"/>
      <c r="HA60" s="1"/>
      <c r="HB60" s="1"/>
      <c r="HC60" s="1"/>
      <c r="HF60" s="1"/>
      <c r="HG60" s="1"/>
      <c r="HH60" s="1"/>
      <c r="HI60" s="1"/>
      <c r="HJ60" s="1"/>
      <c r="HK60" s="1"/>
      <c r="HN60" s="77"/>
      <c r="HO60" s="77"/>
      <c r="HP60" s="77"/>
      <c r="HQ60" s="77"/>
      <c r="HR60" s="77"/>
      <c r="HS60" s="77"/>
      <c r="HV60" s="1"/>
      <c r="HW60" s="1"/>
      <c r="HX60" s="1"/>
      <c r="HY60" s="1"/>
      <c r="HZ60" s="1"/>
      <c r="IA60" s="1"/>
      <c r="ID60" s="1"/>
      <c r="IE60" s="1"/>
      <c r="IF60" s="1"/>
      <c r="IG60" s="1"/>
      <c r="IH60" s="1"/>
      <c r="II60" s="1"/>
      <c r="IL60" s="1"/>
      <c r="IM60" s="1"/>
      <c r="IN60" s="1"/>
      <c r="IO60" s="1"/>
      <c r="IP60" s="1"/>
      <c r="IQ60" s="1"/>
      <c r="IT60" s="1"/>
      <c r="IU60" s="1"/>
      <c r="IV60" s="1"/>
      <c r="IW60" s="1"/>
      <c r="IX60" s="1"/>
      <c r="IY60" s="1"/>
      <c r="JB60" s="1"/>
      <c r="JC60" s="1"/>
      <c r="JD60" s="1"/>
      <c r="JE60" s="1"/>
      <c r="JF60" s="1"/>
      <c r="JG60" s="1"/>
      <c r="JJ60" s="1"/>
      <c r="JK60" s="1"/>
      <c r="JL60" s="1"/>
      <c r="JM60" s="1"/>
      <c r="JN60" s="1"/>
      <c r="JO60" s="1"/>
      <c r="JR60" s="1"/>
      <c r="JS60" s="1"/>
      <c r="JT60" s="1"/>
      <c r="JU60" s="1"/>
      <c r="JV60" s="1"/>
      <c r="JW60" s="1"/>
      <c r="JZ60" s="1"/>
      <c r="KA60" s="1"/>
      <c r="KB60" s="1"/>
      <c r="KC60" s="1"/>
      <c r="KD60" s="1"/>
      <c r="KE60" s="1"/>
      <c r="KH60" s="1"/>
      <c r="KI60" s="1"/>
      <c r="KJ60" s="1"/>
      <c r="KK60" s="1"/>
      <c r="KL60" s="1"/>
      <c r="KM60" s="1"/>
      <c r="KP60" s="1"/>
      <c r="KQ60" s="1"/>
      <c r="KR60" s="1"/>
      <c r="KS60" s="1"/>
      <c r="KT60" s="1"/>
      <c r="KU60" s="1"/>
      <c r="KX60" s="1"/>
      <c r="KY60" s="1"/>
      <c r="KZ60" s="1"/>
      <c r="LA60" s="1"/>
      <c r="LB60" s="1"/>
      <c r="LC60" s="1"/>
      <c r="LF60" s="1"/>
      <c r="LG60" s="1"/>
      <c r="LH60" s="1"/>
      <c r="LI60" s="1"/>
      <c r="LJ60" s="1"/>
      <c r="LK60" s="1"/>
      <c r="LN60" s="1"/>
      <c r="LO60" s="1"/>
      <c r="LP60" s="1"/>
      <c r="LQ60" s="1"/>
      <c r="LR60" s="1"/>
      <c r="LS60" s="1"/>
      <c r="LV60" s="1"/>
      <c r="LW60" s="1"/>
      <c r="LX60" s="1"/>
      <c r="LY60" s="1"/>
      <c r="LZ60" s="1"/>
      <c r="MA60" s="1"/>
      <c r="MD60" s="1"/>
      <c r="ME60" s="1"/>
      <c r="MF60" s="1"/>
      <c r="MG60" s="1"/>
      <c r="MH60" s="1"/>
      <c r="MI60" s="1"/>
      <c r="ML60" s="1"/>
      <c r="MM60" s="1"/>
      <c r="MN60" s="1"/>
      <c r="MO60" s="1"/>
      <c r="MP60" s="1"/>
      <c r="MQ60" s="1"/>
      <c r="MT60" s="1"/>
      <c r="MU60" s="1"/>
      <c r="MV60" s="1"/>
      <c r="MW60" s="1"/>
      <c r="MX60" s="1"/>
      <c r="MY60" s="1"/>
      <c r="NB60" s="1"/>
      <c r="NC60" s="1"/>
      <c r="ND60" s="1"/>
      <c r="NE60" s="1"/>
      <c r="NF60" s="1"/>
      <c r="NG60" s="1"/>
      <c r="NJ60" s="1"/>
      <c r="NK60" s="1"/>
      <c r="NL60" s="1"/>
      <c r="NM60" s="1"/>
      <c r="NN60" s="1"/>
      <c r="NO60" s="1"/>
      <c r="NR60" s="1"/>
      <c r="NS60" s="1"/>
      <c r="NT60" s="1"/>
      <c r="NU60" s="1"/>
      <c r="NV60" s="1"/>
      <c r="NW60" s="1"/>
      <c r="NZ60" s="1"/>
      <c r="OA60" s="1"/>
      <c r="OB60" s="1"/>
      <c r="OC60" s="1"/>
      <c r="OD60" s="1"/>
      <c r="OE60" s="1"/>
      <c r="OH60" s="1"/>
      <c r="OI60" s="1"/>
      <c r="OJ60" s="1"/>
      <c r="OK60" s="1"/>
      <c r="OL60" s="1"/>
      <c r="OM60" s="1"/>
      <c r="OP60" s="1"/>
      <c r="OQ60" s="1"/>
      <c r="OR60" s="1"/>
      <c r="OS60" s="1"/>
      <c r="OT60" s="1"/>
      <c r="OU60" s="1"/>
      <c r="OX60" s="1"/>
      <c r="OY60" s="1"/>
      <c r="OZ60" s="1"/>
      <c r="PA60" s="1"/>
      <c r="PB60" s="1"/>
      <c r="PC60" s="1"/>
      <c r="PF60" s="1"/>
      <c r="PG60" s="1"/>
      <c r="PH60" s="1"/>
      <c r="PI60" s="1"/>
      <c r="PJ60" s="1"/>
      <c r="PK60" s="1"/>
      <c r="PN60" s="1"/>
      <c r="PO60" s="1"/>
      <c r="PP60" s="1"/>
      <c r="PQ60" s="1"/>
      <c r="PR60" s="1"/>
      <c r="PS60" s="1"/>
      <c r="PV60" s="1"/>
      <c r="PW60" s="1"/>
      <c r="PX60" s="1"/>
      <c r="PY60" s="1"/>
      <c r="PZ60" s="1"/>
      <c r="QA60" s="1"/>
      <c r="QD60" s="1"/>
      <c r="QE60" s="1"/>
      <c r="QF60" s="1"/>
      <c r="QG60" s="1"/>
      <c r="QH60" s="1"/>
      <c r="QI60" s="1"/>
      <c r="QL60" s="1"/>
      <c r="QM60" s="1"/>
      <c r="QN60" s="1"/>
      <c r="QO60" s="1"/>
      <c r="QP60" s="1"/>
      <c r="QQ60" s="1"/>
      <c r="QT60" s="1"/>
      <c r="QU60" s="1"/>
      <c r="QV60" s="1"/>
      <c r="QW60" s="1"/>
      <c r="QX60" s="1"/>
      <c r="QY60" s="1"/>
      <c r="RB60" s="1"/>
      <c r="RC60" s="1"/>
      <c r="RD60" s="1"/>
      <c r="RE60" s="1"/>
      <c r="RF60" s="1"/>
      <c r="RG60" s="1"/>
      <c r="RJ60" s="1"/>
      <c r="RK60" s="1"/>
      <c r="RL60" s="1"/>
      <c r="RM60" s="1"/>
      <c r="RN60" s="1"/>
      <c r="RO60" s="1"/>
      <c r="RR60" s="1"/>
      <c r="RS60" s="1"/>
      <c r="RT60" s="1"/>
      <c r="RU60" s="1"/>
      <c r="RV60" s="1"/>
      <c r="RW60" s="1"/>
      <c r="RZ60" s="1"/>
      <c r="SA60" s="1"/>
      <c r="SB60" s="1"/>
      <c r="SC60" s="1"/>
      <c r="SD60" s="1"/>
      <c r="SE60" s="1"/>
      <c r="SH60" s="1"/>
      <c r="SI60" s="1"/>
      <c r="SJ60" s="1"/>
      <c r="SK60" s="1"/>
      <c r="SL60" s="1"/>
      <c r="SM60" s="1"/>
      <c r="SP60" s="1"/>
      <c r="SQ60" s="1"/>
      <c r="SR60" s="1"/>
      <c r="SS60" s="1"/>
      <c r="ST60" s="1"/>
      <c r="SU60" s="1"/>
      <c r="SX60" s="1"/>
      <c r="SY60" s="1"/>
      <c r="SZ60" s="1"/>
      <c r="TA60" s="1"/>
      <c r="TB60" s="1"/>
      <c r="TC60" s="1"/>
      <c r="TF60" s="1"/>
      <c r="TG60" s="1"/>
      <c r="TH60" s="1"/>
      <c r="TI60" s="1"/>
      <c r="TJ60" s="1"/>
      <c r="TK60" s="1"/>
      <c r="TN60" s="1"/>
      <c r="TO60" s="1"/>
      <c r="TP60" s="1"/>
      <c r="TQ60" s="1"/>
      <c r="TR60" s="1"/>
      <c r="TS60" s="1"/>
      <c r="TV60" s="1"/>
      <c r="TW60" s="1"/>
      <c r="TX60" s="1"/>
      <c r="TY60" s="1"/>
      <c r="TZ60" s="1"/>
      <c r="UA60" s="1"/>
      <c r="UD60" s="1"/>
      <c r="UE60" s="1"/>
      <c r="UF60" s="1"/>
      <c r="UG60" s="1"/>
      <c r="UH60" s="1"/>
      <c r="UI60" s="1"/>
      <c r="UL60" s="1"/>
      <c r="UM60" s="1"/>
      <c r="UN60" s="1"/>
      <c r="UO60" s="1"/>
      <c r="UP60" s="1"/>
      <c r="UQ60" s="1"/>
      <c r="UR60" s="1"/>
      <c r="UU60" s="1"/>
      <c r="UV60" s="1"/>
      <c r="UW60" s="1"/>
      <c r="UX60" s="1"/>
      <c r="UY60" s="1"/>
      <c r="UZ60" s="1"/>
      <c r="VC60" s="1"/>
      <c r="VD60" s="1"/>
      <c r="VE60" s="1"/>
      <c r="VF60" s="1"/>
      <c r="VG60" s="1"/>
      <c r="VH60" s="1"/>
      <c r="VK60" s="1"/>
      <c r="VL60" s="1"/>
      <c r="VM60" s="1"/>
      <c r="VN60" s="1"/>
      <c r="VO60" s="1"/>
      <c r="VP60" s="1"/>
      <c r="VS60" s="1"/>
      <c r="VT60" s="1"/>
      <c r="VU60" s="1"/>
      <c r="VV60" s="1"/>
      <c r="VW60" s="1"/>
      <c r="VX60" s="1"/>
      <c r="WA60" s="58"/>
      <c r="WB60" s="58"/>
      <c r="WC60" s="58"/>
      <c r="WD60" s="58"/>
      <c r="WE60" s="58"/>
      <c r="WF60" s="58"/>
      <c r="WG60" s="169"/>
      <c r="WH60" s="169"/>
      <c r="WI60" s="1"/>
      <c r="WJ60" s="1"/>
      <c r="WK60" s="1"/>
      <c r="WL60" s="1"/>
      <c r="WM60" s="1"/>
      <c r="WN60" s="1"/>
      <c r="WQ60" s="1"/>
      <c r="WR60" s="1"/>
      <c r="WS60" s="1"/>
      <c r="WT60" s="1"/>
      <c r="WU60" s="1"/>
      <c r="WV60" s="1"/>
      <c r="WW60" s="1"/>
      <c r="WZ60" s="1"/>
      <c r="XA60" s="1"/>
      <c r="XB60" s="1"/>
      <c r="XC60" s="1"/>
      <c r="XD60" s="1"/>
      <c r="XE60" s="1"/>
      <c r="XF60" s="1"/>
      <c r="XI60" s="1"/>
      <c r="XJ60" s="1"/>
      <c r="XK60" s="1"/>
      <c r="XL60" s="1"/>
      <c r="XM60" s="1"/>
      <c r="XN60" s="1"/>
      <c r="XO60" s="1"/>
      <c r="XR60" s="1"/>
      <c r="XS60" s="1"/>
      <c r="XT60" s="1"/>
      <c r="XU60" s="1"/>
      <c r="XV60" s="1"/>
      <c r="XW60" s="1"/>
      <c r="XX60" s="1"/>
      <c r="YA60" s="1"/>
      <c r="YB60" s="1"/>
      <c r="YC60" s="1"/>
      <c r="YD60" s="1"/>
      <c r="YE60" s="1"/>
      <c r="YF60" s="1"/>
      <c r="YG60" s="1"/>
      <c r="YJ60" s="1"/>
      <c r="YK60" s="1"/>
      <c r="YL60" s="1"/>
      <c r="YM60" s="1"/>
      <c r="YN60" s="1"/>
      <c r="YO60" s="1"/>
      <c r="YP60" s="1"/>
      <c r="YS60" s="1"/>
      <c r="YT60" s="1"/>
      <c r="YU60" s="1"/>
      <c r="YV60" s="1"/>
      <c r="YW60" s="1"/>
      <c r="YX60" s="1"/>
      <c r="ZA60" s="1"/>
      <c r="ZB60" s="1"/>
      <c r="ZC60" s="1"/>
      <c r="ZD60" s="1"/>
      <c r="ZE60" s="1"/>
      <c r="ZF60" s="1"/>
      <c r="ZI60" s="1"/>
      <c r="ZJ60" s="1"/>
      <c r="ZK60" s="1"/>
      <c r="ZL60" s="1"/>
      <c r="ZM60" s="1"/>
      <c r="ZN60" s="1"/>
      <c r="ZQ60" s="1"/>
      <c r="ZR60" s="1"/>
      <c r="ZS60" s="1"/>
      <c r="ZT60" s="1"/>
      <c r="ZU60" s="1"/>
      <c r="ZV60" s="1"/>
      <c r="ZW60" s="1"/>
      <c r="ZX60" s="186"/>
      <c r="ZY60" s="187"/>
      <c r="ZZ60" s="1"/>
      <c r="AAA60" s="1"/>
      <c r="AAB60" s="1"/>
      <c r="AAC60" s="1"/>
      <c r="AAD60" s="1"/>
      <c r="AAE60" s="1"/>
      <c r="AAF60" s="1"/>
      <c r="AAI60" s="1"/>
      <c r="AAJ60" s="1"/>
      <c r="AAK60" s="1"/>
      <c r="AAL60" s="1"/>
      <c r="AAM60" s="1"/>
      <c r="AAN60" s="1"/>
      <c r="AAQ60" s="1"/>
      <c r="AAR60" s="1"/>
      <c r="AAS60" s="1"/>
      <c r="AAT60" s="1"/>
      <c r="AAU60" s="1"/>
      <c r="AAV60" s="1"/>
      <c r="AAY60" s="1"/>
      <c r="AAZ60" s="1"/>
      <c r="ABA60" s="1"/>
      <c r="ABB60" s="1"/>
      <c r="ABC60" s="1"/>
      <c r="ABD60" s="1"/>
      <c r="ABG60" s="1"/>
      <c r="ABH60" s="1"/>
      <c r="ABI60" s="1"/>
      <c r="ABJ60" s="1"/>
      <c r="ABK60" s="1"/>
      <c r="ABL60" s="1"/>
      <c r="ABO60" s="1"/>
      <c r="ABP60" s="1"/>
      <c r="ABQ60" s="1"/>
      <c r="ABR60" s="1"/>
      <c r="ABS60" s="1"/>
      <c r="ABT60" s="1"/>
      <c r="ABW60" s="1"/>
      <c r="ABX60" s="1"/>
      <c r="ABY60" s="1"/>
      <c r="ABZ60" s="1"/>
      <c r="ACA60" s="1"/>
      <c r="ACB60" s="1"/>
      <c r="ACE60" s="1"/>
      <c r="ACF60" s="1"/>
      <c r="ACG60" s="1"/>
      <c r="ACH60" s="1"/>
      <c r="ACI60" s="1"/>
      <c r="ACJ60" s="1"/>
      <c r="ACM60" s="1"/>
      <c r="ACN60" s="1"/>
      <c r="ACO60" s="1"/>
      <c r="ACP60" s="1"/>
      <c r="ACQ60" s="1"/>
      <c r="ACR60" s="1"/>
      <c r="ACU60" s="1"/>
      <c r="ACV60" s="1"/>
      <c r="ACW60" s="1"/>
      <c r="ACX60" s="1"/>
      <c r="ACY60" s="1"/>
      <c r="ACZ60" s="1"/>
      <c r="ADC60" s="1"/>
      <c r="ADD60" s="1"/>
      <c r="ADE60" s="1"/>
      <c r="ADF60" s="1"/>
      <c r="ADG60" s="1"/>
      <c r="ADH60" s="1"/>
      <c r="ADK60" s="1"/>
      <c r="ADL60" s="1"/>
      <c r="ADM60" s="1"/>
      <c r="ADN60" s="1"/>
      <c r="ADO60" s="1"/>
      <c r="ADP60" s="1"/>
      <c r="ADS60" s="1"/>
      <c r="ADT60" s="1"/>
      <c r="ADU60" s="1"/>
      <c r="ADV60" s="1"/>
      <c r="ADW60" s="1"/>
      <c r="ADX60" s="1"/>
      <c r="AEA60" s="1"/>
      <c r="AEB60" s="1"/>
      <c r="AEC60" s="1"/>
      <c r="AED60" s="1"/>
      <c r="AEE60" s="1"/>
      <c r="AEF60" s="1"/>
      <c r="AEI60" s="1"/>
      <c r="AEJ60" s="1"/>
      <c r="AEK60" s="1"/>
      <c r="AEL60" s="1"/>
      <c r="AEM60" s="1"/>
      <c r="AEN60" s="1"/>
      <c r="AEQ60" s="1"/>
      <c r="AER60" s="1"/>
      <c r="AES60" s="1"/>
      <c r="AET60" s="1"/>
      <c r="AEU60" s="1"/>
      <c r="AEV60" s="1"/>
      <c r="AEY60" s="1"/>
      <c r="AEZ60" s="1"/>
      <c r="AFA60" s="1"/>
      <c r="AFB60" s="1"/>
      <c r="AFC60" s="1"/>
      <c r="AFD60" s="1"/>
      <c r="AFG60" s="1"/>
      <c r="AFH60" s="1"/>
      <c r="AFI60" s="1"/>
      <c r="AFJ60" s="1"/>
      <c r="AFK60" s="1"/>
      <c r="AFL60" s="1"/>
      <c r="AFO60" s="1"/>
      <c r="AFP60" s="1"/>
      <c r="AFQ60" s="1"/>
      <c r="AFR60" s="1"/>
      <c r="AFS60" s="1"/>
      <c r="AFT60" s="1"/>
      <c r="AFW60" s="1"/>
      <c r="AFX60" s="1"/>
      <c r="AFY60" s="1"/>
      <c r="AFZ60" s="1"/>
      <c r="AGA60" s="1"/>
      <c r="AGB60" s="1"/>
      <c r="AGE60" s="1"/>
      <c r="AGF60" s="1"/>
      <c r="AGG60" s="1"/>
      <c r="AGH60" s="1"/>
      <c r="AGI60" s="1"/>
      <c r="AGJ60" s="1"/>
      <c r="AGM60" s="1"/>
      <c r="AGN60" s="1"/>
      <c r="AGO60" s="1"/>
      <c r="AGP60" s="1"/>
      <c r="AGQ60" s="1"/>
      <c r="AGR60" s="1"/>
      <c r="AGS60" s="1"/>
      <c r="AGV60" s="1"/>
      <c r="AGW60" s="1"/>
      <c r="AGX60" s="1"/>
      <c r="AGY60" s="1"/>
      <c r="AGZ60" s="1"/>
      <c r="AHA60" s="1"/>
      <c r="AHD60" s="1"/>
      <c r="AHE60" s="1"/>
      <c r="AHF60" s="1"/>
      <c r="AHG60" s="1"/>
      <c r="AHH60" s="1"/>
      <c r="AHI60" s="1"/>
      <c r="AHL60" s="1"/>
      <c r="AHM60" s="1"/>
      <c r="AHN60" s="1"/>
      <c r="AHO60" s="1"/>
      <c r="AHP60" s="1"/>
      <c r="AHQ60" s="1"/>
      <c r="AHT60" s="1"/>
      <c r="AHU60" s="1"/>
      <c r="AHV60" s="1"/>
      <c r="AHW60" s="1"/>
      <c r="AHX60" s="1"/>
      <c r="AHY60" s="1"/>
      <c r="AIB60" s="1"/>
      <c r="AIC60" s="1"/>
      <c r="AID60" s="1"/>
      <c r="AIE60" s="1"/>
      <c r="AIF60" s="1"/>
      <c r="AIG60" s="1"/>
      <c r="AIJ60" s="1"/>
      <c r="AIK60" s="1"/>
      <c r="AIL60" s="1"/>
      <c r="AIM60" s="1"/>
      <c r="AIN60" s="1"/>
      <c r="AIO60" s="1"/>
      <c r="AIR60" s="1"/>
      <c r="AIS60" s="1"/>
      <c r="AIT60" s="1"/>
      <c r="AIU60" s="1"/>
      <c r="AIV60" s="1"/>
      <c r="AIW60" s="1"/>
      <c r="AIZ60" s="1"/>
      <c r="AJA60" s="1"/>
      <c r="AJB60" s="1"/>
      <c r="AJC60" s="1"/>
      <c r="AJD60" s="1"/>
      <c r="AJE60" s="1"/>
      <c r="AJH60" s="1"/>
      <c r="AJI60" s="1"/>
      <c r="AJJ60" s="1"/>
      <c r="AJK60" s="1"/>
      <c r="AJL60" s="1"/>
      <c r="AJM60" s="1"/>
      <c r="AJP60" s="1"/>
      <c r="AJQ60" s="1"/>
      <c r="AJR60" s="1"/>
      <c r="AJS60" s="1"/>
      <c r="AJT60" s="1"/>
      <c r="AJU60" s="1"/>
      <c r="AJX60" s="1"/>
      <c r="AJY60" s="1"/>
      <c r="AJZ60" s="1"/>
      <c r="AKA60" s="1"/>
      <c r="AKB60" s="1"/>
      <c r="AKC60" s="1"/>
      <c r="AKF60" s="1"/>
      <c r="AKG60" s="1"/>
      <c r="AKH60" s="1"/>
      <c r="AKI60" s="1"/>
      <c r="AKJ60" s="1"/>
      <c r="AKK60" s="1"/>
      <c r="AKN60" s="1"/>
      <c r="AKO60" s="1"/>
      <c r="AKP60" s="1"/>
      <c r="AKQ60" s="1"/>
      <c r="AKR60" s="1"/>
      <c r="AKS60" s="1"/>
      <c r="AKV60" s="1"/>
      <c r="AKW60" s="1"/>
      <c r="AKX60" s="1"/>
      <c r="AKY60" s="1"/>
      <c r="AKZ60" s="1"/>
      <c r="ALA60" s="1"/>
      <c r="ALD60" s="1"/>
      <c r="ALE60" s="1"/>
      <c r="ALF60" s="1"/>
      <c r="ALG60" s="1"/>
      <c r="ALH60" s="1"/>
      <c r="ALI60" s="1"/>
      <c r="ALL60" s="1"/>
      <c r="ALM60" s="1"/>
      <c r="ALN60" s="1"/>
      <c r="ALO60" s="1"/>
      <c r="ALP60" s="1"/>
      <c r="ALQ60" s="1"/>
      <c r="ALT60" s="1"/>
      <c r="ALU60" s="1"/>
      <c r="ALV60" s="1"/>
      <c r="ALW60" s="1"/>
      <c r="ALX60" s="1"/>
      <c r="ALY60" s="1"/>
      <c r="AMB60" s="1"/>
      <c r="AMC60" s="1"/>
      <c r="AMD60" s="1"/>
      <c r="AME60" s="1"/>
      <c r="AMF60" s="1"/>
      <c r="AMG60" s="1"/>
      <c r="AMJ60" s="1"/>
      <c r="AMK60" s="1"/>
      <c r="AML60" s="1"/>
      <c r="AMM60" s="1"/>
      <c r="AMN60" s="1"/>
      <c r="AMO60" s="1"/>
      <c r="AMR60" s="1"/>
      <c r="AMS60" s="1"/>
      <c r="AMT60" s="1"/>
      <c r="AMU60" s="1"/>
      <c r="AMV60" s="1"/>
      <c r="AMW60" s="1"/>
      <c r="AMZ60" s="1"/>
      <c r="ANA60" s="1"/>
      <c r="ANB60" s="1"/>
      <c r="ANC60" s="1"/>
      <c r="AND60" s="1"/>
      <c r="ANE60" s="1"/>
      <c r="ANH60" s="1"/>
      <c r="ANI60" s="1"/>
      <c r="ANJ60" s="1"/>
      <c r="ANK60" s="1"/>
      <c r="ANL60" s="1"/>
      <c r="ANM60" s="1"/>
      <c r="ANP60" s="1"/>
      <c r="ANQ60" s="1"/>
      <c r="ANR60" s="1"/>
      <c r="ANS60" s="1"/>
      <c r="ANT60" s="1"/>
      <c r="ANU60" s="1"/>
      <c r="ANX60" s="77"/>
      <c r="ANY60" s="77"/>
      <c r="ANZ60" s="77"/>
      <c r="AOA60" s="77"/>
      <c r="AOB60" s="77"/>
      <c r="AOC60" s="77"/>
      <c r="AOF60" s="1"/>
      <c r="AOG60" s="1"/>
      <c r="AOH60" s="1"/>
      <c r="AOI60" s="1"/>
      <c r="AOJ60" s="1"/>
      <c r="AOK60" s="1"/>
      <c r="AON60" s="1"/>
      <c r="AOO60" s="1"/>
      <c r="AOP60" s="1"/>
      <c r="AOQ60" s="1"/>
      <c r="AOR60" s="1"/>
      <c r="AOS60" s="1"/>
      <c r="AOV60" s="1"/>
      <c r="AOW60" s="1"/>
      <c r="AOX60" s="1"/>
      <c r="AOY60" s="1"/>
      <c r="AOZ60" s="1"/>
      <c r="APA60" s="1"/>
      <c r="APD60" s="1"/>
      <c r="APE60" s="1"/>
      <c r="APF60" s="1"/>
      <c r="APG60" s="1"/>
      <c r="APH60" s="1"/>
      <c r="API60" s="1"/>
      <c r="APL60" s="1"/>
      <c r="APM60" s="1"/>
      <c r="APN60" s="1"/>
      <c r="APO60" s="1"/>
      <c r="APP60" s="1"/>
      <c r="APQ60" s="1"/>
      <c r="APT60" s="1"/>
      <c r="APU60" s="1"/>
      <c r="APV60" s="1"/>
      <c r="APW60" s="1"/>
      <c r="APX60" s="1"/>
      <c r="APY60" s="1"/>
      <c r="AQB60" s="1"/>
      <c r="AQC60" s="1"/>
      <c r="AQD60" s="1"/>
      <c r="AQE60" s="1"/>
      <c r="AQF60" s="1"/>
      <c r="AQG60" s="1"/>
      <c r="AQJ60" s="1"/>
      <c r="AQK60" s="1"/>
      <c r="AQL60" s="1"/>
      <c r="AQM60" s="1"/>
      <c r="AQN60" s="1"/>
      <c r="AQO60" s="1"/>
      <c r="AQR60" s="1"/>
      <c r="AQS60" s="1"/>
      <c r="AQT60" s="1"/>
      <c r="AQU60" s="1"/>
      <c r="AQV60" s="1"/>
      <c r="AQW60" s="1"/>
      <c r="AQZ60" s="1"/>
      <c r="ARA60" s="1"/>
      <c r="ARB60" s="1"/>
      <c r="ARC60" s="1"/>
      <c r="ARD60" s="1"/>
      <c r="ARE60" s="1"/>
      <c r="ARH60" s="1"/>
      <c r="ARI60" s="1"/>
      <c r="ARJ60" s="1"/>
      <c r="ARK60" s="1"/>
      <c r="ARL60" s="1"/>
      <c r="ARM60" s="1"/>
      <c r="ARP60" s="1"/>
      <c r="ARQ60" s="1"/>
      <c r="ARR60" s="1"/>
      <c r="ARS60" s="1"/>
      <c r="ART60" s="1"/>
      <c r="ARU60" s="1"/>
      <c r="ARX60" s="1"/>
      <c r="ARY60" s="1"/>
      <c r="ARZ60" s="1"/>
      <c r="ASA60" s="1"/>
      <c r="ASB60" s="1"/>
      <c r="ASC60" s="1"/>
      <c r="ASF60" s="1"/>
      <c r="ASG60" s="1"/>
      <c r="ASH60" s="1"/>
      <c r="ASI60" s="1"/>
      <c r="ASJ60" s="1"/>
      <c r="ASK60" s="1"/>
      <c r="ASN60" s="1"/>
      <c r="ASO60" s="1"/>
      <c r="ASP60" s="1"/>
      <c r="ASQ60" s="1"/>
      <c r="ASR60" s="1"/>
      <c r="ASS60" s="1"/>
      <c r="ASV60" s="1"/>
      <c r="ASW60" s="1"/>
      <c r="ASX60" s="1"/>
      <c r="ASY60" s="1"/>
      <c r="ASZ60" s="1"/>
      <c r="ATA60" s="1"/>
      <c r="ATD60" s="1"/>
      <c r="ATE60" s="1"/>
      <c r="ATF60" s="1"/>
      <c r="ATG60" s="1"/>
      <c r="ATH60" s="1"/>
      <c r="ATI60" s="1"/>
      <c r="ATL60" s="1"/>
      <c r="ATM60" s="1"/>
      <c r="ATN60" s="1"/>
      <c r="ATO60" s="1"/>
      <c r="ATP60" s="1"/>
      <c r="ATQ60" s="1"/>
      <c r="ATT60" s="1"/>
      <c r="ATU60" s="1"/>
      <c r="ATV60" s="1"/>
      <c r="ATW60" s="1"/>
      <c r="ATX60" s="1"/>
      <c r="ATY60" s="1"/>
      <c r="AUB60" s="1"/>
      <c r="AUC60" s="1"/>
      <c r="AUD60" s="1"/>
      <c r="AUE60" s="1"/>
      <c r="AUF60" s="1"/>
      <c r="AUG60" s="1"/>
      <c r="AUJ60" s="1"/>
      <c r="AUK60" s="1"/>
      <c r="AUL60" s="1"/>
      <c r="AUM60" s="1"/>
      <c r="AUN60" s="1"/>
      <c r="AUO60" s="1"/>
      <c r="AUR60" s="1"/>
      <c r="AUS60" s="1"/>
      <c r="AUT60" s="1"/>
      <c r="AUU60" s="1"/>
      <c r="AUV60" s="1"/>
      <c r="AUW60" s="1"/>
      <c r="AUZ60" s="1"/>
      <c r="AVA60" s="1"/>
      <c r="AVB60" s="1"/>
      <c r="AVC60" s="1"/>
      <c r="AVD60" s="1"/>
      <c r="AVE60" s="1"/>
      <c r="AVH60" s="1"/>
      <c r="AVI60" s="1"/>
      <c r="AVJ60" s="1"/>
      <c r="AVK60" s="1"/>
      <c r="AVL60" s="1"/>
      <c r="AVM60" s="1"/>
      <c r="AVP60" s="1"/>
      <c r="AVQ60" s="1"/>
      <c r="AVR60" s="1"/>
      <c r="AVS60" s="1"/>
      <c r="AVT60" s="1"/>
      <c r="AVU60" s="1"/>
      <c r="AVX60" s="1"/>
      <c r="AVY60" s="1"/>
      <c r="AVZ60" s="1"/>
      <c r="AWA60" s="1"/>
      <c r="AWB60" s="1"/>
      <c r="AWC60" s="1"/>
      <c r="AWF60" s="1"/>
      <c r="AWG60" s="1"/>
      <c r="AWH60" s="1"/>
      <c r="AWI60" s="1"/>
      <c r="AWJ60" s="1"/>
      <c r="AWK60" s="1"/>
      <c r="AWN60" s="50"/>
      <c r="AWO60" s="51"/>
      <c r="AWP60" s="51"/>
      <c r="AWQ60" s="51"/>
      <c r="AWR60" s="51"/>
      <c r="AWS60" s="51"/>
      <c r="AWT60" s="52">
        <f t="shared" si="2203"/>
        <v>0</v>
      </c>
      <c r="AWU60" s="53">
        <f t="shared" si="2204"/>
        <v>0</v>
      </c>
      <c r="AWV60" s="50"/>
      <c r="AWW60" s="51"/>
      <c r="AWX60" s="51"/>
      <c r="AWY60" s="51"/>
      <c r="AWZ60" s="51"/>
      <c r="AXA60" s="51"/>
      <c r="AXB60" s="52">
        <f t="shared" si="2205"/>
        <v>0</v>
      </c>
      <c r="AXC60" s="53">
        <f t="shared" si="2206"/>
        <v>0</v>
      </c>
      <c r="AXD60" s="1"/>
      <c r="AXE60" s="1"/>
      <c r="AXF60" s="1"/>
      <c r="AXG60" s="1"/>
      <c r="AXH60" s="1"/>
      <c r="AXI60" s="1"/>
      <c r="AXL60" s="1"/>
      <c r="AXM60" s="1"/>
      <c r="AXN60" s="1"/>
      <c r="AXO60" s="1"/>
      <c r="AXP60" s="1"/>
      <c r="AXQ60" s="1"/>
      <c r="AXT60" s="1"/>
      <c r="AXU60" s="1"/>
      <c r="AXV60" s="1"/>
      <c r="AXW60" s="1"/>
      <c r="AXX60" s="1"/>
      <c r="AXY60" s="1"/>
      <c r="AYB60" s="1"/>
      <c r="AYC60" s="1"/>
      <c r="AYD60" s="1"/>
      <c r="AYE60" s="1"/>
      <c r="AYF60" s="1"/>
      <c r="AYG60" s="1"/>
      <c r="AYJ60" s="1"/>
      <c r="AYK60" s="1"/>
      <c r="AYL60" s="1"/>
      <c r="AYM60" s="1"/>
      <c r="AYN60" s="1"/>
      <c r="AYO60" s="1"/>
      <c r="AYR60" s="1"/>
      <c r="AYS60" s="1"/>
      <c r="AYT60" s="1"/>
      <c r="AYU60" s="1"/>
      <c r="AYV60" s="1"/>
      <c r="AYW60" s="1"/>
      <c r="AYZ60" s="1"/>
      <c r="AZA60" s="1"/>
      <c r="AZB60" s="1"/>
      <c r="AZC60" s="1"/>
      <c r="AZD60" s="1"/>
      <c r="AZE60" s="1"/>
      <c r="AZH60" s="1"/>
      <c r="AZI60" s="1"/>
      <c r="AZJ60" s="1"/>
      <c r="AZK60" s="1"/>
      <c r="AZL60" s="1"/>
      <c r="AZM60" s="1"/>
      <c r="AZP60" s="1"/>
      <c r="AZQ60" s="1"/>
      <c r="AZR60" s="1"/>
      <c r="AZS60" s="1"/>
      <c r="AZT60" s="1"/>
      <c r="AZU60" s="1"/>
      <c r="AZX60" s="77"/>
      <c r="AZY60" s="77"/>
      <c r="AZZ60" s="77"/>
      <c r="BAA60" s="77"/>
      <c r="BAB60" s="77"/>
      <c r="BAC60" s="77"/>
      <c r="BAF60" s="1"/>
      <c r="BAG60" s="1"/>
      <c r="BAH60" s="1"/>
      <c r="BAI60" s="1"/>
      <c r="BAJ60" s="1"/>
      <c r="BAK60" s="1"/>
      <c r="BAN60" s="1"/>
      <c r="BAO60" s="1"/>
      <c r="BAP60" s="1"/>
      <c r="BAQ60" s="1"/>
      <c r="BAR60" s="1"/>
      <c r="BAS60" s="1"/>
      <c r="BAV60" s="1"/>
      <c r="BAW60" s="1"/>
      <c r="BAX60" s="1"/>
      <c r="BAY60" s="1"/>
      <c r="BAZ60" s="1"/>
      <c r="BBA60" s="1"/>
      <c r="BBD60" s="1"/>
      <c r="BBE60" s="1"/>
      <c r="BBF60" s="1"/>
      <c r="BBG60" s="1"/>
      <c r="BBH60" s="1"/>
      <c r="BBI60" s="1"/>
      <c r="BBL60" s="1"/>
      <c r="BBM60" s="1"/>
      <c r="BBN60" s="1"/>
      <c r="BBO60" s="1"/>
      <c r="BBP60" s="1"/>
      <c r="BBQ60" s="1"/>
      <c r="BBT60" s="1"/>
      <c r="BBU60" s="1"/>
      <c r="BBV60" s="1"/>
      <c r="BBW60" s="1"/>
      <c r="BBX60" s="1"/>
      <c r="BBY60" s="1"/>
      <c r="BCB60" s="1"/>
      <c r="BCC60" s="1"/>
      <c r="BCD60" s="1"/>
      <c r="BCE60" s="1"/>
      <c r="BCF60" s="1"/>
      <c r="BCG60" s="1"/>
      <c r="BCJ60" s="1"/>
      <c r="BCK60" s="1"/>
      <c r="BCL60" s="1"/>
      <c r="BCM60" s="1"/>
      <c r="BCN60" s="1"/>
      <c r="BCO60" s="1"/>
      <c r="BCR60" s="1"/>
      <c r="BCS60" s="1"/>
      <c r="BCT60" s="1"/>
      <c r="BCU60" s="1"/>
      <c r="BCV60" s="1"/>
      <c r="BCW60" s="1"/>
      <c r="BCZ60" s="1"/>
      <c r="BDA60" s="1"/>
      <c r="BDB60" s="1"/>
      <c r="BDC60" s="1"/>
      <c r="BDD60" s="1"/>
      <c r="BDE60" s="1"/>
      <c r="BDH60" s="1"/>
      <c r="BDI60" s="1"/>
      <c r="BDJ60" s="1"/>
      <c r="BDK60" s="1"/>
      <c r="BDL60" s="1"/>
      <c r="BDM60" s="1"/>
      <c r="BDP60" s="1"/>
      <c r="BDQ60" s="1"/>
      <c r="BDR60" s="1"/>
      <c r="BDS60" s="1"/>
      <c r="BDT60" s="1"/>
      <c r="BDU60" s="1"/>
      <c r="BDX60" s="1"/>
      <c r="BDY60" s="1"/>
      <c r="BDZ60" s="1"/>
      <c r="BEA60" s="1"/>
      <c r="BEB60" s="1"/>
      <c r="BEC60" s="1"/>
      <c r="BEF60" s="1"/>
      <c r="BEG60" s="1"/>
      <c r="BEH60" s="1"/>
      <c r="BEI60" s="1"/>
      <c r="BEJ60" s="1"/>
      <c r="BEK60" s="1"/>
      <c r="BEN60" s="1"/>
      <c r="BEO60" s="1"/>
      <c r="BEP60" s="1"/>
      <c r="BEQ60" s="1"/>
      <c r="BER60" s="1"/>
      <c r="BES60" s="1"/>
      <c r="BEV60" s="77"/>
      <c r="BEW60" s="77"/>
      <c r="BEX60" s="77"/>
      <c r="BEY60" s="77"/>
      <c r="BEZ60" s="77"/>
      <c r="BFA60" s="77"/>
      <c r="BFD60" s="1"/>
      <c r="BFE60" s="1"/>
      <c r="BFF60" s="1"/>
      <c r="BFG60" s="1"/>
      <c r="BFH60" s="1"/>
      <c r="BFI60" s="1"/>
      <c r="BFL60" s="1"/>
      <c r="BFM60" s="1"/>
      <c r="BFN60" s="1"/>
      <c r="BFO60" s="1"/>
      <c r="BFP60" s="1"/>
      <c r="BFQ60" s="1"/>
      <c r="BFT60" s="1"/>
      <c r="BFU60" s="1"/>
      <c r="BFV60" s="1"/>
      <c r="BFW60" s="1"/>
      <c r="BFX60" s="1"/>
      <c r="BFY60" s="1"/>
      <c r="BGB60" s="1"/>
      <c r="BGC60" s="1"/>
      <c r="BGD60" s="1"/>
      <c r="BGE60" s="1"/>
      <c r="BGF60" s="1"/>
      <c r="BGG60" s="1"/>
      <c r="BGJ60" s="1"/>
      <c r="BGK60" s="1"/>
      <c r="BGL60" s="1"/>
      <c r="BGM60" s="1"/>
      <c r="BGN60" s="1"/>
      <c r="BGO60" s="1"/>
      <c r="BGR60" s="1"/>
      <c r="BGS60" s="1"/>
      <c r="BGT60" s="1"/>
      <c r="BGU60" s="1"/>
      <c r="BGV60" s="1"/>
      <c r="BGW60" s="1"/>
      <c r="BGZ60" s="1"/>
      <c r="BHA60" s="1"/>
      <c r="BHB60" s="1"/>
      <c r="BHC60" s="1"/>
      <c r="BHD60" s="1"/>
      <c r="BHE60" s="1"/>
      <c r="BHH60" s="1"/>
      <c r="BHI60" s="1"/>
      <c r="BHJ60" s="1"/>
      <c r="BHK60" s="1"/>
      <c r="BHL60" s="1"/>
      <c r="BHM60" s="1"/>
      <c r="BHP60" s="1"/>
      <c r="BHQ60" s="1"/>
      <c r="BHR60" s="1"/>
      <c r="BHS60" s="1"/>
      <c r="BHT60" s="1"/>
      <c r="BHU60" s="1"/>
      <c r="BHX60" s="1"/>
      <c r="BHY60" s="1"/>
      <c r="BHZ60" s="1"/>
      <c r="BIA60" s="1"/>
      <c r="BIB60" s="1"/>
      <c r="BIC60" s="1"/>
      <c r="BIF60" s="1"/>
      <c r="BIG60" s="1"/>
      <c r="BIH60" s="1"/>
      <c r="BII60" s="1"/>
      <c r="BIJ60" s="1"/>
      <c r="BIK60" s="1"/>
      <c r="BIN60" s="1"/>
      <c r="BIO60" s="1"/>
      <c r="BIP60" s="1"/>
      <c r="BIQ60" s="1"/>
      <c r="BIR60" s="1"/>
      <c r="BIS60" s="1"/>
      <c r="BIV60" s="1"/>
      <c r="BIW60" s="1"/>
      <c r="BIX60" s="1"/>
      <c r="BIY60" s="1"/>
      <c r="BIZ60" s="1"/>
      <c r="BJA60" s="1"/>
      <c r="BJD60" s="1"/>
      <c r="BJE60" s="1"/>
      <c r="BJF60" s="1"/>
      <c r="BJG60" s="1"/>
      <c r="BJH60" s="1"/>
      <c r="BJI60" s="1"/>
      <c r="BJL60" s="1"/>
      <c r="BJM60" s="1"/>
      <c r="BJN60" s="1"/>
      <c r="BJO60" s="1"/>
      <c r="BJP60" s="1"/>
      <c r="BJQ60" s="1"/>
      <c r="BJT60" s="1"/>
      <c r="BJU60" s="1"/>
      <c r="BJV60" s="1"/>
      <c r="BJW60" s="1"/>
      <c r="BJX60" s="1"/>
      <c r="BJY60" s="1"/>
      <c r="BKB60" s="1"/>
      <c r="BKC60" s="1"/>
      <c r="BKD60" s="1"/>
      <c r="BKE60" s="1"/>
      <c r="BKF60" s="1"/>
      <c r="BKG60" s="1"/>
      <c r="BKJ60" s="1"/>
      <c r="BKK60" s="1"/>
      <c r="BKL60" s="1"/>
      <c r="BKM60" s="1"/>
      <c r="BKN60" s="1"/>
      <c r="BKO60" s="1"/>
      <c r="BKR60" s="1"/>
      <c r="BKS60" s="1"/>
      <c r="BKT60" s="1"/>
      <c r="BKU60" s="1"/>
      <c r="BKV60" s="1"/>
      <c r="BKW60" s="1"/>
      <c r="BKZ60" s="1"/>
      <c r="BLA60" s="1"/>
      <c r="BLB60" s="1"/>
      <c r="BLC60" s="1"/>
      <c r="BLD60" s="1"/>
      <c r="BLE60" s="1"/>
      <c r="BLH60" s="1"/>
      <c r="BLI60" s="1"/>
      <c r="BLJ60" s="1"/>
      <c r="BLK60" s="1"/>
      <c r="BLL60" s="1"/>
      <c r="BLM60" s="1"/>
      <c r="BLP60" s="1"/>
      <c r="BLQ60" s="1"/>
      <c r="BLR60" s="1"/>
      <c r="BLS60" s="1"/>
      <c r="BLT60" s="1"/>
      <c r="BLU60" s="1"/>
      <c r="BND60" s="1"/>
      <c r="BNE60" s="1"/>
      <c r="BNF60" s="1"/>
      <c r="BNG60" s="1"/>
      <c r="BNH60" s="1"/>
      <c r="BNI60" s="1"/>
      <c r="BPH60" s="1"/>
      <c r="BPI60" s="1"/>
      <c r="BPJ60" s="1"/>
      <c r="BPK60" s="1"/>
      <c r="BPL60" s="1"/>
      <c r="BPM60" s="1"/>
      <c r="BPP60" s="1"/>
      <c r="BPQ60" s="1"/>
      <c r="BPR60" s="1"/>
      <c r="BPS60" s="1"/>
      <c r="BPT60" s="1"/>
      <c r="BPU60" s="1"/>
      <c r="BPX60" s="1"/>
      <c r="BPY60" s="1"/>
      <c r="BPZ60" s="1"/>
      <c r="BQA60" s="1"/>
      <c r="BQB60" s="1"/>
      <c r="BQC60" s="1"/>
      <c r="BQF60" s="1"/>
      <c r="BQG60" s="1"/>
      <c r="BQH60" s="1"/>
      <c r="BQI60" s="1"/>
      <c r="BQJ60" s="1"/>
      <c r="BQK60" s="1"/>
      <c r="BQN60" s="1"/>
      <c r="BQO60" s="1"/>
      <c r="BQP60" s="1"/>
      <c r="BQQ60" s="1"/>
      <c r="BQR60" s="1"/>
      <c r="BQS60" s="1"/>
      <c r="BQV60" s="1"/>
      <c r="BQW60" s="1"/>
      <c r="BQX60" s="1"/>
      <c r="BQY60" s="1"/>
      <c r="BQZ60" s="1"/>
      <c r="BRA60" s="1"/>
      <c r="BRD60" s="1"/>
      <c r="BRE60" s="1"/>
      <c r="BRF60" s="1"/>
      <c r="BRG60" s="1"/>
      <c r="BRH60" s="1"/>
      <c r="BRI60" s="1"/>
      <c r="BRL60" s="1"/>
      <c r="BRM60" s="1"/>
      <c r="BRN60" s="1"/>
      <c r="BRO60" s="1"/>
      <c r="BRP60" s="1"/>
      <c r="BRQ60" s="1"/>
      <c r="BRT60" s="1"/>
      <c r="BRU60" s="1"/>
      <c r="BRV60" s="1"/>
      <c r="BRW60" s="1"/>
      <c r="BRX60" s="1"/>
      <c r="BRY60" s="1"/>
      <c r="BSB60" s="1"/>
      <c r="BSC60" s="1"/>
      <c r="BSD60" s="1"/>
      <c r="BSE60" s="1"/>
      <c r="BSF60" s="1"/>
      <c r="BSG60" s="1"/>
      <c r="BSR60" s="1"/>
      <c r="BSS60" s="1"/>
      <c r="BST60" s="1"/>
      <c r="BSU60" s="1"/>
      <c r="BSV60" s="1"/>
      <c r="BSW60" s="1"/>
      <c r="BSZ60" s="1"/>
      <c r="BTA60" s="1"/>
      <c r="BTB60" s="1"/>
      <c r="BTC60" s="1"/>
      <c r="BTD60" s="1"/>
      <c r="BTE60" s="1"/>
      <c r="BTH60" s="1"/>
      <c r="BTI60" s="1"/>
      <c r="BTJ60" s="1"/>
      <c r="BTK60" s="1"/>
      <c r="BTL60" s="1"/>
      <c r="BTM60" s="1"/>
      <c r="BTP60" s="1"/>
      <c r="BTQ60" s="1"/>
      <c r="BTR60" s="1"/>
      <c r="BTS60" s="1"/>
      <c r="BTT60" s="1"/>
      <c r="BTU60" s="1"/>
      <c r="BTX60" s="1"/>
      <c r="BTY60" s="1"/>
      <c r="BTZ60" s="1"/>
      <c r="BUA60" s="1"/>
      <c r="BUB60" s="1"/>
      <c r="BUC60" s="1"/>
      <c r="BUF60" s="1"/>
      <c r="BUG60" s="1"/>
      <c r="BUH60" s="1"/>
      <c r="BUI60" s="1"/>
      <c r="BUJ60" s="1"/>
      <c r="BUK60" s="1"/>
      <c r="BUV60" s="1"/>
      <c r="BUW60" s="1"/>
      <c r="BUX60" s="1"/>
      <c r="BUY60" s="1"/>
      <c r="BUZ60" s="1"/>
      <c r="BVA60" s="1"/>
      <c r="BVD60" s="1"/>
      <c r="BVE60" s="1"/>
      <c r="BVF60" s="1"/>
      <c r="BVG60" s="1"/>
      <c r="BVH60" s="1"/>
      <c r="BVI60" s="1"/>
      <c r="BVT60" s="1"/>
      <c r="BVU60" s="1"/>
      <c r="BVV60" s="1"/>
      <c r="BVW60" s="1"/>
      <c r="BVX60" s="1"/>
      <c r="BVY60" s="1"/>
      <c r="BWB60" s="1"/>
      <c r="BWC60" s="1"/>
      <c r="BWD60" s="1"/>
      <c r="BWE60" s="1"/>
      <c r="BWF60" s="1"/>
      <c r="BWG60" s="1"/>
      <c r="BWJ60" s="1"/>
      <c r="BWK60" s="1"/>
      <c r="BWL60" s="1"/>
      <c r="BWM60" s="1"/>
      <c r="BWN60" s="1"/>
      <c r="BWO60" s="1"/>
      <c r="BWR60" s="1"/>
      <c r="BWS60" s="1"/>
      <c r="BWT60" s="1"/>
      <c r="BWU60" s="1"/>
      <c r="BWV60" s="1"/>
      <c r="BWW60" s="1"/>
      <c r="BWZ60" s="1"/>
      <c r="BXA60" s="1"/>
      <c r="BXB60" s="1"/>
      <c r="BXC60" s="1"/>
      <c r="BXD60" s="1"/>
      <c r="BXE60" s="1"/>
      <c r="BXH60" s="1"/>
      <c r="BXI60" s="1"/>
      <c r="BXJ60" s="1"/>
      <c r="BXK60" s="1"/>
      <c r="BXL60" s="1"/>
      <c r="BXM60" s="1"/>
      <c r="BXP60" s="1"/>
      <c r="BXQ60" s="1"/>
      <c r="BXR60" s="1"/>
      <c r="BXS60" s="1"/>
      <c r="BXT60" s="1"/>
      <c r="BXU60" s="1"/>
      <c r="BXX60" s="1"/>
      <c r="BXY60" s="1"/>
      <c r="BXZ60" s="1"/>
      <c r="BYA60" s="1"/>
      <c r="BYB60" s="1"/>
      <c r="BYC60" s="1"/>
      <c r="BYF60" s="1"/>
      <c r="BYG60" s="1"/>
      <c r="BYH60" s="1"/>
      <c r="BYI60" s="1"/>
      <c r="BYJ60" s="1"/>
      <c r="BYK60" s="1"/>
      <c r="BYN60" s="1"/>
      <c r="BYO60" s="1"/>
      <c r="BYP60" s="1"/>
      <c r="BYQ60" s="1"/>
      <c r="BYR60" s="1"/>
      <c r="BYS60" s="1"/>
      <c r="BYV60" s="1"/>
      <c r="BYW60" s="1"/>
      <c r="BYX60" s="1"/>
      <c r="BYY60" s="1"/>
      <c r="BYZ60" s="1"/>
      <c r="BZA60" s="1"/>
      <c r="BZD60" s="1"/>
      <c r="BZE60" s="1"/>
      <c r="BZF60" s="1"/>
      <c r="BZG60" s="1"/>
      <c r="BZH60" s="1"/>
      <c r="BZI60" s="1"/>
      <c r="BZL60" s="1"/>
      <c r="BZM60" s="1"/>
      <c r="BZN60" s="1"/>
      <c r="BZO60" s="1"/>
      <c r="BZP60" s="1"/>
      <c r="BZQ60" s="1"/>
      <c r="BZT60" s="1"/>
      <c r="BZU60" s="1"/>
      <c r="BZV60" s="1"/>
      <c r="BZW60" s="1"/>
      <c r="BZX60" s="1"/>
      <c r="BZY60" s="1"/>
      <c r="CAB60" s="1"/>
      <c r="CAC60" s="1"/>
      <c r="CAD60" s="1"/>
      <c r="CAE60" s="1"/>
      <c r="CAF60" s="1"/>
      <c r="CAG60" s="1"/>
      <c r="CAJ60" s="1"/>
      <c r="CAK60" s="1"/>
      <c r="CAL60" s="1"/>
      <c r="CAM60" s="1"/>
      <c r="CAN60" s="1"/>
      <c r="CAO60" s="1"/>
      <c r="CAR60" s="1"/>
      <c r="CAS60" s="1"/>
      <c r="CAT60" s="1"/>
      <c r="CAU60" s="1"/>
      <c r="CAV60" s="1"/>
      <c r="CAW60" s="1"/>
      <c r="CAZ60" s="1"/>
      <c r="CBA60" s="1"/>
      <c r="CBB60" s="1"/>
      <c r="CBC60" s="1"/>
      <c r="CBD60" s="1"/>
      <c r="CBE60" s="1"/>
      <c r="CBH60" s="1"/>
      <c r="CBI60" s="1"/>
      <c r="CBJ60" s="1"/>
      <c r="CBK60" s="1"/>
      <c r="CBL60" s="1"/>
      <c r="CBM60" s="1"/>
      <c r="CBP60" s="1"/>
      <c r="CBQ60" s="1"/>
      <c r="CBR60" s="1"/>
      <c r="CBS60" s="1"/>
      <c r="CBT60" s="1"/>
      <c r="CBU60" s="1"/>
      <c r="CBX60" s="1"/>
      <c r="CBY60" s="1"/>
      <c r="CBZ60" s="1"/>
      <c r="CCA60" s="1"/>
      <c r="CCB60" s="1"/>
      <c r="CCC60" s="1"/>
      <c r="CCF60" s="1"/>
      <c r="CCG60" s="1"/>
      <c r="CCH60" s="1"/>
      <c r="CCI60" s="1"/>
      <c r="CCJ60" s="1"/>
      <c r="CCK60" s="1"/>
      <c r="CCN60" s="1"/>
      <c r="CCO60" s="1"/>
      <c r="CCP60" s="1"/>
      <c r="CCQ60" s="1"/>
      <c r="CCR60" s="1"/>
      <c r="CCS60" s="1"/>
      <c r="CCV60" s="1"/>
      <c r="CCW60" s="1"/>
      <c r="CCX60" s="1"/>
      <c r="CCY60" s="1"/>
      <c r="CCZ60" s="1"/>
      <c r="CDA60" s="1"/>
      <c r="CDD60" s="1"/>
      <c r="CDE60" s="1"/>
      <c r="CDF60" s="1"/>
      <c r="CDG60" s="1"/>
      <c r="CDH60" s="1"/>
      <c r="CDI60" s="1"/>
      <c r="CDL60" s="1"/>
      <c r="CDM60" s="1"/>
      <c r="CDN60" s="1"/>
      <c r="CDO60" s="1"/>
      <c r="CDP60" s="1"/>
      <c r="CDQ60" s="1"/>
      <c r="CDT60" s="1"/>
      <c r="CDU60" s="1"/>
      <c r="CDV60" s="1"/>
      <c r="CDW60" s="1"/>
      <c r="CDX60" s="1"/>
      <c r="CDY60" s="1"/>
      <c r="CEB60" s="1"/>
      <c r="CEC60" s="1"/>
      <c r="CED60" s="1"/>
      <c r="CEE60" s="1"/>
      <c r="CEF60" s="1"/>
      <c r="CEG60" s="1"/>
      <c r="CEJ60" s="1"/>
      <c r="CEK60" s="1"/>
      <c r="CEL60" s="1"/>
      <c r="CEM60" s="1"/>
      <c r="CEN60" s="1"/>
      <c r="CEO60" s="1"/>
      <c r="CER60" s="1"/>
      <c r="CES60" s="1"/>
      <c r="CET60" s="1"/>
      <c r="CEU60" s="1"/>
      <c r="CEV60" s="1"/>
      <c r="CEW60" s="1"/>
      <c r="CEZ60" s="1"/>
      <c r="CFA60" s="1"/>
      <c r="CFB60" s="1"/>
      <c r="CFC60" s="1"/>
      <c r="CFD60" s="1"/>
      <c r="CFE60" s="1"/>
      <c r="CFH60" s="1"/>
      <c r="CFI60" s="1"/>
      <c r="CFJ60" s="1"/>
      <c r="CFK60" s="1"/>
      <c r="CFL60" s="1"/>
      <c r="CFM60" s="1"/>
      <c r="CFP60" s="1"/>
      <c r="CFQ60" s="1"/>
      <c r="CFR60" s="1"/>
      <c r="CFS60" s="1"/>
      <c r="CFT60" s="1"/>
      <c r="CFU60" s="1"/>
      <c r="CFX60" s="1"/>
      <c r="CFY60" s="1"/>
      <c r="CFZ60" s="1"/>
      <c r="CGA60" s="1"/>
      <c r="CGB60" s="1"/>
      <c r="CGC60" s="1"/>
      <c r="CGF60" s="1"/>
      <c r="CGG60" s="1"/>
      <c r="CGH60" s="1"/>
      <c r="CGI60" s="1"/>
      <c r="CGJ60" s="1"/>
      <c r="CGK60" s="1"/>
      <c r="CGN60" s="1"/>
      <c r="CGO60" s="1"/>
      <c r="CGP60" s="1"/>
      <c r="CGQ60" s="1"/>
      <c r="CGR60" s="1"/>
      <c r="CGS60" s="1"/>
      <c r="CGV60" s="1"/>
      <c r="CGW60" s="1"/>
      <c r="CGX60" s="1"/>
      <c r="CGY60" s="1"/>
      <c r="CGZ60" s="1"/>
      <c r="CHA60" s="1"/>
      <c r="CHD60" s="1"/>
      <c r="CHE60" s="1"/>
      <c r="CHF60" s="1"/>
      <c r="CHG60" s="1"/>
      <c r="CHH60" s="1"/>
      <c r="CHI60" s="1"/>
      <c r="CHL60" s="1"/>
      <c r="CHM60" s="1"/>
      <c r="CHN60" s="1"/>
      <c r="CHO60" s="1"/>
      <c r="CHP60" s="1"/>
      <c r="CHQ60" s="1"/>
      <c r="CHT60" s="1"/>
      <c r="CHU60" s="1"/>
      <c r="CHV60" s="1"/>
      <c r="CHW60" s="1"/>
      <c r="CHX60" s="1"/>
      <c r="CHY60" s="1"/>
      <c r="CIB60" s="1"/>
      <c r="CIC60" s="1"/>
      <c r="CID60" s="1"/>
      <c r="CIE60" s="1"/>
      <c r="CIF60" s="1"/>
      <c r="CIG60" s="1"/>
      <c r="CIJ60" s="1"/>
      <c r="CIK60" s="1"/>
      <c r="CIL60" s="1"/>
      <c r="CIM60" s="1"/>
      <c r="CIN60" s="1"/>
      <c r="CIO60" s="1"/>
      <c r="CIR60" s="1"/>
      <c r="CIS60" s="1"/>
      <c r="CIT60" s="1"/>
      <c r="CIU60" s="1"/>
      <c r="CIV60" s="1"/>
      <c r="CIW60" s="1"/>
      <c r="CIZ60" s="1"/>
      <c r="CJA60" s="1"/>
      <c r="CJB60" s="1"/>
      <c r="CJC60" s="1"/>
      <c r="CJD60" s="1"/>
      <c r="CJE60" s="1"/>
      <c r="CJH60" s="1"/>
      <c r="CJI60" s="1"/>
      <c r="CJJ60" s="1"/>
      <c r="CJK60" s="1"/>
      <c r="CJL60" s="1"/>
      <c r="CJM60" s="1"/>
      <c r="CJP60" s="1"/>
      <c r="CJQ60" s="1"/>
      <c r="CJR60" s="1"/>
      <c r="CJS60" s="1"/>
      <c r="CJT60" s="1"/>
      <c r="CJU60" s="1"/>
      <c r="CJX60" s="1"/>
      <c r="CJY60" s="1"/>
      <c r="CJZ60" s="1"/>
      <c r="CKA60" s="1"/>
      <c r="CKB60" s="1"/>
      <c r="CKC60" s="1"/>
      <c r="CKF60" s="1"/>
      <c r="CKG60" s="1"/>
      <c r="CKH60" s="1"/>
      <c r="CKI60" s="1"/>
      <c r="CKJ60" s="1"/>
      <c r="CKK60" s="1"/>
      <c r="CKN60" s="1"/>
      <c r="CKO60" s="1"/>
      <c r="CKP60" s="1"/>
      <c r="CKQ60" s="1"/>
      <c r="CKR60" s="1"/>
      <c r="CKV60" s="1"/>
      <c r="CKW60" s="1"/>
      <c r="CKX60" s="1"/>
      <c r="CKY60" s="1"/>
      <c r="CKZ60" s="1"/>
      <c r="CLA60" s="1"/>
      <c r="CLD60" s="1"/>
      <c r="CLE60" s="1"/>
      <c r="CLF60" s="1"/>
      <c r="CLG60" s="1"/>
      <c r="CLH60" s="1"/>
      <c r="CLI60" s="1"/>
      <c r="CLL60" s="1"/>
      <c r="CLM60" s="1"/>
      <c r="CLN60" s="1"/>
      <c r="CLO60" s="1"/>
      <c r="CLP60" s="1"/>
      <c r="CLQ60" s="1"/>
      <c r="CLT60" s="1"/>
      <c r="CLU60" s="1"/>
      <c r="CLV60" s="1"/>
      <c r="CLW60" s="1"/>
      <c r="CLX60" s="1"/>
      <c r="CLY60" s="1"/>
      <c r="CMB60" s="1"/>
      <c r="CMC60" s="1"/>
      <c r="CMD60" s="1"/>
      <c r="CME60" s="1"/>
      <c r="CMF60" s="1"/>
      <c r="CMG60" s="1"/>
      <c r="CMJ60" s="1"/>
      <c r="CMK60" s="1"/>
      <c r="CML60" s="1"/>
      <c r="CMM60" s="1"/>
      <c r="CMN60" s="1"/>
      <c r="CMO60" s="1"/>
      <c r="CMR60" s="1"/>
      <c r="CMS60" s="1"/>
      <c r="CMT60" s="1"/>
      <c r="CMU60" s="1"/>
      <c r="CMV60" s="1"/>
      <c r="CMW60" s="1"/>
      <c r="CMZ60" s="1"/>
      <c r="CNA60" s="1"/>
      <c r="CNB60" s="1"/>
      <c r="CNC60" s="1"/>
      <c r="CND60" s="1"/>
      <c r="CNE60" s="1"/>
      <c r="CNH60" s="1"/>
      <c r="CNI60" s="1"/>
      <c r="CNJ60" s="1"/>
      <c r="CNK60" s="1"/>
      <c r="CNL60" s="1"/>
      <c r="CNM60" s="1"/>
      <c r="CNP60" s="1"/>
      <c r="CNQ60" s="1"/>
      <c r="CNR60" s="1"/>
      <c r="CNS60" s="1"/>
      <c r="CNT60" s="1"/>
      <c r="CNU60" s="1"/>
      <c r="CNX60" s="1"/>
      <c r="CNY60" s="1"/>
      <c r="CNZ60" s="1"/>
      <c r="COA60" s="1"/>
      <c r="COB60" s="1"/>
      <c r="COC60" s="1"/>
      <c r="COF60" s="1"/>
      <c r="COG60" s="1"/>
      <c r="COH60" s="1"/>
      <c r="COI60" s="1"/>
      <c r="COJ60" s="1"/>
      <c r="COK60" s="1"/>
      <c r="CON60" s="1"/>
      <c r="COO60" s="1"/>
      <c r="COP60" s="1"/>
      <c r="COQ60" s="1"/>
      <c r="COR60" s="1"/>
      <c r="COS60" s="1"/>
      <c r="COV60" s="1"/>
      <c r="COW60" s="1"/>
      <c r="COX60" s="1"/>
      <c r="COY60" s="1"/>
      <c r="COZ60" s="1"/>
      <c r="CPA60" s="1"/>
      <c r="CPD60" s="1"/>
      <c r="CPE60" s="1"/>
      <c r="CPF60" s="1"/>
      <c r="CPG60" s="1"/>
      <c r="CPH60" s="1"/>
      <c r="CPI60" s="1"/>
      <c r="CPL60" s="1"/>
      <c r="CPM60" s="1"/>
      <c r="CPN60" s="1"/>
      <c r="CPO60" s="1"/>
      <c r="CPP60" s="1"/>
      <c r="CPQ60" s="1"/>
      <c r="CPT60" s="1"/>
      <c r="CPU60" s="1"/>
      <c r="CPV60" s="1"/>
      <c r="CPW60" s="1"/>
      <c r="CPX60" s="1"/>
      <c r="CPY60" s="1"/>
      <c r="CQB60" s="1"/>
      <c r="CQC60" s="1"/>
      <c r="CQD60" s="1"/>
      <c r="CQE60" s="1"/>
      <c r="CQF60" s="1"/>
      <c r="CQG60" s="1"/>
      <c r="CQJ60" s="77"/>
      <c r="CQK60" s="77"/>
      <c r="CQL60" s="77"/>
      <c r="CQM60" s="77"/>
      <c r="CQN60" s="77"/>
      <c r="CQO60" s="77"/>
      <c r="CQR60" s="1"/>
      <c r="CQS60" s="1"/>
      <c r="CQT60" s="1"/>
      <c r="CQU60" s="1"/>
      <c r="CQV60" s="1"/>
      <c r="CQW60" s="1"/>
      <c r="CQZ60" s="1"/>
      <c r="CRA60" s="1"/>
      <c r="CRB60" s="1"/>
      <c r="CRC60" s="1"/>
      <c r="CRD60" s="1"/>
      <c r="CRE60" s="1"/>
      <c r="CRH60" s="1"/>
      <c r="CRI60" s="1"/>
      <c r="CRJ60" s="1"/>
      <c r="CRK60" s="1"/>
      <c r="CRL60" s="1"/>
      <c r="CRM60" s="1"/>
      <c r="CRP60" s="1"/>
      <c r="CRQ60" s="1"/>
      <c r="CRR60" s="1"/>
      <c r="CRS60" s="1"/>
      <c r="CRT60" s="1"/>
      <c r="CRU60" s="1"/>
      <c r="CRX60" s="1"/>
      <c r="CRY60" s="1"/>
      <c r="CRZ60" s="1"/>
      <c r="CSA60" s="1"/>
      <c r="CSB60" s="1"/>
      <c r="CSC60" s="1"/>
      <c r="CSF60" s="1"/>
      <c r="CSG60" s="1"/>
      <c r="CSH60" s="1"/>
      <c r="CSI60" s="1"/>
      <c r="CSJ60" s="1"/>
      <c r="CSK60" s="1"/>
      <c r="CSN60" s="1"/>
      <c r="CSO60" s="1"/>
      <c r="CSP60" s="1"/>
      <c r="CSQ60" s="1"/>
      <c r="CSR60" s="1"/>
      <c r="CSS60" s="1"/>
      <c r="CSV60" s="1"/>
      <c r="CSW60" s="1"/>
      <c r="CSX60" s="1"/>
      <c r="CSY60" s="1"/>
      <c r="CSZ60" s="1"/>
      <c r="CTA60" s="1"/>
      <c r="CTD60" s="1"/>
      <c r="CTE60" s="1"/>
      <c r="CTF60" s="1"/>
      <c r="CTG60" s="1"/>
      <c r="CTH60" s="1"/>
      <c r="CTI60" s="1"/>
      <c r="CTL60" s="1"/>
      <c r="CTM60" s="1"/>
      <c r="CTN60" s="1"/>
      <c r="CTO60" s="1"/>
      <c r="CTP60" s="1"/>
      <c r="CTQ60" s="1"/>
      <c r="CTT60" s="1"/>
      <c r="CTU60" s="1"/>
      <c r="CTV60" s="1"/>
      <c r="CTW60" s="1"/>
      <c r="CTX60" s="1"/>
      <c r="CTY60" s="1"/>
      <c r="CUB60" s="1"/>
      <c r="CUC60" s="1"/>
      <c r="CUD60" s="1"/>
      <c r="CUE60" s="1"/>
      <c r="CUF60" s="1"/>
      <c r="CUG60" s="1"/>
      <c r="CUJ60" s="1"/>
      <c r="CUK60" s="1"/>
      <c r="CUL60" s="1"/>
      <c r="CUM60" s="1"/>
      <c r="CUN60" s="1"/>
      <c r="CUO60" s="1"/>
      <c r="CUR60" s="1"/>
      <c r="CUS60" s="1"/>
      <c r="CUT60" s="1"/>
      <c r="CUU60" s="1"/>
      <c r="CUV60" s="1"/>
      <c r="CUW60" s="1"/>
      <c r="CUZ60" s="1"/>
      <c r="CVA60" s="1"/>
      <c r="CVB60" s="1"/>
      <c r="CVC60" s="1"/>
      <c r="CVD60" s="1"/>
      <c r="CVE60" s="1"/>
      <c r="CVH60" s="1"/>
      <c r="CVI60" s="1"/>
      <c r="CVJ60" s="1"/>
      <c r="CVK60" s="1"/>
      <c r="CVL60" s="1"/>
      <c r="CVM60" s="1"/>
      <c r="CVP60" s="1"/>
      <c r="CVQ60" s="1"/>
      <c r="CVR60" s="1"/>
      <c r="CVS60" s="1"/>
      <c r="CVT60" s="1"/>
      <c r="CVU60" s="1"/>
      <c r="CVX60" s="1"/>
      <c r="CVY60" s="1"/>
      <c r="CVZ60" s="1"/>
      <c r="CWA60" s="1"/>
      <c r="CWB60" s="1"/>
      <c r="CWC60" s="1"/>
      <c r="CWF60" s="1"/>
      <c r="CWG60" s="1"/>
      <c r="CWH60" s="1"/>
      <c r="CWI60" s="1"/>
      <c r="CWJ60" s="1"/>
      <c r="CWK60" s="1"/>
      <c r="CWN60" s="1"/>
      <c r="CWO60" s="1"/>
      <c r="CWP60" s="1"/>
      <c r="CWQ60" s="1"/>
      <c r="CWR60" s="1"/>
      <c r="CWS60" s="1"/>
      <c r="CWV60" s="1"/>
      <c r="CWW60" s="1"/>
      <c r="CWX60" s="1"/>
      <c r="CWY60" s="1"/>
      <c r="CWZ60" s="1"/>
      <c r="CXA60" s="1"/>
      <c r="CXD60" s="1"/>
      <c r="CXE60" s="1"/>
      <c r="CXF60" s="1"/>
      <c r="CXG60" s="1"/>
      <c r="CXH60" s="1"/>
      <c r="CXI60" s="1"/>
      <c r="CXL60" s="1"/>
      <c r="CXM60" s="1"/>
      <c r="CXN60" s="1"/>
      <c r="CXO60" s="1"/>
      <c r="CXP60" s="1"/>
      <c r="CXQ60" s="1"/>
      <c r="CXT60" s="1"/>
      <c r="CXU60" s="1"/>
      <c r="CXV60" s="1"/>
      <c r="CXW60" s="1"/>
      <c r="CXX60" s="1"/>
      <c r="CXY60" s="1"/>
      <c r="CYB60" s="1"/>
      <c r="CYC60" s="1"/>
      <c r="CYD60" s="1"/>
      <c r="CYE60" s="1"/>
      <c r="CYF60" s="1"/>
      <c r="CYG60" s="1"/>
      <c r="CYJ60" s="1"/>
      <c r="CYK60" s="1"/>
      <c r="CYL60" s="1"/>
      <c r="CYM60" s="1"/>
      <c r="CYN60" s="1"/>
      <c r="CYO60" s="1"/>
      <c r="CYR60" s="1"/>
      <c r="CYS60" s="1"/>
      <c r="CYT60" s="1"/>
      <c r="CYU60" s="1"/>
      <c r="CYV60" s="1"/>
      <c r="CYW60" s="1"/>
      <c r="CYZ60" s="1"/>
      <c r="CZA60" s="1"/>
      <c r="CZB60" s="1"/>
      <c r="CZC60" s="1"/>
      <c r="CZD60" s="1"/>
      <c r="CZE60" s="1"/>
      <c r="CZH60" s="1"/>
      <c r="CZI60" s="1"/>
      <c r="CZJ60" s="1"/>
      <c r="CZK60" s="1"/>
      <c r="CZL60" s="1"/>
      <c r="CZM60" s="1"/>
      <c r="CZP60" s="1"/>
      <c r="CZQ60" s="1"/>
      <c r="CZR60" s="1"/>
      <c r="CZS60" s="1"/>
      <c r="CZT60" s="1"/>
      <c r="CZU60" s="1"/>
      <c r="CZX60" s="1"/>
      <c r="CZY60" s="1"/>
      <c r="CZZ60" s="1"/>
      <c r="DAA60" s="1"/>
      <c r="DAB60" s="1"/>
      <c r="DAC60" s="1"/>
      <c r="DAF60" s="1"/>
      <c r="DAG60" s="1"/>
      <c r="DAH60" s="1"/>
      <c r="DAI60" s="1"/>
      <c r="DAJ60" s="1"/>
      <c r="DAK60" s="1"/>
      <c r="DAN60" s="1"/>
      <c r="DAO60" s="1"/>
      <c r="DAP60" s="1"/>
      <c r="DAQ60" s="1"/>
      <c r="DAR60" s="1"/>
      <c r="DAS60" s="1"/>
      <c r="DAV60" s="1"/>
      <c r="DAW60" s="1"/>
      <c r="DAX60" s="1"/>
      <c r="DAY60" s="1"/>
      <c r="DAZ60" s="1"/>
      <c r="DBA60" s="1"/>
      <c r="DBD60" s="1"/>
      <c r="DBE60" s="1"/>
      <c r="DBF60" s="1"/>
      <c r="DBG60" s="1"/>
      <c r="DBH60" s="1"/>
      <c r="DBI60" s="1"/>
      <c r="DBL60" s="1"/>
      <c r="DBM60" s="1"/>
      <c r="DBN60" s="1"/>
      <c r="DBO60" s="1"/>
      <c r="DBP60" s="1"/>
      <c r="DBQ60" s="1"/>
      <c r="DBT60" s="1"/>
      <c r="DBU60" s="1"/>
      <c r="DBV60" s="1"/>
      <c r="DBW60" s="1"/>
      <c r="DBX60" s="1"/>
      <c r="DBY60" s="1"/>
      <c r="DCB60" s="1"/>
      <c r="DCC60" s="1"/>
      <c r="DCD60" s="1"/>
      <c r="DCE60" s="1"/>
      <c r="DCF60" s="1"/>
      <c r="DCG60" s="1"/>
      <c r="DCJ60" s="1"/>
      <c r="DCK60" s="1"/>
      <c r="DCL60" s="1"/>
      <c r="DCM60" s="1"/>
      <c r="DCN60" s="1"/>
      <c r="DCO60" s="1"/>
      <c r="DCR60" s="1"/>
      <c r="DCS60" s="1"/>
      <c r="DCT60" s="1"/>
      <c r="DCU60" s="1"/>
      <c r="DCV60" s="1"/>
      <c r="DCW60" s="1"/>
      <c r="DCZ60" s="1"/>
      <c r="DDA60" s="1"/>
      <c r="DDB60" s="1"/>
      <c r="DDC60" s="1"/>
      <c r="DDD60" s="1"/>
      <c r="DDE60" s="1"/>
      <c r="DDH60" s="1"/>
      <c r="DDI60" s="1"/>
      <c r="DDJ60" s="1"/>
      <c r="DDK60" s="1"/>
      <c r="DDL60" s="1"/>
      <c r="DDM60" s="1"/>
      <c r="DDP60" s="1"/>
      <c r="DDQ60" s="1"/>
      <c r="DDR60" s="1"/>
      <c r="DDS60" s="1"/>
      <c r="DDT60" s="1"/>
      <c r="DDU60" s="1"/>
      <c r="DDX60" s="1"/>
      <c r="DDY60" s="1"/>
      <c r="DDZ60" s="1"/>
      <c r="DEA60" s="1"/>
      <c r="DEB60" s="1"/>
      <c r="DEC60" s="1"/>
      <c r="DEF60" s="1"/>
      <c r="DEG60" s="1"/>
      <c r="DEH60" s="1"/>
      <c r="DEI60" s="1"/>
      <c r="DEJ60" s="1"/>
      <c r="DEK60" s="1"/>
      <c r="DEN60" s="1"/>
      <c r="DEO60" s="1"/>
      <c r="DEP60" s="1"/>
      <c r="DEQ60" s="1"/>
      <c r="DER60" s="1"/>
      <c r="DES60" s="1"/>
      <c r="DEV60" s="1"/>
      <c r="DEW60" s="1"/>
      <c r="DEX60" s="1"/>
      <c r="DEY60" s="1"/>
      <c r="DEZ60" s="1"/>
      <c r="DFA60" s="1"/>
      <c r="DFD60" s="1"/>
      <c r="DFE60" s="1"/>
      <c r="DFF60" s="1"/>
      <c r="DFG60" s="1"/>
      <c r="DFH60" s="1"/>
      <c r="DFI60" s="1"/>
      <c r="DFL60" s="1"/>
      <c r="DFM60" s="1"/>
      <c r="DFN60" s="1"/>
      <c r="DFO60" s="1"/>
      <c r="DFP60" s="1"/>
      <c r="DFQ60" s="1"/>
      <c r="DFT60" s="1"/>
      <c r="DFU60" s="1"/>
      <c r="DFV60" s="1"/>
      <c r="DFW60" s="1"/>
      <c r="DFX60" s="1"/>
      <c r="DFY60" s="1"/>
      <c r="DGB60" s="1"/>
      <c r="DGC60" s="1"/>
      <c r="DGD60" s="1"/>
      <c r="DGE60" s="1"/>
      <c r="DGF60" s="1"/>
      <c r="DGG60" s="1"/>
      <c r="DGJ60" s="1"/>
      <c r="DGK60" s="1"/>
      <c r="DGL60" s="1"/>
      <c r="DGM60" s="1"/>
      <c r="DGN60" s="1"/>
      <c r="DGO60" s="1"/>
      <c r="DGR60" s="1"/>
      <c r="DGS60" s="1"/>
      <c r="DGT60" s="1"/>
      <c r="DGU60" s="1"/>
      <c r="DGV60" s="1"/>
      <c r="DGW60" s="1"/>
      <c r="DGZ60" s="1"/>
      <c r="DHA60" s="1"/>
      <c r="DHB60" s="1"/>
      <c r="DHC60" s="1"/>
      <c r="DHD60" s="1"/>
      <c r="DHE60" s="1"/>
      <c r="DHH60" s="1"/>
      <c r="DHI60" s="1"/>
      <c r="DHJ60" s="1"/>
      <c r="DHK60" s="1"/>
      <c r="DHL60" s="1"/>
      <c r="DHM60" s="1"/>
      <c r="DHP60" s="1"/>
      <c r="DHQ60" s="1"/>
      <c r="DHR60" s="1"/>
      <c r="DHS60" s="1"/>
      <c r="DHT60" s="1"/>
      <c r="DHU60" s="1"/>
      <c r="DHX60" s="1"/>
      <c r="DHY60" s="1"/>
      <c r="DHZ60" s="1"/>
      <c r="DIA60" s="1"/>
      <c r="DIB60" s="1"/>
      <c r="DIC60" s="1"/>
      <c r="DIF60" s="1"/>
      <c r="DIG60" s="1"/>
      <c r="DIH60" s="1"/>
      <c r="DII60" s="1"/>
      <c r="DIJ60" s="1"/>
      <c r="DIK60" s="1"/>
      <c r="DIN60" s="1"/>
      <c r="DIO60" s="1"/>
      <c r="DIP60" s="1"/>
      <c r="DIQ60" s="1"/>
      <c r="DIR60" s="1"/>
      <c r="DIS60" s="1"/>
      <c r="DIV60" s="1"/>
      <c r="DIW60" s="1"/>
      <c r="DIX60" s="1"/>
      <c r="DIY60" s="1"/>
      <c r="DIZ60" s="1"/>
      <c r="DJA60" s="1"/>
      <c r="DJD60" s="1"/>
      <c r="DJE60" s="1"/>
      <c r="DJF60" s="1"/>
      <c r="DJG60" s="1"/>
      <c r="DJH60" s="1"/>
      <c r="DJI60" s="1"/>
      <c r="DJL60" s="1"/>
      <c r="DJM60" s="1"/>
      <c r="DJN60" s="1"/>
      <c r="DJO60" s="1"/>
      <c r="DJP60" s="1"/>
      <c r="DJQ60" s="1"/>
      <c r="DJT60" s="1"/>
      <c r="DJU60" s="1"/>
      <c r="DJV60" s="1"/>
      <c r="DJW60" s="1"/>
      <c r="DJX60" s="1"/>
      <c r="DJY60" s="1"/>
      <c r="DKB60" s="1"/>
      <c r="DKC60" s="1"/>
      <c r="DKD60" s="1"/>
      <c r="DKE60" s="1"/>
      <c r="DKF60" s="1"/>
      <c r="DKG60" s="1"/>
      <c r="DKJ60" s="1"/>
      <c r="DKK60" s="1"/>
      <c r="DKL60" s="1"/>
      <c r="DKM60" s="1"/>
      <c r="DKN60" s="1"/>
      <c r="DKO60" s="1"/>
      <c r="DKR60" s="1"/>
      <c r="DKS60" s="1"/>
      <c r="DKT60" s="1"/>
      <c r="DKU60" s="1"/>
      <c r="DKV60" s="1"/>
      <c r="DKW60" s="1"/>
      <c r="DKZ60" s="1"/>
      <c r="DLA60" s="1"/>
      <c r="DLB60" s="1"/>
      <c r="DLC60" s="1"/>
      <c r="DLD60" s="1"/>
      <c r="DLE60" s="1"/>
      <c r="DLH60" s="1"/>
      <c r="DLI60" s="1"/>
      <c r="DLJ60" s="1"/>
      <c r="DLK60" s="1"/>
      <c r="DLL60" s="1"/>
      <c r="DLM60" s="1"/>
      <c r="DLP60" s="1"/>
      <c r="DLQ60" s="1"/>
      <c r="DLR60" s="1"/>
      <c r="DLS60" s="1"/>
      <c r="DLT60" s="1"/>
      <c r="DLU60" s="1"/>
      <c r="DLX60" s="1"/>
      <c r="DLY60" s="1"/>
      <c r="DLZ60" s="1"/>
      <c r="DMA60" s="1"/>
      <c r="DMB60" s="1"/>
      <c r="DMC60" s="1"/>
      <c r="DMF60" s="1"/>
      <c r="DMG60" s="1"/>
      <c r="DMH60" s="1"/>
      <c r="DMI60" s="1"/>
      <c r="DMJ60" s="1"/>
      <c r="DMK60" s="1"/>
      <c r="DMN60" s="1"/>
      <c r="DMO60" s="1"/>
      <c r="DMP60" s="1"/>
      <c r="DMQ60" s="1"/>
      <c r="DMR60" s="1"/>
      <c r="DMS60" s="1"/>
      <c r="DMV60" s="1"/>
      <c r="DMW60" s="1"/>
      <c r="DMX60" s="1"/>
      <c r="DMY60" s="1"/>
      <c r="DMZ60" s="1"/>
      <c r="DNA60" s="1"/>
      <c r="DND60" s="1"/>
      <c r="DNE60" s="1"/>
      <c r="DNF60" s="1"/>
      <c r="DNG60" s="1"/>
      <c r="DNH60" s="1"/>
      <c r="DNI60" s="1"/>
      <c r="DNL60" s="1"/>
      <c r="DNM60" s="1"/>
      <c r="DNN60" s="1"/>
      <c r="DNO60" s="1"/>
      <c r="DNP60" s="1"/>
      <c r="DNQ60" s="1"/>
      <c r="DNT60" s="1"/>
      <c r="DNU60" s="1"/>
      <c r="DNV60" s="1"/>
      <c r="DNW60" s="1"/>
      <c r="DNX60" s="1"/>
      <c r="DNY60" s="1"/>
      <c r="DOB60" s="1"/>
      <c r="DOC60" s="1"/>
      <c r="DOD60" s="1"/>
      <c r="DOE60" s="1"/>
      <c r="DOF60" s="1"/>
      <c r="DOG60" s="1"/>
      <c r="DOJ60" s="1"/>
      <c r="DOK60" s="1"/>
      <c r="DOL60" s="1"/>
      <c r="DOM60" s="1"/>
      <c r="DON60" s="1"/>
      <c r="DOO60" s="1"/>
      <c r="DOR60" s="1"/>
      <c r="DOS60" s="1"/>
      <c r="DOT60" s="1"/>
      <c r="DOU60" s="1"/>
      <c r="DOV60" s="1"/>
      <c r="DOW60" s="1"/>
      <c r="DOZ60" s="1"/>
      <c r="DPA60" s="1"/>
      <c r="DPB60" s="1"/>
      <c r="DPC60" s="1"/>
      <c r="DPD60" s="1"/>
      <c r="DPE60" s="1"/>
      <c r="DPF60" s="1"/>
      <c r="DPG60" s="1"/>
      <c r="DPH60" s="1"/>
      <c r="DPI60" s="1"/>
      <c r="DPJ60" s="1"/>
      <c r="DPK60" s="1"/>
      <c r="DPL60" s="1"/>
      <c r="DPM60" s="1"/>
      <c r="DPP60" s="1"/>
      <c r="DPQ60" s="1"/>
      <c r="DPR60" s="1"/>
      <c r="DPS60" s="1"/>
      <c r="DPT60" s="1"/>
      <c r="DPU60" s="1"/>
      <c r="DPX60" s="1"/>
      <c r="DPY60" s="1"/>
      <c r="DPZ60" s="1"/>
      <c r="DQA60" s="1"/>
      <c r="DQB60" s="1"/>
      <c r="DQC60" s="1"/>
      <c r="DQF60" s="1"/>
      <c r="DQG60" s="1"/>
      <c r="DQH60" s="1"/>
      <c r="DQI60" s="1"/>
      <c r="DQJ60" s="1"/>
      <c r="DQK60" s="1"/>
      <c r="DQM60" s="169"/>
      <c r="DQN60" s="1"/>
      <c r="DQO60" s="1"/>
      <c r="DQP60" s="1"/>
      <c r="DQQ60" s="1"/>
      <c r="DQR60" s="1"/>
      <c r="DQS60" s="1"/>
      <c r="DQV60" s="1"/>
      <c r="DQW60" s="1"/>
      <c r="DQX60" s="1"/>
      <c r="DQY60" s="1"/>
      <c r="DQZ60" s="1"/>
      <c r="DRA60" s="1"/>
      <c r="DRD60" s="1"/>
      <c r="DRE60" s="1"/>
      <c r="DRF60" s="1"/>
      <c r="DRG60" s="1"/>
      <c r="DRH60" s="1"/>
      <c r="DRI60" s="1"/>
      <c r="DRL60" s="1"/>
      <c r="DRM60" s="1"/>
      <c r="DRN60" s="1"/>
      <c r="DRO60" s="1"/>
      <c r="DRP60" s="1"/>
      <c r="DRQ60" s="1"/>
      <c r="DRT60" s="1"/>
      <c r="DRU60" s="1"/>
      <c r="DRV60" s="1"/>
      <c r="DRW60" s="1"/>
      <c r="DRX60" s="1"/>
      <c r="DRY60" s="1"/>
      <c r="DSB60" s="77"/>
      <c r="DSC60" s="77"/>
      <c r="DSD60" s="77"/>
      <c r="DSE60" s="77"/>
      <c r="DSF60" s="77"/>
      <c r="DSG60" s="77"/>
      <c r="DSJ60" s="1"/>
      <c r="DSK60" s="1"/>
      <c r="DSL60" s="1"/>
      <c r="DSM60" s="1"/>
      <c r="DSN60" s="1"/>
      <c r="DSO60" s="1"/>
      <c r="DSR60" s="1"/>
      <c r="DSS60" s="1"/>
      <c r="DST60" s="1"/>
      <c r="DSU60" s="1"/>
      <c r="DSV60" s="1"/>
      <c r="DSW60" s="1"/>
      <c r="DSZ60" s="1"/>
      <c r="DTA60" s="1"/>
      <c r="DTB60" s="1"/>
      <c r="DTC60" s="1"/>
      <c r="DTD60" s="1"/>
      <c r="DTE60" s="1"/>
      <c r="DTH60" s="1"/>
      <c r="DTI60" s="1"/>
      <c r="DTJ60" s="1"/>
      <c r="DTK60" s="1"/>
      <c r="DTL60" s="1"/>
      <c r="DTM60" s="1"/>
      <c r="DTP60" s="1"/>
      <c r="DTQ60" s="1"/>
      <c r="DTR60" s="1"/>
      <c r="DTS60" s="1"/>
      <c r="DTT60" s="1"/>
      <c r="DTU60" s="1"/>
      <c r="DTX60" s="1"/>
      <c r="DTY60" s="1"/>
      <c r="DTZ60" s="1"/>
      <c r="DUA60" s="1"/>
      <c r="DUB60" s="1"/>
      <c r="DUC60" s="1"/>
      <c r="DUF60" s="1"/>
      <c r="DUG60" s="1"/>
      <c r="DUH60" s="1"/>
      <c r="DUI60" s="1"/>
      <c r="DUJ60" s="1"/>
      <c r="DUK60" s="1"/>
      <c r="DUN60" s="1"/>
      <c r="DUO60" s="1"/>
      <c r="DUP60" s="1"/>
      <c r="DUQ60" s="1"/>
      <c r="DUR60" s="1"/>
      <c r="DUS60" s="1"/>
      <c r="DUV60" s="1"/>
      <c r="DUW60" s="1"/>
      <c r="DUX60" s="1"/>
      <c r="DUY60" s="1"/>
      <c r="DUZ60" s="1"/>
      <c r="DVA60" s="1"/>
      <c r="DVD60" s="1"/>
      <c r="DVE60" s="1"/>
      <c r="DVF60" s="1"/>
      <c r="DVG60" s="1"/>
      <c r="DVH60" s="1"/>
      <c r="DVI60" s="1"/>
      <c r="DVL60" s="1"/>
      <c r="DVM60" s="1"/>
      <c r="DVN60" s="1"/>
      <c r="DVO60" s="1"/>
      <c r="DVP60" s="1"/>
      <c r="DVQ60" s="1"/>
      <c r="DVT60" s="1"/>
      <c r="DVU60" s="1"/>
      <c r="DVV60" s="1"/>
      <c r="DVW60" s="1"/>
      <c r="DVX60" s="1"/>
      <c r="DVY60" s="1"/>
      <c r="DWB60" s="1"/>
      <c r="DWC60" s="1"/>
      <c r="DWD60" s="1"/>
      <c r="DWE60" s="1"/>
      <c r="DWF60" s="1"/>
      <c r="DWG60" s="1"/>
      <c r="DWJ60" s="1"/>
      <c r="DWK60" s="1"/>
      <c r="DWL60" s="1"/>
      <c r="DWM60" s="1"/>
      <c r="DWN60" s="1"/>
      <c r="DWO60" s="1"/>
      <c r="DWR60" s="1"/>
      <c r="DWS60" s="1"/>
      <c r="DWT60" s="1"/>
      <c r="DWU60" s="1"/>
      <c r="DWV60" s="1"/>
      <c r="DWW60" s="1"/>
      <c r="DWZ60" s="1"/>
      <c r="DXA60" s="1"/>
      <c r="DXB60" s="1"/>
      <c r="DXC60" s="1"/>
      <c r="DXD60" s="1"/>
      <c r="DXE60" s="1"/>
      <c r="DXH60" s="1"/>
      <c r="DXI60" s="1"/>
      <c r="DXJ60" s="1"/>
      <c r="DXK60" s="1"/>
      <c r="DXL60" s="1"/>
      <c r="DXM60" s="1"/>
      <c r="DXP60" s="1"/>
      <c r="DXQ60" s="1"/>
      <c r="DXR60" s="1"/>
      <c r="DXS60" s="1"/>
      <c r="DXT60" s="1"/>
      <c r="DXU60" s="1"/>
      <c r="DXX60" s="1"/>
      <c r="DXY60" s="1"/>
      <c r="DXZ60" s="1"/>
      <c r="DYA60" s="1"/>
      <c r="DYB60" s="1"/>
      <c r="DYC60" s="1"/>
      <c r="DYF60" s="1"/>
      <c r="DYG60" s="1"/>
      <c r="DYH60" s="1"/>
      <c r="DYI60" s="1"/>
      <c r="DYJ60" s="1"/>
      <c r="DYK60" s="1"/>
      <c r="DYN60" s="1"/>
      <c r="DYO60" s="1"/>
      <c r="DYP60" s="1"/>
      <c r="DYQ60" s="1"/>
      <c r="DYR60" s="1"/>
      <c r="DYS60" s="1"/>
      <c r="DYV60" s="1"/>
      <c r="DYW60" s="1"/>
      <c r="DYX60" s="1"/>
      <c r="DYY60" s="1"/>
      <c r="DYZ60" s="1"/>
      <c r="DZA60" s="1"/>
      <c r="DZD60" s="1"/>
      <c r="DZE60" s="1"/>
      <c r="DZF60" s="1"/>
      <c r="DZG60" s="1"/>
      <c r="DZH60" s="1"/>
      <c r="DZI60" s="1"/>
      <c r="DZL60" s="1"/>
      <c r="DZM60" s="1"/>
      <c r="DZN60" s="1"/>
      <c r="DZO60" s="1"/>
      <c r="DZP60" s="1"/>
      <c r="DZQ60" s="1"/>
      <c r="DZT60" s="1"/>
      <c r="DZU60" s="1"/>
      <c r="DZV60" s="1"/>
      <c r="DZW60" s="1"/>
      <c r="DZX60" s="1"/>
      <c r="DZY60" s="1"/>
      <c r="EAB60" s="1"/>
      <c r="EAC60" s="1"/>
      <c r="EAD60" s="1"/>
      <c r="EAE60" s="1"/>
      <c r="EAF60" s="1"/>
      <c r="EAG60" s="1"/>
      <c r="EAJ60" s="1"/>
      <c r="EAK60" s="1"/>
      <c r="EAL60" s="1"/>
      <c r="EAM60" s="1"/>
      <c r="EAN60" s="1"/>
      <c r="EAO60" s="1"/>
      <c r="EAR60" s="1"/>
      <c r="EAS60" s="1"/>
      <c r="EAT60" s="1"/>
      <c r="EAU60" s="1"/>
      <c r="EAV60" s="1"/>
      <c r="EAW60" s="1"/>
      <c r="EAZ60" s="1"/>
      <c r="EBA60" s="1"/>
      <c r="EBB60" s="1"/>
      <c r="EBC60" s="1"/>
      <c r="EBD60" s="1"/>
      <c r="EBE60" s="1"/>
      <c r="EBH60" s="1"/>
      <c r="EBI60" s="1"/>
      <c r="EBJ60" s="1"/>
      <c r="EBK60" s="1"/>
      <c r="EBL60" s="1"/>
      <c r="EBM60" s="1"/>
      <c r="EBP60" s="1"/>
      <c r="EBQ60" s="1"/>
      <c r="EBR60" s="1"/>
      <c r="EBS60" s="1"/>
      <c r="EBT60" s="1"/>
      <c r="EBU60" s="1"/>
      <c r="EBX60" s="1"/>
      <c r="EBY60" s="1"/>
      <c r="EBZ60" s="1"/>
      <c r="ECA60" s="1"/>
      <c r="ECB60" s="1"/>
      <c r="ECC60" s="1"/>
      <c r="ECF60" s="1"/>
      <c r="ECG60" s="1"/>
      <c r="ECH60" s="1"/>
      <c r="ECI60" s="1"/>
      <c r="ECJ60" s="1"/>
      <c r="ECK60" s="1"/>
      <c r="ECN60" s="1"/>
      <c r="ECO60" s="1"/>
      <c r="ECP60" s="1"/>
      <c r="ECQ60" s="1"/>
      <c r="ECR60" s="1"/>
      <c r="ECS60" s="1"/>
      <c r="ECV60" s="1"/>
      <c r="ECW60" s="1"/>
      <c r="ECX60" s="1"/>
      <c r="ECY60" s="1"/>
      <c r="ECZ60" s="1"/>
      <c r="EDA60" s="1"/>
      <c r="EDD60" s="1"/>
      <c r="EDE60" s="1"/>
      <c r="EDF60" s="1"/>
      <c r="EDG60" s="1"/>
      <c r="EDH60" s="1"/>
      <c r="EDI60" s="1"/>
      <c r="EDL60" s="1"/>
      <c r="EDM60" s="1"/>
      <c r="EDN60" s="1"/>
      <c r="EDO60" s="1"/>
      <c r="EDP60" s="1"/>
      <c r="EDQ60" s="1"/>
      <c r="EDT60" s="1"/>
      <c r="EDU60" s="1"/>
      <c r="EDV60" s="1"/>
      <c r="EDW60" s="1"/>
      <c r="EDX60" s="1"/>
      <c r="EDY60" s="1"/>
      <c r="EEB60" s="1"/>
      <c r="EEC60" s="1"/>
      <c r="EED60" s="1"/>
      <c r="EEE60" s="1"/>
      <c r="EEF60" s="1"/>
      <c r="EEG60" s="1"/>
      <c r="EEJ60" s="1"/>
      <c r="EEK60" s="1"/>
      <c r="EEL60" s="1"/>
      <c r="EEM60" s="1"/>
      <c r="EEN60" s="1"/>
      <c r="EEO60" s="1"/>
      <c r="EER60" s="1"/>
      <c r="EES60" s="1"/>
      <c r="EET60" s="1"/>
      <c r="EEU60" s="1"/>
      <c r="EEV60" s="1"/>
      <c r="EEW60" s="1"/>
      <c r="EEZ60" s="1"/>
      <c r="EFA60" s="1"/>
      <c r="EFB60" s="1"/>
      <c r="EFC60" s="1"/>
      <c r="EFD60" s="1"/>
      <c r="EFE60" s="1"/>
      <c r="EFH60" s="1"/>
      <c r="EFI60" s="1"/>
      <c r="EFJ60" s="1"/>
      <c r="EFK60" s="1"/>
      <c r="EFL60" s="1"/>
      <c r="EFM60" s="1"/>
      <c r="EFP60" s="1"/>
      <c r="EFQ60" s="1"/>
      <c r="EFR60" s="1"/>
      <c r="EFS60" s="1"/>
      <c r="EFT60" s="1"/>
      <c r="EFU60" s="1"/>
      <c r="EFX60" s="1"/>
      <c r="EFY60" s="1"/>
      <c r="EFZ60" s="1"/>
      <c r="EGA60" s="1"/>
      <c r="EGB60" s="1"/>
      <c r="EGC60" s="1"/>
      <c r="EGF60" s="1"/>
      <c r="EGG60" s="1"/>
      <c r="EGH60" s="1"/>
      <c r="EGI60" s="1"/>
      <c r="EGJ60" s="1"/>
      <c r="EGK60" s="1"/>
      <c r="EGN60" s="1"/>
      <c r="EGO60" s="1"/>
      <c r="EGP60" s="1"/>
      <c r="EGQ60" s="1"/>
      <c r="EGR60" s="1"/>
      <c r="EGS60" s="1"/>
      <c r="EGV60" s="1"/>
      <c r="EGW60" s="1"/>
      <c r="EGX60" s="1"/>
      <c r="EGY60" s="1"/>
      <c r="EGZ60" s="1"/>
      <c r="EHA60" s="1"/>
      <c r="EHD60" s="1"/>
      <c r="EHE60" s="1"/>
      <c r="EHF60" s="1"/>
      <c r="EHG60" s="1"/>
      <c r="EHH60" s="1"/>
      <c r="EHI60" s="1"/>
      <c r="EHL60" s="1"/>
      <c r="EHM60" s="1"/>
      <c r="EHN60" s="1"/>
      <c r="EHO60" s="1"/>
      <c r="EHP60" s="1"/>
      <c r="EHQ60" s="1"/>
      <c r="EHT60" s="1"/>
      <c r="EHU60" s="1"/>
      <c r="EHV60" s="1"/>
      <c r="EHW60" s="1"/>
      <c r="EHX60" s="1"/>
      <c r="EHY60" s="1"/>
      <c r="EIB60" s="1"/>
      <c r="EIC60" s="1"/>
      <c r="EID60" s="1"/>
      <c r="EIE60" s="1"/>
      <c r="EIF60" s="1"/>
      <c r="EIG60" s="1"/>
      <c r="EIH60" s="1"/>
      <c r="EIJ60" s="1"/>
      <c r="EIK60" s="1"/>
      <c r="EIL60" s="1"/>
      <c r="EIM60" s="1"/>
      <c r="EIN60" s="1"/>
      <c r="EIO60" s="1"/>
      <c r="EIR60" s="1"/>
      <c r="EIS60" s="1"/>
      <c r="EIT60" s="1"/>
      <c r="EIU60" s="1"/>
      <c r="EIV60" s="1"/>
      <c r="EIW60" s="1"/>
      <c r="EIZ60" s="1"/>
      <c r="EJA60" s="1"/>
      <c r="EJB60" s="1"/>
      <c r="EJC60" s="1"/>
      <c r="EJD60" s="1"/>
      <c r="EJE60" s="1"/>
      <c r="EJH60" s="1"/>
      <c r="EJI60" s="1"/>
      <c r="EJJ60" s="1"/>
      <c r="EJK60" s="1"/>
      <c r="EJL60" s="1"/>
      <c r="EJM60" s="1"/>
      <c r="EJP60" s="1"/>
      <c r="EJQ60" s="1"/>
      <c r="EJR60" s="1"/>
      <c r="EJS60" s="1"/>
      <c r="EJT60" s="1"/>
      <c r="EJU60" s="1"/>
      <c r="EJX60" s="1"/>
      <c r="EJY60" s="1"/>
      <c r="EJZ60" s="1"/>
      <c r="EKA60" s="1"/>
      <c r="EKB60" s="1"/>
      <c r="EKC60" s="1"/>
      <c r="EKF60" s="1"/>
      <c r="EKG60" s="1"/>
      <c r="EKH60" s="1"/>
      <c r="EKI60" s="1"/>
      <c r="EKJ60" s="1"/>
      <c r="EKK60" s="1"/>
      <c r="EKN60" s="1"/>
      <c r="EKO60" s="1"/>
      <c r="EKP60" s="1"/>
      <c r="EKQ60" s="1"/>
      <c r="EKR60" s="1"/>
      <c r="EKS60" s="1"/>
      <c r="EKV60" s="663"/>
      <c r="EKW60" s="1"/>
      <c r="EKX60" s="1"/>
      <c r="EKY60" s="1"/>
      <c r="EKZ60" s="1"/>
      <c r="ELA60" s="1"/>
      <c r="ELB60" s="1"/>
      <c r="ELE60" s="1"/>
      <c r="ELF60" s="1"/>
      <c r="ELG60" s="1"/>
      <c r="ELH60" s="1"/>
      <c r="ELI60" s="1"/>
      <c r="ELJ60" s="1"/>
      <c r="ELM60" s="1"/>
      <c r="ELN60" s="1"/>
      <c r="ELO60" s="1"/>
      <c r="ELP60" s="1"/>
      <c r="ELQ60" s="1"/>
      <c r="ELR60" s="1"/>
      <c r="ELU60" s="1"/>
      <c r="ELV60" s="1"/>
      <c r="ELW60" s="1"/>
      <c r="ELX60" s="1"/>
      <c r="ELY60" s="1"/>
      <c r="ELZ60" s="1"/>
      <c r="EMC60" s="1"/>
      <c r="EMD60" s="1"/>
      <c r="EME60" s="1"/>
      <c r="EMF60" s="1"/>
      <c r="EMG60" s="1"/>
      <c r="EMH60" s="1"/>
      <c r="EMK60" s="1"/>
      <c r="EML60" s="1"/>
      <c r="EMM60" s="1"/>
      <c r="EMN60" s="1"/>
      <c r="EMO60" s="1"/>
      <c r="EMP60" s="1"/>
      <c r="EMS60" s="1"/>
      <c r="EMT60" s="1"/>
      <c r="EMU60" s="1"/>
      <c r="EMV60" s="1"/>
      <c r="EMW60" s="1"/>
      <c r="EMX60" s="1"/>
      <c r="ENA60" s="1"/>
      <c r="ENB60" s="1"/>
      <c r="ENC60" s="1"/>
      <c r="END60" s="1"/>
      <c r="ENE60" s="1"/>
      <c r="ENF60" s="1"/>
      <c r="ENI60" s="1"/>
      <c r="ENJ60" s="1"/>
      <c r="ENK60" s="1"/>
      <c r="ENL60" s="1"/>
      <c r="ENM60" s="1"/>
      <c r="ENN60" s="1"/>
      <c r="ENQ60" s="1"/>
      <c r="ENR60" s="1"/>
      <c r="ENS60" s="1"/>
      <c r="ENT60" s="1"/>
      <c r="ENU60" s="1"/>
      <c r="ENV60" s="1"/>
      <c r="ENY60" s="1"/>
      <c r="ENZ60" s="1"/>
      <c r="EOA60" s="1"/>
      <c r="EOB60" s="1"/>
      <c r="EOC60" s="1"/>
      <c r="EOD60" s="1"/>
      <c r="EOG60" s="1"/>
      <c r="EOH60" s="1"/>
      <c r="EOI60" s="1"/>
      <c r="EOJ60" s="1"/>
      <c r="EOK60" s="1"/>
      <c r="EOL60" s="1"/>
      <c r="EOM60" s="1"/>
      <c r="EOO60" s="1"/>
      <c r="EOP60" s="1"/>
      <c r="EOQ60" s="1"/>
      <c r="EOR60" s="1"/>
      <c r="EOS60" s="1"/>
      <c r="EOT60" s="1"/>
      <c r="EOW60" s="1"/>
      <c r="EOX60" s="1"/>
      <c r="EOY60" s="1"/>
      <c r="EOZ60" s="1"/>
      <c r="EPA60" s="1"/>
      <c r="EPB60" s="1"/>
      <c r="EPE60" s="1"/>
      <c r="EPF60" s="1"/>
      <c r="EPG60" s="1"/>
      <c r="EPH60" s="1"/>
      <c r="EPI60" s="1"/>
      <c r="EPJ60" s="1"/>
      <c r="EPM60" s="1"/>
      <c r="EPN60" s="1"/>
      <c r="EPO60" s="1"/>
      <c r="EPP60" s="1"/>
      <c r="EPQ60" s="1"/>
      <c r="EPR60" s="1"/>
      <c r="EPU60" s="1"/>
      <c r="EPV60" s="1"/>
      <c r="EPW60" s="1"/>
      <c r="EPX60" s="1"/>
      <c r="EPY60" s="1"/>
      <c r="EPZ60" s="1"/>
      <c r="EQC60" s="1"/>
      <c r="EQD60" s="1"/>
      <c r="EQE60" s="1"/>
      <c r="EQF60" s="1"/>
      <c r="EQG60" s="1"/>
      <c r="EQH60" s="1"/>
      <c r="EQK60" s="1"/>
      <c r="EQL60" s="1"/>
      <c r="EQM60" s="1"/>
      <c r="EQN60" s="1"/>
      <c r="EQO60" s="1"/>
      <c r="EQP60" s="1"/>
      <c r="EQS60" s="1"/>
      <c r="EQT60" s="1"/>
      <c r="EQU60" s="1"/>
      <c r="EQV60" s="1"/>
      <c r="EQW60" s="1"/>
      <c r="EQX60" s="1"/>
      <c r="ERA60" s="1"/>
      <c r="ERB60" s="1"/>
      <c r="ERC60" s="1"/>
      <c r="ERD60" s="1"/>
      <c r="ERE60" s="1"/>
      <c r="ERF60" s="1"/>
      <c r="ERI60" s="1"/>
      <c r="ERJ60" s="1"/>
      <c r="ERK60" s="1"/>
      <c r="ERL60" s="1"/>
      <c r="ERM60" s="1"/>
      <c r="ERN60" s="1"/>
      <c r="ERQ60" s="1"/>
      <c r="ERR60" s="1"/>
      <c r="ERS60" s="1"/>
      <c r="ERT60" s="1"/>
      <c r="ERU60" s="1"/>
      <c r="ERV60" s="1"/>
      <c r="ERY60" s="1"/>
      <c r="ERZ60" s="1"/>
      <c r="ESA60" s="1"/>
      <c r="ESB60" s="1"/>
      <c r="ESC60" s="1"/>
      <c r="ESD60" s="1"/>
      <c r="ESG60" s="1"/>
      <c r="ESH60" s="1"/>
      <c r="ESI60" s="1"/>
      <c r="ESJ60" s="1"/>
      <c r="ESK60" s="1"/>
      <c r="ESL60" s="1"/>
      <c r="ESO60" s="77"/>
      <c r="ESP60" s="77"/>
      <c r="ESQ60" s="77"/>
      <c r="ESR60" s="77"/>
      <c r="ESS60" s="77"/>
      <c r="EST60" s="77"/>
      <c r="ESW60" s="1"/>
      <c r="ESX60" s="1"/>
      <c r="ESY60" s="1"/>
      <c r="ESZ60" s="1"/>
      <c r="ETA60" s="1"/>
      <c r="ETB60" s="1"/>
      <c r="ETE60" s="1"/>
      <c r="ETF60" s="1"/>
      <c r="ETG60" s="1"/>
      <c r="ETH60" s="1"/>
      <c r="ETI60" s="1"/>
      <c r="ETJ60" s="1"/>
      <c r="ETM60" s="833"/>
      <c r="ETN60" s="833"/>
      <c r="ETO60" s="833"/>
      <c r="ETP60" s="833"/>
      <c r="ETQ60" s="833"/>
      <c r="ETR60" s="833"/>
      <c r="ETU60" s="77"/>
      <c r="ETV60" s="77"/>
      <c r="ETW60" s="77"/>
      <c r="ETX60" s="77"/>
      <c r="ETY60" s="77"/>
      <c r="ETZ60" s="77"/>
      <c r="EUC60" s="77"/>
      <c r="EUD60" s="77"/>
      <c r="EUE60" s="77"/>
      <c r="EUF60" s="77"/>
      <c r="EUG60" s="77"/>
      <c r="EUH60" s="77"/>
      <c r="EUK60" s="1"/>
      <c r="EUL60" s="1"/>
      <c r="EUM60" s="1"/>
      <c r="EUN60" s="1"/>
      <c r="EUO60" s="1"/>
      <c r="EUP60" s="1"/>
      <c r="EUS60" s="1"/>
      <c r="EUT60" s="1"/>
      <c r="EUU60" s="1"/>
      <c r="EUV60" s="1"/>
      <c r="EUW60" s="1"/>
      <c r="EUX60" s="1"/>
      <c r="EVA60" s="1"/>
      <c r="EVB60" s="1"/>
      <c r="EVC60" s="1"/>
      <c r="EVD60" s="1"/>
      <c r="EVE60" s="1"/>
      <c r="EVF60" s="1"/>
      <c r="EVI60" s="1"/>
      <c r="EVJ60" s="1"/>
      <c r="EVK60" s="1"/>
      <c r="EVL60" s="1"/>
      <c r="EVM60" s="1"/>
      <c r="EVN60" s="1"/>
      <c r="EVQ60" s="1"/>
      <c r="EVR60" s="1"/>
      <c r="EVS60" s="1"/>
      <c r="EVT60" s="1"/>
      <c r="EVU60" s="1"/>
      <c r="EVV60" s="1"/>
      <c r="EVY60" s="1"/>
      <c r="EVZ60" s="1"/>
      <c r="EWA60" s="1"/>
      <c r="EWB60" s="1"/>
      <c r="EWC60" s="1"/>
      <c r="EWD60" s="1"/>
      <c r="EWG60" s="1"/>
      <c r="EWH60" s="1"/>
      <c r="EWI60" s="1"/>
      <c r="EWJ60" s="1"/>
      <c r="EWK60" s="1"/>
      <c r="EWL60" s="1"/>
      <c r="EWO60" s="1"/>
      <c r="EWP60" s="1"/>
      <c r="EWQ60" s="1"/>
      <c r="EWR60" s="1"/>
      <c r="EWS60" s="1"/>
      <c r="EWT60" s="1"/>
      <c r="EWW60" s="1"/>
      <c r="EWX60" s="1"/>
      <c r="EWY60" s="1"/>
      <c r="EWZ60" s="1"/>
      <c r="EXA60" s="1"/>
      <c r="EXB60" s="1"/>
      <c r="EXE60" s="1"/>
      <c r="EXF60" s="1"/>
      <c r="EXG60" s="1"/>
      <c r="EXH60" s="1"/>
      <c r="EXI60" s="1"/>
      <c r="EXJ60" s="1"/>
      <c r="EXM60" s="77"/>
      <c r="EXN60" s="77"/>
      <c r="EXO60" s="77"/>
      <c r="EXP60" s="77"/>
      <c r="EXQ60" s="77"/>
      <c r="EXR60" s="77"/>
      <c r="EXU60" s="1"/>
      <c r="EXV60" s="1"/>
      <c r="EXW60" s="1"/>
      <c r="EXX60" s="1"/>
      <c r="EXY60" s="1"/>
      <c r="EXZ60" s="1"/>
      <c r="EYC60" s="1"/>
      <c r="EYD60" s="1"/>
      <c r="EYE60" s="1"/>
      <c r="EYF60" s="1"/>
      <c r="EYG60" s="1"/>
      <c r="EYH60" s="1"/>
      <c r="EYK60" s="1"/>
      <c r="EYL60" s="1"/>
      <c r="EYM60" s="1"/>
      <c r="EYN60" s="1"/>
      <c r="EYO60" s="1"/>
      <c r="EYP60" s="1"/>
      <c r="EYS60" s="1"/>
      <c r="EYT60" s="1"/>
      <c r="EYU60" s="1"/>
      <c r="EYV60" s="1"/>
      <c r="EYW60" s="1"/>
      <c r="EYX60" s="1"/>
      <c r="EZA60" s="1"/>
      <c r="EZB60" s="1"/>
      <c r="EZC60" s="1"/>
      <c r="EZD60" s="1"/>
      <c r="EZE60" s="1"/>
      <c r="EZF60" s="1"/>
      <c r="EZI60" s="1"/>
      <c r="EZJ60" s="1"/>
      <c r="EZK60" s="1"/>
      <c r="EZL60" s="1"/>
      <c r="EZM60" s="1"/>
      <c r="EZN60" s="1"/>
    </row>
    <row r="61" spans="1:4072" s="8" customFormat="1" x14ac:dyDescent="0.2">
      <c r="A61" s="977"/>
      <c r="B61" s="977"/>
      <c r="C61" s="977"/>
      <c r="D61" s="469">
        <v>40</v>
      </c>
      <c r="E61" s="225">
        <f>E58+E59</f>
        <v>0</v>
      </c>
      <c r="F61" s="225">
        <f t="shared" ref="F61:X61" si="2426">F58+F59</f>
        <v>3730</v>
      </c>
      <c r="G61" s="225">
        <f t="shared" si="2426"/>
        <v>0</v>
      </c>
      <c r="H61" s="225">
        <f t="shared" si="2426"/>
        <v>0</v>
      </c>
      <c r="I61" s="225">
        <f t="shared" si="2426"/>
        <v>0</v>
      </c>
      <c r="J61" s="225">
        <f t="shared" si="2426"/>
        <v>0</v>
      </c>
      <c r="K61" s="225">
        <f t="shared" si="2426"/>
        <v>0</v>
      </c>
      <c r="L61" s="225">
        <f t="shared" si="2426"/>
        <v>3730</v>
      </c>
      <c r="M61" s="225">
        <f t="shared" si="2426"/>
        <v>3730</v>
      </c>
      <c r="N61" s="225">
        <f t="shared" si="2426"/>
        <v>16.666666666666668</v>
      </c>
      <c r="O61" s="225">
        <f t="shared" si="2426"/>
        <v>0</v>
      </c>
      <c r="P61" s="225">
        <f t="shared" si="2426"/>
        <v>0</v>
      </c>
      <c r="Q61" s="225">
        <f t="shared" si="2426"/>
        <v>0</v>
      </c>
      <c r="R61" s="225">
        <f t="shared" si="2426"/>
        <v>0</v>
      </c>
      <c r="S61" s="225">
        <f t="shared" si="2426"/>
        <v>0</v>
      </c>
      <c r="T61" s="225">
        <f t="shared" si="2426"/>
        <v>0</v>
      </c>
      <c r="U61" s="225">
        <f t="shared" si="2426"/>
        <v>0</v>
      </c>
      <c r="V61" s="225">
        <f t="shared" si="2426"/>
        <v>0</v>
      </c>
      <c r="W61" s="225">
        <f t="shared" si="2426"/>
        <v>2</v>
      </c>
      <c r="X61" s="225">
        <f t="shared" si="2426"/>
        <v>0</v>
      </c>
      <c r="Y61" s="225"/>
      <c r="Z61" s="225"/>
      <c r="AA61" s="225"/>
      <c r="AB61" s="225"/>
      <c r="AC61" s="886"/>
      <c r="AD61" s="9"/>
      <c r="AL61" s="1"/>
      <c r="AM61" s="1"/>
      <c r="AN61" s="1"/>
      <c r="AO61" s="1"/>
      <c r="AP61" s="1"/>
      <c r="AQ61" s="1"/>
      <c r="AT61" s="1"/>
      <c r="AU61" s="1"/>
      <c r="AV61" s="1"/>
      <c r="AW61" s="1"/>
      <c r="AX61" s="1"/>
      <c r="AY61" s="1"/>
      <c r="BB61" s="1"/>
      <c r="BC61" s="1"/>
      <c r="BD61" s="1"/>
      <c r="BE61" s="1"/>
      <c r="BF61" s="1"/>
      <c r="BG61" s="1"/>
      <c r="BJ61" s="1"/>
      <c r="BK61" s="1"/>
      <c r="BL61" s="1"/>
      <c r="BM61" s="1"/>
      <c r="BN61" s="1"/>
      <c r="BO61" s="1"/>
      <c r="BR61" s="1"/>
      <c r="BS61" s="1"/>
      <c r="BT61" s="1"/>
      <c r="BU61" s="1"/>
      <c r="BV61" s="1"/>
      <c r="BW61" s="1"/>
      <c r="BZ61" s="1"/>
      <c r="CA61" s="1"/>
      <c r="CB61" s="1"/>
      <c r="CC61" s="1"/>
      <c r="CD61" s="1"/>
      <c r="CE61" s="1"/>
      <c r="CH61" s="1"/>
      <c r="CI61" s="1"/>
      <c r="CJ61" s="1"/>
      <c r="CK61" s="1"/>
      <c r="CL61" s="1"/>
      <c r="CM61" s="1"/>
      <c r="CP61" s="1"/>
      <c r="CQ61" s="1"/>
      <c r="CR61" s="1"/>
      <c r="CS61" s="1"/>
      <c r="CT61" s="1"/>
      <c r="CU61" s="1"/>
      <c r="CX61" s="1"/>
      <c r="CY61" s="1"/>
      <c r="CZ61" s="1"/>
      <c r="DA61" s="1"/>
      <c r="DB61" s="1"/>
      <c r="DC61" s="1"/>
      <c r="DF61" s="1"/>
      <c r="DG61" s="1"/>
      <c r="DH61" s="1"/>
      <c r="DI61" s="1"/>
      <c r="DJ61" s="1"/>
      <c r="DK61" s="1"/>
      <c r="DN61" s="1"/>
      <c r="DO61" s="1"/>
      <c r="DP61" s="1"/>
      <c r="DQ61" s="1"/>
      <c r="DR61" s="1"/>
      <c r="DS61" s="1"/>
      <c r="DV61" s="1"/>
      <c r="DW61" s="1"/>
      <c r="DX61" s="1"/>
      <c r="DY61" s="1"/>
      <c r="DZ61" s="1"/>
      <c r="EA61" s="1"/>
      <c r="ED61" s="1"/>
      <c r="EE61" s="1"/>
      <c r="EF61" s="1"/>
      <c r="EG61" s="1"/>
      <c r="EH61" s="1"/>
      <c r="EI61" s="1"/>
      <c r="EL61" s="1"/>
      <c r="EM61" s="1"/>
      <c r="EN61" s="1"/>
      <c r="EO61" s="1"/>
      <c r="EP61" s="1"/>
      <c r="EQ61" s="1"/>
      <c r="ET61" s="1"/>
      <c r="EU61" s="1"/>
      <c r="EV61" s="1"/>
      <c r="EW61" s="1"/>
      <c r="EX61" s="1"/>
      <c r="EY61" s="1"/>
      <c r="FB61" s="1"/>
      <c r="FC61" s="1"/>
      <c r="FD61" s="1"/>
      <c r="FE61" s="1"/>
      <c r="FF61" s="1"/>
      <c r="FG61" s="1"/>
      <c r="FJ61" s="1"/>
      <c r="FK61" s="1"/>
      <c r="FL61" s="1"/>
      <c r="FM61" s="1"/>
      <c r="FN61" s="1"/>
      <c r="FO61" s="1"/>
      <c r="FR61" s="1"/>
      <c r="FS61" s="1"/>
      <c r="FT61" s="1"/>
      <c r="FU61" s="1"/>
      <c r="FV61" s="1"/>
      <c r="FW61" s="1"/>
      <c r="FZ61" s="1"/>
      <c r="GA61" s="1"/>
      <c r="GB61" s="1"/>
      <c r="GC61" s="1"/>
      <c r="GD61" s="1"/>
      <c r="GE61" s="1"/>
      <c r="GH61" s="1"/>
      <c r="GI61" s="1"/>
      <c r="GJ61" s="1"/>
      <c r="GK61" s="1"/>
      <c r="GL61" s="1"/>
      <c r="GM61" s="1"/>
      <c r="GP61" s="1"/>
      <c r="GQ61" s="1"/>
      <c r="GR61" s="1"/>
      <c r="GS61" s="1"/>
      <c r="GT61" s="1"/>
      <c r="GU61" s="1"/>
      <c r="GX61" s="1"/>
      <c r="GY61" s="1"/>
      <c r="GZ61" s="1"/>
      <c r="HA61" s="1"/>
      <c r="HB61" s="1"/>
      <c r="HC61" s="1"/>
      <c r="HF61" s="1"/>
      <c r="HG61" s="1"/>
      <c r="HH61" s="1"/>
      <c r="HI61" s="1"/>
      <c r="HJ61" s="1"/>
      <c r="HK61" s="1"/>
      <c r="HN61" s="77"/>
      <c r="HO61" s="77"/>
      <c r="HP61" s="77"/>
      <c r="HQ61" s="77"/>
      <c r="HR61" s="77"/>
      <c r="HS61" s="77"/>
      <c r="HV61" s="1"/>
      <c r="HW61" s="1"/>
      <c r="HX61" s="1"/>
      <c r="HY61" s="1"/>
      <c r="HZ61" s="1"/>
      <c r="IA61" s="1"/>
      <c r="ID61" s="1"/>
      <c r="IE61" s="1"/>
      <c r="IF61" s="1"/>
      <c r="IG61" s="1"/>
      <c r="IH61" s="1"/>
      <c r="II61" s="1"/>
      <c r="IL61" s="1"/>
      <c r="IM61" s="1"/>
      <c r="IN61" s="1"/>
      <c r="IO61" s="1"/>
      <c r="IP61" s="1"/>
      <c r="IQ61" s="1"/>
      <c r="IT61" s="1"/>
      <c r="IU61" s="1"/>
      <c r="IV61" s="1"/>
      <c r="IW61" s="1"/>
      <c r="IX61" s="1"/>
      <c r="IY61" s="1"/>
      <c r="JB61" s="1"/>
      <c r="JC61" s="1"/>
      <c r="JD61" s="1"/>
      <c r="JE61" s="1"/>
      <c r="JF61" s="1"/>
      <c r="JG61" s="1"/>
      <c r="JJ61" s="1"/>
      <c r="JK61" s="1"/>
      <c r="JL61" s="1"/>
      <c r="JM61" s="1"/>
      <c r="JN61" s="1"/>
      <c r="JO61" s="1"/>
      <c r="JR61" s="1"/>
      <c r="JS61" s="1"/>
      <c r="JT61" s="1"/>
      <c r="JU61" s="1"/>
      <c r="JV61" s="1"/>
      <c r="JW61" s="1"/>
      <c r="JZ61" s="1"/>
      <c r="KA61" s="1"/>
      <c r="KB61" s="1"/>
      <c r="KC61" s="1"/>
      <c r="KD61" s="1"/>
      <c r="KE61" s="1"/>
      <c r="KH61" s="1"/>
      <c r="KI61" s="1"/>
      <c r="KJ61" s="1"/>
      <c r="KK61" s="1"/>
      <c r="KL61" s="1"/>
      <c r="KM61" s="1"/>
      <c r="KP61" s="1"/>
      <c r="KQ61" s="1"/>
      <c r="KR61" s="1"/>
      <c r="KS61" s="1"/>
      <c r="KT61" s="1"/>
      <c r="KU61" s="1"/>
      <c r="KX61" s="1"/>
      <c r="KY61" s="1"/>
      <c r="KZ61" s="1"/>
      <c r="LA61" s="1"/>
      <c r="LB61" s="1"/>
      <c r="LC61" s="1"/>
      <c r="LF61" s="1"/>
      <c r="LG61" s="1"/>
      <c r="LH61" s="1"/>
      <c r="LI61" s="1"/>
      <c r="LJ61" s="1"/>
      <c r="LK61" s="1"/>
      <c r="LN61" s="1"/>
      <c r="LO61" s="1"/>
      <c r="LP61" s="1"/>
      <c r="LQ61" s="1"/>
      <c r="LR61" s="1"/>
      <c r="LS61" s="1"/>
      <c r="LV61" s="1"/>
      <c r="LW61" s="1"/>
      <c r="LX61" s="1"/>
      <c r="LY61" s="1"/>
      <c r="LZ61" s="1"/>
      <c r="MA61" s="1"/>
      <c r="MD61" s="1"/>
      <c r="ME61" s="1"/>
      <c r="MF61" s="1"/>
      <c r="MG61" s="1"/>
      <c r="MH61" s="1"/>
      <c r="MI61" s="1"/>
      <c r="ML61" s="1"/>
      <c r="MM61" s="1"/>
      <c r="MN61" s="1"/>
      <c r="MO61" s="1"/>
      <c r="MP61" s="1"/>
      <c r="MQ61" s="1"/>
      <c r="MT61" s="1"/>
      <c r="MU61" s="1"/>
      <c r="MV61" s="1"/>
      <c r="MW61" s="1"/>
      <c r="MX61" s="1"/>
      <c r="MY61" s="1"/>
      <c r="NB61" s="1"/>
      <c r="NC61" s="1"/>
      <c r="ND61" s="1"/>
      <c r="NE61" s="1"/>
      <c r="NF61" s="1"/>
      <c r="NG61" s="1"/>
      <c r="NJ61" s="1"/>
      <c r="NK61" s="1"/>
      <c r="NL61" s="1"/>
      <c r="NM61" s="1"/>
      <c r="NN61" s="1"/>
      <c r="NO61" s="1"/>
      <c r="NR61" s="1"/>
      <c r="NS61" s="1"/>
      <c r="NT61" s="1"/>
      <c r="NU61" s="1"/>
      <c r="NV61" s="1"/>
      <c r="NW61" s="1"/>
      <c r="NZ61" s="1"/>
      <c r="OA61" s="1"/>
      <c r="OB61" s="1"/>
      <c r="OC61" s="1"/>
      <c r="OD61" s="1"/>
      <c r="OE61" s="1"/>
      <c r="OH61" s="1"/>
      <c r="OI61" s="1"/>
      <c r="OJ61" s="1"/>
      <c r="OK61" s="1"/>
      <c r="OL61" s="1"/>
      <c r="OM61" s="1"/>
      <c r="OP61" s="1"/>
      <c r="OQ61" s="1"/>
      <c r="OR61" s="1"/>
      <c r="OS61" s="1"/>
      <c r="OT61" s="1"/>
      <c r="OU61" s="1"/>
      <c r="OX61" s="1"/>
      <c r="OY61" s="1"/>
      <c r="OZ61" s="1"/>
      <c r="PA61" s="1"/>
      <c r="PB61" s="1"/>
      <c r="PC61" s="1"/>
      <c r="PF61" s="1"/>
      <c r="PG61" s="1"/>
      <c r="PH61" s="1"/>
      <c r="PI61" s="1"/>
      <c r="PJ61" s="1"/>
      <c r="PK61" s="1"/>
      <c r="PN61" s="1"/>
      <c r="PO61" s="1"/>
      <c r="PP61" s="1"/>
      <c r="PQ61" s="1"/>
      <c r="PR61" s="1"/>
      <c r="PS61" s="1"/>
      <c r="PV61" s="1"/>
      <c r="PW61" s="1"/>
      <c r="PX61" s="1"/>
      <c r="PY61" s="1"/>
      <c r="PZ61" s="1"/>
      <c r="QA61" s="1"/>
      <c r="QD61" s="1"/>
      <c r="QE61" s="1"/>
      <c r="QF61" s="1"/>
      <c r="QG61" s="1"/>
      <c r="QH61" s="1"/>
      <c r="QI61" s="1"/>
      <c r="QL61" s="1"/>
      <c r="QM61" s="1"/>
      <c r="QN61" s="1"/>
      <c r="QO61" s="1"/>
      <c r="QP61" s="1"/>
      <c r="QQ61" s="1"/>
      <c r="QT61" s="1"/>
      <c r="QU61" s="1"/>
      <c r="QV61" s="1"/>
      <c r="QW61" s="1"/>
      <c r="QX61" s="1"/>
      <c r="QY61" s="1"/>
      <c r="RB61" s="1"/>
      <c r="RC61" s="1"/>
      <c r="RD61" s="1"/>
      <c r="RE61" s="1"/>
      <c r="RF61" s="1"/>
      <c r="RG61" s="1"/>
      <c r="RJ61" s="1"/>
      <c r="RK61" s="1"/>
      <c r="RL61" s="1"/>
      <c r="RM61" s="1"/>
      <c r="RN61" s="1"/>
      <c r="RO61" s="1"/>
      <c r="RR61" s="1"/>
      <c r="RS61" s="1"/>
      <c r="RT61" s="1"/>
      <c r="RU61" s="1"/>
      <c r="RV61" s="1"/>
      <c r="RW61" s="1"/>
      <c r="RZ61" s="1"/>
      <c r="SA61" s="1"/>
      <c r="SB61" s="1"/>
      <c r="SC61" s="1"/>
      <c r="SD61" s="1"/>
      <c r="SE61" s="1"/>
      <c r="SH61" s="1"/>
      <c r="SI61" s="1"/>
      <c r="SJ61" s="1"/>
      <c r="SK61" s="1"/>
      <c r="SL61" s="1"/>
      <c r="SM61" s="1"/>
      <c r="SP61" s="1"/>
      <c r="SQ61" s="1"/>
      <c r="SR61" s="1"/>
      <c r="SS61" s="1"/>
      <c r="ST61" s="1"/>
      <c r="SU61" s="1"/>
      <c r="SX61" s="1"/>
      <c r="SY61" s="1"/>
      <c r="SZ61" s="1"/>
      <c r="TA61" s="1"/>
      <c r="TB61" s="1"/>
      <c r="TC61" s="1"/>
      <c r="TF61" s="1"/>
      <c r="TG61" s="1"/>
      <c r="TH61" s="1"/>
      <c r="TI61" s="1"/>
      <c r="TJ61" s="1"/>
      <c r="TK61" s="1"/>
      <c r="TN61" s="1"/>
      <c r="TO61" s="1"/>
      <c r="TP61" s="1"/>
      <c r="TQ61" s="1"/>
      <c r="TR61" s="1"/>
      <c r="TS61" s="1"/>
      <c r="TV61" s="1"/>
      <c r="TW61" s="1"/>
      <c r="TX61" s="1"/>
      <c r="TY61" s="1"/>
      <c r="TZ61" s="1"/>
      <c r="UA61" s="1"/>
      <c r="UD61" s="1"/>
      <c r="UE61" s="1"/>
      <c r="UF61" s="1"/>
      <c r="UG61" s="1"/>
      <c r="UH61" s="1"/>
      <c r="UI61" s="1"/>
      <c r="UL61" s="1"/>
      <c r="UM61" s="1"/>
      <c r="UN61" s="1"/>
      <c r="UO61" s="1"/>
      <c r="UP61" s="1"/>
      <c r="UQ61" s="1"/>
      <c r="UR61" s="1"/>
      <c r="UU61" s="1"/>
      <c r="UV61" s="1"/>
      <c r="UW61" s="1"/>
      <c r="UX61" s="1"/>
      <c r="UY61" s="1"/>
      <c r="UZ61" s="1"/>
      <c r="VC61" s="1"/>
      <c r="VD61" s="1"/>
      <c r="VE61" s="1"/>
      <c r="VF61" s="1"/>
      <c r="VG61" s="1"/>
      <c r="VH61" s="1"/>
      <c r="VK61" s="1"/>
      <c r="VL61" s="1"/>
      <c r="VM61" s="1"/>
      <c r="VN61" s="1"/>
      <c r="VO61" s="1"/>
      <c r="VP61" s="1"/>
      <c r="VS61" s="1"/>
      <c r="VT61" s="1"/>
      <c r="VU61" s="1"/>
      <c r="VV61" s="1"/>
      <c r="VW61" s="1"/>
      <c r="VX61" s="1"/>
      <c r="WA61" s="58"/>
      <c r="WB61" s="58"/>
      <c r="WC61" s="58"/>
      <c r="WD61" s="58"/>
      <c r="WE61" s="58"/>
      <c r="WF61" s="58"/>
      <c r="WG61" s="169"/>
      <c r="WH61" s="169"/>
      <c r="WI61" s="1"/>
      <c r="WJ61" s="1"/>
      <c r="WK61" s="1"/>
      <c r="WL61" s="1"/>
      <c r="WM61" s="1"/>
      <c r="WN61" s="1"/>
      <c r="WQ61" s="1"/>
      <c r="WR61" s="1"/>
      <c r="WS61" s="1"/>
      <c r="WT61" s="1"/>
      <c r="WU61" s="1"/>
      <c r="WV61" s="1"/>
      <c r="WW61" s="1"/>
      <c r="WZ61" s="1"/>
      <c r="XA61" s="1"/>
      <c r="XB61" s="1"/>
      <c r="XC61" s="1"/>
      <c r="XD61" s="1"/>
      <c r="XE61" s="1"/>
      <c r="XF61" s="1"/>
      <c r="XI61" s="1"/>
      <c r="XJ61" s="1"/>
      <c r="XK61" s="1"/>
      <c r="XL61" s="1"/>
      <c r="XM61" s="1"/>
      <c r="XN61" s="1"/>
      <c r="XO61" s="1"/>
      <c r="XR61" s="1"/>
      <c r="XS61" s="1"/>
      <c r="XT61" s="1"/>
      <c r="XU61" s="1"/>
      <c r="XV61" s="1"/>
      <c r="XW61" s="1"/>
      <c r="XX61" s="1"/>
      <c r="YA61" s="1"/>
      <c r="YB61" s="1"/>
      <c r="YC61" s="1"/>
      <c r="YD61" s="1"/>
      <c r="YE61" s="1"/>
      <c r="YF61" s="1"/>
      <c r="YG61" s="1"/>
      <c r="YJ61" s="1"/>
      <c r="YK61" s="1"/>
      <c r="YL61" s="1"/>
      <c r="YM61" s="1"/>
      <c r="YN61" s="1"/>
      <c r="YO61" s="1"/>
      <c r="YP61" s="1"/>
      <c r="YS61" s="1"/>
      <c r="YT61" s="1"/>
      <c r="YU61" s="1"/>
      <c r="YV61" s="1"/>
      <c r="YW61" s="1"/>
      <c r="YX61" s="1"/>
      <c r="ZA61" s="1"/>
      <c r="ZB61" s="1"/>
      <c r="ZC61" s="1"/>
      <c r="ZD61" s="1"/>
      <c r="ZE61" s="1"/>
      <c r="ZF61" s="1"/>
      <c r="ZI61" s="1"/>
      <c r="ZJ61" s="1"/>
      <c r="ZK61" s="1"/>
      <c r="ZL61" s="1"/>
      <c r="ZM61" s="1"/>
      <c r="ZN61" s="1"/>
      <c r="ZQ61" s="1"/>
      <c r="ZR61" s="1"/>
      <c r="ZS61" s="1"/>
      <c r="ZT61" s="1"/>
      <c r="ZU61" s="1"/>
      <c r="ZV61" s="1"/>
      <c r="ZW61" s="1"/>
      <c r="ZX61" s="169"/>
      <c r="ZY61" s="58"/>
      <c r="ZZ61" s="1"/>
      <c r="AAA61" s="1"/>
      <c r="AAB61" s="1"/>
      <c r="AAC61" s="1"/>
      <c r="AAD61" s="1"/>
      <c r="AAE61" s="1"/>
      <c r="AAF61" s="1"/>
      <c r="AAI61" s="1"/>
      <c r="AAJ61" s="1"/>
      <c r="AAK61" s="1"/>
      <c r="AAL61" s="1"/>
      <c r="AAM61" s="1"/>
      <c r="AAN61" s="1"/>
      <c r="AAQ61" s="1"/>
      <c r="AAR61" s="1"/>
      <c r="AAS61" s="1"/>
      <c r="AAT61" s="1"/>
      <c r="AAU61" s="1"/>
      <c r="AAV61" s="1"/>
      <c r="AAY61" s="1"/>
      <c r="AAZ61" s="1"/>
      <c r="ABA61" s="1"/>
      <c r="ABB61" s="1"/>
      <c r="ABC61" s="1"/>
      <c r="ABD61" s="1"/>
      <c r="ABG61" s="1"/>
      <c r="ABH61" s="1"/>
      <c r="ABI61" s="1"/>
      <c r="ABJ61" s="1"/>
      <c r="ABK61" s="1"/>
      <c r="ABL61" s="1"/>
      <c r="ABO61" s="1"/>
      <c r="ABP61" s="1"/>
      <c r="ABQ61" s="1"/>
      <c r="ABR61" s="1"/>
      <c r="ABS61" s="1"/>
      <c r="ABT61" s="1"/>
      <c r="ABW61" s="1"/>
      <c r="ABX61" s="1"/>
      <c r="ABY61" s="1"/>
      <c r="ABZ61" s="1"/>
      <c r="ACA61" s="1"/>
      <c r="ACB61" s="1"/>
      <c r="ACE61" s="1"/>
      <c r="ACF61" s="1"/>
      <c r="ACG61" s="1"/>
      <c r="ACH61" s="1"/>
      <c r="ACI61" s="1"/>
      <c r="ACJ61" s="1"/>
      <c r="ACM61" s="1"/>
      <c r="ACN61" s="1"/>
      <c r="ACO61" s="1"/>
      <c r="ACP61" s="1"/>
      <c r="ACQ61" s="1"/>
      <c r="ACR61" s="1"/>
      <c r="ACU61" s="1"/>
      <c r="ACV61" s="1"/>
      <c r="ACW61" s="1"/>
      <c r="ACX61" s="1"/>
      <c r="ACY61" s="1"/>
      <c r="ACZ61" s="1"/>
      <c r="ADC61" s="1"/>
      <c r="ADD61" s="1"/>
      <c r="ADE61" s="1"/>
      <c r="ADF61" s="1"/>
      <c r="ADG61" s="1"/>
      <c r="ADH61" s="1"/>
      <c r="ADK61" s="1"/>
      <c r="ADL61" s="1"/>
      <c r="ADM61" s="1"/>
      <c r="ADN61" s="1"/>
      <c r="ADO61" s="1"/>
      <c r="ADP61" s="1"/>
      <c r="ADS61" s="1"/>
      <c r="ADT61" s="1"/>
      <c r="ADU61" s="1"/>
      <c r="ADV61" s="1"/>
      <c r="ADW61" s="1"/>
      <c r="ADX61" s="1"/>
      <c r="AEA61" s="1"/>
      <c r="AEB61" s="1"/>
      <c r="AEC61" s="1"/>
      <c r="AED61" s="1"/>
      <c r="AEE61" s="1"/>
      <c r="AEF61" s="1"/>
      <c r="AEI61" s="1"/>
      <c r="AEJ61" s="1"/>
      <c r="AEK61" s="1"/>
      <c r="AEL61" s="1"/>
      <c r="AEM61" s="1"/>
      <c r="AEN61" s="1"/>
      <c r="AEQ61" s="1"/>
      <c r="AER61" s="1"/>
      <c r="AES61" s="1"/>
      <c r="AET61" s="1"/>
      <c r="AEU61" s="1"/>
      <c r="AEV61" s="1"/>
      <c r="AEY61" s="1"/>
      <c r="AEZ61" s="1"/>
      <c r="AFA61" s="1"/>
      <c r="AFB61" s="1"/>
      <c r="AFC61" s="1"/>
      <c r="AFD61" s="1"/>
      <c r="AFG61" s="1"/>
      <c r="AFH61" s="1"/>
      <c r="AFI61" s="1"/>
      <c r="AFJ61" s="1"/>
      <c r="AFK61" s="1"/>
      <c r="AFL61" s="1"/>
      <c r="AFO61" s="1"/>
      <c r="AFP61" s="1"/>
      <c r="AFQ61" s="1"/>
      <c r="AFR61" s="1"/>
      <c r="AFS61" s="1"/>
      <c r="AFT61" s="1"/>
      <c r="AFW61" s="1"/>
      <c r="AFX61" s="1"/>
      <c r="AFY61" s="1"/>
      <c r="AFZ61" s="1"/>
      <c r="AGA61" s="1"/>
      <c r="AGB61" s="1"/>
      <c r="AGE61" s="1"/>
      <c r="AGF61" s="1"/>
      <c r="AGG61" s="1"/>
      <c r="AGH61" s="1"/>
      <c r="AGI61" s="1"/>
      <c r="AGJ61" s="1"/>
      <c r="AGM61" s="1"/>
      <c r="AGN61" s="1"/>
      <c r="AGO61" s="1"/>
      <c r="AGP61" s="1"/>
      <c r="AGQ61" s="1"/>
      <c r="AGR61" s="1"/>
      <c r="AGS61" s="1"/>
      <c r="AGV61" s="1"/>
      <c r="AGW61" s="1"/>
      <c r="AGX61" s="1"/>
      <c r="AGY61" s="1"/>
      <c r="AGZ61" s="1"/>
      <c r="AHA61" s="1"/>
      <c r="AHD61" s="1"/>
      <c r="AHE61" s="1"/>
      <c r="AHF61" s="1"/>
      <c r="AHG61" s="1"/>
      <c r="AHH61" s="1"/>
      <c r="AHI61" s="1"/>
      <c r="AHL61" s="1"/>
      <c r="AHM61" s="1"/>
      <c r="AHN61" s="1"/>
      <c r="AHO61" s="1"/>
      <c r="AHP61" s="1"/>
      <c r="AHQ61" s="1"/>
      <c r="AHT61" s="1"/>
      <c r="AHU61" s="1"/>
      <c r="AHV61" s="1"/>
      <c r="AHW61" s="1"/>
      <c r="AHX61" s="1"/>
      <c r="AHY61" s="1"/>
      <c r="AIB61" s="1"/>
      <c r="AIC61" s="1"/>
      <c r="AID61" s="1"/>
      <c r="AIE61" s="1"/>
      <c r="AIF61" s="1"/>
      <c r="AIG61" s="1"/>
      <c r="AIJ61" s="1"/>
      <c r="AIK61" s="1"/>
      <c r="AIL61" s="1"/>
      <c r="AIM61" s="1"/>
      <c r="AIN61" s="1"/>
      <c r="AIO61" s="1"/>
      <c r="AIR61" s="1"/>
      <c r="AIS61" s="1"/>
      <c r="AIT61" s="1"/>
      <c r="AIU61" s="1"/>
      <c r="AIV61" s="1"/>
      <c r="AIW61" s="1"/>
      <c r="AIZ61" s="1"/>
      <c r="AJA61" s="1"/>
      <c r="AJB61" s="1"/>
      <c r="AJC61" s="1"/>
      <c r="AJD61" s="1"/>
      <c r="AJE61" s="1"/>
      <c r="AJH61" s="1"/>
      <c r="AJI61" s="1"/>
      <c r="AJJ61" s="1"/>
      <c r="AJK61" s="1"/>
      <c r="AJL61" s="1"/>
      <c r="AJM61" s="1"/>
      <c r="AJP61" s="1"/>
      <c r="AJQ61" s="1"/>
      <c r="AJR61" s="1"/>
      <c r="AJS61" s="1"/>
      <c r="AJT61" s="1"/>
      <c r="AJU61" s="1"/>
      <c r="AJX61" s="1"/>
      <c r="AJY61" s="1"/>
      <c r="AJZ61" s="1"/>
      <c r="AKA61" s="1"/>
      <c r="AKB61" s="1"/>
      <c r="AKC61" s="1"/>
      <c r="AKF61" s="1"/>
      <c r="AKG61" s="1"/>
      <c r="AKH61" s="1"/>
      <c r="AKI61" s="1"/>
      <c r="AKJ61" s="1"/>
      <c r="AKK61" s="1"/>
      <c r="AKN61" s="1"/>
      <c r="AKO61" s="1"/>
      <c r="AKP61" s="1"/>
      <c r="AKQ61" s="1"/>
      <c r="AKR61" s="1"/>
      <c r="AKS61" s="1"/>
      <c r="AKV61" s="1"/>
      <c r="AKW61" s="1"/>
      <c r="AKX61" s="1"/>
      <c r="AKY61" s="1"/>
      <c r="AKZ61" s="1"/>
      <c r="ALA61" s="1"/>
      <c r="ALD61" s="1"/>
      <c r="ALE61" s="1"/>
      <c r="ALF61" s="1"/>
      <c r="ALG61" s="1"/>
      <c r="ALH61" s="1"/>
      <c r="ALI61" s="1"/>
      <c r="ALL61" s="1"/>
      <c r="ALM61" s="1"/>
      <c r="ALN61" s="1"/>
      <c r="ALO61" s="1"/>
      <c r="ALP61" s="1"/>
      <c r="ALQ61" s="1"/>
      <c r="ALT61" s="1"/>
      <c r="ALU61" s="1"/>
      <c r="ALV61" s="1"/>
      <c r="ALW61" s="1"/>
      <c r="ALX61" s="1"/>
      <c r="ALY61" s="1"/>
      <c r="AMB61" s="1"/>
      <c r="AMC61" s="1"/>
      <c r="AMD61" s="1"/>
      <c r="AME61" s="1"/>
      <c r="AMF61" s="1"/>
      <c r="AMG61" s="1"/>
      <c r="AMJ61" s="1"/>
      <c r="AMK61" s="1"/>
      <c r="AML61" s="1"/>
      <c r="AMM61" s="1"/>
      <c r="AMN61" s="1"/>
      <c r="AMO61" s="1"/>
      <c r="AMR61" s="1"/>
      <c r="AMS61" s="1"/>
      <c r="AMT61" s="1"/>
      <c r="AMU61" s="1"/>
      <c r="AMV61" s="1"/>
      <c r="AMW61" s="1"/>
      <c r="AMZ61" s="1"/>
      <c r="ANA61" s="1"/>
      <c r="ANB61" s="1"/>
      <c r="ANC61" s="1"/>
      <c r="AND61" s="1"/>
      <c r="ANE61" s="1"/>
      <c r="ANH61" s="1"/>
      <c r="ANI61" s="1"/>
      <c r="ANJ61" s="1"/>
      <c r="ANK61" s="1"/>
      <c r="ANL61" s="1"/>
      <c r="ANM61" s="1"/>
      <c r="ANP61" s="1"/>
      <c r="ANQ61" s="1"/>
      <c r="ANR61" s="1"/>
      <c r="ANS61" s="1"/>
      <c r="ANT61" s="1"/>
      <c r="ANU61" s="1"/>
      <c r="ANX61" s="77"/>
      <c r="ANY61" s="77"/>
      <c r="ANZ61" s="77"/>
      <c r="AOA61" s="77"/>
      <c r="AOB61" s="77"/>
      <c r="AOC61" s="77"/>
      <c r="AOF61" s="1"/>
      <c r="AOG61" s="1"/>
      <c r="AOH61" s="1"/>
      <c r="AOI61" s="1"/>
      <c r="AOJ61" s="1"/>
      <c r="AOK61" s="1"/>
      <c r="AON61" s="1"/>
      <c r="AOO61" s="1"/>
      <c r="AOP61" s="1"/>
      <c r="AOQ61" s="1"/>
      <c r="AOR61" s="1"/>
      <c r="AOS61" s="1"/>
      <c r="AOV61" s="1"/>
      <c r="AOW61" s="1"/>
      <c r="AOX61" s="1"/>
      <c r="AOY61" s="1"/>
      <c r="AOZ61" s="1"/>
      <c r="APA61" s="1"/>
      <c r="APD61" s="1"/>
      <c r="APE61" s="1"/>
      <c r="APF61" s="1"/>
      <c r="APG61" s="1"/>
      <c r="APH61" s="1"/>
      <c r="API61" s="1"/>
      <c r="APL61" s="1"/>
      <c r="APM61" s="1"/>
      <c r="APN61" s="1"/>
      <c r="APO61" s="1"/>
      <c r="APP61" s="1"/>
      <c r="APQ61" s="1"/>
      <c r="APT61" s="1"/>
      <c r="APU61" s="1"/>
      <c r="APV61" s="1"/>
      <c r="APW61" s="1"/>
      <c r="APX61" s="1"/>
      <c r="APY61" s="1"/>
      <c r="AQB61" s="1"/>
      <c r="AQC61" s="1"/>
      <c r="AQD61" s="1"/>
      <c r="AQE61" s="1"/>
      <c r="AQF61" s="1"/>
      <c r="AQG61" s="1"/>
      <c r="AQJ61" s="1"/>
      <c r="AQK61" s="1"/>
      <c r="AQL61" s="1"/>
      <c r="AQM61" s="1"/>
      <c r="AQN61" s="1"/>
      <c r="AQO61" s="1"/>
      <c r="AQR61" s="1"/>
      <c r="AQS61" s="1"/>
      <c r="AQT61" s="1"/>
      <c r="AQU61" s="1"/>
      <c r="AQV61" s="1"/>
      <c r="AQW61" s="1"/>
      <c r="AQZ61" s="1"/>
      <c r="ARA61" s="1"/>
      <c r="ARB61" s="1"/>
      <c r="ARC61" s="1"/>
      <c r="ARD61" s="1"/>
      <c r="ARE61" s="1"/>
      <c r="ARH61" s="1"/>
      <c r="ARI61" s="1"/>
      <c r="ARJ61" s="1"/>
      <c r="ARK61" s="1"/>
      <c r="ARL61" s="1"/>
      <c r="ARM61" s="1"/>
      <c r="ARP61" s="1"/>
      <c r="ARQ61" s="1"/>
      <c r="ARR61" s="1"/>
      <c r="ARS61" s="1"/>
      <c r="ART61" s="1"/>
      <c r="ARU61" s="1"/>
      <c r="ARX61" s="1"/>
      <c r="ARY61" s="1"/>
      <c r="ARZ61" s="1"/>
      <c r="ASA61" s="1"/>
      <c r="ASB61" s="1"/>
      <c r="ASC61" s="1"/>
      <c r="ASF61" s="1"/>
      <c r="ASG61" s="1"/>
      <c r="ASH61" s="1"/>
      <c r="ASI61" s="1"/>
      <c r="ASJ61" s="1"/>
      <c r="ASK61" s="1"/>
      <c r="ASN61" s="1"/>
      <c r="ASO61" s="1"/>
      <c r="ASP61" s="1"/>
      <c r="ASQ61" s="1"/>
      <c r="ASR61" s="1"/>
      <c r="ASS61" s="1"/>
      <c r="ASV61" s="1"/>
      <c r="ASW61" s="1"/>
      <c r="ASX61" s="1"/>
      <c r="ASY61" s="1"/>
      <c r="ASZ61" s="1"/>
      <c r="ATA61" s="1"/>
      <c r="ATD61" s="1"/>
      <c r="ATE61" s="1"/>
      <c r="ATF61" s="1"/>
      <c r="ATG61" s="1"/>
      <c r="ATH61" s="1"/>
      <c r="ATI61" s="1"/>
      <c r="ATL61" s="1"/>
      <c r="ATM61" s="1"/>
      <c r="ATN61" s="1"/>
      <c r="ATO61" s="1"/>
      <c r="ATP61" s="1"/>
      <c r="ATQ61" s="1"/>
      <c r="ATT61" s="1"/>
      <c r="ATU61" s="1"/>
      <c r="ATV61" s="1"/>
      <c r="ATW61" s="1"/>
      <c r="ATX61" s="1"/>
      <c r="ATY61" s="1"/>
      <c r="AUB61" s="1"/>
      <c r="AUC61" s="1"/>
      <c r="AUD61" s="1"/>
      <c r="AUE61" s="1"/>
      <c r="AUF61" s="1"/>
      <c r="AUG61" s="1"/>
      <c r="AUJ61" s="1"/>
      <c r="AUK61" s="1"/>
      <c r="AUL61" s="1"/>
      <c r="AUM61" s="1"/>
      <c r="AUN61" s="1"/>
      <c r="AUO61" s="1"/>
      <c r="AUR61" s="1"/>
      <c r="AUS61" s="1"/>
      <c r="AUT61" s="1"/>
      <c r="AUU61" s="1"/>
      <c r="AUV61" s="1"/>
      <c r="AUW61" s="1"/>
      <c r="AUZ61" s="1"/>
      <c r="AVA61" s="1"/>
      <c r="AVB61" s="1"/>
      <c r="AVC61" s="1"/>
      <c r="AVD61" s="1"/>
      <c r="AVE61" s="1"/>
      <c r="AVH61" s="1"/>
      <c r="AVI61" s="1"/>
      <c r="AVJ61" s="1"/>
      <c r="AVK61" s="1"/>
      <c r="AVL61" s="1"/>
      <c r="AVM61" s="1"/>
      <c r="AVP61" s="1"/>
      <c r="AVQ61" s="1"/>
      <c r="AVR61" s="1"/>
      <c r="AVS61" s="1"/>
      <c r="AVT61" s="1"/>
      <c r="AVU61" s="1"/>
      <c r="AVX61" s="1"/>
      <c r="AVY61" s="1"/>
      <c r="AVZ61" s="1"/>
      <c r="AWA61" s="1"/>
      <c r="AWB61" s="1"/>
      <c r="AWC61" s="1"/>
      <c r="AWF61" s="1"/>
      <c r="AWG61" s="1"/>
      <c r="AWH61" s="1"/>
      <c r="AWI61" s="1"/>
      <c r="AWJ61" s="1"/>
      <c r="AWK61" s="1"/>
      <c r="AWN61" s="1"/>
      <c r="AWO61" s="1"/>
      <c r="AWP61" s="1"/>
      <c r="AWQ61" s="1"/>
      <c r="AWR61" s="1"/>
      <c r="AWS61" s="1"/>
      <c r="AWT61" s="9"/>
      <c r="AWU61" s="122"/>
      <c r="AWV61" s="1"/>
      <c r="AWW61" s="1"/>
      <c r="AWX61" s="1"/>
      <c r="AWY61" s="1"/>
      <c r="AWZ61" s="1"/>
      <c r="AXA61" s="1"/>
      <c r="AXB61" s="9"/>
      <c r="AXC61" s="122"/>
      <c r="AXD61" s="1"/>
      <c r="AXE61" s="1"/>
      <c r="AXF61" s="1"/>
      <c r="AXG61" s="1"/>
      <c r="AXH61" s="1"/>
      <c r="AXI61" s="1"/>
      <c r="AXL61" s="1"/>
      <c r="AXM61" s="1"/>
      <c r="AXN61" s="1"/>
      <c r="AXO61" s="1"/>
      <c r="AXP61" s="1"/>
      <c r="AXQ61" s="1"/>
      <c r="AXT61" s="1"/>
      <c r="AXU61" s="1"/>
      <c r="AXV61" s="1"/>
      <c r="AXW61" s="1"/>
      <c r="AXX61" s="1"/>
      <c r="AXY61" s="1"/>
      <c r="AYB61" s="1"/>
      <c r="AYC61" s="1"/>
      <c r="AYD61" s="1"/>
      <c r="AYE61" s="1"/>
      <c r="AYF61" s="1"/>
      <c r="AYG61" s="1"/>
      <c r="AYJ61" s="1"/>
      <c r="AYK61" s="1"/>
      <c r="AYL61" s="1"/>
      <c r="AYM61" s="1"/>
      <c r="AYN61" s="1"/>
      <c r="AYO61" s="1"/>
      <c r="AYR61" s="1"/>
      <c r="AYS61" s="1"/>
      <c r="AYT61" s="1"/>
      <c r="AYU61" s="1"/>
      <c r="AYV61" s="1"/>
      <c r="AYW61" s="1"/>
      <c r="AYZ61" s="1"/>
      <c r="AZA61" s="1"/>
      <c r="AZB61" s="1"/>
      <c r="AZC61" s="1"/>
      <c r="AZD61" s="1"/>
      <c r="AZE61" s="1"/>
      <c r="AZH61" s="1"/>
      <c r="AZI61" s="1"/>
      <c r="AZJ61" s="1"/>
      <c r="AZK61" s="1"/>
      <c r="AZL61" s="1"/>
      <c r="AZM61" s="1"/>
      <c r="AZP61" s="1"/>
      <c r="AZQ61" s="1"/>
      <c r="AZR61" s="1"/>
      <c r="AZS61" s="1"/>
      <c r="AZT61" s="1"/>
      <c r="AZU61" s="1"/>
      <c r="AZX61" s="77"/>
      <c r="AZY61" s="77"/>
      <c r="AZZ61" s="77"/>
      <c r="BAA61" s="77"/>
      <c r="BAB61" s="77"/>
      <c r="BAC61" s="77"/>
      <c r="BAF61" s="1"/>
      <c r="BAG61" s="1"/>
      <c r="BAH61" s="1"/>
      <c r="BAI61" s="1"/>
      <c r="BAJ61" s="1"/>
      <c r="BAK61" s="1"/>
      <c r="BAN61" s="1"/>
      <c r="BAO61" s="1"/>
      <c r="BAP61" s="1"/>
      <c r="BAQ61" s="1"/>
      <c r="BAR61" s="1"/>
      <c r="BAS61" s="1"/>
      <c r="BAV61" s="1"/>
      <c r="BAW61" s="1"/>
      <c r="BAX61" s="1"/>
      <c r="BAY61" s="1"/>
      <c r="BAZ61" s="1"/>
      <c r="BBA61" s="1"/>
      <c r="BBD61" s="1"/>
      <c r="BBE61" s="1"/>
      <c r="BBF61" s="1"/>
      <c r="BBG61" s="1"/>
      <c r="BBH61" s="1"/>
      <c r="BBI61" s="1"/>
      <c r="BBL61" s="1"/>
      <c r="BBM61" s="1"/>
      <c r="BBN61" s="1"/>
      <c r="BBO61" s="1"/>
      <c r="BBP61" s="1"/>
      <c r="BBQ61" s="1"/>
      <c r="BBT61" s="1"/>
      <c r="BBU61" s="1"/>
      <c r="BBV61" s="1"/>
      <c r="BBW61" s="1"/>
      <c r="BBX61" s="1"/>
      <c r="BBY61" s="1"/>
      <c r="BCB61" s="1"/>
      <c r="BCC61" s="1"/>
      <c r="BCD61" s="1"/>
      <c r="BCE61" s="1"/>
      <c r="BCF61" s="1"/>
      <c r="BCG61" s="1"/>
      <c r="BCJ61" s="1"/>
      <c r="BCK61" s="1"/>
      <c r="BCL61" s="1"/>
      <c r="BCM61" s="1"/>
      <c r="BCN61" s="1"/>
      <c r="BCO61" s="1"/>
      <c r="BCR61" s="1"/>
      <c r="BCS61" s="1"/>
      <c r="BCT61" s="1"/>
      <c r="BCU61" s="1"/>
      <c r="BCV61" s="1"/>
      <c r="BCW61" s="1"/>
      <c r="BCZ61" s="1"/>
      <c r="BDA61" s="1"/>
      <c r="BDB61" s="1"/>
      <c r="BDC61" s="1"/>
      <c r="BDD61" s="1"/>
      <c r="BDE61" s="1"/>
      <c r="BDH61" s="1"/>
      <c r="BDI61" s="1"/>
      <c r="BDJ61" s="1"/>
      <c r="BDK61" s="1"/>
      <c r="BDL61" s="1"/>
      <c r="BDM61" s="1"/>
      <c r="BDP61" s="1"/>
      <c r="BDQ61" s="1"/>
      <c r="BDR61" s="1"/>
      <c r="BDS61" s="1"/>
      <c r="BDT61" s="1"/>
      <c r="BDU61" s="1"/>
      <c r="BDX61" s="1"/>
      <c r="BDY61" s="1"/>
      <c r="BDZ61" s="1"/>
      <c r="BEA61" s="1"/>
      <c r="BEB61" s="1"/>
      <c r="BEC61" s="1"/>
      <c r="BEF61" s="1"/>
      <c r="BEG61" s="1"/>
      <c r="BEH61" s="1"/>
      <c r="BEI61" s="1"/>
      <c r="BEJ61" s="1"/>
      <c r="BEK61" s="1"/>
      <c r="BEN61" s="1"/>
      <c r="BEO61" s="1"/>
      <c r="BEP61" s="1"/>
      <c r="BEQ61" s="1"/>
      <c r="BER61" s="1"/>
      <c r="BES61" s="1"/>
      <c r="BEV61" s="77"/>
      <c r="BEW61" s="77"/>
      <c r="BEX61" s="77"/>
      <c r="BEY61" s="77"/>
      <c r="BEZ61" s="77"/>
      <c r="BFA61" s="77"/>
      <c r="BFD61" s="1"/>
      <c r="BFE61" s="1"/>
      <c r="BFF61" s="1"/>
      <c r="BFG61" s="1"/>
      <c r="BFH61" s="1"/>
      <c r="BFI61" s="1"/>
      <c r="BFL61" s="1"/>
      <c r="BFM61" s="1"/>
      <c r="BFN61" s="1"/>
      <c r="BFO61" s="1"/>
      <c r="BFP61" s="1"/>
      <c r="BFQ61" s="1"/>
      <c r="BFT61" s="1"/>
      <c r="BFU61" s="1"/>
      <c r="BFV61" s="1"/>
      <c r="BFW61" s="1"/>
      <c r="BFX61" s="1"/>
      <c r="BFY61" s="1"/>
      <c r="BGB61" s="1"/>
      <c r="BGC61" s="1"/>
      <c r="BGD61" s="1"/>
      <c r="BGE61" s="1"/>
      <c r="BGF61" s="1"/>
      <c r="BGG61" s="1"/>
      <c r="BGJ61" s="1"/>
      <c r="BGK61" s="1"/>
      <c r="BGL61" s="1"/>
      <c r="BGM61" s="1"/>
      <c r="BGN61" s="1"/>
      <c r="BGO61" s="1"/>
      <c r="BGR61" s="1"/>
      <c r="BGS61" s="1"/>
      <c r="BGT61" s="1"/>
      <c r="BGU61" s="1"/>
      <c r="BGV61" s="1"/>
      <c r="BGW61" s="1"/>
      <c r="BGZ61" s="1"/>
      <c r="BHA61" s="1"/>
      <c r="BHB61" s="1"/>
      <c r="BHC61" s="1"/>
      <c r="BHD61" s="1"/>
      <c r="BHE61" s="1"/>
      <c r="BHH61" s="1"/>
      <c r="BHI61" s="1"/>
      <c r="BHJ61" s="1"/>
      <c r="BHK61" s="1"/>
      <c r="BHL61" s="1"/>
      <c r="BHM61" s="1"/>
      <c r="BHP61" s="1"/>
      <c r="BHQ61" s="1"/>
      <c r="BHR61" s="1"/>
      <c r="BHS61" s="1"/>
      <c r="BHT61" s="1"/>
      <c r="BHU61" s="1"/>
      <c r="BHX61" s="1"/>
      <c r="BHY61" s="1"/>
      <c r="BHZ61" s="1"/>
      <c r="BIA61" s="1"/>
      <c r="BIB61" s="1"/>
      <c r="BIC61" s="1"/>
      <c r="BIF61" s="1"/>
      <c r="BIG61" s="1"/>
      <c r="BIH61" s="1"/>
      <c r="BII61" s="1"/>
      <c r="BIJ61" s="1"/>
      <c r="BIK61" s="1"/>
      <c r="BIN61" s="1"/>
      <c r="BIO61" s="1"/>
      <c r="BIP61" s="1"/>
      <c r="BIQ61" s="1"/>
      <c r="BIR61" s="1"/>
      <c r="BIS61" s="1"/>
      <c r="BIV61" s="1"/>
      <c r="BIW61" s="1"/>
      <c r="BIX61" s="1"/>
      <c r="BIY61" s="1"/>
      <c r="BIZ61" s="1"/>
      <c r="BJA61" s="1"/>
      <c r="BJD61" s="1"/>
      <c r="BJE61" s="1"/>
      <c r="BJF61" s="1"/>
      <c r="BJG61" s="1"/>
      <c r="BJH61" s="1"/>
      <c r="BJI61" s="1"/>
      <c r="BJL61" s="1"/>
      <c r="BJM61" s="1"/>
      <c r="BJN61" s="1"/>
      <c r="BJO61" s="1"/>
      <c r="BJP61" s="1"/>
      <c r="BJQ61" s="1"/>
      <c r="BJT61" s="1"/>
      <c r="BJU61" s="1"/>
      <c r="BJV61" s="1"/>
      <c r="BJW61" s="1"/>
      <c r="BJX61" s="1"/>
      <c r="BJY61" s="1"/>
      <c r="BKB61" s="1"/>
      <c r="BKC61" s="1"/>
      <c r="BKD61" s="1"/>
      <c r="BKE61" s="1"/>
      <c r="BKF61" s="1"/>
      <c r="BKG61" s="1"/>
      <c r="BKJ61" s="1"/>
      <c r="BKK61" s="1"/>
      <c r="BKL61" s="1"/>
      <c r="BKM61" s="1"/>
      <c r="BKN61" s="1"/>
      <c r="BKO61" s="1"/>
      <c r="BKR61" s="1"/>
      <c r="BKS61" s="1"/>
      <c r="BKT61" s="1"/>
      <c r="BKU61" s="1"/>
      <c r="BKV61" s="1"/>
      <c r="BKW61" s="1"/>
      <c r="BKZ61" s="1"/>
      <c r="BLA61" s="1"/>
      <c r="BLB61" s="1"/>
      <c r="BLC61" s="1"/>
      <c r="BLD61" s="1"/>
      <c r="BLE61" s="1"/>
      <c r="BLH61" s="1"/>
      <c r="BLI61" s="1"/>
      <c r="BLJ61" s="1"/>
      <c r="BLK61" s="1"/>
      <c r="BLL61" s="1"/>
      <c r="BLM61" s="1"/>
      <c r="BLP61" s="1"/>
      <c r="BLQ61" s="1"/>
      <c r="BLR61" s="1"/>
      <c r="BLS61" s="1"/>
      <c r="BLT61" s="1"/>
      <c r="BLU61" s="1"/>
      <c r="BND61" s="1"/>
      <c r="BNE61" s="1"/>
      <c r="BNF61" s="1"/>
      <c r="BNG61" s="1"/>
      <c r="BNH61" s="1"/>
      <c r="BNI61" s="1"/>
      <c r="BPH61" s="1"/>
      <c r="BPI61" s="1"/>
      <c r="BPJ61" s="1"/>
      <c r="BPK61" s="1"/>
      <c r="BPL61" s="1"/>
      <c r="BPM61" s="1"/>
      <c r="BPP61" s="1"/>
      <c r="BPQ61" s="1"/>
      <c r="BPR61" s="1"/>
      <c r="BPS61" s="1"/>
      <c r="BPT61" s="1"/>
      <c r="BPU61" s="1"/>
      <c r="BPX61" s="1"/>
      <c r="BPY61" s="1"/>
      <c r="BPZ61" s="1"/>
      <c r="BQA61" s="1"/>
      <c r="BQB61" s="1"/>
      <c r="BQC61" s="1"/>
      <c r="BQF61" s="1"/>
      <c r="BQG61" s="1"/>
      <c r="BQH61" s="1"/>
      <c r="BQI61" s="1"/>
      <c r="BQJ61" s="1"/>
      <c r="BQK61" s="1"/>
      <c r="BQN61" s="1"/>
      <c r="BQO61" s="1"/>
      <c r="BQP61" s="1"/>
      <c r="BQQ61" s="1"/>
      <c r="BQR61" s="1"/>
      <c r="BQS61" s="1"/>
      <c r="BQV61" s="1"/>
      <c r="BQW61" s="1"/>
      <c r="BQX61" s="1"/>
      <c r="BQY61" s="1"/>
      <c r="BQZ61" s="1"/>
      <c r="BRA61" s="1"/>
      <c r="BRD61" s="1"/>
      <c r="BRE61" s="1"/>
      <c r="BRF61" s="1"/>
      <c r="BRG61" s="1"/>
      <c r="BRH61" s="1"/>
      <c r="BRI61" s="1"/>
      <c r="BRL61" s="1"/>
      <c r="BRM61" s="1"/>
      <c r="BRN61" s="1"/>
      <c r="BRO61" s="1"/>
      <c r="BRP61" s="1"/>
      <c r="BRQ61" s="1"/>
      <c r="BRT61" s="1"/>
      <c r="BRU61" s="1"/>
      <c r="BRV61" s="1"/>
      <c r="BRW61" s="1"/>
      <c r="BRX61" s="1"/>
      <c r="BRY61" s="1"/>
      <c r="BSB61" s="1"/>
      <c r="BSC61" s="1"/>
      <c r="BSD61" s="1"/>
      <c r="BSE61" s="1"/>
      <c r="BSF61" s="1"/>
      <c r="BSG61" s="1"/>
      <c r="BSR61" s="1"/>
      <c r="BSS61" s="1"/>
      <c r="BST61" s="1"/>
      <c r="BSU61" s="1"/>
      <c r="BSV61" s="1"/>
      <c r="BSW61" s="1"/>
      <c r="BSZ61" s="1"/>
      <c r="BTA61" s="1"/>
      <c r="BTB61" s="1"/>
      <c r="BTC61" s="1"/>
      <c r="BTD61" s="1"/>
      <c r="BTE61" s="1"/>
      <c r="BTH61" s="1"/>
      <c r="BTI61" s="1"/>
      <c r="BTJ61" s="1"/>
      <c r="BTK61" s="1"/>
      <c r="BTL61" s="1"/>
      <c r="BTM61" s="1"/>
      <c r="BTP61" s="1"/>
      <c r="BTQ61" s="1"/>
      <c r="BTR61" s="1"/>
      <c r="BTS61" s="1"/>
      <c r="BTT61" s="1"/>
      <c r="BTU61" s="1"/>
      <c r="BTX61" s="1"/>
      <c r="BTY61" s="1"/>
      <c r="BTZ61" s="1"/>
      <c r="BUA61" s="1"/>
      <c r="BUB61" s="1"/>
      <c r="BUC61" s="1"/>
      <c r="BUF61" s="1"/>
      <c r="BUG61" s="1"/>
      <c r="BUH61" s="1"/>
      <c r="BUI61" s="1"/>
      <c r="BUJ61" s="1"/>
      <c r="BUK61" s="1"/>
      <c r="BUV61" s="1"/>
      <c r="BUW61" s="1"/>
      <c r="BUX61" s="1"/>
      <c r="BUY61" s="1"/>
      <c r="BUZ61" s="1"/>
      <c r="BVA61" s="1"/>
      <c r="BVD61" s="1"/>
      <c r="BVE61" s="1"/>
      <c r="BVF61" s="1"/>
      <c r="BVG61" s="1"/>
      <c r="BVH61" s="1"/>
      <c r="BVI61" s="1"/>
      <c r="BVT61" s="1"/>
      <c r="BVU61" s="1"/>
      <c r="BVV61" s="1"/>
      <c r="BVW61" s="1"/>
      <c r="BVX61" s="1"/>
      <c r="BVY61" s="1"/>
      <c r="BWB61" s="1"/>
      <c r="BWC61" s="1"/>
      <c r="BWD61" s="1"/>
      <c r="BWE61" s="1"/>
      <c r="BWF61" s="1"/>
      <c r="BWG61" s="1"/>
      <c r="BWJ61" s="1"/>
      <c r="BWK61" s="1"/>
      <c r="BWL61" s="1"/>
      <c r="BWM61" s="1"/>
      <c r="BWN61" s="1"/>
      <c r="BWO61" s="1"/>
      <c r="BWR61" s="1"/>
      <c r="BWS61" s="1"/>
      <c r="BWT61" s="1"/>
      <c r="BWU61" s="1"/>
      <c r="BWV61" s="1"/>
      <c r="BWW61" s="1"/>
      <c r="BWZ61" s="1"/>
      <c r="BXA61" s="1"/>
      <c r="BXB61" s="1"/>
      <c r="BXC61" s="1"/>
      <c r="BXD61" s="1"/>
      <c r="BXE61" s="1"/>
      <c r="BXH61" s="1"/>
      <c r="BXI61" s="1"/>
      <c r="BXJ61" s="1"/>
      <c r="BXK61" s="1"/>
      <c r="BXL61" s="1"/>
      <c r="BXM61" s="1"/>
      <c r="BXP61" s="1"/>
      <c r="BXQ61" s="1"/>
      <c r="BXR61" s="1"/>
      <c r="BXS61" s="1"/>
      <c r="BXT61" s="1"/>
      <c r="BXU61" s="1"/>
      <c r="BXX61" s="1"/>
      <c r="BXY61" s="1"/>
      <c r="BXZ61" s="1"/>
      <c r="BYA61" s="1"/>
      <c r="BYB61" s="1"/>
      <c r="BYC61" s="1"/>
      <c r="BYF61" s="1"/>
      <c r="BYG61" s="1"/>
      <c r="BYH61" s="1"/>
      <c r="BYI61" s="1"/>
      <c r="BYJ61" s="1"/>
      <c r="BYK61" s="1"/>
      <c r="BYN61" s="1"/>
      <c r="BYO61" s="1"/>
      <c r="BYP61" s="1"/>
      <c r="BYQ61" s="1"/>
      <c r="BYR61" s="1"/>
      <c r="BYS61" s="1"/>
      <c r="BYV61" s="1"/>
      <c r="BYW61" s="1"/>
      <c r="BYX61" s="1"/>
      <c r="BYY61" s="1"/>
      <c r="BYZ61" s="1"/>
      <c r="BZA61" s="1"/>
      <c r="BZD61" s="1"/>
      <c r="BZE61" s="1"/>
      <c r="BZF61" s="1"/>
      <c r="BZG61" s="1"/>
      <c r="BZH61" s="1"/>
      <c r="BZI61" s="1"/>
      <c r="BZL61" s="1"/>
      <c r="BZM61" s="1"/>
      <c r="BZN61" s="1"/>
      <c r="BZO61" s="1"/>
      <c r="BZP61" s="1"/>
      <c r="BZQ61" s="1"/>
      <c r="BZT61" s="1"/>
      <c r="BZU61" s="1"/>
      <c r="BZV61" s="1"/>
      <c r="BZW61" s="1"/>
      <c r="BZX61" s="1"/>
      <c r="BZY61" s="1"/>
      <c r="CAB61" s="1"/>
      <c r="CAC61" s="1"/>
      <c r="CAD61" s="1"/>
      <c r="CAE61" s="1"/>
      <c r="CAF61" s="1"/>
      <c r="CAG61" s="1"/>
      <c r="CAJ61" s="1"/>
      <c r="CAK61" s="1"/>
      <c r="CAL61" s="1"/>
      <c r="CAM61" s="1"/>
      <c r="CAN61" s="1"/>
      <c r="CAO61" s="1"/>
      <c r="CAR61" s="1"/>
      <c r="CAS61" s="1"/>
      <c r="CAT61" s="1"/>
      <c r="CAU61" s="1"/>
      <c r="CAV61" s="1"/>
      <c r="CAW61" s="1"/>
      <c r="CAZ61" s="1"/>
      <c r="CBA61" s="1"/>
      <c r="CBB61" s="1"/>
      <c r="CBC61" s="1"/>
      <c r="CBD61" s="1"/>
      <c r="CBE61" s="1"/>
      <c r="CBH61" s="1"/>
      <c r="CBI61" s="1"/>
      <c r="CBJ61" s="1"/>
      <c r="CBK61" s="1"/>
      <c r="CBL61" s="1"/>
      <c r="CBM61" s="1"/>
      <c r="CBP61" s="1"/>
      <c r="CBQ61" s="1"/>
      <c r="CBR61" s="1"/>
      <c r="CBS61" s="1"/>
      <c r="CBT61" s="1"/>
      <c r="CBU61" s="1"/>
      <c r="CBX61" s="1"/>
      <c r="CBY61" s="1"/>
      <c r="CBZ61" s="1"/>
      <c r="CCA61" s="1"/>
      <c r="CCB61" s="1"/>
      <c r="CCC61" s="1"/>
      <c r="CCF61" s="1"/>
      <c r="CCG61" s="1"/>
      <c r="CCH61" s="1"/>
      <c r="CCI61" s="1"/>
      <c r="CCJ61" s="1"/>
      <c r="CCK61" s="1"/>
      <c r="CCN61" s="1"/>
      <c r="CCO61" s="1"/>
      <c r="CCP61" s="1"/>
      <c r="CCQ61" s="1"/>
      <c r="CCR61" s="1"/>
      <c r="CCS61" s="1"/>
      <c r="CCV61" s="1"/>
      <c r="CCW61" s="1"/>
      <c r="CCX61" s="1"/>
      <c r="CCY61" s="1"/>
      <c r="CCZ61" s="1"/>
      <c r="CDA61" s="1"/>
      <c r="CDD61" s="1"/>
      <c r="CDE61" s="1"/>
      <c r="CDF61" s="1"/>
      <c r="CDG61" s="1"/>
      <c r="CDH61" s="1"/>
      <c r="CDI61" s="1"/>
      <c r="CDL61" s="1"/>
      <c r="CDM61" s="1"/>
      <c r="CDN61" s="1"/>
      <c r="CDO61" s="1"/>
      <c r="CDP61" s="1"/>
      <c r="CDQ61" s="1"/>
      <c r="CDT61" s="1"/>
      <c r="CDU61" s="1"/>
      <c r="CDV61" s="1"/>
      <c r="CDW61" s="1"/>
      <c r="CDX61" s="1"/>
      <c r="CDY61" s="1"/>
      <c r="CEB61" s="1"/>
      <c r="CEC61" s="1"/>
      <c r="CED61" s="1"/>
      <c r="CEE61" s="1"/>
      <c r="CEF61" s="1"/>
      <c r="CEG61" s="1"/>
      <c r="CEJ61" s="1"/>
      <c r="CEK61" s="1"/>
      <c r="CEL61" s="1"/>
      <c r="CEM61" s="1"/>
      <c r="CEN61" s="1"/>
      <c r="CEO61" s="1"/>
      <c r="CER61" s="1"/>
      <c r="CES61" s="1"/>
      <c r="CET61" s="1"/>
      <c r="CEU61" s="1"/>
      <c r="CEV61" s="1"/>
      <c r="CEW61" s="1"/>
      <c r="CEZ61" s="1"/>
      <c r="CFA61" s="1"/>
      <c r="CFB61" s="1"/>
      <c r="CFC61" s="1"/>
      <c r="CFD61" s="1"/>
      <c r="CFE61" s="1"/>
      <c r="CFH61" s="1"/>
      <c r="CFI61" s="1"/>
      <c r="CFJ61" s="1"/>
      <c r="CFK61" s="1"/>
      <c r="CFL61" s="1"/>
      <c r="CFM61" s="1"/>
      <c r="CFP61" s="1"/>
      <c r="CFQ61" s="1"/>
      <c r="CFR61" s="1"/>
      <c r="CFS61" s="1"/>
      <c r="CFT61" s="1"/>
      <c r="CFU61" s="1"/>
      <c r="CFX61" s="1"/>
      <c r="CFY61" s="1"/>
      <c r="CFZ61" s="1"/>
      <c r="CGA61" s="1"/>
      <c r="CGB61" s="1"/>
      <c r="CGC61" s="1"/>
      <c r="CGF61" s="1"/>
      <c r="CGG61" s="1"/>
      <c r="CGH61" s="1"/>
      <c r="CGI61" s="1"/>
      <c r="CGJ61" s="1"/>
      <c r="CGK61" s="1"/>
      <c r="CGN61" s="1"/>
      <c r="CGO61" s="1"/>
      <c r="CGP61" s="1"/>
      <c r="CGQ61" s="1"/>
      <c r="CGR61" s="1"/>
      <c r="CGS61" s="1"/>
      <c r="CGV61" s="1"/>
      <c r="CGW61" s="1"/>
      <c r="CGX61" s="1"/>
      <c r="CGY61" s="1"/>
      <c r="CGZ61" s="1"/>
      <c r="CHA61" s="1"/>
      <c r="CHD61" s="1"/>
      <c r="CHE61" s="1"/>
      <c r="CHF61" s="1"/>
      <c r="CHG61" s="1"/>
      <c r="CHH61" s="1"/>
      <c r="CHI61" s="1"/>
      <c r="CHL61" s="1"/>
      <c r="CHM61" s="1"/>
      <c r="CHN61" s="1"/>
      <c r="CHO61" s="1"/>
      <c r="CHP61" s="1"/>
      <c r="CHQ61" s="1"/>
      <c r="CHT61" s="1"/>
      <c r="CHU61" s="1"/>
      <c r="CHV61" s="1"/>
      <c r="CHW61" s="1"/>
      <c r="CHX61" s="1"/>
      <c r="CHY61" s="1"/>
      <c r="CIB61" s="1"/>
      <c r="CIC61" s="1"/>
      <c r="CID61" s="1"/>
      <c r="CIE61" s="1"/>
      <c r="CIF61" s="1"/>
      <c r="CIG61" s="1"/>
      <c r="CIJ61" s="1"/>
      <c r="CIK61" s="1"/>
      <c r="CIL61" s="1"/>
      <c r="CIM61" s="1"/>
      <c r="CIN61" s="1"/>
      <c r="CIO61" s="1"/>
      <c r="CIR61" s="1"/>
      <c r="CIS61" s="1"/>
      <c r="CIT61" s="1"/>
      <c r="CIU61" s="1"/>
      <c r="CIV61" s="1"/>
      <c r="CIW61" s="1"/>
      <c r="CIZ61" s="1"/>
      <c r="CJA61" s="1"/>
      <c r="CJB61" s="1"/>
      <c r="CJC61" s="1"/>
      <c r="CJD61" s="1"/>
      <c r="CJE61" s="1"/>
      <c r="CJH61" s="1"/>
      <c r="CJI61" s="1"/>
      <c r="CJJ61" s="1"/>
      <c r="CJK61" s="1"/>
      <c r="CJL61" s="1"/>
      <c r="CJM61" s="1"/>
      <c r="CJP61" s="1"/>
      <c r="CJQ61" s="1"/>
      <c r="CJR61" s="1"/>
      <c r="CJS61" s="1"/>
      <c r="CJT61" s="1"/>
      <c r="CJU61" s="1"/>
      <c r="CJX61" s="1"/>
      <c r="CJY61" s="1"/>
      <c r="CJZ61" s="1"/>
      <c r="CKA61" s="1"/>
      <c r="CKB61" s="1"/>
      <c r="CKC61" s="1"/>
      <c r="CKF61" s="1"/>
      <c r="CKG61" s="1"/>
      <c r="CKH61" s="1"/>
      <c r="CKI61" s="1"/>
      <c r="CKJ61" s="1"/>
      <c r="CKK61" s="1"/>
      <c r="CKN61" s="1"/>
      <c r="CKO61" s="1"/>
      <c r="CKP61" s="1"/>
      <c r="CKQ61" s="1"/>
      <c r="CKR61" s="1"/>
      <c r="CKV61" s="1"/>
      <c r="CKW61" s="1"/>
      <c r="CKX61" s="1"/>
      <c r="CKY61" s="1"/>
      <c r="CKZ61" s="1"/>
      <c r="CLA61" s="1"/>
      <c r="CLD61" s="1"/>
      <c r="CLE61" s="1"/>
      <c r="CLF61" s="1"/>
      <c r="CLG61" s="1"/>
      <c r="CLH61" s="1"/>
      <c r="CLI61" s="1"/>
      <c r="CLL61" s="1"/>
      <c r="CLM61" s="1"/>
      <c r="CLN61" s="1"/>
      <c r="CLO61" s="1"/>
      <c r="CLP61" s="1"/>
      <c r="CLQ61" s="1"/>
      <c r="CLT61" s="1"/>
      <c r="CLU61" s="1"/>
      <c r="CLV61" s="1"/>
      <c r="CLW61" s="1"/>
      <c r="CLX61" s="1"/>
      <c r="CLY61" s="1"/>
      <c r="CMB61" s="1"/>
      <c r="CMC61" s="1"/>
      <c r="CMD61" s="1"/>
      <c r="CME61" s="1"/>
      <c r="CMF61" s="1"/>
      <c r="CMG61" s="1"/>
      <c r="CMJ61" s="1"/>
      <c r="CMK61" s="1"/>
      <c r="CML61" s="1"/>
      <c r="CMM61" s="1"/>
      <c r="CMN61" s="1"/>
      <c r="CMO61" s="1"/>
      <c r="CMR61" s="1"/>
      <c r="CMS61" s="1"/>
      <c r="CMT61" s="1"/>
      <c r="CMU61" s="1"/>
      <c r="CMV61" s="1"/>
      <c r="CMW61" s="1"/>
      <c r="CMZ61" s="1"/>
      <c r="CNA61" s="1"/>
      <c r="CNB61" s="1"/>
      <c r="CNC61" s="1"/>
      <c r="CND61" s="1"/>
      <c r="CNE61" s="1"/>
      <c r="CNH61" s="1"/>
      <c r="CNI61" s="1"/>
      <c r="CNJ61" s="1"/>
      <c r="CNK61" s="1"/>
      <c r="CNL61" s="1"/>
      <c r="CNM61" s="1"/>
      <c r="CNP61" s="1"/>
      <c r="CNQ61" s="1"/>
      <c r="CNR61" s="1"/>
      <c r="CNS61" s="1"/>
      <c r="CNT61" s="1"/>
      <c r="CNU61" s="1"/>
      <c r="CNX61" s="1"/>
      <c r="CNY61" s="1"/>
      <c r="CNZ61" s="1"/>
      <c r="COA61" s="1"/>
      <c r="COB61" s="1"/>
      <c r="COC61" s="1"/>
      <c r="COF61" s="1"/>
      <c r="COG61" s="1"/>
      <c r="COH61" s="1"/>
      <c r="COI61" s="1"/>
      <c r="COJ61" s="1"/>
      <c r="COK61" s="1"/>
      <c r="CON61" s="1"/>
      <c r="COO61" s="1"/>
      <c r="COP61" s="1"/>
      <c r="COQ61" s="1"/>
      <c r="COR61" s="1"/>
      <c r="COS61" s="1"/>
      <c r="COV61" s="1"/>
      <c r="COW61" s="1"/>
      <c r="COX61" s="1"/>
      <c r="COY61" s="1"/>
      <c r="COZ61" s="1"/>
      <c r="CPA61" s="1"/>
      <c r="CPD61" s="1"/>
      <c r="CPE61" s="1"/>
      <c r="CPF61" s="1"/>
      <c r="CPG61" s="1"/>
      <c r="CPH61" s="1"/>
      <c r="CPI61" s="1"/>
      <c r="CPL61" s="1"/>
      <c r="CPM61" s="1"/>
      <c r="CPN61" s="1"/>
      <c r="CPO61" s="1"/>
      <c r="CPP61" s="1"/>
      <c r="CPQ61" s="1"/>
      <c r="CPT61" s="1"/>
      <c r="CPU61" s="1"/>
      <c r="CPV61" s="1"/>
      <c r="CPW61" s="1"/>
      <c r="CPX61" s="1"/>
      <c r="CPY61" s="1"/>
      <c r="CQB61" s="1"/>
      <c r="CQC61" s="1"/>
      <c r="CQD61" s="1"/>
      <c r="CQE61" s="1"/>
      <c r="CQF61" s="1"/>
      <c r="CQG61" s="1"/>
      <c r="CQJ61" s="77"/>
      <c r="CQK61" s="77"/>
      <c r="CQL61" s="77"/>
      <c r="CQM61" s="77"/>
      <c r="CQN61" s="77"/>
      <c r="CQO61" s="77"/>
      <c r="CQR61" s="1"/>
      <c r="CQS61" s="1"/>
      <c r="CQT61" s="1"/>
      <c r="CQU61" s="1"/>
      <c r="CQV61" s="1"/>
      <c r="CQW61" s="1"/>
      <c r="CQZ61" s="1"/>
      <c r="CRA61" s="1"/>
      <c r="CRB61" s="1"/>
      <c r="CRC61" s="1"/>
      <c r="CRD61" s="1"/>
      <c r="CRE61" s="1"/>
      <c r="CRH61" s="1"/>
      <c r="CRI61" s="1"/>
      <c r="CRJ61" s="1"/>
      <c r="CRK61" s="1"/>
      <c r="CRL61" s="1"/>
      <c r="CRM61" s="1"/>
      <c r="CRP61" s="1"/>
      <c r="CRQ61" s="1"/>
      <c r="CRR61" s="1"/>
      <c r="CRS61" s="1"/>
      <c r="CRT61" s="1"/>
      <c r="CRU61" s="1"/>
      <c r="CRX61" s="1"/>
      <c r="CRY61" s="1"/>
      <c r="CRZ61" s="1"/>
      <c r="CSA61" s="1"/>
      <c r="CSB61" s="1"/>
      <c r="CSC61" s="1"/>
      <c r="CSF61" s="1"/>
      <c r="CSG61" s="1"/>
      <c r="CSH61" s="1"/>
      <c r="CSI61" s="1"/>
      <c r="CSJ61" s="1"/>
      <c r="CSK61" s="1"/>
      <c r="CSN61" s="1"/>
      <c r="CSO61" s="1"/>
      <c r="CSP61" s="1"/>
      <c r="CSQ61" s="1"/>
      <c r="CSR61" s="1"/>
      <c r="CSS61" s="1"/>
      <c r="CSV61" s="1"/>
      <c r="CSW61" s="1"/>
      <c r="CSX61" s="1"/>
      <c r="CSY61" s="1"/>
      <c r="CSZ61" s="1"/>
      <c r="CTA61" s="1"/>
      <c r="CTD61" s="1"/>
      <c r="CTE61" s="1"/>
      <c r="CTF61" s="1"/>
      <c r="CTG61" s="1"/>
      <c r="CTH61" s="1"/>
      <c r="CTI61" s="1"/>
      <c r="CTL61" s="1"/>
      <c r="CTM61" s="1"/>
      <c r="CTN61" s="1"/>
      <c r="CTO61" s="1"/>
      <c r="CTP61" s="1"/>
      <c r="CTQ61" s="1"/>
      <c r="CTT61" s="1"/>
      <c r="CTU61" s="1"/>
      <c r="CTV61" s="1"/>
      <c r="CTW61" s="1"/>
      <c r="CTX61" s="1"/>
      <c r="CTY61" s="1"/>
      <c r="CUB61" s="1"/>
      <c r="CUC61" s="1"/>
      <c r="CUD61" s="1"/>
      <c r="CUE61" s="1"/>
      <c r="CUF61" s="1"/>
      <c r="CUG61" s="1"/>
      <c r="CUJ61" s="1"/>
      <c r="CUK61" s="1"/>
      <c r="CUL61" s="1"/>
      <c r="CUM61" s="1"/>
      <c r="CUN61" s="1"/>
      <c r="CUO61" s="1"/>
      <c r="CUR61" s="1"/>
      <c r="CUS61" s="1"/>
      <c r="CUT61" s="1"/>
      <c r="CUU61" s="1"/>
      <c r="CUV61" s="1"/>
      <c r="CUW61" s="1"/>
      <c r="CUZ61" s="1"/>
      <c r="CVA61" s="1"/>
      <c r="CVB61" s="1"/>
      <c r="CVC61" s="1"/>
      <c r="CVD61" s="1"/>
      <c r="CVE61" s="1"/>
      <c r="CVH61" s="1"/>
      <c r="CVI61" s="1"/>
      <c r="CVJ61" s="1"/>
      <c r="CVK61" s="1"/>
      <c r="CVL61" s="1"/>
      <c r="CVM61" s="1"/>
      <c r="CVP61" s="1"/>
      <c r="CVQ61" s="1"/>
      <c r="CVR61" s="1"/>
      <c r="CVS61" s="1"/>
      <c r="CVT61" s="1"/>
      <c r="CVU61" s="1"/>
      <c r="CVX61" s="1"/>
      <c r="CVY61" s="1"/>
      <c r="CVZ61" s="1"/>
      <c r="CWA61" s="1"/>
      <c r="CWB61" s="1"/>
      <c r="CWC61" s="1"/>
      <c r="CWF61" s="1"/>
      <c r="CWG61" s="1"/>
      <c r="CWH61" s="1"/>
      <c r="CWI61" s="1"/>
      <c r="CWJ61" s="1"/>
      <c r="CWK61" s="1"/>
      <c r="CWN61" s="1"/>
      <c r="CWO61" s="1"/>
      <c r="CWP61" s="1"/>
      <c r="CWQ61" s="1"/>
      <c r="CWR61" s="1"/>
      <c r="CWS61" s="1"/>
      <c r="CWV61" s="1"/>
      <c r="CWW61" s="1"/>
      <c r="CWX61" s="1"/>
      <c r="CWY61" s="1"/>
      <c r="CWZ61" s="1"/>
      <c r="CXA61" s="1"/>
      <c r="CXD61" s="1"/>
      <c r="CXE61" s="1"/>
      <c r="CXF61" s="1"/>
      <c r="CXG61" s="1"/>
      <c r="CXH61" s="1"/>
      <c r="CXI61" s="1"/>
      <c r="CXL61" s="1"/>
      <c r="CXM61" s="1"/>
      <c r="CXN61" s="1"/>
      <c r="CXO61" s="1"/>
      <c r="CXP61" s="1"/>
      <c r="CXQ61" s="1"/>
      <c r="CXT61" s="1"/>
      <c r="CXU61" s="1"/>
      <c r="CXV61" s="1"/>
      <c r="CXW61" s="1"/>
      <c r="CXX61" s="1"/>
      <c r="CXY61" s="1"/>
      <c r="CYB61" s="1"/>
      <c r="CYC61" s="1"/>
      <c r="CYD61" s="1"/>
      <c r="CYE61" s="1"/>
      <c r="CYF61" s="1"/>
      <c r="CYG61" s="1"/>
      <c r="CYJ61" s="1"/>
      <c r="CYK61" s="1"/>
      <c r="CYL61" s="1"/>
      <c r="CYM61" s="1"/>
      <c r="CYN61" s="1"/>
      <c r="CYO61" s="1"/>
      <c r="CYR61" s="1"/>
      <c r="CYS61" s="1"/>
      <c r="CYT61" s="1"/>
      <c r="CYU61" s="1"/>
      <c r="CYV61" s="1"/>
      <c r="CYW61" s="1"/>
      <c r="CYZ61" s="1"/>
      <c r="CZA61" s="1"/>
      <c r="CZB61" s="1"/>
      <c r="CZC61" s="1"/>
      <c r="CZD61" s="1"/>
      <c r="CZE61" s="1"/>
      <c r="CZH61" s="1"/>
      <c r="CZI61" s="1"/>
      <c r="CZJ61" s="1"/>
      <c r="CZK61" s="1"/>
      <c r="CZL61" s="1"/>
      <c r="CZM61" s="1"/>
      <c r="CZP61" s="1"/>
      <c r="CZQ61" s="1"/>
      <c r="CZR61" s="1"/>
      <c r="CZS61" s="1"/>
      <c r="CZT61" s="1"/>
      <c r="CZU61" s="1"/>
      <c r="CZX61" s="1"/>
      <c r="CZY61" s="1"/>
      <c r="CZZ61" s="1"/>
      <c r="DAA61" s="1"/>
      <c r="DAB61" s="1"/>
      <c r="DAC61" s="1"/>
      <c r="DAF61" s="1"/>
      <c r="DAG61" s="1"/>
      <c r="DAH61" s="1"/>
      <c r="DAI61" s="1"/>
      <c r="DAJ61" s="1"/>
      <c r="DAK61" s="1"/>
      <c r="DAN61" s="1"/>
      <c r="DAO61" s="1"/>
      <c r="DAP61" s="1"/>
      <c r="DAQ61" s="1"/>
      <c r="DAR61" s="1"/>
      <c r="DAS61" s="1"/>
      <c r="DAV61" s="1"/>
      <c r="DAW61" s="1"/>
      <c r="DAX61" s="1"/>
      <c r="DAY61" s="1"/>
      <c r="DAZ61" s="1"/>
      <c r="DBA61" s="1"/>
      <c r="DBD61" s="1"/>
      <c r="DBE61" s="1"/>
      <c r="DBF61" s="1"/>
      <c r="DBG61" s="1"/>
      <c r="DBH61" s="1"/>
      <c r="DBI61" s="1"/>
      <c r="DBL61" s="1"/>
      <c r="DBM61" s="1"/>
      <c r="DBN61" s="1"/>
      <c r="DBO61" s="1"/>
      <c r="DBP61" s="1"/>
      <c r="DBQ61" s="1"/>
      <c r="DBT61" s="1"/>
      <c r="DBU61" s="1"/>
      <c r="DBV61" s="1"/>
      <c r="DBW61" s="1"/>
      <c r="DBX61" s="1"/>
      <c r="DBY61" s="1"/>
      <c r="DCB61" s="1"/>
      <c r="DCC61" s="1"/>
      <c r="DCD61" s="1"/>
      <c r="DCE61" s="1"/>
      <c r="DCF61" s="1"/>
      <c r="DCG61" s="1"/>
      <c r="DCJ61" s="1"/>
      <c r="DCK61" s="1"/>
      <c r="DCL61" s="1"/>
      <c r="DCM61" s="1"/>
      <c r="DCN61" s="1"/>
      <c r="DCO61" s="1"/>
      <c r="DCR61" s="1"/>
      <c r="DCS61" s="1"/>
      <c r="DCT61" s="1"/>
      <c r="DCU61" s="1"/>
      <c r="DCV61" s="1"/>
      <c r="DCW61" s="1"/>
      <c r="DCZ61" s="1"/>
      <c r="DDA61" s="1"/>
      <c r="DDB61" s="1"/>
      <c r="DDC61" s="1"/>
      <c r="DDD61" s="1"/>
      <c r="DDE61" s="1"/>
      <c r="DDH61" s="1"/>
      <c r="DDI61" s="1"/>
      <c r="DDJ61" s="1"/>
      <c r="DDK61" s="1"/>
      <c r="DDL61" s="1"/>
      <c r="DDM61" s="1"/>
      <c r="DDP61" s="1"/>
      <c r="DDQ61" s="1"/>
      <c r="DDR61" s="1"/>
      <c r="DDS61" s="1"/>
      <c r="DDT61" s="1"/>
      <c r="DDU61" s="1"/>
      <c r="DDX61" s="1"/>
      <c r="DDY61" s="1"/>
      <c r="DDZ61" s="1"/>
      <c r="DEA61" s="1"/>
      <c r="DEB61" s="1"/>
      <c r="DEC61" s="1"/>
      <c r="DEF61" s="1"/>
      <c r="DEG61" s="1"/>
      <c r="DEH61" s="1"/>
      <c r="DEI61" s="1"/>
      <c r="DEJ61" s="1"/>
      <c r="DEK61" s="1"/>
      <c r="DEN61" s="1"/>
      <c r="DEO61" s="1"/>
      <c r="DEP61" s="1"/>
      <c r="DEQ61" s="1"/>
      <c r="DER61" s="1"/>
      <c r="DES61" s="1"/>
      <c r="DEV61" s="1"/>
      <c r="DEW61" s="1"/>
      <c r="DEX61" s="1"/>
      <c r="DEY61" s="1"/>
      <c r="DEZ61" s="1"/>
      <c r="DFA61" s="1"/>
      <c r="DFD61" s="1"/>
      <c r="DFE61" s="1"/>
      <c r="DFF61" s="1"/>
      <c r="DFG61" s="1"/>
      <c r="DFH61" s="1"/>
      <c r="DFI61" s="1"/>
      <c r="DFL61" s="1"/>
      <c r="DFM61" s="1"/>
      <c r="DFN61" s="1"/>
      <c r="DFO61" s="1"/>
      <c r="DFP61" s="1"/>
      <c r="DFQ61" s="1"/>
      <c r="DFT61" s="1"/>
      <c r="DFU61" s="1"/>
      <c r="DFV61" s="1"/>
      <c r="DFW61" s="1"/>
      <c r="DFX61" s="1"/>
      <c r="DFY61" s="1"/>
      <c r="DGB61" s="1"/>
      <c r="DGC61" s="1"/>
      <c r="DGD61" s="1"/>
      <c r="DGE61" s="1"/>
      <c r="DGF61" s="1"/>
      <c r="DGG61" s="1"/>
      <c r="DGJ61" s="1"/>
      <c r="DGK61" s="1"/>
      <c r="DGL61" s="1"/>
      <c r="DGM61" s="1"/>
      <c r="DGN61" s="1"/>
      <c r="DGO61" s="1"/>
      <c r="DGR61" s="1"/>
      <c r="DGS61" s="1"/>
      <c r="DGT61" s="1"/>
      <c r="DGU61" s="1"/>
      <c r="DGV61" s="1"/>
      <c r="DGW61" s="1"/>
      <c r="DGZ61" s="1"/>
      <c r="DHA61" s="1"/>
      <c r="DHB61" s="1"/>
      <c r="DHC61" s="1"/>
      <c r="DHD61" s="1"/>
      <c r="DHE61" s="1"/>
      <c r="DHH61" s="1"/>
      <c r="DHI61" s="1"/>
      <c r="DHJ61" s="1"/>
      <c r="DHK61" s="1"/>
      <c r="DHL61" s="1"/>
      <c r="DHM61" s="1"/>
      <c r="DHP61" s="1"/>
      <c r="DHQ61" s="1"/>
      <c r="DHR61" s="1"/>
      <c r="DHS61" s="1"/>
      <c r="DHT61" s="1"/>
      <c r="DHU61" s="1"/>
      <c r="DHX61" s="1"/>
      <c r="DHY61" s="1"/>
      <c r="DHZ61" s="1"/>
      <c r="DIA61" s="1"/>
      <c r="DIB61" s="1"/>
      <c r="DIC61" s="1"/>
      <c r="DIF61" s="1"/>
      <c r="DIG61" s="1"/>
      <c r="DIH61" s="1"/>
      <c r="DII61" s="1"/>
      <c r="DIJ61" s="1"/>
      <c r="DIK61" s="1"/>
      <c r="DIN61" s="1"/>
      <c r="DIO61" s="1"/>
      <c r="DIP61" s="1"/>
      <c r="DIQ61" s="1"/>
      <c r="DIR61" s="1"/>
      <c r="DIS61" s="1"/>
      <c r="DIV61" s="1"/>
      <c r="DIW61" s="1"/>
      <c r="DIX61" s="1"/>
      <c r="DIY61" s="1"/>
      <c r="DIZ61" s="1"/>
      <c r="DJA61" s="1"/>
      <c r="DJD61" s="1"/>
      <c r="DJE61" s="1"/>
      <c r="DJF61" s="1"/>
      <c r="DJG61" s="1"/>
      <c r="DJH61" s="1"/>
      <c r="DJI61" s="1"/>
      <c r="DJL61" s="1"/>
      <c r="DJM61" s="1"/>
      <c r="DJN61" s="1"/>
      <c r="DJO61" s="1"/>
      <c r="DJP61" s="1"/>
      <c r="DJQ61" s="1"/>
      <c r="DJT61" s="1"/>
      <c r="DJU61" s="1"/>
      <c r="DJV61" s="1"/>
      <c r="DJW61" s="1"/>
      <c r="DJX61" s="1"/>
      <c r="DJY61" s="1"/>
      <c r="DKB61" s="1"/>
      <c r="DKC61" s="1"/>
      <c r="DKD61" s="1"/>
      <c r="DKE61" s="1"/>
      <c r="DKF61" s="1"/>
      <c r="DKG61" s="1"/>
      <c r="DKJ61" s="1"/>
      <c r="DKK61" s="1"/>
      <c r="DKL61" s="1"/>
      <c r="DKM61" s="1"/>
      <c r="DKN61" s="1"/>
      <c r="DKO61" s="1"/>
      <c r="DKR61" s="1"/>
      <c r="DKS61" s="1"/>
      <c r="DKT61" s="1"/>
      <c r="DKU61" s="1"/>
      <c r="DKV61" s="1"/>
      <c r="DKW61" s="1"/>
      <c r="DKZ61" s="1"/>
      <c r="DLA61" s="1"/>
      <c r="DLB61" s="1"/>
      <c r="DLC61" s="1"/>
      <c r="DLD61" s="1"/>
      <c r="DLE61" s="1"/>
      <c r="DLH61" s="1"/>
      <c r="DLI61" s="1"/>
      <c r="DLJ61" s="1"/>
      <c r="DLK61" s="1"/>
      <c r="DLL61" s="1"/>
      <c r="DLM61" s="1"/>
      <c r="DLP61" s="1"/>
      <c r="DLQ61" s="1"/>
      <c r="DLR61" s="1"/>
      <c r="DLS61" s="1"/>
      <c r="DLT61" s="1"/>
      <c r="DLU61" s="1"/>
      <c r="DLX61" s="1"/>
      <c r="DLY61" s="1"/>
      <c r="DLZ61" s="1"/>
      <c r="DMA61" s="1"/>
      <c r="DMB61" s="1"/>
      <c r="DMC61" s="1"/>
      <c r="DMF61" s="1"/>
      <c r="DMG61" s="1"/>
      <c r="DMH61" s="1"/>
      <c r="DMI61" s="1"/>
      <c r="DMJ61" s="1"/>
      <c r="DMK61" s="1"/>
      <c r="DMN61" s="1"/>
      <c r="DMO61" s="1"/>
      <c r="DMP61" s="1"/>
      <c r="DMQ61" s="1"/>
      <c r="DMR61" s="1"/>
      <c r="DMS61" s="1"/>
      <c r="DMV61" s="1"/>
      <c r="DMW61" s="1"/>
      <c r="DMX61" s="1"/>
      <c r="DMY61" s="1"/>
      <c r="DMZ61" s="1"/>
      <c r="DNA61" s="1"/>
      <c r="DND61" s="1"/>
      <c r="DNE61" s="1"/>
      <c r="DNF61" s="1"/>
      <c r="DNG61" s="1"/>
      <c r="DNH61" s="1"/>
      <c r="DNI61" s="1"/>
      <c r="DNL61" s="1"/>
      <c r="DNM61" s="1"/>
      <c r="DNN61" s="1"/>
      <c r="DNO61" s="1"/>
      <c r="DNP61" s="1"/>
      <c r="DNQ61" s="1"/>
      <c r="DNT61" s="1"/>
      <c r="DNU61" s="1"/>
      <c r="DNV61" s="1"/>
      <c r="DNW61" s="1"/>
      <c r="DNX61" s="1"/>
      <c r="DNY61" s="1"/>
      <c r="DOB61" s="1"/>
      <c r="DOC61" s="1"/>
      <c r="DOD61" s="1"/>
      <c r="DOE61" s="1"/>
      <c r="DOF61" s="1"/>
      <c r="DOG61" s="1"/>
      <c r="DOJ61" s="1"/>
      <c r="DOK61" s="1"/>
      <c r="DOL61" s="1"/>
      <c r="DOM61" s="1"/>
      <c r="DON61" s="1"/>
      <c r="DOO61" s="1"/>
      <c r="DOR61" s="1"/>
      <c r="DOS61" s="1"/>
      <c r="DOT61" s="1"/>
      <c r="DOU61" s="1"/>
      <c r="DOV61" s="1"/>
      <c r="DOW61" s="1"/>
      <c r="DOZ61" s="1"/>
      <c r="DPA61" s="1"/>
      <c r="DPB61" s="1"/>
      <c r="DPC61" s="1"/>
      <c r="DPD61" s="1"/>
      <c r="DPE61" s="1"/>
      <c r="DPF61" s="1"/>
      <c r="DPG61" s="1"/>
      <c r="DPH61" s="1"/>
      <c r="DPI61" s="1"/>
      <c r="DPJ61" s="1"/>
      <c r="DPK61" s="1"/>
      <c r="DPL61" s="1"/>
      <c r="DPM61" s="1"/>
      <c r="DPP61" s="1"/>
      <c r="DPQ61" s="1"/>
      <c r="DPR61" s="1"/>
      <c r="DPS61" s="1"/>
      <c r="DPT61" s="1"/>
      <c r="DPU61" s="1"/>
      <c r="DPX61" s="1"/>
      <c r="DPY61" s="1"/>
      <c r="DPZ61" s="1"/>
      <c r="DQA61" s="1"/>
      <c r="DQB61" s="1"/>
      <c r="DQC61" s="1"/>
      <c r="DQF61" s="1"/>
      <c r="DQG61" s="1"/>
      <c r="DQH61" s="1"/>
      <c r="DQI61" s="1"/>
      <c r="DQJ61" s="1"/>
      <c r="DQK61" s="1"/>
      <c r="DQM61" s="169"/>
      <c r="DQN61" s="1"/>
      <c r="DQO61" s="1"/>
      <c r="DQP61" s="1"/>
      <c r="DQQ61" s="1"/>
      <c r="DQR61" s="1"/>
      <c r="DQS61" s="1"/>
      <c r="DQV61" s="1"/>
      <c r="DQW61" s="1"/>
      <c r="DQX61" s="1"/>
      <c r="DQY61" s="1"/>
      <c r="DQZ61" s="1"/>
      <c r="DRA61" s="1"/>
      <c r="DRD61" s="1"/>
      <c r="DRE61" s="1"/>
      <c r="DRF61" s="1"/>
      <c r="DRG61" s="1"/>
      <c r="DRH61" s="1"/>
      <c r="DRI61" s="1"/>
      <c r="DRL61" s="1"/>
      <c r="DRM61" s="1"/>
      <c r="DRN61" s="1"/>
      <c r="DRO61" s="1"/>
      <c r="DRP61" s="1"/>
      <c r="DRQ61" s="1"/>
      <c r="DRT61" s="1"/>
      <c r="DRU61" s="1"/>
      <c r="DRV61" s="1"/>
      <c r="DRW61" s="1"/>
      <c r="DRX61" s="1"/>
      <c r="DRY61" s="1"/>
      <c r="DSB61" s="77"/>
      <c r="DSC61" s="77"/>
      <c r="DSD61" s="77"/>
      <c r="DSE61" s="77"/>
      <c r="DSF61" s="77"/>
      <c r="DSG61" s="77"/>
      <c r="DSJ61" s="1"/>
      <c r="DSK61" s="1"/>
      <c r="DSL61" s="1"/>
      <c r="DSM61" s="1"/>
      <c r="DSN61" s="1"/>
      <c r="DSO61" s="1"/>
      <c r="DSR61" s="1"/>
      <c r="DSS61" s="1"/>
      <c r="DST61" s="1"/>
      <c r="DSU61" s="1"/>
      <c r="DSV61" s="1"/>
      <c r="DSW61" s="1"/>
      <c r="DSZ61" s="1"/>
      <c r="DTA61" s="1"/>
      <c r="DTB61" s="1"/>
      <c r="DTC61" s="1"/>
      <c r="DTD61" s="1"/>
      <c r="DTE61" s="1"/>
      <c r="DTH61" s="1"/>
      <c r="DTI61" s="1"/>
      <c r="DTJ61" s="1"/>
      <c r="DTK61" s="1"/>
      <c r="DTL61" s="1"/>
      <c r="DTM61" s="1"/>
      <c r="DTP61" s="1"/>
      <c r="DTQ61" s="1"/>
      <c r="DTR61" s="1"/>
      <c r="DTS61" s="1"/>
      <c r="DTT61" s="1"/>
      <c r="DTU61" s="1"/>
      <c r="DTX61" s="1"/>
      <c r="DTY61" s="1"/>
      <c r="DTZ61" s="1"/>
      <c r="DUA61" s="1"/>
      <c r="DUB61" s="1"/>
      <c r="DUC61" s="1"/>
      <c r="DUF61" s="1"/>
      <c r="DUG61" s="1"/>
      <c r="DUH61" s="1"/>
      <c r="DUI61" s="1"/>
      <c r="DUJ61" s="1"/>
      <c r="DUK61" s="1"/>
      <c r="DUN61" s="1"/>
      <c r="DUO61" s="1"/>
      <c r="DUP61" s="1"/>
      <c r="DUQ61" s="1"/>
      <c r="DUR61" s="1"/>
      <c r="DUS61" s="1"/>
      <c r="DUV61" s="1"/>
      <c r="DUW61" s="1"/>
      <c r="DUX61" s="1"/>
      <c r="DUY61" s="1"/>
      <c r="DUZ61" s="1"/>
      <c r="DVA61" s="1"/>
      <c r="DVD61" s="1"/>
      <c r="DVE61" s="1"/>
      <c r="DVF61" s="1"/>
      <c r="DVG61" s="1"/>
      <c r="DVH61" s="1"/>
      <c r="DVI61" s="1"/>
      <c r="DVL61" s="1"/>
      <c r="DVM61" s="1"/>
      <c r="DVN61" s="1"/>
      <c r="DVO61" s="1"/>
      <c r="DVP61" s="1"/>
      <c r="DVQ61" s="1"/>
      <c r="DVT61" s="1"/>
      <c r="DVU61" s="1"/>
      <c r="DVV61" s="1"/>
      <c r="DVW61" s="1"/>
      <c r="DVX61" s="1"/>
      <c r="DVY61" s="1"/>
      <c r="DWB61" s="1"/>
      <c r="DWC61" s="1"/>
      <c r="DWD61" s="1"/>
      <c r="DWE61" s="1"/>
      <c r="DWF61" s="1"/>
      <c r="DWG61" s="1"/>
      <c r="DWJ61" s="1"/>
      <c r="DWK61" s="1"/>
      <c r="DWL61" s="1"/>
      <c r="DWM61" s="1"/>
      <c r="DWN61" s="1"/>
      <c r="DWO61" s="1"/>
      <c r="DWR61" s="1"/>
      <c r="DWS61" s="1"/>
      <c r="DWT61" s="1"/>
      <c r="DWU61" s="1"/>
      <c r="DWV61" s="1"/>
      <c r="DWW61" s="1"/>
      <c r="DWZ61" s="1"/>
      <c r="DXA61" s="1"/>
      <c r="DXB61" s="1"/>
      <c r="DXC61" s="1"/>
      <c r="DXD61" s="1"/>
      <c r="DXE61" s="1"/>
      <c r="DXH61" s="1"/>
      <c r="DXI61" s="1"/>
      <c r="DXJ61" s="1"/>
      <c r="DXK61" s="1"/>
      <c r="DXL61" s="1"/>
      <c r="DXM61" s="1"/>
      <c r="DXP61" s="1"/>
      <c r="DXQ61" s="1"/>
      <c r="DXR61" s="1"/>
      <c r="DXS61" s="1"/>
      <c r="DXT61" s="1"/>
      <c r="DXU61" s="1"/>
      <c r="DXX61" s="1"/>
      <c r="DXY61" s="1"/>
      <c r="DXZ61" s="1"/>
      <c r="DYA61" s="1"/>
      <c r="DYB61" s="1"/>
      <c r="DYC61" s="1"/>
      <c r="DYF61" s="1"/>
      <c r="DYG61" s="1"/>
      <c r="DYH61" s="1"/>
      <c r="DYI61" s="1"/>
      <c r="DYJ61" s="1"/>
      <c r="DYK61" s="1"/>
      <c r="DYN61" s="1"/>
      <c r="DYO61" s="1"/>
      <c r="DYP61" s="1"/>
      <c r="DYQ61" s="1"/>
      <c r="DYR61" s="1"/>
      <c r="DYS61" s="1"/>
      <c r="DYV61" s="1"/>
      <c r="DYW61" s="1"/>
      <c r="DYX61" s="1"/>
      <c r="DYY61" s="1"/>
      <c r="DYZ61" s="1"/>
      <c r="DZA61" s="1"/>
      <c r="DZD61" s="1"/>
      <c r="DZE61" s="1"/>
      <c r="DZF61" s="1"/>
      <c r="DZG61" s="1"/>
      <c r="DZH61" s="1"/>
      <c r="DZI61" s="1"/>
      <c r="DZL61" s="1"/>
      <c r="DZM61" s="1"/>
      <c r="DZN61" s="1"/>
      <c r="DZO61" s="1"/>
      <c r="DZP61" s="1"/>
      <c r="DZQ61" s="1"/>
      <c r="DZT61" s="1"/>
      <c r="DZU61" s="1"/>
      <c r="DZV61" s="1"/>
      <c r="DZW61" s="1"/>
      <c r="DZX61" s="1"/>
      <c r="DZY61" s="1"/>
      <c r="EAB61" s="1"/>
      <c r="EAC61" s="1"/>
      <c r="EAD61" s="1"/>
      <c r="EAE61" s="1"/>
      <c r="EAF61" s="1"/>
      <c r="EAG61" s="1"/>
      <c r="EAJ61" s="1"/>
      <c r="EAK61" s="1"/>
      <c r="EAL61" s="1"/>
      <c r="EAM61" s="1"/>
      <c r="EAN61" s="1"/>
      <c r="EAO61" s="1"/>
      <c r="EAR61" s="1"/>
      <c r="EAS61" s="1"/>
      <c r="EAT61" s="1"/>
      <c r="EAU61" s="1"/>
      <c r="EAV61" s="1"/>
      <c r="EAW61" s="1"/>
      <c r="EAZ61" s="1"/>
      <c r="EBA61" s="1"/>
      <c r="EBB61" s="1"/>
      <c r="EBC61" s="1"/>
      <c r="EBD61" s="1"/>
      <c r="EBE61" s="1"/>
      <c r="EBH61" s="1"/>
      <c r="EBI61" s="1"/>
      <c r="EBJ61" s="1"/>
      <c r="EBK61" s="1"/>
      <c r="EBL61" s="1"/>
      <c r="EBM61" s="1"/>
      <c r="EBP61" s="1"/>
      <c r="EBQ61" s="1"/>
      <c r="EBR61" s="1"/>
      <c r="EBS61" s="1"/>
      <c r="EBT61" s="1"/>
      <c r="EBU61" s="1"/>
      <c r="EBX61" s="1"/>
      <c r="EBY61" s="1"/>
      <c r="EBZ61" s="1"/>
      <c r="ECA61" s="1"/>
      <c r="ECB61" s="1"/>
      <c r="ECC61" s="1"/>
      <c r="ECF61" s="1"/>
      <c r="ECG61" s="1"/>
      <c r="ECH61" s="1"/>
      <c r="ECI61" s="1"/>
      <c r="ECJ61" s="1"/>
      <c r="ECK61" s="1"/>
      <c r="ECN61" s="1"/>
      <c r="ECO61" s="1"/>
      <c r="ECP61" s="1"/>
      <c r="ECQ61" s="1"/>
      <c r="ECR61" s="1"/>
      <c r="ECS61" s="1"/>
      <c r="ECV61" s="1"/>
      <c r="ECW61" s="1"/>
      <c r="ECX61" s="1"/>
      <c r="ECY61" s="1"/>
      <c r="ECZ61" s="1"/>
      <c r="EDA61" s="1"/>
      <c r="EDD61" s="1"/>
      <c r="EDE61" s="1"/>
      <c r="EDF61" s="1"/>
      <c r="EDG61" s="1"/>
      <c r="EDH61" s="1"/>
      <c r="EDI61" s="1"/>
      <c r="EDL61" s="1"/>
      <c r="EDM61" s="1"/>
      <c r="EDN61" s="1"/>
      <c r="EDO61" s="1"/>
      <c r="EDP61" s="1"/>
      <c r="EDQ61" s="1"/>
      <c r="EDT61" s="1"/>
      <c r="EDU61" s="1"/>
      <c r="EDV61" s="1"/>
      <c r="EDW61" s="1"/>
      <c r="EDX61" s="1"/>
      <c r="EDY61" s="1"/>
      <c r="EEB61" s="1"/>
      <c r="EEC61" s="1"/>
      <c r="EED61" s="1"/>
      <c r="EEE61" s="1"/>
      <c r="EEF61" s="1"/>
      <c r="EEG61" s="1"/>
      <c r="EEJ61" s="1"/>
      <c r="EEK61" s="1"/>
      <c r="EEL61" s="1"/>
      <c r="EEM61" s="1"/>
      <c r="EEN61" s="1"/>
      <c r="EEO61" s="1"/>
      <c r="EER61" s="1"/>
      <c r="EES61" s="1"/>
      <c r="EET61" s="1"/>
      <c r="EEU61" s="1"/>
      <c r="EEV61" s="1"/>
      <c r="EEW61" s="1"/>
      <c r="EEZ61" s="1"/>
      <c r="EFA61" s="1"/>
      <c r="EFB61" s="1"/>
      <c r="EFC61" s="1"/>
      <c r="EFD61" s="1"/>
      <c r="EFE61" s="1"/>
      <c r="EFH61" s="1"/>
      <c r="EFI61" s="1"/>
      <c r="EFJ61" s="1"/>
      <c r="EFK61" s="1"/>
      <c r="EFL61" s="1"/>
      <c r="EFM61" s="1"/>
      <c r="EFP61" s="1"/>
      <c r="EFQ61" s="1"/>
      <c r="EFR61" s="1"/>
      <c r="EFS61" s="1"/>
      <c r="EFT61" s="1"/>
      <c r="EFU61" s="1"/>
      <c r="EFX61" s="1"/>
      <c r="EFY61" s="1"/>
      <c r="EFZ61" s="1"/>
      <c r="EGA61" s="1"/>
      <c r="EGB61" s="1"/>
      <c r="EGC61" s="1"/>
      <c r="EGF61" s="1"/>
      <c r="EGG61" s="1"/>
      <c r="EGH61" s="1"/>
      <c r="EGI61" s="1"/>
      <c r="EGJ61" s="1"/>
      <c r="EGK61" s="1"/>
      <c r="EGN61" s="1"/>
      <c r="EGO61" s="1"/>
      <c r="EGP61" s="1"/>
      <c r="EGQ61" s="1"/>
      <c r="EGR61" s="1"/>
      <c r="EGS61" s="1"/>
      <c r="EGV61" s="1"/>
      <c r="EGW61" s="1"/>
      <c r="EGX61" s="1"/>
      <c r="EGY61" s="1"/>
      <c r="EGZ61" s="1"/>
      <c r="EHA61" s="1"/>
      <c r="EHD61" s="1"/>
      <c r="EHE61" s="1"/>
      <c r="EHF61" s="1"/>
      <c r="EHG61" s="1"/>
      <c r="EHH61" s="1"/>
      <c r="EHI61" s="1"/>
      <c r="EHL61" s="1"/>
      <c r="EHM61" s="1"/>
      <c r="EHN61" s="1"/>
      <c r="EHO61" s="1"/>
      <c r="EHP61" s="1"/>
      <c r="EHQ61" s="1"/>
      <c r="EHT61" s="1"/>
      <c r="EHU61" s="1"/>
      <c r="EHV61" s="1"/>
      <c r="EHW61" s="1"/>
      <c r="EHX61" s="1"/>
      <c r="EHY61" s="1"/>
      <c r="EIB61" s="1"/>
      <c r="EIC61" s="1"/>
      <c r="EID61" s="1"/>
      <c r="EIE61" s="1"/>
      <c r="EIF61" s="1"/>
      <c r="EIG61" s="1"/>
      <c r="EIH61" s="1"/>
      <c r="EIJ61" s="1"/>
      <c r="EIK61" s="1"/>
      <c r="EIL61" s="1"/>
      <c r="EIM61" s="1"/>
      <c r="EIN61" s="1"/>
      <c r="EIO61" s="1"/>
      <c r="EIR61" s="1"/>
      <c r="EIS61" s="1"/>
      <c r="EIT61" s="1"/>
      <c r="EIU61" s="1"/>
      <c r="EIV61" s="1"/>
      <c r="EIW61" s="1"/>
      <c r="EIZ61" s="1"/>
      <c r="EJA61" s="1"/>
      <c r="EJB61" s="1"/>
      <c r="EJC61" s="1"/>
      <c r="EJD61" s="1"/>
      <c r="EJE61" s="1"/>
      <c r="EJH61" s="1"/>
      <c r="EJI61" s="1"/>
      <c r="EJJ61" s="1"/>
      <c r="EJK61" s="1"/>
      <c r="EJL61" s="1"/>
      <c r="EJM61" s="1"/>
      <c r="EJP61" s="1"/>
      <c r="EJQ61" s="1"/>
      <c r="EJR61" s="1"/>
      <c r="EJS61" s="1"/>
      <c r="EJT61" s="1"/>
      <c r="EJU61" s="1"/>
      <c r="EJX61" s="1"/>
      <c r="EJY61" s="1"/>
      <c r="EJZ61" s="1"/>
      <c r="EKA61" s="1"/>
      <c r="EKB61" s="1"/>
      <c r="EKC61" s="1"/>
      <c r="EKF61" s="1"/>
      <c r="EKG61" s="1"/>
      <c r="EKH61" s="1"/>
      <c r="EKI61" s="1"/>
      <c r="EKJ61" s="1"/>
      <c r="EKK61" s="1"/>
      <c r="EKN61" s="1"/>
      <c r="EKO61" s="1"/>
      <c r="EKP61" s="1"/>
      <c r="EKQ61" s="1"/>
      <c r="EKR61" s="1"/>
      <c r="EKS61" s="1"/>
      <c r="EKV61" s="663"/>
      <c r="EKW61" s="1"/>
      <c r="EKX61" s="1"/>
      <c r="EKY61" s="1"/>
      <c r="EKZ61" s="1"/>
      <c r="ELA61" s="1"/>
      <c r="ELB61" s="1"/>
      <c r="ELE61" s="1"/>
      <c r="ELF61" s="1"/>
      <c r="ELG61" s="1"/>
      <c r="ELH61" s="1"/>
      <c r="ELI61" s="1"/>
      <c r="ELJ61" s="1"/>
      <c r="ELM61" s="1"/>
      <c r="ELN61" s="1"/>
      <c r="ELO61" s="1"/>
      <c r="ELP61" s="1"/>
      <c r="ELQ61" s="1"/>
      <c r="ELR61" s="1"/>
      <c r="ELU61" s="1"/>
      <c r="ELV61" s="1"/>
      <c r="ELW61" s="1"/>
      <c r="ELX61" s="1"/>
      <c r="ELY61" s="1"/>
      <c r="ELZ61" s="1"/>
      <c r="EMC61" s="1"/>
      <c r="EMD61" s="1"/>
      <c r="EME61" s="1"/>
      <c r="EMF61" s="1"/>
      <c r="EMG61" s="1"/>
      <c r="EMH61" s="1"/>
      <c r="EMK61" s="1"/>
      <c r="EML61" s="1"/>
      <c r="EMM61" s="1"/>
      <c r="EMN61" s="1"/>
      <c r="EMO61" s="1"/>
      <c r="EMP61" s="1"/>
      <c r="EMS61" s="1"/>
      <c r="EMT61" s="1"/>
      <c r="EMU61" s="1"/>
      <c r="EMV61" s="1"/>
      <c r="EMW61" s="1"/>
      <c r="EMX61" s="1"/>
      <c r="ENA61" s="1"/>
      <c r="ENB61" s="1"/>
      <c r="ENC61" s="1"/>
      <c r="END61" s="1"/>
      <c r="ENE61" s="1"/>
      <c r="ENF61" s="1"/>
      <c r="ENI61" s="1"/>
      <c r="ENJ61" s="1"/>
      <c r="ENK61" s="1"/>
      <c r="ENL61" s="1"/>
      <c r="ENM61" s="1"/>
      <c r="ENN61" s="1"/>
      <c r="ENQ61" s="1"/>
      <c r="ENR61" s="1"/>
      <c r="ENS61" s="1"/>
      <c r="ENT61" s="1"/>
      <c r="ENU61" s="1"/>
      <c r="ENV61" s="1"/>
      <c r="ENY61" s="1"/>
      <c r="ENZ61" s="1"/>
      <c r="EOA61" s="1"/>
      <c r="EOB61" s="1"/>
      <c r="EOC61" s="1"/>
      <c r="EOD61" s="1"/>
      <c r="EOG61" s="1"/>
      <c r="EOH61" s="1"/>
      <c r="EOI61" s="1"/>
      <c r="EOJ61" s="1"/>
      <c r="EOK61" s="1"/>
      <c r="EOL61" s="1"/>
      <c r="EOM61" s="1"/>
      <c r="EOO61" s="1"/>
      <c r="EOP61" s="1"/>
      <c r="EOQ61" s="1"/>
      <c r="EOR61" s="1"/>
      <c r="EOS61" s="1"/>
      <c r="EOT61" s="1"/>
      <c r="EOW61" s="1"/>
      <c r="EOX61" s="1"/>
      <c r="EOY61" s="1"/>
      <c r="EOZ61" s="1"/>
      <c r="EPA61" s="1"/>
      <c r="EPB61" s="1"/>
      <c r="EPE61" s="1"/>
      <c r="EPF61" s="1"/>
      <c r="EPG61" s="1"/>
      <c r="EPH61" s="1"/>
      <c r="EPI61" s="1"/>
      <c r="EPJ61" s="1"/>
      <c r="EPM61" s="1"/>
      <c r="EPN61" s="1"/>
      <c r="EPO61" s="1"/>
      <c r="EPP61" s="1"/>
      <c r="EPQ61" s="1"/>
      <c r="EPR61" s="1"/>
      <c r="EPU61" s="1"/>
      <c r="EPV61" s="1"/>
      <c r="EPW61" s="1"/>
      <c r="EPX61" s="1"/>
      <c r="EPY61" s="1"/>
      <c r="EPZ61" s="1"/>
      <c r="EQC61" s="1"/>
      <c r="EQD61" s="1"/>
      <c r="EQE61" s="1"/>
      <c r="EQF61" s="1"/>
      <c r="EQG61" s="1"/>
      <c r="EQH61" s="1"/>
      <c r="EQK61" s="1"/>
      <c r="EQL61" s="1"/>
      <c r="EQM61" s="1"/>
      <c r="EQN61" s="1"/>
      <c r="EQO61" s="1"/>
      <c r="EQP61" s="1"/>
      <c r="EQS61" s="1"/>
      <c r="EQT61" s="1"/>
      <c r="EQU61" s="1"/>
      <c r="EQV61" s="1"/>
      <c r="EQW61" s="1"/>
      <c r="EQX61" s="1"/>
      <c r="ERA61" s="1"/>
      <c r="ERB61" s="1"/>
      <c r="ERC61" s="1"/>
      <c r="ERD61" s="1"/>
      <c r="ERE61" s="1"/>
      <c r="ERF61" s="1"/>
      <c r="ERI61" s="1"/>
      <c r="ERJ61" s="1"/>
      <c r="ERK61" s="1"/>
      <c r="ERL61" s="1"/>
      <c r="ERM61" s="1"/>
      <c r="ERN61" s="1"/>
      <c r="ERQ61" s="1"/>
      <c r="ERR61" s="1"/>
      <c r="ERS61" s="1"/>
      <c r="ERT61" s="1"/>
      <c r="ERU61" s="1"/>
      <c r="ERV61" s="1"/>
      <c r="ERY61" s="1"/>
      <c r="ERZ61" s="1"/>
      <c r="ESA61" s="1"/>
      <c r="ESB61" s="1"/>
      <c r="ESC61" s="1"/>
      <c r="ESD61" s="1"/>
      <c r="ESG61" s="1"/>
      <c r="ESH61" s="1"/>
      <c r="ESI61" s="1"/>
      <c r="ESJ61" s="1"/>
      <c r="ESK61" s="1"/>
      <c r="ESL61" s="1"/>
      <c r="ESO61" s="77"/>
      <c r="ESP61" s="77"/>
      <c r="ESQ61" s="77"/>
      <c r="ESR61" s="77"/>
      <c r="ESS61" s="77"/>
      <c r="EST61" s="77"/>
      <c r="ESW61" s="1"/>
      <c r="ESX61" s="1"/>
      <c r="ESY61" s="1"/>
      <c r="ESZ61" s="1"/>
      <c r="ETA61" s="1"/>
      <c r="ETB61" s="1"/>
      <c r="ETE61" s="1"/>
      <c r="ETF61" s="1"/>
      <c r="ETG61" s="1"/>
      <c r="ETH61" s="1"/>
      <c r="ETI61" s="1"/>
      <c r="ETJ61" s="1"/>
      <c r="ETM61" s="833"/>
      <c r="ETN61" s="833"/>
      <c r="ETO61" s="833"/>
      <c r="ETP61" s="833"/>
      <c r="ETQ61" s="833"/>
      <c r="ETR61" s="833"/>
      <c r="ETU61" s="77"/>
      <c r="ETV61" s="77"/>
      <c r="ETW61" s="77"/>
      <c r="ETX61" s="77"/>
      <c r="ETY61" s="77"/>
      <c r="ETZ61" s="77"/>
      <c r="EUC61" s="77"/>
      <c r="EUD61" s="77"/>
      <c r="EUE61" s="77"/>
      <c r="EUF61" s="77"/>
      <c r="EUG61" s="77"/>
      <c r="EUH61" s="77"/>
      <c r="EUK61" s="1"/>
      <c r="EUL61" s="1"/>
      <c r="EUM61" s="1"/>
      <c r="EUN61" s="1"/>
      <c r="EUO61" s="1"/>
      <c r="EUP61" s="1"/>
      <c r="EUS61" s="1"/>
      <c r="EUT61" s="1"/>
      <c r="EUU61" s="1"/>
      <c r="EUV61" s="1"/>
      <c r="EUW61" s="1"/>
      <c r="EUX61" s="1"/>
      <c r="EVA61" s="1"/>
      <c r="EVB61" s="1"/>
      <c r="EVC61" s="1"/>
      <c r="EVD61" s="1"/>
      <c r="EVE61" s="1"/>
      <c r="EVF61" s="1"/>
      <c r="EVI61" s="1"/>
      <c r="EVJ61" s="1"/>
      <c r="EVK61" s="1"/>
      <c r="EVL61" s="1"/>
      <c r="EVM61" s="1"/>
      <c r="EVN61" s="1"/>
      <c r="EVQ61" s="1"/>
      <c r="EVR61" s="1"/>
      <c r="EVS61" s="1"/>
      <c r="EVT61" s="1"/>
      <c r="EVU61" s="1"/>
      <c r="EVV61" s="1"/>
      <c r="EVY61" s="1"/>
      <c r="EVZ61" s="1"/>
      <c r="EWA61" s="1"/>
      <c r="EWB61" s="1"/>
      <c r="EWC61" s="1"/>
      <c r="EWD61" s="1"/>
      <c r="EWG61" s="1"/>
      <c r="EWH61" s="1"/>
      <c r="EWI61" s="1"/>
      <c r="EWJ61" s="1"/>
      <c r="EWK61" s="1"/>
      <c r="EWL61" s="1"/>
      <c r="EWO61" s="1"/>
      <c r="EWP61" s="1"/>
      <c r="EWQ61" s="1"/>
      <c r="EWR61" s="1"/>
      <c r="EWS61" s="1"/>
      <c r="EWT61" s="1"/>
      <c r="EWW61" s="1"/>
      <c r="EWX61" s="1"/>
      <c r="EWY61" s="1"/>
      <c r="EWZ61" s="1"/>
      <c r="EXA61" s="1"/>
      <c r="EXB61" s="1"/>
      <c r="EXE61" s="1"/>
      <c r="EXF61" s="1"/>
      <c r="EXG61" s="1"/>
      <c r="EXH61" s="1"/>
      <c r="EXI61" s="1"/>
      <c r="EXJ61" s="1"/>
      <c r="EXM61" s="77"/>
      <c r="EXN61" s="77"/>
      <c r="EXO61" s="77"/>
      <c r="EXP61" s="77"/>
      <c r="EXQ61" s="77"/>
      <c r="EXR61" s="77"/>
      <c r="EXU61" s="1"/>
      <c r="EXV61" s="1"/>
      <c r="EXW61" s="1"/>
      <c r="EXX61" s="1"/>
      <c r="EXY61" s="1"/>
      <c r="EXZ61" s="1"/>
      <c r="EYC61" s="1"/>
      <c r="EYD61" s="1"/>
      <c r="EYE61" s="1"/>
      <c r="EYF61" s="1"/>
      <c r="EYG61" s="1"/>
      <c r="EYH61" s="1"/>
      <c r="EYK61" s="1"/>
      <c r="EYL61" s="1"/>
      <c r="EYM61" s="1"/>
      <c r="EYN61" s="1"/>
      <c r="EYO61" s="1"/>
      <c r="EYP61" s="1"/>
      <c r="EYS61" s="1"/>
      <c r="EYT61" s="1"/>
      <c r="EYU61" s="1"/>
      <c r="EYV61" s="1"/>
      <c r="EYW61" s="1"/>
      <c r="EYX61" s="1"/>
      <c r="EZA61" s="1"/>
      <c r="EZB61" s="1"/>
      <c r="EZC61" s="1"/>
      <c r="EZD61" s="1"/>
      <c r="EZE61" s="1"/>
      <c r="EZF61" s="1"/>
      <c r="EZI61" s="1"/>
      <c r="EZJ61" s="1"/>
      <c r="EZK61" s="1"/>
      <c r="EZL61" s="1"/>
      <c r="EZM61" s="1"/>
      <c r="EZN61" s="1"/>
    </row>
    <row r="62" spans="1:4072" x14ac:dyDescent="0.2">
      <c r="A62" s="12" t="s">
        <v>25</v>
      </c>
      <c r="B62" s="12"/>
      <c r="C62" s="25"/>
      <c r="X62" s="2"/>
    </row>
    <row r="63" spans="1:4072" ht="12" customHeight="1" x14ac:dyDescent="0.2">
      <c r="A63" s="306" t="s">
        <v>267</v>
      </c>
      <c r="B63" s="306"/>
      <c r="C63" s="25"/>
      <c r="X63" s="2"/>
      <c r="Y63" s="2"/>
      <c r="Z63" s="2"/>
      <c r="AA63" s="2"/>
      <c r="AB63" s="2"/>
      <c r="AC63" s="656"/>
    </row>
    <row r="64" spans="1:4072" x14ac:dyDescent="0.2">
      <c r="A64" s="306" t="s">
        <v>268</v>
      </c>
      <c r="B64" s="306"/>
      <c r="C64" s="25"/>
      <c r="X64" s="2"/>
      <c r="Y64" s="2"/>
      <c r="Z64" s="2"/>
      <c r="AA64" s="2"/>
      <c r="AB64" s="10"/>
      <c r="AC64" s="654"/>
    </row>
    <row r="66" spans="3:8" x14ac:dyDescent="0.2">
      <c r="C66" s="2"/>
      <c r="G66" s="10"/>
      <c r="H66" s="208"/>
    </row>
    <row r="67" spans="3:8" x14ac:dyDescent="0.2">
      <c r="G67" s="10"/>
      <c r="H67" s="208"/>
    </row>
    <row r="68" spans="3:8" x14ac:dyDescent="0.2">
      <c r="F68" s="448"/>
    </row>
    <row r="69" spans="3:8" x14ac:dyDescent="0.2">
      <c r="F69" s="448"/>
    </row>
    <row r="70" spans="3:8" x14ac:dyDescent="0.2">
      <c r="F70" s="448"/>
    </row>
    <row r="71" spans="3:8" x14ac:dyDescent="0.2">
      <c r="F71" s="448"/>
    </row>
    <row r="72" spans="3:8" x14ac:dyDescent="0.2">
      <c r="F72" s="448"/>
    </row>
    <row r="73" spans="3:8" x14ac:dyDescent="0.2">
      <c r="F73" s="448"/>
    </row>
  </sheetData>
  <mergeCells count="59">
    <mergeCell ref="AC4:AC6"/>
    <mergeCell ref="AC27:AC29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  <mergeCell ref="A4:M4"/>
    <mergeCell ref="O5:O6"/>
    <mergeCell ref="A22:C22"/>
    <mergeCell ref="C5:C6"/>
    <mergeCell ref="D5:D6"/>
    <mergeCell ref="G28:H28"/>
    <mergeCell ref="I5:J5"/>
    <mergeCell ref="E5:F5"/>
    <mergeCell ref="G5:H5"/>
    <mergeCell ref="A27:M27"/>
    <mergeCell ref="B5:B6"/>
    <mergeCell ref="B28:B29"/>
    <mergeCell ref="E28:F28"/>
    <mergeCell ref="R5:R6"/>
    <mergeCell ref="I28:J28"/>
    <mergeCell ref="K5:M5"/>
    <mergeCell ref="Y5:Y6"/>
    <mergeCell ref="X27:X29"/>
    <mergeCell ref="P5:P6"/>
    <mergeCell ref="T5:T6"/>
    <mergeCell ref="P27:T27"/>
    <mergeCell ref="P28:P29"/>
    <mergeCell ref="R28:R29"/>
    <mergeCell ref="T28:T29"/>
    <mergeCell ref="N5:N6"/>
    <mergeCell ref="O28:O29"/>
    <mergeCell ref="N28:N29"/>
    <mergeCell ref="A60:C61"/>
    <mergeCell ref="A2:X2"/>
    <mergeCell ref="Q28:Q29"/>
    <mergeCell ref="Y27:AB27"/>
    <mergeCell ref="A28:A29"/>
    <mergeCell ref="C28:C29"/>
    <mergeCell ref="D28:D29"/>
    <mergeCell ref="K28:M28"/>
    <mergeCell ref="Y28:Y29"/>
    <mergeCell ref="Z28:Z29"/>
    <mergeCell ref="AA28:AA29"/>
    <mergeCell ref="N27:O27"/>
    <mergeCell ref="U27:U29"/>
    <mergeCell ref="V27:V29"/>
    <mergeCell ref="W27:W29"/>
    <mergeCell ref="AB28:AB29"/>
  </mergeCells>
  <phoneticPr fontId="50" type="noConversion"/>
  <conditionalFormatting sqref="Q7:Q21 Q30:Q59">
    <cfRule type="cellIs" dxfId="24" priority="14" operator="greaterThan">
      <formula>25</formula>
    </cfRule>
    <cfRule type="cellIs" dxfId="23" priority="15" operator="lessThan">
      <formula>15</formula>
    </cfRule>
    <cfRule type="cellIs" dxfId="22" priority="16" operator="between">
      <formula>15</formula>
      <formula>25</formula>
    </cfRule>
  </conditionalFormatting>
  <conditionalFormatting sqref="T7:T21 T30:T59">
    <cfRule type="cellIs" dxfId="21" priority="23" operator="between">
      <formula>25</formula>
      <formula>27</formula>
    </cfRule>
    <cfRule type="cellIs" dxfId="20" priority="24" operator="lessThan">
      <formula>25</formula>
    </cfRule>
    <cfRule type="cellIs" dxfId="19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MP47"/>
  <sheetViews>
    <sheetView zoomScaleNormal="100" workbookViewId="0">
      <pane xSplit="4" ySplit="1" topLeftCell="E4" activePane="bottomRight" state="frozen"/>
      <selection pane="topRight" activeCell="D1" sqref="D1"/>
      <selection pane="bottomLeft" activeCell="A2" sqref="A2"/>
      <selection pane="bottomRight" activeCell="I18" sqref="I18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customWidth="1"/>
    <col min="3733" max="3734" width="6.7109375" style="1" customWidth="1"/>
    <col min="3735" max="16384" width="9.140625" style="1"/>
  </cols>
  <sheetData>
    <row r="1" spans="1:3734" ht="18.75" x14ac:dyDescent="0.2">
      <c r="A1" s="978" t="s">
        <v>0</v>
      </c>
      <c r="B1" s="978"/>
      <c r="C1" s="978"/>
      <c r="D1" s="978"/>
      <c r="E1" s="978"/>
      <c r="F1" s="978"/>
      <c r="G1" s="978"/>
      <c r="H1" s="978"/>
      <c r="I1" s="978"/>
      <c r="J1" s="978"/>
      <c r="K1" s="978"/>
      <c r="L1" s="978"/>
      <c r="M1" s="978"/>
      <c r="N1" s="978"/>
      <c r="O1" s="978"/>
      <c r="P1" s="978"/>
      <c r="Q1" s="978"/>
      <c r="R1" s="978"/>
      <c r="S1" s="978"/>
      <c r="T1" s="978"/>
      <c r="U1" s="978"/>
      <c r="V1" s="978"/>
      <c r="W1" s="978"/>
      <c r="X1" s="978"/>
      <c r="Y1" s="978"/>
      <c r="Z1" s="978"/>
      <c r="AA1" s="978"/>
      <c r="AB1" s="978"/>
      <c r="AC1" s="20"/>
    </row>
    <row r="2" spans="1:3734" ht="18.75" x14ac:dyDescent="0.2">
      <c r="A2" s="978" t="s">
        <v>229</v>
      </c>
      <c r="B2" s="978"/>
      <c r="C2" s="978"/>
      <c r="D2" s="978"/>
      <c r="E2" s="978"/>
      <c r="F2" s="978"/>
      <c r="G2" s="978"/>
      <c r="H2" s="978"/>
      <c r="I2" s="978"/>
      <c r="J2" s="978"/>
      <c r="K2" s="978"/>
      <c r="L2" s="978"/>
      <c r="M2" s="978"/>
      <c r="N2" s="978"/>
      <c r="O2" s="978"/>
      <c r="P2" s="978"/>
      <c r="Q2" s="978"/>
      <c r="R2" s="978"/>
      <c r="S2" s="978"/>
      <c r="T2" s="978"/>
      <c r="U2" s="978"/>
      <c r="V2" s="978"/>
      <c r="W2" s="978"/>
      <c r="X2" s="978"/>
      <c r="Y2" s="20"/>
      <c r="Z2" s="20"/>
      <c r="AA2" s="20"/>
      <c r="AB2" s="20"/>
      <c r="AC2" s="20"/>
    </row>
    <row r="3" spans="1:3734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54" t="str">
        <f>HIGRO!X8</f>
        <v>Date(Ngày): 03/05/2026</v>
      </c>
      <c r="X3" s="954"/>
      <c r="Y3" s="20"/>
      <c r="Z3" s="20"/>
      <c r="AB3" s="3"/>
      <c r="AC3" s="4"/>
    </row>
    <row r="4" spans="1:3734" s="5" customFormat="1" ht="24" customHeight="1" thickBot="1" x14ac:dyDescent="0.25">
      <c r="A4" s="1016" t="s">
        <v>271</v>
      </c>
      <c r="B4" s="1017"/>
      <c r="C4" s="1017"/>
      <c r="D4" s="1017"/>
      <c r="E4" s="1017"/>
      <c r="F4" s="1017"/>
      <c r="G4" s="1017"/>
      <c r="H4" s="1017"/>
      <c r="I4" s="1017"/>
      <c r="J4" s="1017"/>
      <c r="K4" s="1017"/>
      <c r="L4" s="1017"/>
      <c r="M4" s="1018"/>
      <c r="N4" s="955" t="s">
        <v>252</v>
      </c>
      <c r="O4" s="956"/>
      <c r="P4" s="972" t="s">
        <v>255</v>
      </c>
      <c r="Q4" s="973"/>
      <c r="R4" s="973"/>
      <c r="S4" s="973"/>
      <c r="T4" s="973"/>
      <c r="U4" s="992" t="s">
        <v>260</v>
      </c>
      <c r="V4" s="995" t="s">
        <v>259</v>
      </c>
      <c r="W4" s="998" t="s">
        <v>265</v>
      </c>
      <c r="X4" s="982" t="s">
        <v>262</v>
      </c>
      <c r="Y4" s="979" t="s">
        <v>1</v>
      </c>
      <c r="Z4" s="980"/>
      <c r="AA4" s="980"/>
      <c r="AB4" s="981"/>
      <c r="AC4" s="1007" t="s">
        <v>329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34" s="6" customFormat="1" ht="30.75" customHeight="1" thickBot="1" x14ac:dyDescent="0.25">
      <c r="A5" s="982" t="s">
        <v>248</v>
      </c>
      <c r="B5" s="995" t="s">
        <v>249</v>
      </c>
      <c r="C5" s="984" t="s">
        <v>250</v>
      </c>
      <c r="D5" s="982" t="s">
        <v>251</v>
      </c>
      <c r="E5" s="913" t="s">
        <v>232</v>
      </c>
      <c r="F5" s="914"/>
      <c r="G5" s="911" t="s">
        <v>233</v>
      </c>
      <c r="H5" s="912"/>
      <c r="I5" s="911" t="s">
        <v>234</v>
      </c>
      <c r="J5" s="912"/>
      <c r="K5" s="902" t="s">
        <v>235</v>
      </c>
      <c r="L5" s="903"/>
      <c r="M5" s="904"/>
      <c r="N5" s="939" t="s">
        <v>254</v>
      </c>
      <c r="O5" s="939" t="s">
        <v>253</v>
      </c>
      <c r="P5" s="937" t="s">
        <v>256</v>
      </c>
      <c r="Q5" s="937" t="s">
        <v>253</v>
      </c>
      <c r="R5" s="974" t="s">
        <v>257</v>
      </c>
      <c r="S5" s="316"/>
      <c r="T5" s="976" t="s">
        <v>258</v>
      </c>
      <c r="U5" s="993"/>
      <c r="V5" s="996"/>
      <c r="W5" s="999"/>
      <c r="X5" s="983"/>
      <c r="Y5" s="989" t="s">
        <v>10</v>
      </c>
      <c r="Z5" s="989" t="s">
        <v>11</v>
      </c>
      <c r="AA5" s="989" t="s">
        <v>12</v>
      </c>
      <c r="AB5" s="989" t="s">
        <v>18</v>
      </c>
      <c r="AC5" s="1007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</row>
    <row r="6" spans="1:3734" s="6" customFormat="1" ht="39" thickBot="1" x14ac:dyDescent="0.25">
      <c r="A6" s="983"/>
      <c r="B6" s="1004"/>
      <c r="C6" s="985"/>
      <c r="D6" s="983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40"/>
      <c r="O6" s="940"/>
      <c r="P6" s="938"/>
      <c r="Q6" s="938"/>
      <c r="R6" s="975"/>
      <c r="S6" s="316"/>
      <c r="T6" s="976"/>
      <c r="U6" s="994"/>
      <c r="V6" s="997"/>
      <c r="W6" s="1000"/>
      <c r="X6" s="983"/>
      <c r="Y6" s="990"/>
      <c r="Z6" s="991"/>
      <c r="AA6" s="991"/>
      <c r="AB6" s="991"/>
      <c r="AC6" s="1007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2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</row>
    <row r="7" spans="1:3734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2965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2965</v>
      </c>
      <c r="M7" s="15">
        <f t="shared" ref="M7:M10" si="1">K7+L7</f>
        <v>2965</v>
      </c>
      <c r="N7" s="443">
        <v>55.5</v>
      </c>
      <c r="O7" s="276">
        <f t="shared" ref="O7:O17" si="2">IF(N7=0,0,M7/N7)</f>
        <v>53.423423423423422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/>
      <c r="EML7" s="252"/>
      <c r="EMM7" s="252"/>
      <c r="EMN7" s="252"/>
      <c r="EMO7" s="876">
        <f t="shared" ref="EMO7" si="221">SUM(EMI7:EMN7)</f>
        <v>0</v>
      </c>
      <c r="EMP7" s="877">
        <f>EMO7/$EMP$5</f>
        <v>0</v>
      </c>
    </row>
    <row r="8" spans="1:3734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1714</v>
      </c>
      <c r="G8" s="475"/>
      <c r="H8" s="475"/>
      <c r="I8" s="360"/>
      <c r="J8" s="360">
        <f>SUMIF(SUMPK!$B:$B,$B:$B,SUMPK!$O:$O)</f>
        <v>0</v>
      </c>
      <c r="K8" s="24"/>
      <c r="L8" s="24">
        <f t="shared" ref="L8:L9" si="222">F8+H8-J8</f>
        <v>1714</v>
      </c>
      <c r="M8" s="15">
        <f t="shared" si="1"/>
        <v>1714</v>
      </c>
      <c r="N8" s="443">
        <v>228.33333333333334</v>
      </c>
      <c r="O8" s="276">
        <f t="shared" si="2"/>
        <v>7.506569343065693</v>
      </c>
      <c r="P8" s="277">
        <f t="shared" ref="P8" si="223">S8/$Q$3</f>
        <v>160</v>
      </c>
      <c r="Q8" s="276">
        <f t="shared" si="3"/>
        <v>64.275000000000006</v>
      </c>
      <c r="R8" s="277">
        <f t="shared" ref="R8:R14" si="224">S8/$S$3</f>
        <v>36.92307692307692</v>
      </c>
      <c r="S8" s="222">
        <v>960</v>
      </c>
      <c r="T8" s="276">
        <f t="shared" si="4"/>
        <v>46.420833333333334</v>
      </c>
      <c r="U8" s="442"/>
      <c r="V8" s="302">
        <f t="shared" si="5"/>
        <v>46.420833333333334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5">SUM(CNF8:CNK8)</f>
        <v>0</v>
      </c>
      <c r="CNM8" s="68">
        <f t="shared" ref="CNM8:CNM16" si="226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7">SUM(CNN8:CNS8)</f>
        <v>309</v>
      </c>
      <c r="CNU8" s="68">
        <f t="shared" ref="CNU8:CNU16" si="228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29">SUM(CNV8:COA8)</f>
        <v>0</v>
      </c>
      <c r="COC8" s="68">
        <f t="shared" ref="COC8:COC16" si="230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1">SUM(COD8:COI8)</f>
        <v>326</v>
      </c>
      <c r="COK8" s="68">
        <f t="shared" ref="COK8:COK16" si="232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3">SUM(COL8:COQ8)</f>
        <v>0</v>
      </c>
      <c r="COS8" s="68">
        <f t="shared" ref="COS8:COS16" si="234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5">SUM(COT8:COY8)</f>
        <v>0</v>
      </c>
      <c r="CPA8" s="68">
        <f t="shared" ref="CPA8:CPA16" si="236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7">SUM(CPB8:CPG8)</f>
        <v>0</v>
      </c>
      <c r="CPI8" s="68">
        <f t="shared" ref="CPI8:CPI16" si="238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39">SUM(CPJ8:CPO8)</f>
        <v>351</v>
      </c>
      <c r="CPQ8" s="68">
        <f t="shared" ref="CPQ8:CPQ16" si="240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1">SUM(CPR8:CPW8)</f>
        <v>0</v>
      </c>
      <c r="CPY8" s="68">
        <f t="shared" ref="CPY8:CPY16" si="242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3">SUM(CPZ8:CQE8)</f>
        <v>0</v>
      </c>
      <c r="CQG8" s="68">
        <f t="shared" ref="CQG8:CQG16" si="244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5">SUM(CQH8:CQM8)</f>
        <v>345</v>
      </c>
      <c r="CQO8" s="43">
        <f t="shared" ref="CQO8:CQO16" si="246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7">SUM(CQP8:CQU8)</f>
        <v>0</v>
      </c>
      <c r="CQW8" s="43">
        <f t="shared" ref="CQW8:CQW16" si="248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49">SUM(CQX8:CRC8)</f>
        <v>0</v>
      </c>
      <c r="CRE8" s="43">
        <f t="shared" ref="CRE8:CRE16" si="250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1">SUM(DJZ8:DKE8)</f>
        <v>347</v>
      </c>
      <c r="DKG8" s="68">
        <f t="shared" ref="DKG8:DKG16" si="252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3">SUM(DKH8:DKM8)</f>
        <v>0</v>
      </c>
      <c r="DKO8" s="68">
        <f t="shared" ref="DKO8:DKO16" si="254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5">SUM(DKP8:DKU8)</f>
        <v>337</v>
      </c>
      <c r="DKW8" s="68">
        <f t="shared" ref="DKW8:DKW16" si="256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7">SUM(DKX8:DLC8)</f>
        <v>350</v>
      </c>
      <c r="DLE8" s="68">
        <f t="shared" ref="DLE8:DLE16" si="258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59">SUM(DLF8:DLK8)</f>
        <v>0</v>
      </c>
      <c r="DLM8" s="68">
        <f t="shared" ref="DLM8:DLM16" si="260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1">SUM(DLN8:DLS8)</f>
        <v>342</v>
      </c>
      <c r="DLU8" s="68">
        <f t="shared" ref="DLU8:DLU16" si="262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3">SUM(DLV8:DMA8)</f>
        <v>0</v>
      </c>
      <c r="DMC8" s="68">
        <f t="shared" ref="DMC8:DMC16" si="264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5">SUM(DMD8:DMI8)</f>
        <v>333</v>
      </c>
      <c r="DMK8" s="68">
        <f t="shared" ref="DMK8:DMK16" si="266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7">SUM(DML8:DMQ8)</f>
        <v>349</v>
      </c>
      <c r="DMS8" s="68">
        <f t="shared" ref="DMS8:DMS16" si="268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69">SUM(DMT8:DMY8)</f>
        <v>354</v>
      </c>
      <c r="DNA8" s="68">
        <f t="shared" ref="DNA8:DNA16" si="270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1">SUM(DNB8:DNG8)</f>
        <v>0</v>
      </c>
      <c r="DNI8" s="68">
        <f t="shared" ref="DNI8:DNI16" si="272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3">SUM(DNJ8:DNO8)</f>
        <v>346</v>
      </c>
      <c r="DNQ8" s="68">
        <f t="shared" ref="DNQ8:DNQ16" si="274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5">SUM(DNR8:DNW8)</f>
        <v>690</v>
      </c>
      <c r="DNY8" s="68">
        <f t="shared" ref="DNY8:DNY16" si="276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7">SUM(DNZ8:DOE8)</f>
        <v>0</v>
      </c>
      <c r="DOG8" s="68">
        <f t="shared" ref="DOG8:DOG16" si="278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79">SUM(DOH8:DOM8)</f>
        <v>641</v>
      </c>
      <c r="DOO8" s="68">
        <f t="shared" ref="DOO8:DOO16" si="280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1">SUM(DOP8:DOU8)</f>
        <v>0</v>
      </c>
      <c r="DOW8" s="68">
        <f t="shared" ref="DOW8:DOW16" si="282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3">SUM(DOX8:DPC8)</f>
        <v>343</v>
      </c>
      <c r="DPE8" s="68">
        <f t="shared" ref="DPE8:DPE16" si="284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5">SUM(DPF8:DPK8)</f>
        <v>696</v>
      </c>
      <c r="DPM8" s="68">
        <f t="shared" ref="DPM8:DPM16" si="286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7">SUM(DPN8:DPS8)</f>
        <v>416</v>
      </c>
      <c r="DPU8" s="68">
        <f t="shared" ref="DPU8:DPU16" si="288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89">SUM(DPV8:DQA8)</f>
        <v>670</v>
      </c>
      <c r="DQC8" s="68">
        <f t="shared" ref="DQC8:DQC16" si="290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1">SUM(DQD8:DQI8)</f>
        <v>333</v>
      </c>
      <c r="DQK8" s="68">
        <f t="shared" ref="DQK8:DQK16" si="292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3">SUM(DQL8:DQQ8)</f>
        <v>697</v>
      </c>
      <c r="DQS8" s="68">
        <f t="shared" ref="DQS8:DQS16" si="294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5">SUM(DQT8:DQY8)</f>
        <v>685</v>
      </c>
      <c r="DRA8" s="68">
        <f t="shared" ref="DRA8:DRA16" si="296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7">SUM(DRB8:DRG8)</f>
        <v>1033</v>
      </c>
      <c r="DRI8" s="68">
        <f t="shared" ref="DRI8:DRI16" si="298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299">SUM(DRJ8:DRO8)</f>
        <v>345</v>
      </c>
      <c r="DRQ8" s="68">
        <f t="shared" ref="DRQ8:DRQ16" si="300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1">SUM(DRR8:DRW8)</f>
        <v>686</v>
      </c>
      <c r="DRY8" s="68">
        <f t="shared" ref="DRY8:DRY16" si="302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3">SUM(DRZ8:DSE8)</f>
        <v>695</v>
      </c>
      <c r="DSG8" s="68">
        <f t="shared" ref="DSG8:DSG16" si="304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5">SUM(DSH8:DSM8)</f>
        <v>236</v>
      </c>
      <c r="DSO8" s="68">
        <f t="shared" ref="DSO8:DSO16" si="306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7">SUM(DSP8:DSU8)</f>
        <v>352</v>
      </c>
      <c r="DSW8" s="68">
        <f t="shared" ref="DSW8:DSW16" si="308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09">SUM(DSX8:DTC8)</f>
        <v>1029</v>
      </c>
      <c r="DTE8" s="68">
        <f t="shared" ref="DTE8:DTE16" si="310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1">SUM(DTF8:DTK8)</f>
        <v>0</v>
      </c>
      <c r="DTM8" s="68">
        <f t="shared" ref="DTM8:DTM16" si="312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3">SUM(DTN8:DTS8)</f>
        <v>679</v>
      </c>
      <c r="DTU8" s="68">
        <f t="shared" ref="DTU8:DTU16" si="314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5">SUM(DTV8:DUA8)</f>
        <v>346</v>
      </c>
      <c r="DUC8" s="68">
        <f t="shared" ref="DUC8:DUC16" si="316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7">SUM(DUD8:DUI8)</f>
        <v>690</v>
      </c>
      <c r="DUK8" s="68">
        <f t="shared" ref="DUK8:DUK16" si="318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19">SUM(DUL8:DUQ8)</f>
        <v>0</v>
      </c>
      <c r="DUS8" s="68">
        <f t="shared" ref="DUS8:DUS16" si="320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1">SUM(DUT8:DUY8)</f>
        <v>1001</v>
      </c>
      <c r="DVA8" s="68">
        <f t="shared" ref="DVA8:DVA16" si="322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3">SUM(DVB8:DVG8)</f>
        <v>0</v>
      </c>
      <c r="DVI8" s="68">
        <f t="shared" ref="DVI8:DVI16" si="324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5">SUM(DVJ8:DVO8)</f>
        <v>712</v>
      </c>
      <c r="DVQ8" s="68">
        <f t="shared" ref="DVQ8:DVQ16" si="326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7">SUM(DVR8:DVW8)</f>
        <v>349</v>
      </c>
      <c r="DVY8" s="68">
        <f t="shared" ref="DVY8:DVY16" si="328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29">SUM(DVZ8:DWE8)</f>
        <v>0</v>
      </c>
      <c r="DWG8" s="68">
        <f t="shared" ref="DWG8:DWG16" si="330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1">SUM(DWH8:DWM8)</f>
        <v>341</v>
      </c>
      <c r="DWO8" s="68">
        <f t="shared" ref="DWO8:DWO16" si="332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3">SUM(DWP8:DWU8)</f>
        <v>0</v>
      </c>
      <c r="DWW8" s="68">
        <f t="shared" ref="DWW8:DWW16" si="334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5">SUM(DWX8:DXC8)</f>
        <v>665</v>
      </c>
      <c r="DXE8" s="68">
        <f t="shared" ref="DXE8:DXE16" si="336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7">SUM(DXF8:DXK8)</f>
        <v>341</v>
      </c>
      <c r="DXM8" s="68">
        <f t="shared" ref="DXM8:DXM16" si="338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39">SUM(DXN8:DXS8)</f>
        <v>713</v>
      </c>
      <c r="DXU8" s="184">
        <f t="shared" ref="DXU8:DXU16" si="340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1">SUM(DXW8:DYB8)</f>
        <v>711</v>
      </c>
      <c r="DYD8" s="211">
        <f t="shared" ref="DYD8:DYD16" si="342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3">SUM(DYE8:DYJ8)</f>
        <v>345</v>
      </c>
      <c r="DYL8" s="211">
        <f t="shared" ref="DYL8:DYL16" si="344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5">SUM(DYM8:DYR8)</f>
        <v>694</v>
      </c>
      <c r="DYT8" s="211">
        <f t="shared" ref="DYT8:DYT16" si="346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7">SUM(DYU8:DYZ8)</f>
        <v>1058</v>
      </c>
      <c r="DZB8" s="211">
        <f t="shared" ref="DZB8:DZB16" si="348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49">SUM(DZC8:DZH8)</f>
        <v>0</v>
      </c>
      <c r="DZJ8" s="211">
        <f t="shared" ref="DZJ8:DZJ16" si="350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1">SUM(DZK8:DZP8)</f>
        <v>681</v>
      </c>
      <c r="DZR8" s="211">
        <f t="shared" ref="DZR8:DZR16" si="352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3">SUM(DZS8:DZX8)</f>
        <v>308</v>
      </c>
      <c r="DZZ8" s="211">
        <f t="shared" ref="DZZ8:DZZ16" si="354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5">SUM(EAA8:EAF8)</f>
        <v>354</v>
      </c>
      <c r="EAH8" s="211">
        <f t="shared" ref="EAH8:EAH16" si="356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7">SUM(EAI8:EAN8)</f>
        <v>666</v>
      </c>
      <c r="EAP8" s="211">
        <f t="shared" ref="EAP8:EAP16" si="358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59">SUM(EAQ8:EAV8)</f>
        <v>344</v>
      </c>
      <c r="EAX8" s="211">
        <f t="shared" ref="EAX8:EAX16" si="360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1">SUM(EAY8:EBD8)</f>
        <v>669</v>
      </c>
      <c r="EBF8" s="211">
        <f t="shared" ref="EBF8:EBF16" si="362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3">SUM(EBG8:EBL8)</f>
        <v>345</v>
      </c>
      <c r="EBN8" s="211">
        <f t="shared" ref="EBN8:EBN16" si="364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5">SUM(EBO8:EBT8)</f>
        <v>691</v>
      </c>
      <c r="EBV8" s="184">
        <f t="shared" ref="EBV8:EBV16" si="366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7">SUM(EBW8:ECB8)</f>
        <v>1018</v>
      </c>
      <c r="ECD8" s="211">
        <f t="shared" ref="ECD8:ECD17" si="368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69">SUM(ECE8:ECJ8)</f>
        <v>0</v>
      </c>
      <c r="ECL8" s="211">
        <f t="shared" ref="ECL8:ECL17" si="370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1">SUM(ECM8:ECR8)</f>
        <v>348</v>
      </c>
      <c r="ECT8" s="211">
        <f t="shared" ref="ECT8:ECT17" si="372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3">SUM(ECU8:ECZ8)</f>
        <v>692</v>
      </c>
      <c r="EDB8" s="211">
        <f t="shared" ref="EDB8:EDB17" si="374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5">SUM(EDC8:EDH8)</f>
        <v>669</v>
      </c>
      <c r="EDJ8" s="211">
        <f t="shared" ref="EDJ8:EDJ17" si="376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7">SUM(EDK8:EDP8)</f>
        <v>331</v>
      </c>
      <c r="EDR8" s="211">
        <f t="shared" ref="EDR8:EDR17" si="378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79">SUM(EDS8:EDX8)</f>
        <v>342</v>
      </c>
      <c r="EDZ8" s="707">
        <f t="shared" ref="EDZ8:EDZ17" si="380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1">SUM(EEA8:EEF8)</f>
        <v>1062</v>
      </c>
      <c r="EEH8" s="211">
        <f t="shared" ref="EEH8:EEH17" si="382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3">SUM(EEI8:EEN8)</f>
        <v>0</v>
      </c>
      <c r="EEP8" s="211">
        <f t="shared" ref="EEP8:EEP17" si="384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5">SUM(EEQ8:EEV8)</f>
        <v>691</v>
      </c>
      <c r="EEX8" s="211">
        <f t="shared" ref="EEX8:EEX17" si="386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7">SUM(EEY8:EFD8)</f>
        <v>702</v>
      </c>
      <c r="EFF8" s="211">
        <f t="shared" ref="EFF8:EFF17" si="388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89">SUM(EFG8:EFL8)</f>
        <v>344</v>
      </c>
      <c r="EFN8" s="211">
        <f t="shared" ref="EFN8:EFN17" si="390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1">SUM(EFO8:EFT8)</f>
        <v>357</v>
      </c>
      <c r="EFV8" s="211">
        <f t="shared" ref="EFV8:EFV17" si="392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3">SUM(EFW8:EGB8)</f>
        <v>685</v>
      </c>
      <c r="EGD8" s="211">
        <f t="shared" ref="EGD8:EGD17" si="394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5">SUM(EGE8:EGJ8)</f>
        <v>339</v>
      </c>
      <c r="EGL8" s="211">
        <f t="shared" ref="EGL8:EGL17" si="396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7">SUM(EGM8:EGR8)</f>
        <v>340</v>
      </c>
      <c r="EGT8" s="211">
        <f t="shared" ref="EGT8:EGT17" si="398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399">SUM(EGU8:EGZ8)</f>
        <v>692</v>
      </c>
      <c r="EHB8" s="211">
        <f t="shared" ref="EHB8:EHB17" si="400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1">SUM(EHC8:EHH8)</f>
        <v>679</v>
      </c>
      <c r="EHJ8" s="211">
        <f t="shared" ref="EHJ8:EHJ17" si="402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3">SUM(EHK8:EHP8)</f>
        <v>668</v>
      </c>
      <c r="EHR8" s="211">
        <f t="shared" ref="EHR8:EHR17" si="404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5">SUM(EHS8:EHX8)</f>
        <v>0</v>
      </c>
      <c r="EHZ8" s="211">
        <f t="shared" ref="EHZ8:EHZ17" si="406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7">SUM(EIA8:EIF8)</f>
        <v>681</v>
      </c>
      <c r="EIH8" s="211">
        <f t="shared" ref="EIH8:EIH16" si="408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09">SUM(EII8:EIN8)</f>
        <v>685</v>
      </c>
      <c r="EIP8" s="211">
        <f t="shared" ref="EIP8:EIP16" si="410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1">SUM(EIQ8:EIV8)</f>
        <v>300</v>
      </c>
      <c r="EIX8" s="271">
        <f t="shared" ref="EIX8:EIX16" si="412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3">SUM(EIY8:EJD8)</f>
        <v>0</v>
      </c>
      <c r="EJF8" s="211">
        <f t="shared" ref="EJF8:EJF16" si="414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5">SUM(EJG8:EJL8)</f>
        <v>770</v>
      </c>
      <c r="EJN8" s="211">
        <f t="shared" ref="EJN8:EJN16" si="416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7">SUM(EJO8:EJT8)</f>
        <v>347</v>
      </c>
      <c r="EJV8" s="211">
        <f t="shared" ref="EJV8:EJV16" si="418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19">SUM(EJW8:EKB8)</f>
        <v>690</v>
      </c>
      <c r="EKD8" s="211">
        <f t="shared" ref="EKD8:EKD16" si="420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1">SUM(EKE8:EKJ8)</f>
        <v>0</v>
      </c>
      <c r="EKL8" s="211">
        <f t="shared" ref="EKL8:EKL16" si="422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3">SUM(EKM8:EKR8)</f>
        <v>683</v>
      </c>
      <c r="EKT8" s="211">
        <f t="shared" ref="EKT8:EKT16" si="424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5">SUM(EKU8:EKZ8)</f>
        <v>642</v>
      </c>
      <c r="ELB8" s="211">
        <f t="shared" ref="ELB8:ELB16" si="426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7">SUM(ELC8:ELH8)</f>
        <v>235</v>
      </c>
      <c r="ELJ8" s="211">
        <f t="shared" ref="ELJ8:ELJ16" si="428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29">SUM(ELK8:ELP8)</f>
        <v>678</v>
      </c>
      <c r="ELR8" s="211">
        <f t="shared" ref="ELR8:ELR16" si="430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1">SUM(ELS8:ELX8)</f>
        <v>344</v>
      </c>
      <c r="ELZ8" s="873">
        <f t="shared" ref="ELZ8:ELZ16" si="432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3">SUM(EMA8:EMF8)</f>
        <v>1370</v>
      </c>
      <c r="EMH8" s="873">
        <f t="shared" ref="EMH8:EMH16" si="434">EMG8/$EMH$5</f>
        <v>228.33333333333334</v>
      </c>
      <c r="EMI8" s="668">
        <v>0</v>
      </c>
      <c r="EMJ8" s="446"/>
      <c r="EMK8" s="446"/>
      <c r="EML8" s="446"/>
      <c r="EMM8" s="446"/>
      <c r="EMN8" s="446"/>
      <c r="EMO8" s="872">
        <f t="shared" ref="EMO8:EMO16" si="435">SUM(EMI8:EMN8)</f>
        <v>0</v>
      </c>
      <c r="EMP8" s="873">
        <f t="shared" ref="EMP8:EMP16" si="436">EMO8/$EMP$5</f>
        <v>0</v>
      </c>
    </row>
    <row r="9" spans="1:3734" s="396" customFormat="1" x14ac:dyDescent="0.2">
      <c r="A9" s="391">
        <v>3</v>
      </c>
      <c r="B9" s="21" t="s">
        <v>556</v>
      </c>
      <c r="C9" s="309" t="s">
        <v>555</v>
      </c>
      <c r="D9" s="391">
        <v>25</v>
      </c>
      <c r="E9" s="435"/>
      <c r="F9" s="435">
        <v>1960</v>
      </c>
      <c r="G9" s="475"/>
      <c r="H9" s="475"/>
      <c r="I9" s="360"/>
      <c r="J9" s="360">
        <f>SUMIF(SUMPK!$B:$B,$B:$B,SUMPK!$O:$O)</f>
        <v>0</v>
      </c>
      <c r="K9" s="24"/>
      <c r="L9" s="24">
        <f t="shared" si="222"/>
        <v>1960</v>
      </c>
      <c r="M9" s="15">
        <f t="shared" si="1"/>
        <v>1960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3"/>
        <v>0</v>
      </c>
      <c r="EMH9" s="873">
        <f t="shared" si="434"/>
        <v>0</v>
      </c>
      <c r="EMI9" s="668">
        <v>0</v>
      </c>
      <c r="EMJ9" s="446"/>
      <c r="EMK9" s="446"/>
      <c r="EML9" s="446"/>
      <c r="EMM9" s="446"/>
      <c r="EMN9" s="446"/>
      <c r="EMO9" s="872">
        <f t="shared" si="435"/>
        <v>0</v>
      </c>
      <c r="EMP9" s="873">
        <f t="shared" si="436"/>
        <v>0</v>
      </c>
    </row>
    <row r="10" spans="1:3734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2693</v>
      </c>
      <c r="G10" s="24"/>
      <c r="H10" s="24"/>
      <c r="I10" s="360"/>
      <c r="J10" s="360">
        <f>SUMIF(SUMPK!$B:$B,$B:$B,SUMPK!$O:$O)</f>
        <v>0</v>
      </c>
      <c r="K10" s="24"/>
      <c r="L10" s="24">
        <f>F10+H10-J10</f>
        <v>2693</v>
      </c>
      <c r="M10" s="15">
        <f t="shared" si="1"/>
        <v>2693</v>
      </c>
      <c r="N10" s="444">
        <v>53</v>
      </c>
      <c r="O10" s="276">
        <f t="shared" si="2"/>
        <v>50.811320754716981</v>
      </c>
      <c r="P10" s="277">
        <f t="shared" ref="P10:P15" si="437">S10/$Q$3</f>
        <v>0</v>
      </c>
      <c r="Q10" s="276">
        <f t="shared" si="3"/>
        <v>0</v>
      </c>
      <c r="R10" s="277">
        <f t="shared" si="224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38">SUM(AF10:AK10)</f>
        <v>1000</v>
      </c>
      <c r="AM10" s="43">
        <f t="shared" ref="AM10:AM14" si="439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0">SUM(AN10:AS10)</f>
        <v>301</v>
      </c>
      <c r="AU10" s="43">
        <f t="shared" ref="AU10:AU14" si="441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2">SUM(AV10:BA10)</f>
        <v>598</v>
      </c>
      <c r="BC10" s="43">
        <f t="shared" ref="BC10:BC14" si="443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44">SUM(BD10:BI10)</f>
        <v>2162</v>
      </c>
      <c r="BK10" s="43">
        <f t="shared" ref="BK10:BK14" si="445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46">SUM(BL10:BQ10)</f>
        <v>1201</v>
      </c>
      <c r="BS10" s="43">
        <f t="shared" ref="BS10:BS14" si="447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48">SUM(BT10:BY10)</f>
        <v>1595</v>
      </c>
      <c r="CA10" s="43">
        <f t="shared" ref="CA10:CA14" si="449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0">SUM(CB10:CG10)</f>
        <v>0</v>
      </c>
      <c r="CI10" s="43">
        <f t="shared" ref="CI10:CI14" si="451">CH10/$BK$5</f>
        <v>0</v>
      </c>
      <c r="CJ10" s="48"/>
      <c r="CK10" s="49"/>
      <c r="CL10" s="49"/>
      <c r="CM10" s="49"/>
      <c r="CN10" s="49"/>
      <c r="CO10" s="49"/>
      <c r="CP10" s="42">
        <f t="shared" ref="CP10:CP14" si="452">SUM(CJ10:CO10)</f>
        <v>0</v>
      </c>
      <c r="CQ10" s="43">
        <f t="shared" ref="CQ10:CQ14" si="453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54">SUM(CR10:CW10)</f>
        <v>996</v>
      </c>
      <c r="CY10" s="43">
        <f t="shared" ref="CY10:CY14" si="455">CX10/$BK$5</f>
        <v>166</v>
      </c>
      <c r="CZ10" s="48"/>
      <c r="DA10" s="49"/>
      <c r="DB10" s="49"/>
      <c r="DC10" s="49"/>
      <c r="DD10" s="49"/>
      <c r="DE10" s="49"/>
      <c r="DF10" s="42">
        <f t="shared" ref="DF10:DF14" si="456">SUM(CZ10:DE10)</f>
        <v>0</v>
      </c>
      <c r="DG10" s="43">
        <f t="shared" ref="DG10:DG14" si="457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58">SUM(DH10:DM10)</f>
        <v>599</v>
      </c>
      <c r="DO10" s="43">
        <f t="shared" ref="DO10:DO14" si="459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0">SUM(DP10:DU10)</f>
        <v>439</v>
      </c>
      <c r="DW10" s="43">
        <f t="shared" ref="DW10:DW14" si="461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2">SUM(DX10:EC10)</f>
        <v>1400</v>
      </c>
      <c r="EE10" s="43">
        <f t="shared" ref="EE10:EE14" si="463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64">SUM(EF10:EK10)</f>
        <v>790</v>
      </c>
      <c r="EM10" s="43">
        <f t="shared" ref="EM10:EM14" si="465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66">SUM(EN10:ES10)</f>
        <v>799</v>
      </c>
      <c r="EU10" s="43">
        <f t="shared" ref="EU10:EU14" si="467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68">SUM(EV10:FA10)</f>
        <v>599</v>
      </c>
      <c r="FC10" s="43">
        <f t="shared" ref="FC10:FC14" si="469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0">SUM(FD10:FI10)</f>
        <v>800</v>
      </c>
      <c r="FK10" s="43">
        <f t="shared" ref="FK10:FK14" si="471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2">SUM(FL10:FQ10)</f>
        <v>1199</v>
      </c>
      <c r="FS10" s="43">
        <f t="shared" ref="FS10:FS14" si="473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74">SUM(FT10:FY10)</f>
        <v>598</v>
      </c>
      <c r="GA10" s="43">
        <f t="shared" ref="GA10:GA14" si="475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76">SUM(GB10:GG10)</f>
        <v>1399</v>
      </c>
      <c r="GI10" s="43">
        <f t="shared" ref="GI10:GI14" si="477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78">SUM(GJ10:GO10)</f>
        <v>200</v>
      </c>
      <c r="GQ10" s="43">
        <f t="shared" ref="GQ10:GQ14" si="479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0">SUM(GR10:GW10)</f>
        <v>601</v>
      </c>
      <c r="GY10" s="43">
        <f t="shared" ref="GY10:GY14" si="481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2">SUM(GZ10:HE10)</f>
        <v>400</v>
      </c>
      <c r="HG10" s="43">
        <f t="shared" ref="HG10:HG14" si="483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84">SUM(HH10:HM10)</f>
        <v>454</v>
      </c>
      <c r="HO10" s="43">
        <f t="shared" ref="HO10:HO14" si="485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86">SUM(HP10:HU10)</f>
        <v>514</v>
      </c>
      <c r="HW10" s="43">
        <f t="shared" ref="HW10:HW14" si="487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88">SUM(HX10:IC10)</f>
        <v>1000</v>
      </c>
      <c r="IE10" s="43">
        <f t="shared" ref="IE10:IE14" si="489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0">SUM(IF10:IK10)</f>
        <v>748</v>
      </c>
      <c r="IM10" s="43">
        <f t="shared" ref="IM10:IM14" si="491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2">SUM(IN10:IS10)</f>
        <v>599</v>
      </c>
      <c r="IU10" s="43">
        <f t="shared" ref="IU10:IU14" si="493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494">SUM(IV10:JA10)</f>
        <v>398</v>
      </c>
      <c r="JC10" s="43">
        <f t="shared" ref="JC10:JC14" si="495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496">SUM(JD10:JI10)</f>
        <v>499</v>
      </c>
      <c r="JK10" s="43">
        <f t="shared" ref="JK10:JK14" si="497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498">SUM(JL10:JQ10)</f>
        <v>1789</v>
      </c>
      <c r="JS10" s="43">
        <f t="shared" ref="JS10:JS14" si="499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0">SUM(JT10:JY10)</f>
        <v>203</v>
      </c>
      <c r="KA10" s="43">
        <f t="shared" ref="KA10:KA14" si="501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2">SUM(KB10:KG10)</f>
        <v>598</v>
      </c>
      <c r="KI10" s="43">
        <f t="shared" ref="KI10:KI14" si="503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04">SUM(KJ10:KO10)</f>
        <v>1017</v>
      </c>
      <c r="KQ10" s="43">
        <f t="shared" ref="KQ10:KQ14" si="505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06">SUM(KR10:KW10)</f>
        <v>586</v>
      </c>
      <c r="KY10" s="101">
        <f t="shared" ref="KY10:KY14" si="507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08">SUM(KZ10:LE10)</f>
        <v>1089</v>
      </c>
      <c r="LG10" s="43">
        <f t="shared" ref="LG10:LG17" si="509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0">SUM(LH10:LM10)</f>
        <v>1398</v>
      </c>
      <c r="LO10" s="68">
        <f t="shared" ref="LO10:LO14" si="511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2">SUM(LP10:LU10)</f>
        <v>200</v>
      </c>
      <c r="LW10" s="68">
        <f t="shared" ref="LW10:LW14" si="513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14">SUM(LX10:MC10)</f>
        <v>1195</v>
      </c>
      <c r="ME10" s="68">
        <f t="shared" ref="ME10:ME14" si="515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16">SUM(MF10:MK10)</f>
        <v>400</v>
      </c>
      <c r="MM10" s="43">
        <f t="shared" ref="MM10:MM14" si="517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18">SUM(MN10:MS10)</f>
        <v>799</v>
      </c>
      <c r="MU10" s="43">
        <f t="shared" ref="MU10:MU14" si="519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0">SUM(MV10:NA10)</f>
        <v>971</v>
      </c>
      <c r="NC10" s="43">
        <f t="shared" ref="NC10:NC14" si="521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2">SUM(ND10:NI10)</f>
        <v>406</v>
      </c>
      <c r="NK10" s="43">
        <f t="shared" ref="NK10:NK14" si="523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24">SUM(NL10:NQ10)</f>
        <v>536</v>
      </c>
      <c r="NS10" s="43">
        <f t="shared" ref="NS10:NS14" si="525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26">SUM(NT10:NY10)</f>
        <v>600</v>
      </c>
      <c r="OA10" s="43">
        <f t="shared" ref="OA10:OA14" si="527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28">SUM(OB10:OG10)</f>
        <v>707</v>
      </c>
      <c r="OI10" s="43">
        <f t="shared" ref="OI10:OI14" si="529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0">SUM(OJ10:OO10)</f>
        <v>798</v>
      </c>
      <c r="OQ10" s="43">
        <f t="shared" ref="OQ10:OQ14" si="531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2">SUM(OR10:OW10)</f>
        <v>1195</v>
      </c>
      <c r="OY10" s="68">
        <f t="shared" ref="OY10:OY14" si="533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34">SUM(OZ10:PE10)</f>
        <v>0</v>
      </c>
      <c r="PG10" s="68">
        <f t="shared" ref="PG10:PG14" si="535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36">SUM(PH10:PM10)</f>
        <v>400</v>
      </c>
      <c r="PO10" s="105">
        <f t="shared" ref="PO10:PO14" si="537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38">SUM(PP10:PU10)</f>
        <v>1400</v>
      </c>
      <c r="PW10" s="105">
        <f t="shared" ref="PW10:PW14" si="539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0">SUM(PX10:QC10)</f>
        <v>1000</v>
      </c>
      <c r="QE10" s="105">
        <f t="shared" ref="QE10:QE14" si="541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2">SUM(QF10:QK10)</f>
        <v>795</v>
      </c>
      <c r="QM10" s="105">
        <f t="shared" ref="QM10:QM14" si="543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44">SUM(QN10:QS10)</f>
        <v>1001</v>
      </c>
      <c r="QU10" s="105">
        <f t="shared" ref="QU10:QU14" si="545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46">SUM(QV10:RA10)</f>
        <v>400</v>
      </c>
      <c r="RC10" s="105">
        <f t="shared" ref="RC10:RC14" si="547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48">SUM(RD10:RI10)</f>
        <v>1308</v>
      </c>
      <c r="RK10" s="105">
        <f t="shared" ref="RK10:RK14" si="549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0">SUM(RL10:RQ10)</f>
        <v>297</v>
      </c>
      <c r="RS10" s="105">
        <f t="shared" ref="RS10:RS14" si="551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2">SUM(RT10:RY10)</f>
        <v>612</v>
      </c>
      <c r="SA10" s="105">
        <f t="shared" ref="SA10:SA14" si="553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54">SUM(SB10:SG10)</f>
        <v>500</v>
      </c>
      <c r="SI10" s="105">
        <f t="shared" ref="SI10:SI14" si="555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56">SUM(SJ10:SO10)</f>
        <v>1001</v>
      </c>
      <c r="SQ10" s="105">
        <f t="shared" ref="SQ10:SQ14" si="557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58">SUM(SR10:SW10)</f>
        <v>701</v>
      </c>
      <c r="SY10" s="105">
        <f t="shared" ref="SY10:SY14" si="559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0">SUM(SZ10:TE10)</f>
        <v>763</v>
      </c>
      <c r="TG10" s="105">
        <f t="shared" ref="TG10:TG14" si="561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2">SUM(TH10:TM10)</f>
        <v>811</v>
      </c>
      <c r="TO10" s="105">
        <f t="shared" ref="TO10:TO14" si="563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64">SUM(TQ10:TV10)</f>
        <v>800</v>
      </c>
      <c r="TX10" s="105">
        <f t="shared" ref="TX10:TX14" si="565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66">SUM(TY10:UD10)</f>
        <v>400</v>
      </c>
      <c r="UF10" s="105">
        <f t="shared" ref="UF10:UF14" si="567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68">SUM(UG10:UL10)</f>
        <v>1037</v>
      </c>
      <c r="UN10" s="105">
        <f t="shared" ref="UN10:UN14" si="569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0">SUM(UO10:UT10)</f>
        <v>199</v>
      </c>
      <c r="UV10" s="105">
        <f t="shared" ref="UV10:UV14" si="571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2">SUM(UW10:VB10)</f>
        <v>1000</v>
      </c>
      <c r="VD10" s="105">
        <f t="shared" ref="VD10:VD14" si="573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74">SUM(VE10:VJ10)</f>
        <v>800</v>
      </c>
      <c r="VL10" s="68">
        <f t="shared" ref="VL10:VL14" si="575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76">SUM(VN10:VS10)</f>
        <v>432</v>
      </c>
      <c r="VU10" s="68">
        <f t="shared" ref="VU10:VU14" si="577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78">SUM(VW10:WB10)</f>
        <v>200</v>
      </c>
      <c r="WD10" s="68">
        <f t="shared" ref="WD10:WD14" si="579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0">SUM(WF10:WK10)</f>
        <v>991</v>
      </c>
      <c r="WM10" s="68">
        <f t="shared" ref="WM10:WM14" si="581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2">SUM(WO10:WT10)</f>
        <v>599</v>
      </c>
      <c r="WV10" s="68">
        <f t="shared" ref="WV10:WV14" si="583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84">SUM(WX10:XC10)</f>
        <v>402</v>
      </c>
      <c r="XE10" s="105">
        <f t="shared" ref="XE10:XE14" si="585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86">SUM(XF10:XK10)</f>
        <v>400</v>
      </c>
      <c r="XM10" s="68">
        <f t="shared" ref="XM10:XM14" si="587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88">SUM(XN10:XS10)</f>
        <v>602</v>
      </c>
      <c r="XU10" s="68">
        <f t="shared" ref="XU10:XU14" si="589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0">SUM(XV10:YA10)</f>
        <v>803</v>
      </c>
      <c r="YC10" s="68">
        <f t="shared" ref="YC10:YC14" si="591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2">SUM(YE10:YJ10)</f>
        <v>554</v>
      </c>
      <c r="YL10" s="68">
        <f t="shared" ref="YL10:YL14" si="593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594">SUM(YN10:YS10)</f>
        <v>800</v>
      </c>
      <c r="YU10" s="68">
        <f t="shared" ref="YU10:YU14" si="595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596">SUM(YV10:ZA10)</f>
        <v>300</v>
      </c>
      <c r="ZC10" s="68">
        <f t="shared" ref="ZC10:ZC14" si="597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598">SUM(ZD10:ZI10)</f>
        <v>1176</v>
      </c>
      <c r="ZK10" s="68">
        <f t="shared" ref="ZK10:ZK14" si="599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0">SUM(ZL10:ZQ10)</f>
        <v>490</v>
      </c>
      <c r="ZS10" s="68">
        <f t="shared" ref="ZS10:ZS14" si="601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2">SUM(ZT10:ZY10)</f>
        <v>401</v>
      </c>
      <c r="AAA10" s="68">
        <f t="shared" ref="AAA10:AAA14" si="603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04">SUM(AAB10:AAG10)</f>
        <v>705</v>
      </c>
      <c r="AAI10" s="68">
        <f t="shared" ref="AAI10:AAI14" si="605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06">SUM(AAJ10:AAO10)</f>
        <v>805</v>
      </c>
      <c r="AAQ10" s="68">
        <f t="shared" ref="AAQ10:AAQ14" si="607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08">SUM(AAR10:AAW10)</f>
        <v>220</v>
      </c>
      <c r="AAY10" s="68">
        <f t="shared" ref="AAY10:AAY14" si="609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0">SUM(AAZ10:ABE10)</f>
        <v>402</v>
      </c>
      <c r="ABG10" s="68">
        <f t="shared" ref="ABG10:ABG14" si="611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2">SUM(ABH10:ABM10)</f>
        <v>993</v>
      </c>
      <c r="ABO10" s="68">
        <f t="shared" ref="ABO10:ABO14" si="613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14">SUM(ABP10:ABU10)</f>
        <v>836</v>
      </c>
      <c r="ABW10" s="68">
        <f t="shared" ref="ABW10:ABW14" si="615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16">SUM(ABX10:ACC10)</f>
        <v>432</v>
      </c>
      <c r="ACE10" s="68">
        <f t="shared" ref="ACE10:ACE14" si="617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18">SUM(ACF10:ACK10)</f>
        <v>0</v>
      </c>
      <c r="ACM10" s="68">
        <f t="shared" ref="ACM10:ACM14" si="619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0">SUM(ACN10:ACS10)</f>
        <v>490</v>
      </c>
      <c r="ACU10" s="68">
        <f t="shared" ref="ACU10:ACU14" si="621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2">SUM(ACV10:ADA10)</f>
        <v>896</v>
      </c>
      <c r="ADC10" s="68">
        <f t="shared" ref="ADC10:ADC14" si="623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24">SUM(ADD10:ADI10)</f>
        <v>397</v>
      </c>
      <c r="ADK10" s="68">
        <f t="shared" ref="ADK10:ADK14" si="625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26">SUM(ADL10:ADQ10)</f>
        <v>390</v>
      </c>
      <c r="ADS10" s="68">
        <f t="shared" ref="ADS10:ADS14" si="627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28">SUM(ADT10:ADY10)</f>
        <v>435</v>
      </c>
      <c r="AEA10" s="68">
        <f t="shared" ref="AEA10:AEA14" si="629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0">SUM(AEB10:AEG10)</f>
        <v>219</v>
      </c>
      <c r="AEI10" s="68">
        <f t="shared" ref="AEI10:AEI14" si="631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2">SUM(AEJ10:AEO10)</f>
        <v>880</v>
      </c>
      <c r="AEQ10" s="68">
        <f t="shared" ref="AEQ10:AEQ14" si="633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34">SUM(AER10:AEW10)</f>
        <v>220</v>
      </c>
      <c r="AEY10" s="68">
        <f t="shared" ref="AEY10:AEY14" si="635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36">SUM(AEZ10:AFE10)</f>
        <v>0</v>
      </c>
      <c r="AFG10" s="68">
        <f t="shared" ref="AFG10:AFG14" si="637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38">SUM(AFH10:AFM10)</f>
        <v>440</v>
      </c>
      <c r="AFO10" s="68">
        <f t="shared" ref="AFO10:AFO14" si="639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0">SUM(AFP10:AFU10)</f>
        <v>770</v>
      </c>
      <c r="AFW10" s="68">
        <f t="shared" ref="AFW10:AFW14" si="641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2">SUM(AFX10:AGC10)</f>
        <v>0</v>
      </c>
      <c r="AGE10" s="68">
        <f t="shared" ref="AGE10:AGE14" si="643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44">SUM(AGF10:AGK10)</f>
        <v>770</v>
      </c>
      <c r="AGM10" s="68">
        <f t="shared" ref="AGM10:AGM14" si="645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46">SUM(AGN10:AGS10)</f>
        <v>440</v>
      </c>
      <c r="AGU10" s="43">
        <f t="shared" ref="AGU10:AGU14" si="647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48">SUM(AGV10:AHA10)</f>
        <v>0</v>
      </c>
      <c r="AHC10" s="43">
        <f t="shared" ref="AHC10:AHC14" si="649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0">SUM(AHD10:AHI10)</f>
        <v>444</v>
      </c>
      <c r="AHK10" s="43">
        <f t="shared" ref="AHK10:AHK14" si="651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2">SUM(AHL10:AHQ10)</f>
        <v>433</v>
      </c>
      <c r="AHS10" s="68">
        <f t="shared" ref="AHS10:AHS14" si="653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54">SUM(AHT10:AHY10)</f>
        <v>436</v>
      </c>
      <c r="AIA10" s="184">
        <f t="shared" ref="AIA10:AIA14" si="655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56">SUM(AIB10:AIG10)</f>
        <v>220</v>
      </c>
      <c r="AII10" s="184">
        <f t="shared" ref="AII10:AII14" si="657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58">SUM(AIJ10:AIO10)</f>
        <v>440</v>
      </c>
      <c r="AIQ10" s="184">
        <f t="shared" ref="AIQ10:AIQ14" si="659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0">SUM(AIR10:AIW10)</f>
        <v>8</v>
      </c>
      <c r="AIY10" s="68">
        <f t="shared" ref="AIY10:AIY14" si="661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2">SUM(AIZ10:AJE10)</f>
        <v>110</v>
      </c>
      <c r="AJG10" s="68">
        <f t="shared" ref="AJG10:AJG14" si="663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64">SUM(AJH10:AJM10)</f>
        <v>110</v>
      </c>
      <c r="AJO10" s="43">
        <f t="shared" ref="AJO10:AJO14" si="665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66">SUM(AJP10:AJU10)</f>
        <v>216</v>
      </c>
      <c r="AJW10" s="43">
        <f t="shared" ref="AJW10:AJW14" si="667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68">SUM(AJX10:AKC10)</f>
        <v>220</v>
      </c>
      <c r="AKE10" s="43">
        <f t="shared" ref="AKE10:AKE14" si="669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0">SUM(AKF10:AKK10)</f>
        <v>535</v>
      </c>
      <c r="AKM10" s="43">
        <f t="shared" ref="AKM10:AKM14" si="671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2">SUM(AKN10:AKS10)</f>
        <v>456</v>
      </c>
      <c r="AKU10" s="43">
        <f t="shared" ref="AKU10:AKU14" si="673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74">SUM(AKV10:ALA10)</f>
        <v>788</v>
      </c>
      <c r="ALC10" s="43">
        <f t="shared" ref="ALC10:ALC14" si="675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76">SUM(ALD10:ALI10)</f>
        <v>220</v>
      </c>
      <c r="ALK10" s="43">
        <f t="shared" ref="ALK10:ALK14" si="677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78">SUM(ALL10:ALQ10)</f>
        <v>110</v>
      </c>
      <c r="ALS10" s="68">
        <f t="shared" ref="ALS10:ALS14" si="679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0">SUM(ALT10:ALY10)</f>
        <v>330</v>
      </c>
      <c r="AMA10" s="68">
        <f t="shared" ref="AMA10:AMA14" si="681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2">SUM(AMB10:AMG10)</f>
        <v>440</v>
      </c>
      <c r="AMI10" s="68">
        <f t="shared" ref="AMI10:AMI14" si="683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84">SUM(AMJ10:AMO10)</f>
        <v>330</v>
      </c>
      <c r="AMQ10" s="68">
        <f t="shared" ref="AMQ10:AMQ14" si="685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86">SUM(AMR10:AMW10)</f>
        <v>330</v>
      </c>
      <c r="AMY10" s="68">
        <f t="shared" ref="AMY10:AMY14" si="687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88">SUM(AMZ10:ANE10)</f>
        <v>110</v>
      </c>
      <c r="ANG10" s="68">
        <f t="shared" ref="ANG10:ANG14" si="689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0">SUM(ANH10:ANM10)</f>
        <v>646</v>
      </c>
      <c r="ANO10" s="68">
        <f t="shared" ref="ANO10:ANO14" si="691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2">SUM(ANP10:ANU10)</f>
        <v>220</v>
      </c>
      <c r="ANW10" s="68">
        <f t="shared" ref="ANW10:ANW14" si="693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694">SUM(ANX10:AOC10)</f>
        <v>330</v>
      </c>
      <c r="AOE10" s="68">
        <f t="shared" ref="AOE10:AOE14" si="695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696">SUM(AOF10:AOK10)</f>
        <v>770</v>
      </c>
      <c r="AOM10" s="68">
        <f t="shared" ref="AOM10:AOM14" si="697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698">SUM(AON10:AOS10)</f>
        <v>110</v>
      </c>
      <c r="AOU10" s="68">
        <f t="shared" ref="AOU10:AOU14" si="699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0">SUM(AOV10:APA10)</f>
        <v>220</v>
      </c>
      <c r="APC10" s="68">
        <f t="shared" ref="APC10:APC14" si="701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2">SUM(APD10:API10)</f>
        <v>440</v>
      </c>
      <c r="APK10" s="68">
        <f t="shared" ref="APK10:APK14" si="703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04">SUM(APL10:APQ10)</f>
        <v>550</v>
      </c>
      <c r="APS10" s="68">
        <f t="shared" ref="APS10:APS14" si="705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06">SUM(APT10:APY10)</f>
        <v>440</v>
      </c>
      <c r="AQA10" s="68">
        <f t="shared" ref="AQA10:AQA14" si="707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08">SUM(AQB10:AQG10)</f>
        <v>0</v>
      </c>
      <c r="AQI10" s="68">
        <f t="shared" ref="AQI10:AQI14" si="709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0">SUM(AQJ10:AQO10)</f>
        <v>0</v>
      </c>
      <c r="AQQ10" s="43">
        <f t="shared" ref="AQQ10:AQQ14" si="711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2">SUM(AQR10:AQW10)</f>
        <v>0</v>
      </c>
      <c r="AQY10" s="43">
        <f t="shared" ref="AQY10:AQY14" si="713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14">SUM(AQZ10:ARE10)</f>
        <v>435</v>
      </c>
      <c r="ARG10" s="43">
        <f t="shared" ref="ARG10:ARG14" si="715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16">SUM(ARH10:ARM10)</f>
        <v>220</v>
      </c>
      <c r="ARO10" s="43">
        <f t="shared" ref="ARO10:ARO14" si="717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18">SUM(ARP10:ARU10)</f>
        <v>0</v>
      </c>
      <c r="ARW10" s="43">
        <f t="shared" ref="ARW10:ARW14" si="719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0">SUM(ARX10:ASC10)</f>
        <v>221</v>
      </c>
      <c r="ASE10" s="43">
        <f t="shared" ref="ASE10:ASE14" si="721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2">SUM(ASF10:ASK10)</f>
        <v>330</v>
      </c>
      <c r="ASM10" s="43">
        <f t="shared" ref="ASM10:ASM14" si="723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24">SUM(ASN10:ASS10)</f>
        <v>220</v>
      </c>
      <c r="ASU10" s="43">
        <f t="shared" ref="ASU10:ASU14" si="725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26">SUM(ASV10:ATA10)</f>
        <v>220</v>
      </c>
      <c r="ATC10" s="43">
        <f t="shared" ref="ATC10:ATC14" si="727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28">SUM(ATD10:ATI10)</f>
        <v>220</v>
      </c>
      <c r="ATK10" s="43">
        <f t="shared" ref="ATK10:ATK14" si="729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0">SUM(ATL10:ATQ10)</f>
        <v>330</v>
      </c>
      <c r="ATS10" s="43">
        <f t="shared" ref="ATS10:ATS14" si="731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2">SUM(ATT10:ATY10)</f>
        <v>121</v>
      </c>
      <c r="AUA10" s="43">
        <f t="shared" ref="AUA10:AUA14" si="733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34">SUM(AUB10:AUG10)</f>
        <v>0</v>
      </c>
      <c r="AUI10" s="43">
        <f t="shared" ref="AUI10:AUI14" si="735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36">SUM(AUJ10:AUO10)</f>
        <v>0</v>
      </c>
      <c r="AUQ10" s="43">
        <f t="shared" ref="AUQ10:AUQ14" si="737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38">SUM(AUR10:AUW10)</f>
        <v>0</v>
      </c>
      <c r="AUY10" s="43">
        <f t="shared" ref="AUY10:AUY14" si="739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0">SUM(AUZ10:AVE10)</f>
        <v>0</v>
      </c>
      <c r="AVG10" s="43">
        <f t="shared" ref="AVG10:AVG14" si="741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2">SUM(AVH10:AVM10)</f>
        <v>0</v>
      </c>
      <c r="AVO10" s="43">
        <f t="shared" ref="AVO10:AVO14" si="743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44">SUM(AVP10:AVU10)</f>
        <v>440</v>
      </c>
      <c r="AVW10" s="43">
        <f t="shared" ref="AVW10:AVW14" si="745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46">SUM(AVX10:AWC10)</f>
        <v>0</v>
      </c>
      <c r="AWE10" s="43">
        <f t="shared" ref="AWE10:AWE14" si="747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48">SUM(AWF10:AWK10)</f>
        <v>0</v>
      </c>
      <c r="AWM10" s="43">
        <f t="shared" ref="AWM10:AWM14" si="749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0">SUM(AWN10:AWS10)</f>
        <v>0</v>
      </c>
      <c r="AWU10" s="43">
        <f t="shared" ref="AWU10:AWU14" si="751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2">SUM(AWV10:AXA10)</f>
        <v>320</v>
      </c>
      <c r="AXC10" s="43">
        <f t="shared" ref="AXC10:AXC14" si="753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54">SUM(AXD10:AXI10)</f>
        <v>0</v>
      </c>
      <c r="AXK10" s="43">
        <f t="shared" ref="AXK10:AXK14" si="755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56">SUM(AXL10:AXP10)</f>
        <v>0</v>
      </c>
      <c r="AXS10" s="43">
        <f t="shared" ref="AXS10:AXS14" si="757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58">SUM(AXT10:AXX10)</f>
        <v>220</v>
      </c>
      <c r="AYA10" s="43">
        <f t="shared" ref="AYA10:AYA14" si="759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0">SUM(AYB10:AYG10)</f>
        <v>329</v>
      </c>
      <c r="AYI10" s="43">
        <f t="shared" ref="AYI10:AYI14" si="761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2">SUM(AYJ10:AYO10)</f>
        <v>0</v>
      </c>
      <c r="AYQ10" s="43">
        <f t="shared" ref="AYQ10:AYQ14" si="763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64">SUM(AYR10:AYW10)</f>
        <v>0</v>
      </c>
      <c r="AYY10" s="43">
        <f t="shared" ref="AYY10:AYY14" si="765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66">SUM(AYZ10:AZE10)</f>
        <v>330</v>
      </c>
      <c r="AZG10" s="43">
        <f t="shared" ref="AZG10:AZG14" si="767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68">SUM(AZH10:AZM10)</f>
        <v>220</v>
      </c>
      <c r="AZO10" s="43">
        <f t="shared" ref="AZO10:AZO14" si="769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0">SUM(AZP10:AZU10)</f>
        <v>220</v>
      </c>
      <c r="AZW10" s="43">
        <f t="shared" ref="AZW10:AZW14" si="771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2">SUM(AZX10:BAC10)</f>
        <v>0</v>
      </c>
      <c r="BAE10" s="43">
        <f t="shared" ref="BAE10:BAE14" si="773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74">SUM(BAF10:BAK10)</f>
        <v>218</v>
      </c>
      <c r="BAM10" s="43">
        <f t="shared" ref="BAM10:BAM14" si="775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76">SUM(BAN10:BAS10)</f>
        <v>220</v>
      </c>
      <c r="BAU10" s="43">
        <f t="shared" ref="BAU10:BAU14" si="777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78">SUM(BAV10:BBA10)</f>
        <v>0</v>
      </c>
      <c r="BBC10" s="43">
        <f t="shared" ref="BBC10:BBC14" si="779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0">SUM(BBD10:BBI10)</f>
        <v>167</v>
      </c>
      <c r="BBK10" s="43">
        <f t="shared" ref="BBK10:BBK14" si="781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2">SUM(BBL10:BBQ10)</f>
        <v>0</v>
      </c>
      <c r="BBS10" s="43">
        <f t="shared" ref="BBS10:BBS14" si="783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84">SUM(BBT10:BBY10)</f>
        <v>0</v>
      </c>
      <c r="BCA10" s="43">
        <f t="shared" ref="BCA10:BCA14" si="785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86">SUM(BCB10:BCG10)</f>
        <v>220</v>
      </c>
      <c r="BCI10" s="43">
        <f t="shared" ref="BCI10:BCI14" si="787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88">SUM(BCJ10:BCO10)</f>
        <v>0</v>
      </c>
      <c r="BCQ10" s="43">
        <f t="shared" ref="BCQ10:BCQ14" si="789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0">SUM(BCR10:BCW10)</f>
        <v>341</v>
      </c>
      <c r="BCY10" s="43">
        <f t="shared" ref="BCY10:BCY14" si="791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2">SUM(BCZ10:BDE10)</f>
        <v>0</v>
      </c>
      <c r="BDG10" s="43">
        <f t="shared" ref="BDG10:BDG14" si="793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794">SUM(BDH10:BDM10)</f>
        <v>220</v>
      </c>
      <c r="BDO10" s="43">
        <f t="shared" ref="BDO10:BDO14" si="795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796">SUM(BDP10:BDU10)</f>
        <v>110</v>
      </c>
      <c r="BDW10" s="43">
        <f t="shared" ref="BDW10:BDW14" si="797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798">SUM(BDX10:BEC10)</f>
        <v>0</v>
      </c>
      <c r="BEE10" s="43">
        <f t="shared" ref="BEE10:BEE14" si="799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0">SUM(BEF10:BEK10)</f>
        <v>0</v>
      </c>
      <c r="BEM10" s="43">
        <f t="shared" ref="BEM10:BEM14" si="801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2">SUM(BEN10:BES10)</f>
        <v>459</v>
      </c>
      <c r="BEU10" s="43">
        <f t="shared" ref="BEU10:BEU14" si="803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04">SUM(BEV10:BFA10)</f>
        <v>0</v>
      </c>
      <c r="BFC10" s="43">
        <f t="shared" ref="BFC10:BFC14" si="805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06">SUM(BFD10:BFI10)</f>
        <v>0</v>
      </c>
      <c r="BFK10" s="43">
        <f t="shared" ref="BFK10:BFK14" si="807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08">SUM(BFL10:BFQ10)</f>
        <v>90</v>
      </c>
      <c r="BFS10" s="43">
        <f t="shared" ref="BFS10:BFS14" si="809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0">SUM(BFT10:BFY10)</f>
        <v>0</v>
      </c>
      <c r="BGA10" s="43">
        <f t="shared" ref="BGA10:BGA14" si="811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2">SUM(BGB10:BGG10)</f>
        <v>219</v>
      </c>
      <c r="BGI10" s="43">
        <f t="shared" ref="BGI10:BGI14" si="813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14">SUM(BGJ10:BGO10)</f>
        <v>0</v>
      </c>
      <c r="BGQ10" s="43">
        <f t="shared" ref="BGQ10:BGQ14" si="815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16">SUM(BGR10:BGW10)</f>
        <v>436</v>
      </c>
      <c r="BGY10" s="43">
        <f t="shared" ref="BGY10:BGY14" si="817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18">SUM(BGZ10:BHE10)</f>
        <v>325</v>
      </c>
      <c r="BHG10" s="43">
        <f t="shared" ref="BHG10:BHG14" si="819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0">SUM(BHH10:BHM10)</f>
        <v>220</v>
      </c>
      <c r="BHO10" s="43">
        <f t="shared" ref="BHO10:BHO14" si="821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2">SUM(BHP10:BHU10)</f>
        <v>0</v>
      </c>
      <c r="BHW10" s="43">
        <f t="shared" ref="BHW10:BHW14" si="823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24">SUM(BHX10:BIC10)</f>
        <v>0</v>
      </c>
      <c r="BIE10" s="43">
        <f t="shared" ref="BIE10:BIE14" si="825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26">SUM(BIF10:BIK10)</f>
        <v>308</v>
      </c>
      <c r="BIM10" s="43">
        <f t="shared" ref="BIM10:BIM14" si="827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28">SUM(BIN10:BIS10)</f>
        <v>330</v>
      </c>
      <c r="BIU10" s="43">
        <f t="shared" ref="BIU10:BIU14" si="829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0">SUM(BIV10:BJA10)</f>
        <v>0</v>
      </c>
      <c r="BJC10" s="43">
        <f t="shared" ref="BJC10:BJC14" si="831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2">SUM(BJD10:BJI10)</f>
        <v>111</v>
      </c>
      <c r="BJK10" s="43">
        <f t="shared" ref="BJK10:BJK14" si="833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34">SUM(BJL10:BJQ10)</f>
        <v>87</v>
      </c>
      <c r="BJS10" s="43">
        <f t="shared" ref="BJS10:BJS14" si="835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36">SUM(BJT10:BJY10)</f>
        <v>109</v>
      </c>
      <c r="BKA10" s="43">
        <f t="shared" ref="BKA10:BKA14" si="837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38">SUM(BKB10:BKG10)</f>
        <v>239</v>
      </c>
      <c r="BKI10" s="43">
        <f t="shared" ref="BKI10:BKI14" si="839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0">SUM(BKJ10:BKO10)</f>
        <v>200</v>
      </c>
      <c r="BKQ10" s="43">
        <f t="shared" ref="BKQ10:BKQ14" si="841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2">SUM(BKR10:BKW10)</f>
        <v>0</v>
      </c>
      <c r="BKY10" s="43">
        <f t="shared" ref="BKY10:BKY14" si="843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44">SUM(BKZ10:BLE10)</f>
        <v>0</v>
      </c>
      <c r="BLG10" s="43">
        <f t="shared" ref="BLG10:BLG14" si="845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46">SUM(BLH10:BLM10)</f>
        <v>0</v>
      </c>
      <c r="BLO10" s="68">
        <f t="shared" ref="BLO10:BLO14" si="847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48">SUM(BLP10:BLU10)</f>
        <v>0</v>
      </c>
      <c r="BLW10" s="68">
        <f t="shared" ref="BLW10:BLW14" si="849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0">SUM(BLX10:BMC10)</f>
        <v>220</v>
      </c>
      <c r="BME10" s="43">
        <f t="shared" ref="BME10:BME14" si="851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2">SUM(BMF10:BMK10)</f>
        <v>109</v>
      </c>
      <c r="BMM10" s="43">
        <f t="shared" ref="BMM10:BMM14" si="853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54">SUM(BMN10:BMS10)</f>
        <v>0</v>
      </c>
      <c r="BMU10" s="43">
        <f t="shared" ref="BMU10:BMU14" si="855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56">SUM(BMV10:BNA10)</f>
        <v>474</v>
      </c>
      <c r="BNC10" s="43">
        <f t="shared" ref="BNC10:BNC14" si="857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58">SUM(BND10:BNI10)</f>
        <v>200</v>
      </c>
      <c r="BNK10" s="184">
        <f t="shared" ref="BNK10:BNK14" si="859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0">SUM(BNL10:BNQ10)</f>
        <v>0</v>
      </c>
      <c r="BNS10" s="211">
        <f t="shared" ref="BNS10:BNS14" si="861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2">SUM(BNT10:BNY10)</f>
        <v>312</v>
      </c>
      <c r="BOA10" s="184">
        <f t="shared" ref="BOA10:BOA14" si="863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64">SUM(BOB10:BOG10)</f>
        <v>0</v>
      </c>
      <c r="BOI10" s="68">
        <f t="shared" ref="BOI10:BOI14" si="865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66">SUM(BOJ10:BOO10)</f>
        <v>180</v>
      </c>
      <c r="BOQ10" s="68">
        <f t="shared" ref="BOQ10:BOQ14" si="867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68">SUM(BOR10:BOW10)</f>
        <v>0</v>
      </c>
      <c r="BOY10" s="68">
        <f t="shared" ref="BOY10:BOY14" si="869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0">SUM(BOZ10:BPE10)</f>
        <v>420</v>
      </c>
      <c r="BPG10" s="68">
        <f t="shared" ref="BPG10:BPG14" si="871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2">SUM(BPH10:BPM10)</f>
        <v>219</v>
      </c>
      <c r="BPO10" s="68">
        <f t="shared" ref="BPO10:BPO14" si="873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74">SUM(BPP10:BPU10)</f>
        <v>110</v>
      </c>
      <c r="BPW10" s="68">
        <f t="shared" ref="BPW10:BPW14" si="875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76">SUM(BPX10:BQC10)</f>
        <v>0</v>
      </c>
      <c r="BQE10" s="68">
        <f t="shared" ref="BQE10:BQE14" si="877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78">SUM(BQF10:BQK10)</f>
        <v>432</v>
      </c>
      <c r="BQM10" s="68">
        <f t="shared" ref="BQM10:BQM14" si="879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0">SUM(BQN10:BQS10)</f>
        <v>220</v>
      </c>
      <c r="BQU10" s="68">
        <f t="shared" ref="BQU10:BQU14" si="881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2">SUM(BQV10:BRA10)</f>
        <v>307</v>
      </c>
      <c r="BRC10" s="68">
        <f t="shared" ref="BRC10:BRC14" si="883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84">SUM(BRD10:BRI10)</f>
        <v>218</v>
      </c>
      <c r="BRK10" s="68">
        <f t="shared" ref="BRK10:BRK14" si="885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86">SUM(BRL10:BRQ10)</f>
        <v>86</v>
      </c>
      <c r="BRS10" s="68">
        <f t="shared" ref="BRS10:BRS14" si="887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88">SUM(BRT10:BRY10)</f>
        <v>200</v>
      </c>
      <c r="BSA10" s="68">
        <f t="shared" ref="BSA10:BSA14" si="889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0">SUM(BSB10:BSG10)</f>
        <v>326</v>
      </c>
      <c r="BSI10" s="68">
        <f t="shared" ref="BSI10:BSI14" si="891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2">SUM(BSJ10:BSO10)</f>
        <v>11</v>
      </c>
      <c r="BSQ10" s="68">
        <f t="shared" ref="BSQ10:BSQ14" si="893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894">SUM(BSR10:BSW10)</f>
        <v>0</v>
      </c>
      <c r="BSY10" s="68">
        <f t="shared" ref="BSY10:BSY14" si="895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896">SUM(BSZ10:BTE10)</f>
        <v>0</v>
      </c>
      <c r="BTG10" s="68">
        <f t="shared" ref="BTG10:BTG14" si="897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898">SUM(BTH10:BTM10)</f>
        <v>0</v>
      </c>
      <c r="BTO10" s="68">
        <f t="shared" ref="BTO10:BTO14" si="899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0">SUM(BTP10:BTU10)</f>
        <v>420</v>
      </c>
      <c r="BTW10" s="68">
        <f t="shared" ref="BTW10:BTW14" si="901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2">SUM(BTX10:BUC10)</f>
        <v>0</v>
      </c>
      <c r="BUE10" s="68">
        <f t="shared" ref="BUE10:BUE14" si="903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04">SUM(BUF10:BUK10)</f>
        <v>0</v>
      </c>
      <c r="BUM10" s="68">
        <f t="shared" ref="BUM10:BUM14" si="905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06">SUM(BUN10:BUS10)</f>
        <v>0</v>
      </c>
      <c r="BUU10" s="68">
        <f t="shared" ref="BUU10:BUU14" si="907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08">SUM(BUV10:BVA10)</f>
        <v>0</v>
      </c>
      <c r="BVC10" s="68">
        <f t="shared" ref="BVC10:BVC14" si="909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0">SUM(BVD10:BVI10)</f>
        <v>0</v>
      </c>
      <c r="BVK10" s="68">
        <f t="shared" ref="BVK10:BVK14" si="911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2">SUM(BVL10:BVQ10)</f>
        <v>0</v>
      </c>
      <c r="BVS10" s="68">
        <f t="shared" ref="BVS10:BVS14" si="913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14">SUM(BVT10:BVY10)</f>
        <v>0</v>
      </c>
      <c r="BWA10" s="68">
        <f t="shared" ref="BWA10:BWA14" si="915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16">SUM(BWB10:BWG10)</f>
        <v>458</v>
      </c>
      <c r="BWI10" s="68">
        <f t="shared" ref="BWI10:BWI14" si="917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18">SUM(BWJ10:BWO10)</f>
        <v>110</v>
      </c>
      <c r="BWQ10" s="68">
        <f t="shared" ref="BWQ10:BWQ14" si="919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0">SUM(BWR10:BWW10)</f>
        <v>200</v>
      </c>
      <c r="BWY10" s="68">
        <f t="shared" ref="BWY10:BWY14" si="921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2">SUM(BWZ10:BXE10)</f>
        <v>110</v>
      </c>
      <c r="BXG10" s="68">
        <f t="shared" ref="BXG10:BXG14" si="923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24">SUM(BXH10:BXM10)</f>
        <v>199</v>
      </c>
      <c r="BXO10" s="68">
        <f t="shared" ref="BXO10:BXO14" si="925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26">SUM(BXP10:BXU10)</f>
        <v>220</v>
      </c>
      <c r="BXW10" s="68">
        <f t="shared" ref="BXW10:BXW14" si="927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28">SUM(BXX10:BYC10)</f>
        <v>199</v>
      </c>
      <c r="BYE10" s="68">
        <f t="shared" ref="BYE10:BYE14" si="929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0">SUM(BYF10:BYK10)</f>
        <v>0</v>
      </c>
      <c r="BYM10" s="68">
        <f t="shared" ref="BYM10:BYM14" si="931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2">SUM(BYN10:BYS10)</f>
        <v>0</v>
      </c>
      <c r="BYU10" s="68">
        <f t="shared" ref="BYU10:BYU14" si="933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34">SUM(BYV10:BZA10)</f>
        <v>200</v>
      </c>
      <c r="BZC10" s="68">
        <f t="shared" ref="BZC10:BZC14" si="935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36">SUM(BZD10:BZI10)</f>
        <v>0</v>
      </c>
      <c r="BZK10" s="68">
        <f t="shared" ref="BZK10:BZK14" si="937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38">SUM(BZL10:BZQ10)</f>
        <v>110</v>
      </c>
      <c r="BZS10" s="68">
        <f t="shared" ref="BZS10:BZS14" si="939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0">SUM(BZT10:BZY10)</f>
        <v>0</v>
      </c>
      <c r="CAA10" s="68">
        <f t="shared" ref="CAA10:CAA14" si="941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2">SUM(CAB10:CAG10)</f>
        <v>0</v>
      </c>
      <c r="CAI10" s="68">
        <f t="shared" ref="CAI10:CAI14" si="943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44">SUM(CAJ10:CAO10)</f>
        <v>0</v>
      </c>
      <c r="CAQ10" s="68">
        <f t="shared" ref="CAQ10:CAQ14" si="945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46">SUM(CAR10:CAW10)</f>
        <v>0</v>
      </c>
      <c r="CAY10" s="68">
        <f t="shared" ref="CAY10:CAY14" si="947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48">SUM(CAZ10:CBE10)</f>
        <v>129</v>
      </c>
      <c r="CBG10" s="68">
        <f t="shared" ref="CBG10:CBG14" si="949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0">SUM(CBH10:CBM10)</f>
        <v>0</v>
      </c>
      <c r="CBO10" s="68">
        <f t="shared" ref="CBO10:CBO14" si="951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2">SUM(CBP10:CBU10)</f>
        <v>0</v>
      </c>
      <c r="CBW10" s="68">
        <f t="shared" ref="CBW10:CBW14" si="953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54">SUM(CBX10:CCC10)</f>
        <v>0</v>
      </c>
      <c r="CCE10" s="68">
        <f t="shared" ref="CCE10:CCE14" si="955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56">SUM(CCF10:CCK10)</f>
        <v>0</v>
      </c>
      <c r="CCM10" s="68">
        <f t="shared" ref="CCM10:CCM14" si="957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58">SUM(CCN10:CCS10)</f>
        <v>0</v>
      </c>
      <c r="CCU10" s="68">
        <f t="shared" ref="CCU10:CCU14" si="959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0">SUM(CCV10:CDA10)</f>
        <v>0</v>
      </c>
      <c r="CDC10" s="68">
        <f t="shared" ref="CDC10:CDC14" si="961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2">SUM(CDD10:CDI10)</f>
        <v>0</v>
      </c>
      <c r="CDK10" s="68">
        <f t="shared" ref="CDK10:CDK14" si="963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64">SUM(CDL10:CDQ10)</f>
        <v>0</v>
      </c>
      <c r="CDS10" s="68">
        <f t="shared" ref="CDS10:CDS14" si="965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66">SUM(CDT10:CDY10)</f>
        <v>0</v>
      </c>
      <c r="CEA10" s="68">
        <f t="shared" ref="CEA10:CEA14" si="967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68">SUM(CEX10:CFC10)</f>
        <v>0</v>
      </c>
      <c r="CFE10" s="68">
        <f t="shared" ref="CFE10:CFE14" si="969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0">SUM(CFF10:CFK10)</f>
        <v>0</v>
      </c>
      <c r="CFM10" s="68">
        <f t="shared" ref="CFM10:CFM14" si="971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2">SUM(CFN10:CFS10)</f>
        <v>0</v>
      </c>
      <c r="CFU10" s="68">
        <f t="shared" ref="CFU10:CFU14" si="973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74">SUM(CFV10:CGA10)</f>
        <v>0</v>
      </c>
      <c r="CGC10" s="68">
        <f t="shared" ref="CGC10:CGC14" si="975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76">SUM(CGD10:CGI10)</f>
        <v>0</v>
      </c>
      <c r="CGK10" s="68">
        <f t="shared" ref="CGK10:CGK14" si="977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78">SUM(CGL10:CGQ10)</f>
        <v>0</v>
      </c>
      <c r="CGS10" s="68">
        <f t="shared" ref="CGS10:CGS14" si="979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0">SUM(CGT10:CGY10)</f>
        <v>0</v>
      </c>
      <c r="CHA10" s="68">
        <f t="shared" ref="CHA10:CHA14" si="981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2">SUM(CHB10:CHG10)</f>
        <v>0</v>
      </c>
      <c r="CHI10" s="68">
        <f t="shared" ref="CHI10:CHI14" si="983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84">SUM(CHJ10:CHO10)</f>
        <v>0</v>
      </c>
      <c r="CHQ10" s="68">
        <f t="shared" ref="CHQ10:CHQ14" si="985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86">SUM(CHR10:CHW10)</f>
        <v>0</v>
      </c>
      <c r="CHY10" s="68">
        <f t="shared" ref="CHY10:CHY14" si="987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88">SUM(CHZ10:CIE10)</f>
        <v>0</v>
      </c>
      <c r="CIG10" s="68">
        <f t="shared" ref="CIG10:CIG14" si="989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0">SUM(CIH10:CIM10)</f>
        <v>0</v>
      </c>
      <c r="CIO10" s="68">
        <f t="shared" ref="CIO10:CIO14" si="991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2">SUM(CIP10:CIU10)</f>
        <v>0</v>
      </c>
      <c r="CIW10" s="68">
        <f t="shared" ref="CIW10:CIW14" si="993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994">SUM(CIX10:CJC10)</f>
        <v>0</v>
      </c>
      <c r="CJE10" s="43">
        <f t="shared" ref="CJE10:CJE14" si="995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996">SUM(CJF10:CJK10)</f>
        <v>0</v>
      </c>
      <c r="CJM10" s="43">
        <f t="shared" ref="CJM10:CJM14" si="997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998">SUM(CJN10:CJS10)</f>
        <v>0</v>
      </c>
      <c r="CJU10" s="43">
        <f t="shared" ref="CJU10:CJU14" si="999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0">SUM(CJV10:CKA10)</f>
        <v>0</v>
      </c>
      <c r="CKC10" s="43">
        <f t="shared" ref="CKC10:CKC14" si="1001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2">SUM(CKD10:CKI10)</f>
        <v>0</v>
      </c>
      <c r="CKK10" s="43">
        <f t="shared" ref="CKK10:CKK14" si="1003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04">SUM(CKL10:CKQ10)</f>
        <v>0</v>
      </c>
      <c r="CKS10" s="43">
        <f t="shared" ref="CKS10:CKS14" si="1005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06">SUM(CKT10:CKY10)</f>
        <v>0</v>
      </c>
      <c r="CLA10" s="43">
        <f t="shared" ref="CLA10:CLA14" si="1007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08">SUM(CLB10:CLG10)</f>
        <v>0</v>
      </c>
      <c r="CLI10" s="43">
        <f t="shared" ref="CLI10:CLI14" si="1009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0">SUM(CLJ10:CLO10)</f>
        <v>0</v>
      </c>
      <c r="CLQ10" s="43">
        <f t="shared" ref="CLQ10:CLQ14" si="1011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2">SUM(CLR10:CLW10)</f>
        <v>0</v>
      </c>
      <c r="CLY10" s="43">
        <f t="shared" ref="CLY10:CLY14" si="1013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14">SUM(CLZ10:CME10)</f>
        <v>0</v>
      </c>
      <c r="CMG10" s="43">
        <f t="shared" ref="CMG10:CMG14" si="1015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16">SUM(CMH10:CMM10)</f>
        <v>0</v>
      </c>
      <c r="CMO10" s="43">
        <f t="shared" ref="CMO10:CMO14" si="1017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18">SUM(CMP10:CMU10)</f>
        <v>0</v>
      </c>
      <c r="CMW10" s="43">
        <f t="shared" ref="CMW10:CMW16" si="1019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0">SUM(CMX10:CNC10)</f>
        <v>0</v>
      </c>
      <c r="CNE10" s="68">
        <f t="shared" ref="CNE10:CNE16" si="1021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5"/>
        <v>0</v>
      </c>
      <c r="CNM10" s="68">
        <f t="shared" si="226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7"/>
        <v>0</v>
      </c>
      <c r="CNU10" s="68">
        <f t="shared" si="228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29"/>
        <v>0</v>
      </c>
      <c r="COC10" s="68">
        <f t="shared" si="230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1"/>
        <v>0</v>
      </c>
      <c r="COK10" s="68">
        <f t="shared" si="232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3"/>
        <v>0</v>
      </c>
      <c r="COS10" s="68">
        <f t="shared" si="234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5"/>
        <v>0</v>
      </c>
      <c r="CPA10" s="68">
        <f t="shared" si="236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7"/>
        <v>0</v>
      </c>
      <c r="CPI10" s="68">
        <f t="shared" si="238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39"/>
        <v>0</v>
      </c>
      <c r="CPQ10" s="68">
        <f t="shared" si="240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1"/>
        <v>0</v>
      </c>
      <c r="CPY10" s="68">
        <f t="shared" si="242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3"/>
        <v>0</v>
      </c>
      <c r="CQG10" s="68">
        <f t="shared" si="244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5"/>
        <v>0</v>
      </c>
      <c r="CQO10" s="43">
        <f t="shared" si="246"/>
        <v>0</v>
      </c>
      <c r="CQP10" s="48"/>
      <c r="CQQ10" s="49"/>
      <c r="CQR10" s="49"/>
      <c r="CQS10" s="49"/>
      <c r="CQT10" s="49"/>
      <c r="CQU10" s="49"/>
      <c r="CQV10" s="127">
        <f t="shared" si="247"/>
        <v>0</v>
      </c>
      <c r="CQW10" s="43">
        <f t="shared" si="248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49"/>
        <v>338</v>
      </c>
      <c r="CRE10" s="43">
        <f t="shared" si="250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1"/>
        <v>0</v>
      </c>
      <c r="DKG10" s="68">
        <f t="shared" si="252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3"/>
        <v>0</v>
      </c>
      <c r="DKO10" s="68">
        <f t="shared" si="254"/>
        <v>0</v>
      </c>
      <c r="DKP10" s="48"/>
      <c r="DKQ10" s="49"/>
      <c r="DKR10" s="49"/>
      <c r="DKS10" s="49"/>
      <c r="DKT10" s="49"/>
      <c r="DKU10" s="49"/>
      <c r="DKV10" s="64">
        <f t="shared" si="255"/>
        <v>0</v>
      </c>
      <c r="DKW10" s="68">
        <f t="shared" si="256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7"/>
        <v>0</v>
      </c>
      <c r="DLE10" s="68">
        <f t="shared" si="258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59"/>
        <v>0</v>
      </c>
      <c r="DLM10" s="68">
        <f t="shared" si="260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1"/>
        <v>0</v>
      </c>
      <c r="DLU10" s="68">
        <f t="shared" si="262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3"/>
        <v>0</v>
      </c>
      <c r="DMC10" s="68">
        <f t="shared" si="264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5"/>
        <v>0</v>
      </c>
      <c r="DMK10" s="68">
        <f t="shared" si="266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7"/>
        <v>0</v>
      </c>
      <c r="DMS10" s="68">
        <f t="shared" si="268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69"/>
        <v>0</v>
      </c>
      <c r="DNA10" s="68">
        <f t="shared" si="270"/>
        <v>0</v>
      </c>
      <c r="DNB10" s="48"/>
      <c r="DNC10" s="49"/>
      <c r="DND10" s="49"/>
      <c r="DNE10" s="49"/>
      <c r="DNF10" s="49"/>
      <c r="DNG10" s="49"/>
      <c r="DNH10" s="64">
        <f t="shared" si="271"/>
        <v>0</v>
      </c>
      <c r="DNI10" s="68">
        <f t="shared" si="272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3"/>
        <v>0</v>
      </c>
      <c r="DNQ10" s="68">
        <f t="shared" si="274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5"/>
        <v>0</v>
      </c>
      <c r="DNY10" s="68">
        <f t="shared" si="276"/>
        <v>0</v>
      </c>
      <c r="DNZ10" s="48"/>
      <c r="DOA10" s="49"/>
      <c r="DOB10" s="49"/>
      <c r="DOC10" s="49"/>
      <c r="DOD10" s="49"/>
      <c r="DOE10" s="49"/>
      <c r="DOF10" s="64">
        <f t="shared" si="277"/>
        <v>0</v>
      </c>
      <c r="DOG10" s="68">
        <f t="shared" si="278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79"/>
        <v>0</v>
      </c>
      <c r="DOO10" s="68">
        <f t="shared" si="280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1"/>
        <v>0</v>
      </c>
      <c r="DOW10" s="68">
        <f t="shared" si="282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3"/>
        <v>0</v>
      </c>
      <c r="DPE10" s="68">
        <f t="shared" si="284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5"/>
        <v>0</v>
      </c>
      <c r="DPM10" s="68">
        <f t="shared" si="286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7"/>
        <v>0</v>
      </c>
      <c r="DPU10" s="68">
        <f t="shared" si="288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89"/>
        <v>0</v>
      </c>
      <c r="DQC10" s="68">
        <f t="shared" si="290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1"/>
        <v>0</v>
      </c>
      <c r="DQK10" s="68">
        <f t="shared" si="292"/>
        <v>0</v>
      </c>
      <c r="DQL10" s="48"/>
      <c r="DQM10" s="49"/>
      <c r="DQN10" s="49"/>
      <c r="DQO10" s="49"/>
      <c r="DQP10" s="49"/>
      <c r="DQQ10" s="49"/>
      <c r="DQR10" s="64">
        <f t="shared" si="293"/>
        <v>0</v>
      </c>
      <c r="DQS10" s="68">
        <f t="shared" si="294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5"/>
        <v>0</v>
      </c>
      <c r="DRA10" s="68">
        <f t="shared" si="296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7"/>
        <v>0</v>
      </c>
      <c r="DRI10" s="68">
        <f t="shared" si="298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299"/>
        <v>0</v>
      </c>
      <c r="DRQ10" s="68">
        <f t="shared" si="300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1"/>
        <v>0</v>
      </c>
      <c r="DRY10" s="68">
        <f t="shared" si="302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3"/>
        <v>0</v>
      </c>
      <c r="DSG10" s="68">
        <f t="shared" si="304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5"/>
        <v>0</v>
      </c>
      <c r="DSO10" s="68">
        <f t="shared" si="306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7"/>
        <v>0</v>
      </c>
      <c r="DSW10" s="68">
        <f t="shared" si="308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09"/>
        <v>0</v>
      </c>
      <c r="DTE10" s="68">
        <f t="shared" si="310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1"/>
        <v>0</v>
      </c>
      <c r="DTM10" s="68">
        <f t="shared" si="312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3"/>
        <v>0</v>
      </c>
      <c r="DTU10" s="68">
        <f t="shared" si="314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5"/>
        <v>0</v>
      </c>
      <c r="DUC10" s="68">
        <f t="shared" si="316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7"/>
        <v>0</v>
      </c>
      <c r="DUK10" s="68">
        <f t="shared" si="318"/>
        <v>0</v>
      </c>
      <c r="DUL10" s="48"/>
      <c r="DUM10" s="49"/>
      <c r="DUN10" s="49"/>
      <c r="DUO10" s="49"/>
      <c r="DUP10" s="49"/>
      <c r="DUQ10" s="49"/>
      <c r="DUR10" s="64">
        <f t="shared" si="319"/>
        <v>0</v>
      </c>
      <c r="DUS10" s="68">
        <f t="shared" si="320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1"/>
        <v>0</v>
      </c>
      <c r="DVA10" s="68">
        <f t="shared" si="322"/>
        <v>0</v>
      </c>
      <c r="DVB10" s="48"/>
      <c r="DVC10" s="49"/>
      <c r="DVD10" s="49"/>
      <c r="DVE10" s="49"/>
      <c r="DVF10" s="49"/>
      <c r="DVG10" s="49"/>
      <c r="DVH10" s="64">
        <f t="shared" si="323"/>
        <v>0</v>
      </c>
      <c r="DVI10" s="68">
        <f t="shared" si="324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5"/>
        <v>0</v>
      </c>
      <c r="DVQ10" s="68">
        <f t="shared" si="326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7"/>
        <v>0</v>
      </c>
      <c r="DVY10" s="68">
        <f t="shared" si="328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29"/>
        <v>0</v>
      </c>
      <c r="DWG10" s="68">
        <f t="shared" si="330"/>
        <v>0</v>
      </c>
      <c r="DWH10" s="48"/>
      <c r="DWI10" s="49"/>
      <c r="DWJ10" s="49"/>
      <c r="DWK10" s="49"/>
      <c r="DWL10" s="49"/>
      <c r="DWM10" s="49"/>
      <c r="DWN10" s="64">
        <f t="shared" si="331"/>
        <v>0</v>
      </c>
      <c r="DWO10" s="68">
        <f t="shared" si="332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3"/>
        <v>0</v>
      </c>
      <c r="DWW10" s="68">
        <f t="shared" si="334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5"/>
        <v>0</v>
      </c>
      <c r="DXE10" s="68">
        <f t="shared" si="336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7"/>
        <v>0</v>
      </c>
      <c r="DXM10" s="68">
        <f t="shared" si="338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39"/>
        <v>0</v>
      </c>
      <c r="DXU10" s="184">
        <f t="shared" si="340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1"/>
        <v>0</v>
      </c>
      <c r="DYD10" s="211">
        <f t="shared" si="342"/>
        <v>0</v>
      </c>
      <c r="DYE10" s="195"/>
      <c r="DYF10" s="49"/>
      <c r="DYG10" s="49"/>
      <c r="DYH10" s="49"/>
      <c r="DYI10" s="49"/>
      <c r="DYJ10" s="49"/>
      <c r="DYK10" s="64">
        <f t="shared" si="343"/>
        <v>0</v>
      </c>
      <c r="DYL10" s="211">
        <f t="shared" si="344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5"/>
        <v>0</v>
      </c>
      <c r="DYT10" s="211">
        <f t="shared" si="346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7"/>
        <v>0</v>
      </c>
      <c r="DZB10" s="211">
        <f t="shared" si="348"/>
        <v>0</v>
      </c>
      <c r="DZC10" s="195"/>
      <c r="DZD10" s="49"/>
      <c r="DZE10" s="49"/>
      <c r="DZF10" s="49"/>
      <c r="DZG10" s="49"/>
      <c r="DZH10" s="49"/>
      <c r="DZI10" s="64">
        <f t="shared" si="349"/>
        <v>0</v>
      </c>
      <c r="DZJ10" s="211">
        <f t="shared" si="350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1"/>
        <v>0</v>
      </c>
      <c r="DZR10" s="211">
        <f t="shared" si="352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3"/>
        <v>0</v>
      </c>
      <c r="DZZ10" s="211">
        <f t="shared" si="354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5"/>
        <v>0</v>
      </c>
      <c r="EAH10" s="211">
        <f t="shared" si="356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7"/>
        <v>0</v>
      </c>
      <c r="EAP10" s="211">
        <f t="shared" si="358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59"/>
        <v>0</v>
      </c>
      <c r="EAX10" s="211">
        <f t="shared" si="360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1"/>
        <v>0</v>
      </c>
      <c r="EBF10" s="211">
        <f t="shared" si="362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3"/>
        <v>0</v>
      </c>
      <c r="EBN10" s="211">
        <f t="shared" si="364"/>
        <v>0</v>
      </c>
      <c r="EBO10" s="195"/>
      <c r="EBP10" s="49"/>
      <c r="EBQ10" s="49"/>
      <c r="EBR10" s="49"/>
      <c r="EBS10" s="49"/>
      <c r="EBT10" s="49"/>
      <c r="EBU10" s="64">
        <f t="shared" si="365"/>
        <v>0</v>
      </c>
      <c r="EBV10" s="184">
        <f t="shared" si="366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7"/>
        <v>0</v>
      </c>
      <c r="ECD10" s="211">
        <f t="shared" si="368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69"/>
        <v>0</v>
      </c>
      <c r="ECL10" s="211">
        <f t="shared" si="370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1"/>
        <v>0</v>
      </c>
      <c r="ECT10" s="211">
        <f t="shared" si="372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3"/>
        <v>337</v>
      </c>
      <c r="EDB10" s="211">
        <f t="shared" si="374"/>
        <v>56.166666666666664</v>
      </c>
      <c r="EDC10" s="195"/>
      <c r="EDD10" s="49"/>
      <c r="EDE10" s="49"/>
      <c r="EDF10" s="49"/>
      <c r="EDG10" s="49"/>
      <c r="EDH10" s="49"/>
      <c r="EDI10" s="64">
        <f t="shared" si="375"/>
        <v>0</v>
      </c>
      <c r="EDJ10" s="211">
        <f t="shared" si="376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7"/>
        <v>308</v>
      </c>
      <c r="EDR10" s="211">
        <f t="shared" si="378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79"/>
        <v>0</v>
      </c>
      <c r="EDZ10" s="707">
        <f t="shared" si="380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1"/>
        <v>351</v>
      </c>
      <c r="EEH10" s="211">
        <f t="shared" si="382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3"/>
        <v>366</v>
      </c>
      <c r="EEP10" s="211">
        <f t="shared" si="384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5"/>
        <v>664</v>
      </c>
      <c r="EEX10" s="211">
        <f t="shared" si="386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7"/>
        <v>690</v>
      </c>
      <c r="EFF10" s="211">
        <f t="shared" si="388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89"/>
        <v>346</v>
      </c>
      <c r="EFN10" s="211">
        <f t="shared" si="390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1"/>
        <v>323</v>
      </c>
      <c r="EFV10" s="211">
        <f t="shared" si="392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3"/>
        <v>695</v>
      </c>
      <c r="EGD10" s="211">
        <f t="shared" si="394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5"/>
        <v>0</v>
      </c>
      <c r="EGL10" s="211">
        <f t="shared" si="396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7"/>
        <v>316</v>
      </c>
      <c r="EGT10" s="211">
        <f t="shared" si="398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399"/>
        <v>344</v>
      </c>
      <c r="EHB10" s="211">
        <f t="shared" si="400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1"/>
        <v>0</v>
      </c>
      <c r="EHJ10" s="211">
        <f t="shared" si="402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3"/>
        <v>283</v>
      </c>
      <c r="EHR10" s="211">
        <f t="shared" si="404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5"/>
        <v>0</v>
      </c>
      <c r="EHZ10" s="211">
        <f t="shared" si="406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7"/>
        <v>0</v>
      </c>
      <c r="EIH10" s="211">
        <f t="shared" si="408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09"/>
        <v>303</v>
      </c>
      <c r="EIP10" s="211">
        <f t="shared" si="410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1"/>
        <v>0</v>
      </c>
      <c r="EIX10" s="211">
        <f t="shared" si="412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3"/>
        <v>329</v>
      </c>
      <c r="EJF10" s="211">
        <f t="shared" si="414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5"/>
        <v>0</v>
      </c>
      <c r="EJN10" s="211">
        <f t="shared" si="416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7"/>
        <v>0</v>
      </c>
      <c r="EJV10" s="211">
        <f t="shared" si="418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19"/>
        <v>649</v>
      </c>
      <c r="EKD10" s="211">
        <f t="shared" si="420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1"/>
        <v>665</v>
      </c>
      <c r="EKL10" s="211">
        <f t="shared" si="422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3"/>
        <v>0</v>
      </c>
      <c r="EKT10" s="211">
        <f t="shared" si="424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5"/>
        <v>334</v>
      </c>
      <c r="ELB10" s="211">
        <f t="shared" si="426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7"/>
        <v>672</v>
      </c>
      <c r="ELJ10" s="211">
        <f t="shared" si="428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29"/>
        <v>970</v>
      </c>
      <c r="ELR10" s="211">
        <f t="shared" si="430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1"/>
        <v>0</v>
      </c>
      <c r="ELZ10" s="873">
        <f t="shared" si="432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3"/>
        <v>318</v>
      </c>
      <c r="EMH10" s="873">
        <f t="shared" si="434"/>
        <v>53</v>
      </c>
      <c r="EMI10" s="195">
        <v>0</v>
      </c>
      <c r="EMJ10" s="49"/>
      <c r="EMK10" s="49"/>
      <c r="EML10" s="49"/>
      <c r="EMM10" s="49"/>
      <c r="EMN10" s="49"/>
      <c r="EMO10" s="872">
        <f t="shared" si="435"/>
        <v>0</v>
      </c>
      <c r="EMP10" s="873">
        <f t="shared" si="436"/>
        <v>0</v>
      </c>
    </row>
    <row r="11" spans="1:3734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1766</v>
      </c>
      <c r="G11" s="24"/>
      <c r="H11" s="24"/>
      <c r="I11" s="360"/>
      <c r="J11" s="360">
        <f>SUMIF(SUMPK!$B:$B,$B:$B,SUMPK!$O:$O)</f>
        <v>0</v>
      </c>
      <c r="K11" s="24"/>
      <c r="L11" s="24">
        <f>F11+H11-J11</f>
        <v>1766</v>
      </c>
      <c r="M11" s="15">
        <f t="shared" ref="M11:M14" si="1022">K11+L11</f>
        <v>1766</v>
      </c>
      <c r="N11" s="444">
        <v>0</v>
      </c>
      <c r="O11" s="276">
        <f t="shared" si="2"/>
        <v>0</v>
      </c>
      <c r="P11" s="277">
        <f t="shared" si="437"/>
        <v>480</v>
      </c>
      <c r="Q11" s="276">
        <f t="shared" si="3"/>
        <v>22.074999999999999</v>
      </c>
      <c r="R11" s="277">
        <f t="shared" si="224"/>
        <v>110.76923076923077</v>
      </c>
      <c r="S11" s="222">
        <v>2880</v>
      </c>
      <c r="T11" s="276">
        <f t="shared" si="4"/>
        <v>15.943055555555555</v>
      </c>
      <c r="U11" s="278"/>
      <c r="V11" s="302">
        <f t="shared" si="5"/>
        <v>15.943055555555555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0"/>
        <v>200</v>
      </c>
      <c r="BNS11" s="211">
        <f t="shared" si="861"/>
        <v>33.333333333333336</v>
      </c>
      <c r="BNT11" s="195"/>
      <c r="BNU11" s="49"/>
      <c r="BNV11" s="49"/>
      <c r="BNW11" s="49"/>
      <c r="BNX11" s="49"/>
      <c r="BNY11" s="49"/>
      <c r="BNZ11" s="67">
        <f t="shared" si="862"/>
        <v>0</v>
      </c>
      <c r="BOA11" s="184">
        <f t="shared" si="863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64"/>
        <v>200</v>
      </c>
      <c r="BOI11" s="68">
        <f t="shared" si="865"/>
        <v>33.333333333333336</v>
      </c>
      <c r="BOJ11" s="48"/>
      <c r="BOK11" s="49"/>
      <c r="BOL11" s="49"/>
      <c r="BOM11" s="49"/>
      <c r="BON11" s="49"/>
      <c r="BOO11" s="49"/>
      <c r="BOP11" s="67">
        <f t="shared" si="866"/>
        <v>0</v>
      </c>
      <c r="BOQ11" s="68">
        <f t="shared" si="867"/>
        <v>0</v>
      </c>
      <c r="BOR11" s="48"/>
      <c r="BOS11" s="49"/>
      <c r="BOT11" s="49"/>
      <c r="BOU11" s="49"/>
      <c r="BOV11" s="49"/>
      <c r="BOW11" s="49"/>
      <c r="BOX11" s="67">
        <f t="shared" si="868"/>
        <v>0</v>
      </c>
      <c r="BOY11" s="68">
        <f t="shared" si="869"/>
        <v>0</v>
      </c>
      <c r="BOZ11" s="48"/>
      <c r="BPA11" s="49"/>
      <c r="BPB11" s="49"/>
      <c r="BPC11" s="49"/>
      <c r="BPD11" s="49"/>
      <c r="BPE11" s="49"/>
      <c r="BPF11" s="67">
        <f t="shared" si="870"/>
        <v>0</v>
      </c>
      <c r="BPG11" s="68">
        <f t="shared" si="871"/>
        <v>0</v>
      </c>
      <c r="BPH11" s="48"/>
      <c r="BPI11" s="49"/>
      <c r="BPJ11" s="49"/>
      <c r="BPK11" s="49"/>
      <c r="BPL11" s="49"/>
      <c r="BPM11" s="49"/>
      <c r="BPN11" s="67">
        <f t="shared" si="872"/>
        <v>0</v>
      </c>
      <c r="BPO11" s="68">
        <f t="shared" si="873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74"/>
        <v>100</v>
      </c>
      <c r="BPW11" s="68">
        <f t="shared" si="875"/>
        <v>16.666666666666668</v>
      </c>
      <c r="BPX11" s="48"/>
      <c r="BPY11" s="49"/>
      <c r="BPZ11" s="49"/>
      <c r="BQA11" s="49"/>
      <c r="BQB11" s="49"/>
      <c r="BQC11" s="49"/>
      <c r="BQD11" s="67">
        <f t="shared" si="876"/>
        <v>0</v>
      </c>
      <c r="BQE11" s="68">
        <f t="shared" si="877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78"/>
        <v>119</v>
      </c>
      <c r="BQM11" s="68">
        <f t="shared" si="879"/>
        <v>19.833333333333332</v>
      </c>
      <c r="BQN11" s="48"/>
      <c r="BQO11" s="49"/>
      <c r="BQP11" s="49"/>
      <c r="BQQ11" s="49"/>
      <c r="BQR11" s="49"/>
      <c r="BQS11" s="49"/>
      <c r="BQT11" s="67">
        <f t="shared" si="880"/>
        <v>0</v>
      </c>
      <c r="BQU11" s="68">
        <f t="shared" si="881"/>
        <v>0</v>
      </c>
      <c r="BQV11" s="48"/>
      <c r="BQW11" s="49"/>
      <c r="BQX11" s="49"/>
      <c r="BQY11" s="49"/>
      <c r="BQZ11" s="49"/>
      <c r="BRA11" s="49"/>
      <c r="BRB11" s="67">
        <f t="shared" si="882"/>
        <v>0</v>
      </c>
      <c r="BRC11" s="68">
        <f t="shared" si="883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84"/>
        <v>79</v>
      </c>
      <c r="BRK11" s="68">
        <f t="shared" si="885"/>
        <v>13.166666666666666</v>
      </c>
      <c r="BRL11" s="48"/>
      <c r="BRM11" s="49"/>
      <c r="BRN11" s="49"/>
      <c r="BRO11" s="49"/>
      <c r="BRP11" s="49"/>
      <c r="BRQ11" s="49"/>
      <c r="BRR11" s="67">
        <f t="shared" si="886"/>
        <v>0</v>
      </c>
      <c r="BRS11" s="68">
        <f t="shared" si="887"/>
        <v>0</v>
      </c>
      <c r="BRT11" s="48"/>
      <c r="BRU11" s="49"/>
      <c r="BRV11" s="49"/>
      <c r="BRW11" s="49"/>
      <c r="BRX11" s="49"/>
      <c r="BRY11" s="49"/>
      <c r="BRZ11" s="67">
        <f t="shared" si="888"/>
        <v>0</v>
      </c>
      <c r="BSA11" s="68">
        <f t="shared" si="889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0"/>
        <v>140</v>
      </c>
      <c r="BSI11" s="68">
        <f t="shared" si="891"/>
        <v>23.333333333333332</v>
      </c>
      <c r="BSJ11" s="48"/>
      <c r="BSK11" s="49"/>
      <c r="BSL11" s="49"/>
      <c r="BSM11" s="49"/>
      <c r="BSN11" s="49"/>
      <c r="BSO11" s="49"/>
      <c r="BSP11" s="67">
        <f t="shared" si="892"/>
        <v>0</v>
      </c>
      <c r="BSQ11" s="68">
        <f t="shared" si="893"/>
        <v>0</v>
      </c>
      <c r="BSR11" s="48"/>
      <c r="BSS11" s="49"/>
      <c r="BST11" s="49"/>
      <c r="BSU11" s="49"/>
      <c r="BSV11" s="49"/>
      <c r="BSW11" s="49"/>
      <c r="BSX11" s="67">
        <f t="shared" si="894"/>
        <v>0</v>
      </c>
      <c r="BSY11" s="68">
        <f t="shared" si="895"/>
        <v>0</v>
      </c>
      <c r="BSZ11" s="48"/>
      <c r="BTA11" s="49"/>
      <c r="BTB11" s="49"/>
      <c r="BTC11" s="49"/>
      <c r="BTD11" s="49"/>
      <c r="BTE11" s="49"/>
      <c r="BTF11" s="67">
        <f t="shared" si="896"/>
        <v>0</v>
      </c>
      <c r="BTG11" s="68">
        <f t="shared" si="897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898"/>
        <v>100</v>
      </c>
      <c r="BTO11" s="68">
        <f t="shared" si="899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0"/>
        <v>94</v>
      </c>
      <c r="BTW11" s="68">
        <f t="shared" si="901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2"/>
        <v>100</v>
      </c>
      <c r="BUE11" s="68">
        <f t="shared" si="903"/>
        <v>16.666666666666668</v>
      </c>
      <c r="BUF11" s="48"/>
      <c r="BUG11" s="49"/>
      <c r="BUH11" s="49"/>
      <c r="BUI11" s="49"/>
      <c r="BUJ11" s="49"/>
      <c r="BUK11" s="49"/>
      <c r="BUL11" s="67">
        <f t="shared" si="904"/>
        <v>0</v>
      </c>
      <c r="BUM11" s="68">
        <f t="shared" si="905"/>
        <v>0</v>
      </c>
      <c r="BUN11" s="48"/>
      <c r="BUO11" s="49"/>
      <c r="BUP11" s="49"/>
      <c r="BUQ11" s="49"/>
      <c r="BUR11" s="49"/>
      <c r="BUS11" s="49"/>
      <c r="BUT11" s="67">
        <f t="shared" si="906"/>
        <v>0</v>
      </c>
      <c r="BUU11" s="68">
        <f t="shared" si="907"/>
        <v>0</v>
      </c>
      <c r="BUV11" s="48"/>
      <c r="BUW11" s="49"/>
      <c r="BUX11" s="49"/>
      <c r="BUY11" s="49"/>
      <c r="BUZ11" s="49"/>
      <c r="BVA11" s="49"/>
      <c r="BVB11" s="67">
        <f t="shared" si="908"/>
        <v>0</v>
      </c>
      <c r="BVC11" s="68">
        <f t="shared" si="909"/>
        <v>0</v>
      </c>
      <c r="BVD11" s="48"/>
      <c r="BVE11" s="49"/>
      <c r="BVF11" s="49"/>
      <c r="BVG11" s="49"/>
      <c r="BVH11" s="49"/>
      <c r="BVI11" s="49"/>
      <c r="BVJ11" s="67">
        <f t="shared" si="910"/>
        <v>0</v>
      </c>
      <c r="BVK11" s="68">
        <f t="shared" si="911"/>
        <v>0</v>
      </c>
      <c r="BVL11" s="48"/>
      <c r="BVM11" s="49"/>
      <c r="BVN11" s="49"/>
      <c r="BVO11" s="49"/>
      <c r="BVP11" s="49"/>
      <c r="BVQ11" s="49"/>
      <c r="BVR11" s="67">
        <f t="shared" si="912"/>
        <v>0</v>
      </c>
      <c r="BVS11" s="68">
        <f t="shared" si="913"/>
        <v>0</v>
      </c>
      <c r="BVT11" s="48"/>
      <c r="BVU11" s="49"/>
      <c r="BVV11" s="49"/>
      <c r="BVW11" s="49"/>
      <c r="BVX11" s="49"/>
      <c r="BVY11" s="49"/>
      <c r="BVZ11" s="67">
        <f t="shared" si="914"/>
        <v>0</v>
      </c>
      <c r="BWA11" s="68">
        <f t="shared" si="915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16"/>
        <v>400</v>
      </c>
      <c r="BWI11" s="68">
        <f t="shared" si="917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18"/>
        <v>199</v>
      </c>
      <c r="BWQ11" s="68">
        <f t="shared" si="919"/>
        <v>33.166666666666664</v>
      </c>
      <c r="BWR11" s="48"/>
      <c r="BWS11" s="49"/>
      <c r="BWT11" s="49"/>
      <c r="BWU11" s="49"/>
      <c r="BWV11" s="49"/>
      <c r="BWW11" s="49"/>
      <c r="BWX11" s="67">
        <f t="shared" si="920"/>
        <v>0</v>
      </c>
      <c r="BWY11" s="68">
        <f t="shared" si="921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2"/>
        <v>220</v>
      </c>
      <c r="BXG11" s="68">
        <f t="shared" si="923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24"/>
        <v>202</v>
      </c>
      <c r="BXO11" s="68">
        <f t="shared" si="925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26"/>
        <v>440</v>
      </c>
      <c r="BXW11" s="68">
        <f t="shared" si="927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28"/>
        <v>219</v>
      </c>
      <c r="BYE11" s="68">
        <f t="shared" si="929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0"/>
        <v>435</v>
      </c>
      <c r="BYM11" s="68">
        <f t="shared" si="931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2"/>
        <v>200</v>
      </c>
      <c r="BYU11" s="68">
        <f t="shared" si="933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34"/>
        <v>81</v>
      </c>
      <c r="BZC11" s="68">
        <f t="shared" si="935"/>
        <v>13.5</v>
      </c>
      <c r="BZD11" s="239"/>
      <c r="BZE11" s="1"/>
      <c r="BZF11" s="1"/>
      <c r="BZG11" s="1"/>
      <c r="BZH11" s="1"/>
      <c r="BZI11" s="1"/>
      <c r="BZJ11" s="67">
        <f t="shared" si="936"/>
        <v>0</v>
      </c>
      <c r="BZK11" s="68">
        <f t="shared" si="937"/>
        <v>0</v>
      </c>
      <c r="BZL11" s="48"/>
      <c r="BZM11" s="49"/>
      <c r="BZN11" s="49"/>
      <c r="BZO11" s="49"/>
      <c r="BZP11" s="49"/>
      <c r="BZQ11" s="49"/>
      <c r="BZR11" s="67">
        <f t="shared" si="938"/>
        <v>0</v>
      </c>
      <c r="BZS11" s="68">
        <f t="shared" si="939"/>
        <v>0</v>
      </c>
      <c r="BZT11" s="48"/>
      <c r="BZU11" s="49"/>
      <c r="BZV11" s="49"/>
      <c r="BZW11" s="49"/>
      <c r="BZX11" s="49"/>
      <c r="BZY11" s="49"/>
      <c r="BZZ11" s="67">
        <f t="shared" si="940"/>
        <v>0</v>
      </c>
      <c r="CAA11" s="68">
        <f t="shared" si="941"/>
        <v>0</v>
      </c>
      <c r="CAB11" s="48"/>
      <c r="CAC11" s="49"/>
      <c r="CAD11" s="49"/>
      <c r="CAE11" s="49"/>
      <c r="CAF11" s="49"/>
      <c r="CAG11" s="49"/>
      <c r="CAH11" s="67">
        <f t="shared" si="942"/>
        <v>0</v>
      </c>
      <c r="CAI11" s="68">
        <f t="shared" si="943"/>
        <v>0</v>
      </c>
      <c r="CAJ11" s="48"/>
      <c r="CAK11" s="49"/>
      <c r="CAL11" s="49"/>
      <c r="CAM11" s="49"/>
      <c r="CAN11" s="49"/>
      <c r="CAO11" s="49"/>
      <c r="CAP11" s="67">
        <f t="shared" si="944"/>
        <v>0</v>
      </c>
      <c r="CAQ11" s="68">
        <f t="shared" si="945"/>
        <v>0</v>
      </c>
      <c r="CAR11" s="201"/>
      <c r="CAS11" s="47"/>
      <c r="CAT11" s="47"/>
      <c r="CAU11" s="47"/>
      <c r="CAV11" s="47"/>
      <c r="CAW11" s="47"/>
      <c r="CAX11" s="67">
        <f t="shared" si="946"/>
        <v>0</v>
      </c>
      <c r="CAY11" s="68">
        <f t="shared" si="947"/>
        <v>0</v>
      </c>
      <c r="CAZ11" s="63"/>
      <c r="CBA11" s="64"/>
      <c r="CBB11" s="64"/>
      <c r="CBC11" s="64"/>
      <c r="CBD11" s="64"/>
      <c r="CBE11" s="64"/>
      <c r="CBF11" s="67">
        <f t="shared" si="948"/>
        <v>0</v>
      </c>
      <c r="CBG11" s="68">
        <f t="shared" si="949"/>
        <v>0</v>
      </c>
      <c r="CBH11" s="48"/>
      <c r="CBI11" s="49"/>
      <c r="CBJ11" s="49"/>
      <c r="CBK11" s="49"/>
      <c r="CBL11" s="49"/>
      <c r="CBM11" s="49"/>
      <c r="CBN11" s="67">
        <f t="shared" si="950"/>
        <v>0</v>
      </c>
      <c r="CBO11" s="68">
        <f t="shared" si="951"/>
        <v>0</v>
      </c>
      <c r="CBP11" s="48"/>
      <c r="CBQ11" s="49"/>
      <c r="CBR11" s="49"/>
      <c r="CBS11" s="49"/>
      <c r="CBT11" s="49"/>
      <c r="CBU11" s="49"/>
      <c r="CBV11" s="67">
        <f t="shared" si="952"/>
        <v>0</v>
      </c>
      <c r="CBW11" s="68">
        <f t="shared" si="953"/>
        <v>0</v>
      </c>
      <c r="CBX11" s="48"/>
      <c r="CBY11" s="49"/>
      <c r="CBZ11" s="49"/>
      <c r="CCA11" s="49"/>
      <c r="CCB11" s="49"/>
      <c r="CCC11" s="49"/>
      <c r="CCD11" s="67">
        <f t="shared" si="954"/>
        <v>0</v>
      </c>
      <c r="CCE11" s="68">
        <f t="shared" si="955"/>
        <v>0</v>
      </c>
      <c r="CCF11" s="48"/>
      <c r="CCG11" s="49"/>
      <c r="CCH11" s="49"/>
      <c r="CCI11" s="49"/>
      <c r="CCJ11" s="49"/>
      <c r="CCK11" s="49"/>
      <c r="CCL11" s="67">
        <f t="shared" si="956"/>
        <v>0</v>
      </c>
      <c r="CCM11" s="68">
        <f t="shared" si="957"/>
        <v>0</v>
      </c>
      <c r="CCN11" s="48"/>
      <c r="CCO11" s="49"/>
      <c r="CCP11" s="49"/>
      <c r="CCQ11" s="49"/>
      <c r="CCR11" s="49"/>
      <c r="CCS11" s="49"/>
      <c r="CCT11" s="67">
        <f t="shared" si="958"/>
        <v>0</v>
      </c>
      <c r="CCU11" s="68">
        <f t="shared" si="959"/>
        <v>0</v>
      </c>
      <c r="CCV11" s="48"/>
      <c r="CCW11" s="49"/>
      <c r="CCX11" s="49"/>
      <c r="CCY11" s="49"/>
      <c r="CCZ11" s="49"/>
      <c r="CDA11" s="49"/>
      <c r="CDB11" s="67">
        <f t="shared" si="960"/>
        <v>0</v>
      </c>
      <c r="CDC11" s="68">
        <f t="shared" si="961"/>
        <v>0</v>
      </c>
      <c r="CDD11" s="201"/>
      <c r="CDE11" s="47"/>
      <c r="CDF11" s="47"/>
      <c r="CDG11" s="47"/>
      <c r="CDH11" s="47"/>
      <c r="CDI11" s="47"/>
      <c r="CDJ11" s="67">
        <f t="shared" si="962"/>
        <v>0</v>
      </c>
      <c r="CDK11" s="68">
        <f t="shared" si="963"/>
        <v>0</v>
      </c>
      <c r="CDL11" s="48"/>
      <c r="CDM11" s="49"/>
      <c r="CDN11" s="49"/>
      <c r="CDO11" s="49"/>
      <c r="CDP11" s="49"/>
      <c r="CDQ11" s="49"/>
      <c r="CDR11" s="67">
        <f t="shared" si="964"/>
        <v>0</v>
      </c>
      <c r="CDS11" s="68">
        <f t="shared" si="965"/>
        <v>0</v>
      </c>
      <c r="CDT11" s="48"/>
      <c r="CDU11" s="49"/>
      <c r="CDV11" s="49"/>
      <c r="CDW11" s="49"/>
      <c r="CDX11" s="49"/>
      <c r="CDY11" s="49"/>
      <c r="CDZ11" s="67">
        <f t="shared" si="966"/>
        <v>0</v>
      </c>
      <c r="CEA11" s="68">
        <f t="shared" si="967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68"/>
        <v>0</v>
      </c>
      <c r="CFE11" s="68">
        <f t="shared" si="969"/>
        <v>0</v>
      </c>
      <c r="CFF11" s="48"/>
      <c r="CFG11" s="49"/>
      <c r="CFH11" s="49"/>
      <c r="CFI11" s="49"/>
      <c r="CFJ11" s="49"/>
      <c r="CFK11" s="49"/>
      <c r="CFL11" s="64">
        <f t="shared" si="970"/>
        <v>0</v>
      </c>
      <c r="CFM11" s="68">
        <f t="shared" si="971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2"/>
        <v>0</v>
      </c>
      <c r="CFU11" s="68">
        <f t="shared" si="973"/>
        <v>0</v>
      </c>
      <c r="CFV11" s="48"/>
      <c r="CFW11" s="49"/>
      <c r="CFX11" s="49"/>
      <c r="CFY11" s="49"/>
      <c r="CFZ11" s="49"/>
      <c r="CGA11" s="49"/>
      <c r="CGB11" s="64">
        <f t="shared" si="974"/>
        <v>0</v>
      </c>
      <c r="CGC11" s="68">
        <f t="shared" si="975"/>
        <v>0</v>
      </c>
      <c r="CGD11" s="48"/>
      <c r="CGE11" s="49"/>
      <c r="CGF11" s="49"/>
      <c r="CGG11" s="49"/>
      <c r="CGH11" s="49"/>
      <c r="CGI11" s="49"/>
      <c r="CGJ11" s="64">
        <f t="shared" si="976"/>
        <v>0</v>
      </c>
      <c r="CGK11" s="68">
        <f t="shared" si="977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78"/>
        <v>0</v>
      </c>
      <c r="CGS11" s="68">
        <f t="shared" si="979"/>
        <v>0</v>
      </c>
      <c r="CGT11" s="48"/>
      <c r="CGU11" s="49"/>
      <c r="CGV11" s="49"/>
      <c r="CGW11" s="49"/>
      <c r="CGX11" s="49"/>
      <c r="CGY11" s="49"/>
      <c r="CGZ11" s="64">
        <f t="shared" si="980"/>
        <v>0</v>
      </c>
      <c r="CHA11" s="68">
        <f t="shared" si="981"/>
        <v>0</v>
      </c>
      <c r="CHB11" s="48"/>
      <c r="CHC11" s="49"/>
      <c r="CHD11" s="49"/>
      <c r="CHE11" s="49"/>
      <c r="CHF11" s="49"/>
      <c r="CHG11" s="49"/>
      <c r="CHH11" s="64">
        <f t="shared" si="982"/>
        <v>0</v>
      </c>
      <c r="CHI11" s="68">
        <f t="shared" si="983"/>
        <v>0</v>
      </c>
      <c r="CHJ11" s="48"/>
      <c r="CHK11" s="49"/>
      <c r="CHL11" s="49"/>
      <c r="CHM11" s="49"/>
      <c r="CHN11" s="49"/>
      <c r="CHO11" s="49"/>
      <c r="CHP11" s="64">
        <f t="shared" si="984"/>
        <v>0</v>
      </c>
      <c r="CHQ11" s="68">
        <f t="shared" si="985"/>
        <v>0</v>
      </c>
      <c r="CHR11" s="48"/>
      <c r="CHS11" s="49"/>
      <c r="CHT11" s="49"/>
      <c r="CHU11" s="49"/>
      <c r="CHV11" s="49"/>
      <c r="CHW11" s="49"/>
      <c r="CHX11" s="64">
        <f t="shared" si="986"/>
        <v>0</v>
      </c>
      <c r="CHY11" s="68">
        <f t="shared" si="987"/>
        <v>0</v>
      </c>
      <c r="CHZ11" s="48"/>
      <c r="CIA11" s="49"/>
      <c r="CIB11" s="49"/>
      <c r="CIC11" s="49"/>
      <c r="CID11" s="49"/>
      <c r="CIE11" s="49"/>
      <c r="CIF11" s="64">
        <f t="shared" si="988"/>
        <v>0</v>
      </c>
      <c r="CIG11" s="68">
        <f t="shared" si="989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0"/>
        <v>0</v>
      </c>
      <c r="CIO11" s="68">
        <f t="shared" si="991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2"/>
        <v>0</v>
      </c>
      <c r="CIW11" s="68">
        <f t="shared" si="993"/>
        <v>0</v>
      </c>
      <c r="CIX11" s="48"/>
      <c r="CIY11" s="49"/>
      <c r="CIZ11" s="49"/>
      <c r="CJA11" s="49"/>
      <c r="CJB11" s="49"/>
      <c r="CJC11" s="49"/>
      <c r="CJD11" s="127">
        <f t="shared" si="994"/>
        <v>0</v>
      </c>
      <c r="CJE11" s="43">
        <f t="shared" si="995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996"/>
        <v>743</v>
      </c>
      <c r="CJM11" s="43">
        <f t="shared" si="997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998"/>
        <v>0</v>
      </c>
      <c r="CJU11" s="43">
        <f t="shared" si="999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0"/>
        <v>0</v>
      </c>
      <c r="CKC11" s="43">
        <f t="shared" si="1001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2"/>
        <v>0</v>
      </c>
      <c r="CKK11" s="43">
        <f t="shared" si="1003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04"/>
        <v>0</v>
      </c>
      <c r="CKS11" s="43">
        <f t="shared" si="1005"/>
        <v>0</v>
      </c>
      <c r="CKT11" s="48"/>
      <c r="CKU11" s="49"/>
      <c r="CKV11" s="49"/>
      <c r="CKW11" s="49"/>
      <c r="CKX11" s="49"/>
      <c r="CKY11" s="49"/>
      <c r="CKZ11" s="127">
        <f t="shared" si="1006"/>
        <v>0</v>
      </c>
      <c r="CLA11" s="43">
        <f t="shared" si="1007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08"/>
        <v>322</v>
      </c>
      <c r="CLI11" s="43">
        <f t="shared" si="1009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0"/>
        <v>0</v>
      </c>
      <c r="CLQ11" s="43">
        <f t="shared" si="1011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2"/>
        <v>0</v>
      </c>
      <c r="CLY11" s="43">
        <f t="shared" si="1013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14"/>
        <v>0</v>
      </c>
      <c r="CMG11" s="43">
        <f t="shared" si="1015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16"/>
        <v>0</v>
      </c>
      <c r="CMO11" s="43">
        <f t="shared" si="1017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18"/>
        <v>0</v>
      </c>
      <c r="CMW11" s="43">
        <f t="shared" si="1019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0"/>
        <v>0</v>
      </c>
      <c r="CNE11" s="68">
        <f t="shared" si="1021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5"/>
        <v>327</v>
      </c>
      <c r="CNM11" s="68">
        <f t="shared" si="226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7"/>
        <v>322</v>
      </c>
      <c r="CNU11" s="68">
        <f t="shared" si="228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29"/>
        <v>0</v>
      </c>
      <c r="COC11" s="68">
        <f t="shared" si="230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1"/>
        <v>0</v>
      </c>
      <c r="COK11" s="68">
        <f t="shared" si="232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3"/>
        <v>0</v>
      </c>
      <c r="COS11" s="68">
        <f t="shared" si="234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5"/>
        <v>0</v>
      </c>
      <c r="CPA11" s="68">
        <f t="shared" si="236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7"/>
        <v>0</v>
      </c>
      <c r="CPI11" s="68">
        <f t="shared" si="238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39"/>
        <v>0</v>
      </c>
      <c r="CPQ11" s="68">
        <f t="shared" si="240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1"/>
        <v>0</v>
      </c>
      <c r="CPY11" s="68">
        <f t="shared" si="242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3"/>
        <v>0</v>
      </c>
      <c r="CQG11" s="68">
        <f t="shared" si="244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5"/>
        <v>269</v>
      </c>
      <c r="CQO11" s="43">
        <f t="shared" si="246"/>
        <v>44.833333333333336</v>
      </c>
      <c r="CQP11" s="48"/>
      <c r="CQQ11" s="49"/>
      <c r="CQR11" s="49"/>
      <c r="CQS11" s="49"/>
      <c r="CQT11" s="49"/>
      <c r="CQU11" s="49"/>
      <c r="CQV11" s="127">
        <f t="shared" si="247"/>
        <v>0</v>
      </c>
      <c r="CQW11" s="43">
        <f t="shared" si="248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49"/>
        <v>321</v>
      </c>
      <c r="CRE11" s="43">
        <f t="shared" si="250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1"/>
        <v>671</v>
      </c>
      <c r="DKG11" s="68">
        <f t="shared" si="252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3"/>
        <v>685</v>
      </c>
      <c r="DKO11" s="68">
        <f t="shared" si="254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5"/>
        <v>1280</v>
      </c>
      <c r="DKW11" s="68">
        <f t="shared" si="256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7"/>
        <v>1976</v>
      </c>
      <c r="DLE11" s="68">
        <f t="shared" si="258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59"/>
        <v>0</v>
      </c>
      <c r="DLM11" s="68">
        <f t="shared" si="260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1"/>
        <v>0</v>
      </c>
      <c r="DLU11" s="68">
        <f t="shared" si="262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3"/>
        <v>1297</v>
      </c>
      <c r="DMC11" s="68">
        <f t="shared" si="264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5"/>
        <v>0</v>
      </c>
      <c r="DMK11" s="68">
        <f t="shared" si="266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7"/>
        <v>0</v>
      </c>
      <c r="DMS11" s="68">
        <f t="shared" si="268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69"/>
        <v>1624</v>
      </c>
      <c r="DNA11" s="68">
        <f t="shared" si="270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1"/>
        <v>328</v>
      </c>
      <c r="DNI11" s="68">
        <f t="shared" si="272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3"/>
        <v>321</v>
      </c>
      <c r="DNQ11" s="68">
        <f t="shared" si="274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5"/>
        <v>331</v>
      </c>
      <c r="DNY11" s="68">
        <f t="shared" si="276"/>
        <v>55.166666666666664</v>
      </c>
      <c r="DNZ11" s="48"/>
      <c r="DOA11" s="49"/>
      <c r="DOB11" s="49"/>
      <c r="DOC11" s="49"/>
      <c r="DOD11" s="49"/>
      <c r="DOE11" s="49"/>
      <c r="DOF11" s="64">
        <f t="shared" si="277"/>
        <v>0</v>
      </c>
      <c r="DOG11" s="68">
        <f t="shared" si="278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79"/>
        <v>980</v>
      </c>
      <c r="DOO11" s="68">
        <f t="shared" si="280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1"/>
        <v>0</v>
      </c>
      <c r="DOW11" s="68">
        <f t="shared" si="282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3"/>
        <v>302</v>
      </c>
      <c r="DPE11" s="68">
        <f t="shared" si="284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5"/>
        <v>346</v>
      </c>
      <c r="DPM11" s="68">
        <f t="shared" si="286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7"/>
        <v>337</v>
      </c>
      <c r="DPU11" s="68">
        <f t="shared" si="288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89"/>
        <v>349</v>
      </c>
      <c r="DQC11" s="68">
        <f t="shared" si="290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1"/>
        <v>0</v>
      </c>
      <c r="DQK11" s="68">
        <f t="shared" si="292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3"/>
        <v>335</v>
      </c>
      <c r="DQS11" s="68">
        <f t="shared" si="294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5"/>
        <v>1369</v>
      </c>
      <c r="DRA11" s="68">
        <f t="shared" si="296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7"/>
        <v>0</v>
      </c>
      <c r="DRI11" s="68">
        <f t="shared" si="298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299"/>
        <v>733</v>
      </c>
      <c r="DRQ11" s="68">
        <f t="shared" si="300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1"/>
        <v>352</v>
      </c>
      <c r="DRY11" s="68">
        <f t="shared" si="302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3"/>
        <v>1030</v>
      </c>
      <c r="DSG11" s="68">
        <f t="shared" si="304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5"/>
        <v>1015</v>
      </c>
      <c r="DSO11" s="68">
        <f t="shared" si="306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7"/>
        <v>1506</v>
      </c>
      <c r="DSW11" s="68">
        <f t="shared" si="308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09"/>
        <v>1598</v>
      </c>
      <c r="DTE11" s="68">
        <f t="shared" si="310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1"/>
        <v>0</v>
      </c>
      <c r="DTM11" s="68">
        <f t="shared" si="312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3"/>
        <v>1030</v>
      </c>
      <c r="DTU11" s="68">
        <f t="shared" si="314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5"/>
        <v>0</v>
      </c>
      <c r="DUC11" s="68">
        <f t="shared" si="316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7"/>
        <v>1066</v>
      </c>
      <c r="DUK11" s="68">
        <f t="shared" si="318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19"/>
        <v>1126</v>
      </c>
      <c r="DUS11" s="68">
        <f t="shared" si="320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1"/>
        <v>2096</v>
      </c>
      <c r="DVA11" s="68">
        <f t="shared" si="322"/>
        <v>349.33333333333331</v>
      </c>
      <c r="DVB11" s="48"/>
      <c r="DVC11" s="49"/>
      <c r="DVD11" s="49"/>
      <c r="DVE11" s="49"/>
      <c r="DVF11" s="49"/>
      <c r="DVG11" s="49"/>
      <c r="DVH11" s="64">
        <f t="shared" si="323"/>
        <v>0</v>
      </c>
      <c r="DVI11" s="68">
        <f t="shared" si="324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5"/>
        <v>1346</v>
      </c>
      <c r="DVQ11" s="68">
        <f t="shared" si="326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7"/>
        <v>0</v>
      </c>
      <c r="DVY11" s="68">
        <f t="shared" si="328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29"/>
        <v>683</v>
      </c>
      <c r="DWG11" s="68">
        <f t="shared" si="330"/>
        <v>113.83333333333333</v>
      </c>
      <c r="DWH11" s="48"/>
      <c r="DWI11" s="49"/>
      <c r="DWJ11" s="49"/>
      <c r="DWK11" s="49"/>
      <c r="DWL11" s="49"/>
      <c r="DWM11" s="49"/>
      <c r="DWN11" s="64">
        <f t="shared" si="331"/>
        <v>0</v>
      </c>
      <c r="DWO11" s="68">
        <f t="shared" si="332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3"/>
        <v>700</v>
      </c>
      <c r="DWW11" s="68">
        <f t="shared" si="334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5"/>
        <v>666</v>
      </c>
      <c r="DXE11" s="68">
        <f t="shared" si="336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7"/>
        <v>0</v>
      </c>
      <c r="DXM11" s="68">
        <f t="shared" si="338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39"/>
        <v>342</v>
      </c>
      <c r="DXU11" s="184">
        <f t="shared" si="340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1"/>
        <v>0</v>
      </c>
      <c r="DYD11" s="211">
        <f t="shared" si="342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3"/>
        <v>358</v>
      </c>
      <c r="DYL11" s="211">
        <f t="shared" si="344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5"/>
        <v>0</v>
      </c>
      <c r="DYT11" s="211">
        <f t="shared" si="346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7"/>
        <v>339</v>
      </c>
      <c r="DZB11" s="211">
        <f t="shared" si="348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49"/>
        <v>690</v>
      </c>
      <c r="DZJ11" s="211">
        <f t="shared" si="350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1"/>
        <v>696</v>
      </c>
      <c r="DZR11" s="211">
        <f t="shared" si="352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3"/>
        <v>696</v>
      </c>
      <c r="DZZ11" s="211">
        <f t="shared" si="354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5"/>
        <v>1431</v>
      </c>
      <c r="EAH11" s="211">
        <f t="shared" si="356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7"/>
        <v>0</v>
      </c>
      <c r="EAP11" s="211">
        <f t="shared" si="358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59"/>
        <v>0</v>
      </c>
      <c r="EAX11" s="211">
        <f t="shared" si="360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1"/>
        <v>0</v>
      </c>
      <c r="EBF11" s="211">
        <f t="shared" si="362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3"/>
        <v>666</v>
      </c>
      <c r="EBN11" s="211">
        <f t="shared" si="364"/>
        <v>111</v>
      </c>
      <c r="EBO11" s="195"/>
      <c r="EBP11" s="49"/>
      <c r="EBQ11" s="49"/>
      <c r="EBR11" s="49"/>
      <c r="EBS11" s="49"/>
      <c r="EBT11" s="49"/>
      <c r="EBU11" s="64">
        <f t="shared" si="365"/>
        <v>0</v>
      </c>
      <c r="EBV11" s="184">
        <f t="shared" si="366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7"/>
        <v>0</v>
      </c>
      <c r="ECD11" s="211">
        <f t="shared" si="368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69"/>
        <v>0</v>
      </c>
      <c r="ECL11" s="211">
        <f t="shared" si="370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1"/>
        <v>0</v>
      </c>
      <c r="ECT11" s="211">
        <f t="shared" si="372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3"/>
        <v>0</v>
      </c>
      <c r="EDB11" s="211">
        <f t="shared" si="374"/>
        <v>0</v>
      </c>
      <c r="EDC11" s="195"/>
      <c r="EDD11" s="49"/>
      <c r="EDE11" s="49"/>
      <c r="EDF11" s="49"/>
      <c r="EDG11" s="49"/>
      <c r="EDH11" s="49"/>
      <c r="EDI11" s="64">
        <f t="shared" si="375"/>
        <v>0</v>
      </c>
      <c r="EDJ11" s="211">
        <f t="shared" si="376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7"/>
        <v>0</v>
      </c>
      <c r="EDR11" s="211">
        <f t="shared" si="378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79"/>
        <v>0</v>
      </c>
      <c r="EDZ11" s="707">
        <f t="shared" si="380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1"/>
        <v>0</v>
      </c>
      <c r="EEH11" s="211">
        <f t="shared" si="382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3"/>
        <v>0</v>
      </c>
      <c r="EEP11" s="211">
        <f t="shared" si="384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5"/>
        <v>0</v>
      </c>
      <c r="EEX11" s="211">
        <f t="shared" si="386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7"/>
        <v>348</v>
      </c>
      <c r="EFF11" s="211">
        <f t="shared" si="388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89"/>
        <v>1344</v>
      </c>
      <c r="EFN11" s="211">
        <f t="shared" si="390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1"/>
        <v>0</v>
      </c>
      <c r="EFV11" s="211">
        <f t="shared" si="392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3"/>
        <v>0</v>
      </c>
      <c r="EGD11" s="211">
        <f t="shared" si="394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5"/>
        <v>0</v>
      </c>
      <c r="EGL11" s="211">
        <f t="shared" si="396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7"/>
        <v>0</v>
      </c>
      <c r="EGT11" s="211">
        <f t="shared" si="398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399"/>
        <v>0</v>
      </c>
      <c r="EHB11" s="211">
        <f t="shared" si="400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1"/>
        <v>0</v>
      </c>
      <c r="EHJ11" s="211">
        <f t="shared" si="402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3"/>
        <v>0</v>
      </c>
      <c r="EHR11" s="211">
        <f t="shared" si="404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5"/>
        <v>0</v>
      </c>
      <c r="EHZ11" s="211">
        <f t="shared" si="406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7"/>
        <v>0</v>
      </c>
      <c r="EIH11" s="211">
        <f t="shared" si="408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09"/>
        <v>0</v>
      </c>
      <c r="EIP11" s="211">
        <f t="shared" si="410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1"/>
        <v>0</v>
      </c>
      <c r="EIX11" s="211">
        <f t="shared" si="412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3"/>
        <v>0</v>
      </c>
      <c r="EJF11" s="211">
        <f t="shared" si="414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5"/>
        <v>0</v>
      </c>
      <c r="EJN11" s="211">
        <f t="shared" si="416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7"/>
        <v>0</v>
      </c>
      <c r="EJV11" s="211">
        <f t="shared" si="418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19"/>
        <v>0</v>
      </c>
      <c r="EKD11" s="211">
        <f t="shared" si="420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1"/>
        <v>0</v>
      </c>
      <c r="EKL11" s="211">
        <f t="shared" si="422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3"/>
        <v>367</v>
      </c>
      <c r="EKT11" s="211">
        <f t="shared" si="424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5"/>
        <v>362</v>
      </c>
      <c r="ELB11" s="211">
        <f t="shared" si="426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7"/>
        <v>0</v>
      </c>
      <c r="ELJ11" s="211">
        <f t="shared" si="428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29"/>
        <v>352</v>
      </c>
      <c r="ELR11" s="211">
        <f t="shared" si="430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1"/>
        <v>0</v>
      </c>
      <c r="ELZ11" s="873">
        <f t="shared" si="432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3"/>
        <v>0</v>
      </c>
      <c r="EMH11" s="873">
        <f t="shared" si="434"/>
        <v>0</v>
      </c>
      <c r="EMI11" s="195">
        <v>0</v>
      </c>
      <c r="EMJ11" s="49"/>
      <c r="EMK11" s="49"/>
      <c r="EML11" s="49"/>
      <c r="EMM11" s="49"/>
      <c r="EMN11" s="49"/>
      <c r="EMO11" s="872">
        <f t="shared" si="435"/>
        <v>0</v>
      </c>
      <c r="EMP11" s="873">
        <f t="shared" si="436"/>
        <v>0</v>
      </c>
    </row>
    <row r="12" spans="1:3734" s="8" customFormat="1" ht="15" customHeight="1" x14ac:dyDescent="0.2">
      <c r="A12" s="391">
        <v>6</v>
      </c>
      <c r="B12" s="297" t="s">
        <v>506</v>
      </c>
      <c r="C12" s="309" t="s">
        <v>441</v>
      </c>
      <c r="D12" s="21">
        <v>25</v>
      </c>
      <c r="E12" s="24"/>
      <c r="F12" s="24">
        <v>2929</v>
      </c>
      <c r="G12" s="24"/>
      <c r="H12" s="24"/>
      <c r="I12" s="360"/>
      <c r="J12" s="360">
        <f>SUMIF(SUMPK!$B:$B,$B:$B,SUMPK!$O:$O)</f>
        <v>0</v>
      </c>
      <c r="K12" s="24"/>
      <c r="L12" s="24">
        <f t="shared" ref="L12:L13" si="1023">F12+H12-J12</f>
        <v>2929</v>
      </c>
      <c r="M12" s="15">
        <f t="shared" ref="M12:M13" si="1024">K12+L12</f>
        <v>2929</v>
      </c>
      <c r="N12" s="444">
        <v>217.66666666666666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3"/>
        <v>239</v>
      </c>
      <c r="EEP12" s="211">
        <f t="shared" si="384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5"/>
        <v>0</v>
      </c>
      <c r="EEX12" s="211">
        <f t="shared" si="386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7"/>
        <v>0</v>
      </c>
      <c r="EFF12" s="211">
        <f t="shared" si="388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89"/>
        <v>248</v>
      </c>
      <c r="EFN12" s="211">
        <f t="shared" si="390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1"/>
        <v>0</v>
      </c>
      <c r="EFV12" s="211">
        <f t="shared" si="392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3"/>
        <v>720</v>
      </c>
      <c r="EGD12" s="211">
        <f t="shared" si="394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5"/>
        <v>318</v>
      </c>
      <c r="EGL12" s="211">
        <f t="shared" si="396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7"/>
        <v>298</v>
      </c>
      <c r="EGT12" s="211">
        <f t="shared" si="398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399"/>
        <v>331</v>
      </c>
      <c r="EHB12" s="211">
        <f t="shared" si="400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1"/>
        <v>973</v>
      </c>
      <c r="EHJ12" s="211">
        <f t="shared" si="402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3"/>
        <v>1587</v>
      </c>
      <c r="EHR12" s="211">
        <f t="shared" si="404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5"/>
        <v>1850</v>
      </c>
      <c r="EHZ12" s="211">
        <f t="shared" si="406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7"/>
        <v>2280</v>
      </c>
      <c r="EIH12" s="211">
        <f t="shared" si="408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09"/>
        <v>339</v>
      </c>
      <c r="EIP12" s="211">
        <f t="shared" si="410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1"/>
        <v>0</v>
      </c>
      <c r="EIX12" s="211">
        <f t="shared" si="412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3"/>
        <v>2914</v>
      </c>
      <c r="EJF12" s="211">
        <f t="shared" si="414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5"/>
        <v>0</v>
      </c>
      <c r="EJN12" s="211">
        <f t="shared" si="416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7"/>
        <v>647</v>
      </c>
      <c r="EJV12" s="211">
        <f t="shared" si="418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19"/>
        <v>1002</v>
      </c>
      <c r="EKD12" s="211">
        <f t="shared" si="420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1"/>
        <v>930</v>
      </c>
      <c r="EKL12" s="211">
        <f t="shared" si="422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3"/>
        <v>0</v>
      </c>
      <c r="EKT12" s="211">
        <f t="shared" si="424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5"/>
        <v>1348</v>
      </c>
      <c r="ELB12" s="211">
        <f t="shared" si="426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7"/>
        <v>920</v>
      </c>
      <c r="ELJ12" s="211">
        <f t="shared" si="428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29"/>
        <v>659</v>
      </c>
      <c r="ELR12" s="211">
        <f t="shared" si="430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1"/>
        <v>0</v>
      </c>
      <c r="ELZ12" s="873">
        <f t="shared" si="432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3"/>
        <v>1306</v>
      </c>
      <c r="EMH12" s="873">
        <f t="shared" si="434"/>
        <v>217.66666666666666</v>
      </c>
      <c r="EMI12" s="195">
        <v>698</v>
      </c>
      <c r="EMJ12" s="49">
        <v>331</v>
      </c>
      <c r="EMK12" s="49"/>
      <c r="EML12" s="49"/>
      <c r="EMM12" s="49"/>
      <c r="EMN12" s="49"/>
      <c r="EMO12" s="872">
        <f t="shared" si="435"/>
        <v>1029</v>
      </c>
      <c r="EMP12" s="873">
        <f t="shared" si="436"/>
        <v>171.5</v>
      </c>
    </row>
    <row r="13" spans="1:3734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4962</v>
      </c>
      <c r="G13" s="24"/>
      <c r="H13" s="24"/>
      <c r="I13" s="360"/>
      <c r="J13" s="360">
        <f>SUMIF(SUMPK!$B:$B,$B:$B,SUMPK!$O:$O)</f>
        <v>0</v>
      </c>
      <c r="K13" s="24"/>
      <c r="L13" s="24">
        <f t="shared" si="1023"/>
        <v>4962</v>
      </c>
      <c r="M13" s="15">
        <f t="shared" si="1024"/>
        <v>4962</v>
      </c>
      <c r="N13" s="444">
        <v>0</v>
      </c>
      <c r="O13" s="276">
        <f t="shared" si="2"/>
        <v>0</v>
      </c>
      <c r="P13" s="277">
        <f t="shared" si="437"/>
        <v>106.66666666666667</v>
      </c>
      <c r="Q13" s="276">
        <f t="shared" si="3"/>
        <v>279.11249999999995</v>
      </c>
      <c r="R13" s="277">
        <f t="shared" si="224"/>
        <v>24.615384615384617</v>
      </c>
      <c r="S13" s="222">
        <v>640</v>
      </c>
      <c r="T13" s="276">
        <f t="shared" si="4"/>
        <v>201.58124999999998</v>
      </c>
      <c r="U13" s="278"/>
      <c r="V13" s="302">
        <f t="shared" si="5"/>
        <v>201.58124999999998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38"/>
        <v>808</v>
      </c>
      <c r="AM13" s="43">
        <f t="shared" si="439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0"/>
        <v>776</v>
      </c>
      <c r="AU13" s="43">
        <f t="shared" si="441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2"/>
        <v>445</v>
      </c>
      <c r="BC13" s="43">
        <f t="shared" si="443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44"/>
        <v>960</v>
      </c>
      <c r="BK13" s="43">
        <f t="shared" si="445"/>
        <v>160</v>
      </c>
      <c r="BL13" s="48"/>
      <c r="BM13" s="49">
        <v>601</v>
      </c>
      <c r="BN13" s="49"/>
      <c r="BO13" s="49"/>
      <c r="BP13" s="49"/>
      <c r="BQ13" s="49"/>
      <c r="BR13" s="42">
        <f t="shared" si="446"/>
        <v>601</v>
      </c>
      <c r="BS13" s="43">
        <f t="shared" si="447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48"/>
        <v>998</v>
      </c>
      <c r="CA13" s="43">
        <f t="shared" si="449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0"/>
        <v>368</v>
      </c>
      <c r="CI13" s="43">
        <f t="shared" si="451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2"/>
        <v>198</v>
      </c>
      <c r="CQ13" s="43">
        <f t="shared" si="453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54"/>
        <v>399</v>
      </c>
      <c r="CY13" s="43">
        <f t="shared" si="455"/>
        <v>66.5</v>
      </c>
      <c r="CZ13" s="48">
        <v>600</v>
      </c>
      <c r="DA13" s="49"/>
      <c r="DB13" s="49"/>
      <c r="DC13" s="49"/>
      <c r="DD13" s="49"/>
      <c r="DE13" s="49"/>
      <c r="DF13" s="42">
        <f t="shared" si="456"/>
        <v>600</v>
      </c>
      <c r="DG13" s="43">
        <f t="shared" si="457"/>
        <v>100</v>
      </c>
      <c r="DH13" s="48"/>
      <c r="DI13" s="49"/>
      <c r="DJ13" s="49"/>
      <c r="DK13" s="49"/>
      <c r="DL13" s="49">
        <v>378</v>
      </c>
      <c r="DM13" s="49"/>
      <c r="DN13" s="42">
        <f t="shared" si="458"/>
        <v>378</v>
      </c>
      <c r="DO13" s="43">
        <f t="shared" si="459"/>
        <v>63</v>
      </c>
      <c r="DP13" s="48"/>
      <c r="DQ13" s="49"/>
      <c r="DR13" s="49"/>
      <c r="DS13" s="49"/>
      <c r="DT13" s="49">
        <v>400</v>
      </c>
      <c r="DU13" s="49"/>
      <c r="DV13" s="42">
        <f t="shared" si="460"/>
        <v>400</v>
      </c>
      <c r="DW13" s="43">
        <f t="shared" si="461"/>
        <v>66.666666666666671</v>
      </c>
      <c r="DX13" s="48"/>
      <c r="DY13" s="49"/>
      <c r="DZ13" s="49"/>
      <c r="EA13" s="49"/>
      <c r="EB13" s="49"/>
      <c r="EC13" s="49"/>
      <c r="ED13" s="42">
        <f t="shared" si="462"/>
        <v>0</v>
      </c>
      <c r="EE13" s="43">
        <f t="shared" si="463"/>
        <v>0</v>
      </c>
      <c r="EF13" s="48"/>
      <c r="EG13" s="49">
        <v>453</v>
      </c>
      <c r="EH13" s="49"/>
      <c r="EI13" s="49"/>
      <c r="EJ13" s="49"/>
      <c r="EK13" s="49"/>
      <c r="EL13" s="42">
        <f t="shared" si="464"/>
        <v>453</v>
      </c>
      <c r="EM13" s="43">
        <f t="shared" si="465"/>
        <v>75.5</v>
      </c>
      <c r="EN13" s="48"/>
      <c r="EO13" s="49"/>
      <c r="EP13" s="49">
        <v>199</v>
      </c>
      <c r="EQ13" s="49"/>
      <c r="ER13" s="49"/>
      <c r="ES13" s="49"/>
      <c r="ET13" s="42">
        <f t="shared" si="466"/>
        <v>199</v>
      </c>
      <c r="EU13" s="43">
        <f t="shared" si="467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68"/>
        <v>600</v>
      </c>
      <c r="FC13" s="43">
        <f t="shared" si="469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0"/>
        <v>766</v>
      </c>
      <c r="FK13" s="43">
        <f t="shared" si="471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2"/>
        <v>299</v>
      </c>
      <c r="FS13" s="43">
        <f t="shared" si="473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74"/>
        <v>846</v>
      </c>
      <c r="GA13" s="43">
        <f t="shared" si="475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76"/>
        <v>599</v>
      </c>
      <c r="GI13" s="43">
        <f t="shared" si="477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78"/>
        <v>299</v>
      </c>
      <c r="GQ13" s="43">
        <f t="shared" si="479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0"/>
        <v>1001</v>
      </c>
      <c r="GY13" s="43">
        <f t="shared" si="481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2"/>
        <v>100</v>
      </c>
      <c r="HG13" s="43">
        <f t="shared" si="483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84"/>
        <v>299</v>
      </c>
      <c r="HO13" s="43">
        <f t="shared" si="485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86"/>
        <v>746</v>
      </c>
      <c r="HW13" s="43">
        <f t="shared" si="487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88"/>
        <v>500</v>
      </c>
      <c r="IE13" s="43">
        <f t="shared" si="489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0"/>
        <v>847</v>
      </c>
      <c r="IM13" s="43">
        <f t="shared" si="491"/>
        <v>141.16666666666666</v>
      </c>
      <c r="IN13" s="82"/>
      <c r="IO13" s="83"/>
      <c r="IP13" s="83"/>
      <c r="IQ13" s="83"/>
      <c r="IR13" s="83"/>
      <c r="IS13" s="83"/>
      <c r="IT13" s="42">
        <f t="shared" si="492"/>
        <v>0</v>
      </c>
      <c r="IU13" s="43">
        <f t="shared" si="493"/>
        <v>0</v>
      </c>
      <c r="IV13" s="48"/>
      <c r="IW13" s="49"/>
      <c r="IX13" s="49"/>
      <c r="IY13" s="49">
        <v>200</v>
      </c>
      <c r="IZ13" s="49"/>
      <c r="JA13" s="49"/>
      <c r="JB13" s="42">
        <f t="shared" si="494"/>
        <v>200</v>
      </c>
      <c r="JC13" s="43">
        <f t="shared" si="495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496"/>
        <v>972</v>
      </c>
      <c r="JK13" s="43">
        <f t="shared" si="497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498"/>
        <v>758</v>
      </c>
      <c r="JS13" s="43">
        <f t="shared" si="499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0"/>
        <v>394</v>
      </c>
      <c r="KA13" s="43">
        <f t="shared" si="501"/>
        <v>65.666666666666671</v>
      </c>
      <c r="KB13" s="48"/>
      <c r="KC13" s="49"/>
      <c r="KD13" s="49"/>
      <c r="KE13" s="49"/>
      <c r="KF13" s="49"/>
      <c r="KG13" s="49"/>
      <c r="KH13" s="42">
        <f t="shared" si="502"/>
        <v>0</v>
      </c>
      <c r="KI13" s="43">
        <f t="shared" si="503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04"/>
        <v>1014</v>
      </c>
      <c r="KQ13" s="43">
        <f t="shared" si="505"/>
        <v>169</v>
      </c>
      <c r="KR13" s="48"/>
      <c r="KS13" s="49"/>
      <c r="KT13" s="49"/>
      <c r="KU13" s="49"/>
      <c r="KV13" s="49">
        <v>600</v>
      </c>
      <c r="KW13" s="49"/>
      <c r="KX13" s="42">
        <f t="shared" si="506"/>
        <v>600</v>
      </c>
      <c r="KY13" s="101">
        <f t="shared" si="507"/>
        <v>100</v>
      </c>
      <c r="KZ13" s="48"/>
      <c r="LA13" s="49"/>
      <c r="LB13" s="49"/>
      <c r="LC13" s="49"/>
      <c r="LD13" s="49">
        <v>300</v>
      </c>
      <c r="LE13" s="49"/>
      <c r="LF13" s="42">
        <f t="shared" si="508"/>
        <v>300</v>
      </c>
      <c r="LG13" s="43">
        <f t="shared" si="509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0"/>
        <v>798</v>
      </c>
      <c r="LO13" s="68">
        <f t="shared" si="511"/>
        <v>133</v>
      </c>
      <c r="LP13" s="48"/>
      <c r="LQ13" s="49">
        <v>300</v>
      </c>
      <c r="LR13" s="49"/>
      <c r="LS13" s="49"/>
      <c r="LT13" s="49"/>
      <c r="LU13" s="49"/>
      <c r="LV13" s="67">
        <f t="shared" si="512"/>
        <v>300</v>
      </c>
      <c r="LW13" s="68">
        <f t="shared" si="513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14"/>
        <v>698</v>
      </c>
      <c r="ME13" s="68">
        <f t="shared" si="515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16"/>
        <v>1491</v>
      </c>
      <c r="MM13" s="43">
        <f t="shared" si="517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18"/>
        <v>417</v>
      </c>
      <c r="MU13" s="43">
        <f t="shared" si="519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0"/>
        <v>739</v>
      </c>
      <c r="NC13" s="43">
        <f t="shared" si="521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2"/>
        <v>400</v>
      </c>
      <c r="NK13" s="43">
        <f t="shared" si="523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24"/>
        <v>398</v>
      </c>
      <c r="NS13" s="43">
        <f t="shared" si="525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26"/>
        <v>740</v>
      </c>
      <c r="OA13" s="43">
        <f t="shared" si="527"/>
        <v>123.33333333333333</v>
      </c>
      <c r="OB13" s="48"/>
      <c r="OC13" s="49"/>
      <c r="OD13" s="49"/>
      <c r="OE13" s="49"/>
      <c r="OF13" s="49"/>
      <c r="OG13" s="49"/>
      <c r="OH13" s="42">
        <f t="shared" si="528"/>
        <v>0</v>
      </c>
      <c r="OI13" s="43">
        <f t="shared" si="529"/>
        <v>0</v>
      </c>
      <c r="OJ13" s="48"/>
      <c r="OK13" s="49"/>
      <c r="OL13" s="49"/>
      <c r="OM13" s="49"/>
      <c r="ON13" s="49"/>
      <c r="OO13" s="49"/>
      <c r="OP13" s="42">
        <f t="shared" si="530"/>
        <v>0</v>
      </c>
      <c r="OQ13" s="43">
        <f t="shared" si="531"/>
        <v>0</v>
      </c>
      <c r="OR13" s="48"/>
      <c r="OS13" s="49"/>
      <c r="OT13" s="49"/>
      <c r="OU13" s="49"/>
      <c r="OV13" s="49">
        <v>406</v>
      </c>
      <c r="OW13" s="49"/>
      <c r="OX13" s="67">
        <f t="shared" si="532"/>
        <v>406</v>
      </c>
      <c r="OY13" s="68">
        <f t="shared" si="533"/>
        <v>67.666666666666671</v>
      </c>
      <c r="OZ13" s="48"/>
      <c r="PA13" s="49"/>
      <c r="PB13" s="49"/>
      <c r="PC13" s="49"/>
      <c r="PD13" s="49"/>
      <c r="PE13" s="49"/>
      <c r="PF13" s="67">
        <f t="shared" si="534"/>
        <v>0</v>
      </c>
      <c r="PG13" s="68">
        <f t="shared" si="535"/>
        <v>0</v>
      </c>
      <c r="PH13" s="48"/>
      <c r="PI13" s="49">
        <v>245</v>
      </c>
      <c r="PJ13" s="49"/>
      <c r="PK13" s="49"/>
      <c r="PL13" s="49"/>
      <c r="PM13" s="49"/>
      <c r="PN13" s="104">
        <f t="shared" si="536"/>
        <v>245</v>
      </c>
      <c r="PO13" s="105">
        <f t="shared" si="537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38"/>
        <v>813</v>
      </c>
      <c r="PW13" s="105">
        <f t="shared" si="539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0"/>
        <v>755</v>
      </c>
      <c r="QE13" s="105">
        <f t="shared" si="541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2"/>
        <v>395</v>
      </c>
      <c r="QM13" s="105">
        <f t="shared" si="543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44"/>
        <v>578</v>
      </c>
      <c r="QU13" s="105">
        <f t="shared" si="545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46"/>
        <v>594</v>
      </c>
      <c r="RC13" s="105">
        <f t="shared" si="547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48"/>
        <v>644</v>
      </c>
      <c r="RK13" s="105">
        <f t="shared" si="549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0"/>
        <v>783</v>
      </c>
      <c r="RS13" s="105">
        <f t="shared" si="551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2"/>
        <v>661</v>
      </c>
      <c r="SA13" s="105">
        <f t="shared" si="553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54"/>
        <v>638</v>
      </c>
      <c r="SI13" s="105">
        <f t="shared" si="555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56"/>
        <v>396</v>
      </c>
      <c r="SQ13" s="105">
        <f t="shared" si="557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58"/>
        <v>801</v>
      </c>
      <c r="SY13" s="105">
        <f t="shared" si="559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0"/>
        <v>398</v>
      </c>
      <c r="TG13" s="105">
        <f t="shared" si="561"/>
        <v>66.333333333333329</v>
      </c>
      <c r="TH13" s="106"/>
      <c r="TI13" s="107"/>
      <c r="TJ13" s="107"/>
      <c r="TK13" s="107"/>
      <c r="TL13" s="107"/>
      <c r="TM13" s="107"/>
      <c r="TN13" s="104">
        <f t="shared" si="562"/>
        <v>0</v>
      </c>
      <c r="TO13" s="105">
        <f t="shared" si="563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64"/>
        <v>0</v>
      </c>
      <c r="TX13" s="105">
        <f t="shared" si="565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66"/>
        <v>400</v>
      </c>
      <c r="UF13" s="105">
        <f t="shared" si="567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68"/>
        <v>400</v>
      </c>
      <c r="UN13" s="105">
        <f t="shared" si="569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0"/>
        <v>286</v>
      </c>
      <c r="UV13" s="105">
        <f t="shared" si="571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2"/>
        <v>447</v>
      </c>
      <c r="VD13" s="105">
        <f t="shared" si="573"/>
        <v>74.5</v>
      </c>
      <c r="VE13" s="63"/>
      <c r="VF13" s="64"/>
      <c r="VG13" s="64">
        <v>200</v>
      </c>
      <c r="VH13" s="64"/>
      <c r="VI13" s="64"/>
      <c r="VJ13" s="64"/>
      <c r="VK13" s="67">
        <f t="shared" si="574"/>
        <v>200</v>
      </c>
      <c r="VL13" s="68">
        <f t="shared" si="575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76"/>
        <v>400</v>
      </c>
      <c r="VU13" s="68">
        <f t="shared" si="577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78"/>
        <v>399</v>
      </c>
      <c r="WD13" s="68">
        <f t="shared" si="579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0"/>
        <v>300</v>
      </c>
      <c r="WM13" s="68">
        <f t="shared" si="581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2"/>
        <v>636</v>
      </c>
      <c r="WV13" s="68">
        <f t="shared" si="583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84"/>
        <v>300</v>
      </c>
      <c r="XE13" s="105">
        <f t="shared" si="585"/>
        <v>50</v>
      </c>
      <c r="XF13" s="48"/>
      <c r="XG13" s="49"/>
      <c r="XH13" s="49"/>
      <c r="XI13" s="49"/>
      <c r="XJ13" s="49"/>
      <c r="XK13" s="49">
        <v>400</v>
      </c>
      <c r="XL13" s="67">
        <f t="shared" si="586"/>
        <v>400</v>
      </c>
      <c r="XM13" s="68">
        <f t="shared" si="587"/>
        <v>66.666666666666671</v>
      </c>
      <c r="XN13" s="48"/>
      <c r="XO13" s="49"/>
      <c r="XP13" s="49"/>
      <c r="XQ13" s="49"/>
      <c r="XR13" s="49"/>
      <c r="XS13" s="49"/>
      <c r="XT13" s="67">
        <f t="shared" si="588"/>
        <v>0</v>
      </c>
      <c r="XU13" s="68">
        <f t="shared" si="589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0"/>
        <v>300</v>
      </c>
      <c r="YC13" s="68">
        <f t="shared" si="591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2"/>
        <v>482</v>
      </c>
      <c r="YL13" s="68">
        <f t="shared" si="593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594"/>
        <v>788</v>
      </c>
      <c r="YU13" s="68">
        <f t="shared" si="595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596"/>
        <v>507</v>
      </c>
      <c r="ZC13" s="68">
        <f t="shared" si="597"/>
        <v>84.5</v>
      </c>
      <c r="ZD13" s="48"/>
      <c r="ZE13" s="49"/>
      <c r="ZF13" s="49">
        <v>809</v>
      </c>
      <c r="ZG13" s="49"/>
      <c r="ZH13" s="49"/>
      <c r="ZI13" s="49"/>
      <c r="ZJ13" s="67">
        <f t="shared" si="598"/>
        <v>809</v>
      </c>
      <c r="ZK13" s="68">
        <f t="shared" si="599"/>
        <v>134.83333333333334</v>
      </c>
      <c r="ZL13" s="48"/>
      <c r="ZM13" s="49"/>
      <c r="ZN13" s="49"/>
      <c r="ZO13" s="49"/>
      <c r="ZP13" s="49"/>
      <c r="ZQ13" s="49"/>
      <c r="ZR13" s="67">
        <f t="shared" si="600"/>
        <v>0</v>
      </c>
      <c r="ZS13" s="68">
        <f t="shared" si="601"/>
        <v>0</v>
      </c>
      <c r="ZT13" s="48"/>
      <c r="ZU13" s="49"/>
      <c r="ZV13" s="49">
        <v>296</v>
      </c>
      <c r="ZW13" s="49"/>
      <c r="ZX13" s="49"/>
      <c r="ZY13" s="49"/>
      <c r="ZZ13" s="67">
        <f t="shared" si="602"/>
        <v>296</v>
      </c>
      <c r="AAA13" s="68">
        <f t="shared" si="603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04"/>
        <v>600</v>
      </c>
      <c r="AAI13" s="68">
        <f t="shared" si="605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06"/>
        <v>414</v>
      </c>
      <c r="AAQ13" s="68">
        <f t="shared" si="607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08"/>
        <v>165</v>
      </c>
      <c r="AAY13" s="68">
        <f t="shared" si="609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0"/>
        <v>122</v>
      </c>
      <c r="ABG13" s="68">
        <f t="shared" si="611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2"/>
        <v>201</v>
      </c>
      <c r="ABO13" s="68">
        <f t="shared" si="613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14"/>
        <v>440</v>
      </c>
      <c r="ABW13" s="68">
        <f t="shared" si="615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16"/>
        <v>113</v>
      </c>
      <c r="ACE13" s="68">
        <f t="shared" si="617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18"/>
        <v>92</v>
      </c>
      <c r="ACM13" s="68">
        <f t="shared" si="619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0"/>
        <v>429</v>
      </c>
      <c r="ACU13" s="68">
        <f t="shared" si="621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2"/>
        <v>202</v>
      </c>
      <c r="ADC13" s="68">
        <f t="shared" si="623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24"/>
        <v>200</v>
      </c>
      <c r="ADK13" s="68">
        <f t="shared" si="625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26"/>
        <v>659</v>
      </c>
      <c r="ADS13" s="68">
        <f t="shared" si="627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28"/>
        <v>118</v>
      </c>
      <c r="AEA13" s="68">
        <f t="shared" si="629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0"/>
        <v>220</v>
      </c>
      <c r="AEI13" s="68">
        <f t="shared" si="631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2"/>
        <v>221</v>
      </c>
      <c r="AEQ13" s="68">
        <f t="shared" si="633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34"/>
        <v>229</v>
      </c>
      <c r="AEY13" s="68">
        <f t="shared" si="635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36"/>
        <v>219</v>
      </c>
      <c r="AFG13" s="68">
        <f t="shared" si="637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38"/>
        <v>198</v>
      </c>
      <c r="AFO13" s="68">
        <f t="shared" si="639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0"/>
        <v>209</v>
      </c>
      <c r="AFW13" s="68">
        <f t="shared" si="641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2"/>
        <v>220</v>
      </c>
      <c r="AGE13" s="68">
        <f t="shared" si="643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44"/>
        <v>221</v>
      </c>
      <c r="AGM13" s="68">
        <f t="shared" si="645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46"/>
        <v>577</v>
      </c>
      <c r="AGU13" s="43">
        <f t="shared" si="647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48"/>
        <v>439</v>
      </c>
      <c r="AHC13" s="43">
        <f t="shared" si="649"/>
        <v>43.9</v>
      </c>
      <c r="AHD13" s="48"/>
      <c r="AHE13" s="49"/>
      <c r="AHF13" s="49"/>
      <c r="AHG13" s="49"/>
      <c r="AHH13" s="49"/>
      <c r="AHI13" s="49"/>
      <c r="AHJ13" s="42">
        <f t="shared" si="650"/>
        <v>0</v>
      </c>
      <c r="AHK13" s="43">
        <f t="shared" si="651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2"/>
        <v>130</v>
      </c>
      <c r="AHS13" s="68">
        <f t="shared" si="653"/>
        <v>13</v>
      </c>
      <c r="AHT13" s="48"/>
      <c r="AHU13" s="49"/>
      <c r="AHV13" s="49"/>
      <c r="AHW13" s="49"/>
      <c r="AHX13" s="49"/>
      <c r="AHY13" s="49"/>
      <c r="AHZ13" s="67">
        <f t="shared" si="654"/>
        <v>0</v>
      </c>
      <c r="AIA13" s="184">
        <f t="shared" si="655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56"/>
        <v>220</v>
      </c>
      <c r="AII13" s="184">
        <f t="shared" si="657"/>
        <v>36.666666666666664</v>
      </c>
      <c r="AIJ13" s="195"/>
      <c r="AIK13" s="49"/>
      <c r="AIL13" s="49"/>
      <c r="AIM13" s="49"/>
      <c r="AIN13" s="49"/>
      <c r="AIO13" s="49"/>
      <c r="AIP13" s="67">
        <f t="shared" si="658"/>
        <v>0</v>
      </c>
      <c r="AIQ13" s="184">
        <f t="shared" si="659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0"/>
        <v>452</v>
      </c>
      <c r="AIY13" s="68">
        <f t="shared" si="661"/>
        <v>75.333333333333329</v>
      </c>
      <c r="AIZ13" s="48"/>
      <c r="AJA13" s="49"/>
      <c r="AJB13" s="49"/>
      <c r="AJC13" s="49"/>
      <c r="AJD13" s="49"/>
      <c r="AJE13" s="49"/>
      <c r="AJF13" s="67">
        <f t="shared" si="662"/>
        <v>0</v>
      </c>
      <c r="AJG13" s="68">
        <f t="shared" si="663"/>
        <v>0</v>
      </c>
      <c r="AJH13" s="48"/>
      <c r="AJI13" s="49"/>
      <c r="AJJ13" s="49"/>
      <c r="AJK13" s="49"/>
      <c r="AJL13" s="49"/>
      <c r="AJM13" s="49"/>
      <c r="AJN13" s="47">
        <f t="shared" si="664"/>
        <v>0</v>
      </c>
      <c r="AJO13" s="43">
        <f t="shared" si="665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66"/>
        <v>110</v>
      </c>
      <c r="AJW13" s="43">
        <f t="shared" si="667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68"/>
        <v>617</v>
      </c>
      <c r="AKE13" s="43">
        <f t="shared" si="669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0"/>
        <v>111</v>
      </c>
      <c r="AKM13" s="43">
        <f t="shared" si="671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2"/>
        <v>203</v>
      </c>
      <c r="AKU13" s="43">
        <f t="shared" si="673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74"/>
        <v>324</v>
      </c>
      <c r="ALC13" s="43">
        <f t="shared" si="675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76"/>
        <v>96</v>
      </c>
      <c r="ALK13" s="43">
        <f t="shared" si="677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78"/>
        <v>269</v>
      </c>
      <c r="ALS13" s="68">
        <f t="shared" si="679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0"/>
        <v>220</v>
      </c>
      <c r="AMA13" s="68">
        <f t="shared" si="681"/>
        <v>36.666666666666664</v>
      </c>
      <c r="AMB13" s="48"/>
      <c r="AMC13" s="49"/>
      <c r="AMD13" s="49"/>
      <c r="AME13" s="49"/>
      <c r="AMF13" s="49"/>
      <c r="AMG13" s="49"/>
      <c r="AMH13" s="67">
        <f t="shared" si="682"/>
        <v>0</v>
      </c>
      <c r="AMI13" s="68">
        <f t="shared" si="683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84"/>
        <v>440</v>
      </c>
      <c r="AMQ13" s="68">
        <f t="shared" si="685"/>
        <v>73.333333333333329</v>
      </c>
      <c r="AMR13" s="48"/>
      <c r="AMS13" s="49"/>
      <c r="AMT13" s="49"/>
      <c r="AMU13" s="49"/>
      <c r="AMV13" s="49"/>
      <c r="AMW13" s="49"/>
      <c r="AMX13" s="67">
        <f t="shared" si="686"/>
        <v>0</v>
      </c>
      <c r="AMY13" s="68">
        <f t="shared" si="687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88"/>
        <v>271</v>
      </c>
      <c r="ANG13" s="68">
        <f t="shared" si="689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0"/>
        <v>655</v>
      </c>
      <c r="ANO13" s="68">
        <f t="shared" si="691"/>
        <v>109.16666666666667</v>
      </c>
      <c r="ANP13" s="48"/>
      <c r="ANQ13" s="49"/>
      <c r="ANR13" s="49"/>
      <c r="ANS13" s="49"/>
      <c r="ANT13" s="49"/>
      <c r="ANU13" s="49"/>
      <c r="ANV13" s="67">
        <f t="shared" si="692"/>
        <v>0</v>
      </c>
      <c r="ANW13" s="68">
        <f t="shared" si="693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694"/>
        <v>510</v>
      </c>
      <c r="AOE13" s="68">
        <f t="shared" si="695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696"/>
        <v>200</v>
      </c>
      <c r="AOM13" s="68">
        <f t="shared" si="697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698"/>
        <v>440</v>
      </c>
      <c r="AOU13" s="68">
        <f t="shared" si="699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0"/>
        <v>216</v>
      </c>
      <c r="APC13" s="68">
        <f t="shared" si="701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2"/>
        <v>330</v>
      </c>
      <c r="APK13" s="68">
        <f t="shared" si="703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04"/>
        <v>330</v>
      </c>
      <c r="APS13" s="68">
        <f t="shared" si="705"/>
        <v>55</v>
      </c>
      <c r="APT13" s="48"/>
      <c r="APU13" s="49"/>
      <c r="APV13" s="49"/>
      <c r="APW13" s="49"/>
      <c r="APX13" s="49"/>
      <c r="APY13" s="49"/>
      <c r="APZ13" s="67">
        <f t="shared" si="706"/>
        <v>0</v>
      </c>
      <c r="AQA13" s="68">
        <f t="shared" si="707"/>
        <v>0</v>
      </c>
      <c r="AQB13" s="48"/>
      <c r="AQC13" s="49"/>
      <c r="AQD13" s="49"/>
      <c r="AQE13" s="49"/>
      <c r="AQF13" s="49"/>
      <c r="AQG13" s="49"/>
      <c r="AQH13" s="67">
        <f t="shared" si="708"/>
        <v>0</v>
      </c>
      <c r="AQI13" s="68">
        <f t="shared" si="709"/>
        <v>0</v>
      </c>
      <c r="AQJ13" s="48"/>
      <c r="AQK13" s="49"/>
      <c r="AQL13" s="49"/>
      <c r="AQM13" s="49"/>
      <c r="AQN13" s="49"/>
      <c r="AQO13" s="49"/>
      <c r="AQP13" s="42">
        <f t="shared" si="710"/>
        <v>0</v>
      </c>
      <c r="AQQ13" s="43">
        <f t="shared" si="711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2"/>
        <v>108</v>
      </c>
      <c r="AQY13" s="43">
        <f t="shared" si="713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14"/>
        <v>111</v>
      </c>
      <c r="ARG13" s="43">
        <f t="shared" si="715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16"/>
        <v>110</v>
      </c>
      <c r="ARO13" s="43">
        <f t="shared" si="717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18"/>
        <v>111</v>
      </c>
      <c r="ARW13" s="43">
        <f t="shared" si="719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0"/>
        <v>216</v>
      </c>
      <c r="ASE13" s="43">
        <f t="shared" si="721"/>
        <v>36</v>
      </c>
      <c r="ASF13" s="48"/>
      <c r="ASG13" s="49"/>
      <c r="ASH13" s="49"/>
      <c r="ASI13" s="49"/>
      <c r="ASJ13" s="49"/>
      <c r="ASK13" s="49"/>
      <c r="ASL13" s="42">
        <f t="shared" si="722"/>
        <v>0</v>
      </c>
      <c r="ASM13" s="43">
        <f t="shared" si="723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24"/>
        <v>330</v>
      </c>
      <c r="ASU13" s="43">
        <f t="shared" si="725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26"/>
        <v>218</v>
      </c>
      <c r="ATC13" s="43">
        <f t="shared" si="727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28"/>
        <v>220</v>
      </c>
      <c r="ATK13" s="43">
        <f t="shared" si="729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0"/>
        <v>209</v>
      </c>
      <c r="ATS13" s="43">
        <f t="shared" si="731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2"/>
        <v>110</v>
      </c>
      <c r="AUA13" s="43">
        <f t="shared" si="733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34"/>
        <v>83</v>
      </c>
      <c r="AUI13" s="43">
        <f t="shared" si="735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36"/>
        <v>211</v>
      </c>
      <c r="AUQ13" s="43">
        <f t="shared" si="737"/>
        <v>35.166666666666664</v>
      </c>
      <c r="AUR13" s="48"/>
      <c r="AUS13" s="49"/>
      <c r="AUT13" s="49"/>
      <c r="AUU13" s="49"/>
      <c r="AUV13" s="49"/>
      <c r="AUW13" s="49"/>
      <c r="AUX13" s="42">
        <f t="shared" si="738"/>
        <v>0</v>
      </c>
      <c r="AUY13" s="43">
        <f t="shared" si="739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0"/>
        <v>120</v>
      </c>
      <c r="AVG13" s="43">
        <f t="shared" si="741"/>
        <v>20</v>
      </c>
      <c r="AVH13" s="48"/>
      <c r="AVI13" s="49"/>
      <c r="AVJ13" s="49"/>
      <c r="AVK13" s="49"/>
      <c r="AVL13" s="49"/>
      <c r="AVM13" s="49"/>
      <c r="AVN13" s="42">
        <f t="shared" si="742"/>
        <v>0</v>
      </c>
      <c r="AVO13" s="43">
        <f t="shared" si="743"/>
        <v>0</v>
      </c>
      <c r="AVP13" s="48"/>
      <c r="AVQ13" s="49"/>
      <c r="AVR13" s="49"/>
      <c r="AVS13" s="49"/>
      <c r="AVT13" s="49"/>
      <c r="AVU13" s="49"/>
      <c r="AVV13" s="42">
        <f t="shared" si="744"/>
        <v>0</v>
      </c>
      <c r="AVW13" s="43">
        <f t="shared" si="745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46"/>
        <v>215</v>
      </c>
      <c r="AWE13" s="43">
        <f t="shared" si="747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48"/>
        <v>110</v>
      </c>
      <c r="AWM13" s="43">
        <f t="shared" si="749"/>
        <v>18.333333333333332</v>
      </c>
      <c r="AWN13" s="48"/>
      <c r="AWO13" s="49"/>
      <c r="AWP13" s="49"/>
      <c r="AWQ13" s="49"/>
      <c r="AWR13" s="49"/>
      <c r="AWS13" s="49"/>
      <c r="AWT13" s="42">
        <f t="shared" si="750"/>
        <v>0</v>
      </c>
      <c r="AWU13" s="43">
        <f t="shared" si="751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2"/>
        <v>218</v>
      </c>
      <c r="AXC13" s="43">
        <f t="shared" si="753"/>
        <v>36.333333333333336</v>
      </c>
      <c r="AXD13" s="48"/>
      <c r="AXE13" s="49"/>
      <c r="AXF13" s="49"/>
      <c r="AXG13" s="49"/>
      <c r="AXH13" s="49"/>
      <c r="AXI13" s="49"/>
      <c r="AXJ13" s="42">
        <f t="shared" si="754"/>
        <v>0</v>
      </c>
      <c r="AXK13" s="43">
        <f t="shared" si="755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56"/>
        <v>105</v>
      </c>
      <c r="AXS13" s="43">
        <f t="shared" si="757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58"/>
        <v>438</v>
      </c>
      <c r="AYA13" s="43">
        <f t="shared" si="759"/>
        <v>73</v>
      </c>
      <c r="AYB13" s="48"/>
      <c r="AYC13" s="49"/>
      <c r="AYD13" s="49"/>
      <c r="AYE13" s="49"/>
      <c r="AYF13" s="49"/>
      <c r="AYG13" s="49"/>
      <c r="AYH13" s="42">
        <f t="shared" si="760"/>
        <v>0</v>
      </c>
      <c r="AYI13" s="43">
        <f t="shared" si="761"/>
        <v>0</v>
      </c>
      <c r="AYJ13" s="48"/>
      <c r="AYK13" s="49"/>
      <c r="AYL13" s="49"/>
      <c r="AYM13" s="49"/>
      <c r="AYN13" s="49"/>
      <c r="AYO13" s="49"/>
      <c r="AYP13" s="42">
        <f t="shared" si="762"/>
        <v>0</v>
      </c>
      <c r="AYQ13" s="43">
        <f t="shared" si="763"/>
        <v>0</v>
      </c>
      <c r="AYR13" s="48"/>
      <c r="AYS13" s="49"/>
      <c r="AYT13" s="49"/>
      <c r="AYU13" s="49"/>
      <c r="AYV13" s="49"/>
      <c r="AYW13" s="49"/>
      <c r="AYX13" s="42">
        <f t="shared" si="764"/>
        <v>0</v>
      </c>
      <c r="AYY13" s="43">
        <f t="shared" si="765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66"/>
        <v>220</v>
      </c>
      <c r="AZG13" s="43">
        <f t="shared" si="767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68"/>
        <v>203</v>
      </c>
      <c r="AZO13" s="43">
        <f t="shared" si="769"/>
        <v>33.833333333333336</v>
      </c>
      <c r="AZP13" s="48"/>
      <c r="AZQ13" s="49"/>
      <c r="AZR13" s="49"/>
      <c r="AZS13" s="49"/>
      <c r="AZT13" s="49"/>
      <c r="AZU13" s="49"/>
      <c r="AZV13" s="42">
        <f t="shared" si="770"/>
        <v>0</v>
      </c>
      <c r="AZW13" s="43">
        <f t="shared" si="771"/>
        <v>0</v>
      </c>
      <c r="AZX13" s="239"/>
      <c r="AZY13" s="1"/>
      <c r="AZZ13" s="1"/>
      <c r="BAA13" s="1"/>
      <c r="BAB13" s="1"/>
      <c r="BAC13" s="1"/>
      <c r="BAD13" s="42">
        <f t="shared" si="772"/>
        <v>0</v>
      </c>
      <c r="BAE13" s="43">
        <f t="shared" si="773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74"/>
        <v>222</v>
      </c>
      <c r="BAM13" s="43">
        <f t="shared" si="775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76"/>
        <v>330</v>
      </c>
      <c r="BAU13" s="43">
        <f t="shared" si="777"/>
        <v>55</v>
      </c>
      <c r="BAV13" s="48"/>
      <c r="BAW13" s="49"/>
      <c r="BAX13" s="49"/>
      <c r="BAY13" s="49"/>
      <c r="BAZ13" s="49"/>
      <c r="BBA13" s="49"/>
      <c r="BBB13" s="42">
        <f t="shared" si="778"/>
        <v>0</v>
      </c>
      <c r="BBC13" s="43">
        <f t="shared" si="779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0"/>
        <v>220</v>
      </c>
      <c r="BBK13" s="43">
        <f t="shared" si="781"/>
        <v>36.666666666666664</v>
      </c>
      <c r="BBL13" s="48"/>
      <c r="BBM13" s="49"/>
      <c r="BBN13" s="49"/>
      <c r="BBO13" s="49"/>
      <c r="BBP13" s="49"/>
      <c r="BBQ13" s="49"/>
      <c r="BBR13" s="42">
        <f t="shared" si="782"/>
        <v>0</v>
      </c>
      <c r="BBS13" s="43">
        <f t="shared" si="783"/>
        <v>0</v>
      </c>
      <c r="BBT13" s="48"/>
      <c r="BBU13" s="49"/>
      <c r="BBV13" s="49"/>
      <c r="BBW13" s="49"/>
      <c r="BBX13" s="49"/>
      <c r="BBY13" s="49"/>
      <c r="BBZ13" s="42">
        <f t="shared" si="784"/>
        <v>0</v>
      </c>
      <c r="BCA13" s="43">
        <f t="shared" si="785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86"/>
        <v>161</v>
      </c>
      <c r="BCI13" s="43">
        <f t="shared" si="787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88"/>
        <v>98</v>
      </c>
      <c r="BCQ13" s="43">
        <f t="shared" si="789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0"/>
        <v>522</v>
      </c>
      <c r="BCY13" s="43">
        <f t="shared" si="791"/>
        <v>87</v>
      </c>
      <c r="BCZ13" s="48"/>
      <c r="BDA13" s="49"/>
      <c r="BDB13" s="49"/>
      <c r="BDC13" s="49"/>
      <c r="BDD13" s="49"/>
      <c r="BDE13" s="49"/>
      <c r="BDF13" s="42">
        <f t="shared" si="792"/>
        <v>0</v>
      </c>
      <c r="BDG13" s="43">
        <f t="shared" si="793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794"/>
        <v>210</v>
      </c>
      <c r="BDO13" s="43">
        <f t="shared" si="795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796"/>
        <v>220</v>
      </c>
      <c r="BDW13" s="43">
        <f t="shared" si="797"/>
        <v>36.666666666666664</v>
      </c>
      <c r="BDX13" s="48"/>
      <c r="BDY13" s="49"/>
      <c r="BDZ13" s="49"/>
      <c r="BEA13" s="49"/>
      <c r="BEB13" s="49"/>
      <c r="BEC13" s="49"/>
      <c r="BED13" s="42">
        <f t="shared" si="798"/>
        <v>0</v>
      </c>
      <c r="BEE13" s="43">
        <f t="shared" si="799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0"/>
        <v>199</v>
      </c>
      <c r="BEM13" s="43">
        <f t="shared" si="801"/>
        <v>33.166666666666664</v>
      </c>
      <c r="BEN13" s="48"/>
      <c r="BEO13" s="49"/>
      <c r="BEP13" s="49"/>
      <c r="BEQ13" s="49"/>
      <c r="BER13" s="49"/>
      <c r="BES13" s="49"/>
      <c r="BET13" s="42">
        <f t="shared" si="802"/>
        <v>0</v>
      </c>
      <c r="BEU13" s="43">
        <f t="shared" si="803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04"/>
        <v>220</v>
      </c>
      <c r="BFC13" s="43">
        <f t="shared" si="805"/>
        <v>36.666666666666664</v>
      </c>
      <c r="BFD13" s="48"/>
      <c r="BFE13" s="49"/>
      <c r="BFF13" s="49"/>
      <c r="BFG13" s="49"/>
      <c r="BFH13" s="49"/>
      <c r="BFI13" s="49"/>
      <c r="BFJ13" s="42">
        <f t="shared" si="806"/>
        <v>0</v>
      </c>
      <c r="BFK13" s="43">
        <f t="shared" si="807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08"/>
        <v>100</v>
      </c>
      <c r="BFS13" s="43">
        <f t="shared" si="809"/>
        <v>16.666666666666668</v>
      </c>
      <c r="BFT13" s="48"/>
      <c r="BFU13" s="49"/>
      <c r="BFV13" s="49"/>
      <c r="BFW13" s="49"/>
      <c r="BFX13" s="49"/>
      <c r="BFY13" s="49"/>
      <c r="BFZ13" s="42">
        <f t="shared" si="810"/>
        <v>0</v>
      </c>
      <c r="BGA13" s="43">
        <f t="shared" si="811"/>
        <v>0</v>
      </c>
      <c r="BGB13" s="48"/>
      <c r="BGC13" s="49"/>
      <c r="BGD13" s="49"/>
      <c r="BGE13" s="49"/>
      <c r="BGF13" s="49"/>
      <c r="BGG13" s="49"/>
      <c r="BGH13" s="42">
        <f t="shared" si="812"/>
        <v>0</v>
      </c>
      <c r="BGI13" s="43">
        <f t="shared" si="813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14"/>
        <v>203</v>
      </c>
      <c r="BGQ13" s="43">
        <f t="shared" si="815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16"/>
        <v>426</v>
      </c>
      <c r="BGY13" s="43">
        <f t="shared" si="817"/>
        <v>71</v>
      </c>
      <c r="BGZ13" s="48"/>
      <c r="BHA13" s="49"/>
      <c r="BHB13" s="49"/>
      <c r="BHC13" s="49"/>
      <c r="BHD13" s="49"/>
      <c r="BHE13" s="49"/>
      <c r="BHF13" s="42">
        <f t="shared" si="818"/>
        <v>0</v>
      </c>
      <c r="BHG13" s="43">
        <f t="shared" si="819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0"/>
        <v>200</v>
      </c>
      <c r="BHO13" s="43">
        <f t="shared" si="821"/>
        <v>33.333333333333336</v>
      </c>
      <c r="BHP13" s="48"/>
      <c r="BHQ13" s="49"/>
      <c r="BHR13" s="49"/>
      <c r="BHS13" s="49"/>
      <c r="BHT13" s="49"/>
      <c r="BHU13" s="49"/>
      <c r="BHV13" s="42">
        <f t="shared" si="822"/>
        <v>0</v>
      </c>
      <c r="BHW13" s="43">
        <f t="shared" si="823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24"/>
        <v>199</v>
      </c>
      <c r="BIE13" s="43">
        <f t="shared" si="825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26"/>
        <v>300</v>
      </c>
      <c r="BIM13" s="43">
        <f t="shared" si="827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28"/>
        <v>317</v>
      </c>
      <c r="BIU13" s="43">
        <f t="shared" si="829"/>
        <v>52.833333333333336</v>
      </c>
      <c r="BIV13" s="48"/>
      <c r="BIW13" s="49"/>
      <c r="BIX13" s="49"/>
      <c r="BIY13" s="49"/>
      <c r="BIZ13" s="49"/>
      <c r="BJA13" s="49"/>
      <c r="BJB13" s="42">
        <f t="shared" si="830"/>
        <v>0</v>
      </c>
      <c r="BJC13" s="43">
        <f t="shared" si="831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2"/>
        <v>330</v>
      </c>
      <c r="BJK13" s="43">
        <f t="shared" si="833"/>
        <v>55</v>
      </c>
      <c r="BJL13" s="48"/>
      <c r="BJM13" s="49"/>
      <c r="BJN13" s="49"/>
      <c r="BJO13" s="49"/>
      <c r="BJP13" s="49"/>
      <c r="BJQ13" s="49"/>
      <c r="BJR13" s="42">
        <f t="shared" si="834"/>
        <v>0</v>
      </c>
      <c r="BJS13" s="43">
        <f t="shared" si="835"/>
        <v>0</v>
      </c>
      <c r="BJT13" s="48"/>
      <c r="BJU13" s="49"/>
      <c r="BJV13" s="49"/>
      <c r="BJW13" s="49"/>
      <c r="BJX13" s="49"/>
      <c r="BJY13" s="49"/>
      <c r="BJZ13" s="67">
        <f t="shared" si="836"/>
        <v>0</v>
      </c>
      <c r="BKA13" s="43">
        <f t="shared" si="837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38"/>
        <v>431</v>
      </c>
      <c r="BKI13" s="43">
        <f t="shared" si="839"/>
        <v>71.833333333333329</v>
      </c>
      <c r="BKJ13" s="48"/>
      <c r="BKK13" s="49"/>
      <c r="BKL13" s="49"/>
      <c r="BKM13" s="49"/>
      <c r="BKN13" s="49"/>
      <c r="BKO13" s="49"/>
      <c r="BKP13" s="67">
        <f t="shared" si="840"/>
        <v>0</v>
      </c>
      <c r="BKQ13" s="43">
        <f t="shared" si="841"/>
        <v>0</v>
      </c>
      <c r="BKR13" s="48"/>
      <c r="BKS13" s="49"/>
      <c r="BKT13" s="49"/>
      <c r="BKU13" s="49"/>
      <c r="BKV13" s="49"/>
      <c r="BKW13" s="49"/>
      <c r="BKX13" s="67">
        <f t="shared" si="842"/>
        <v>0</v>
      </c>
      <c r="BKY13" s="43">
        <f t="shared" si="843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44"/>
        <v>220</v>
      </c>
      <c r="BLG13" s="43">
        <f t="shared" si="845"/>
        <v>36.666666666666664</v>
      </c>
      <c r="BLH13" s="48"/>
      <c r="BLI13" s="49"/>
      <c r="BLJ13" s="49"/>
      <c r="BLK13" s="49"/>
      <c r="BLL13" s="49"/>
      <c r="BLM13" s="49"/>
      <c r="BLN13" s="67">
        <f t="shared" si="846"/>
        <v>0</v>
      </c>
      <c r="BLO13" s="68">
        <f t="shared" si="847"/>
        <v>0</v>
      </c>
      <c r="BLP13" s="48"/>
      <c r="BLQ13" s="49"/>
      <c r="BLR13" s="49"/>
      <c r="BLS13" s="49"/>
      <c r="BLT13" s="49"/>
      <c r="BLU13" s="49"/>
      <c r="BLV13" s="67">
        <f t="shared" si="848"/>
        <v>0</v>
      </c>
      <c r="BLW13" s="68">
        <f t="shared" si="849"/>
        <v>0</v>
      </c>
      <c r="BLX13" s="48"/>
      <c r="BLY13" s="49"/>
      <c r="BLZ13" s="49"/>
      <c r="BMA13" s="49"/>
      <c r="BMB13" s="49"/>
      <c r="BMC13" s="49"/>
      <c r="BMD13" s="67">
        <f t="shared" si="850"/>
        <v>0</v>
      </c>
      <c r="BME13" s="43">
        <f t="shared" si="851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2"/>
        <v>274</v>
      </c>
      <c r="BMM13" s="43">
        <f t="shared" si="853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54"/>
        <v>110</v>
      </c>
      <c r="BMU13" s="43">
        <f t="shared" si="855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56"/>
        <v>330</v>
      </c>
      <c r="BNC13" s="43">
        <f t="shared" si="857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58"/>
        <v>224</v>
      </c>
      <c r="BNK13" s="184">
        <f t="shared" si="859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0"/>
        <v>329</v>
      </c>
      <c r="BNS13" s="211">
        <f t="shared" si="861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2"/>
        <v>200</v>
      </c>
      <c r="BOA13" s="184">
        <f t="shared" si="863"/>
        <v>33.333333333333336</v>
      </c>
      <c r="BOB13" s="48"/>
      <c r="BOC13" s="49"/>
      <c r="BOD13" s="49"/>
      <c r="BOE13" s="49"/>
      <c r="BOF13" s="49"/>
      <c r="BOG13" s="49"/>
      <c r="BOH13" s="67">
        <f t="shared" si="864"/>
        <v>0</v>
      </c>
      <c r="BOI13" s="68">
        <f t="shared" si="865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66"/>
        <v>199</v>
      </c>
      <c r="BOQ13" s="68">
        <f t="shared" si="867"/>
        <v>33.166666666666664</v>
      </c>
      <c r="BOR13" s="48"/>
      <c r="BOS13" s="49"/>
      <c r="BOT13" s="49"/>
      <c r="BOU13" s="49"/>
      <c r="BOV13" s="49"/>
      <c r="BOW13" s="49"/>
      <c r="BOX13" s="67">
        <f t="shared" si="868"/>
        <v>0</v>
      </c>
      <c r="BOY13" s="68">
        <f t="shared" si="869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0"/>
        <v>349</v>
      </c>
      <c r="BPG13" s="68">
        <f t="shared" si="871"/>
        <v>58.166666666666664</v>
      </c>
      <c r="BPH13" s="48"/>
      <c r="BPI13" s="49"/>
      <c r="BPJ13" s="49"/>
      <c r="BPK13" s="49"/>
      <c r="BPL13" s="49"/>
      <c r="BPM13" s="49"/>
      <c r="BPN13" s="67">
        <f t="shared" si="872"/>
        <v>0</v>
      </c>
      <c r="BPO13" s="68">
        <f t="shared" si="873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74"/>
        <v>110</v>
      </c>
      <c r="BPW13" s="68">
        <f t="shared" si="875"/>
        <v>18.333333333333332</v>
      </c>
      <c r="BPX13" s="48"/>
      <c r="BPY13" s="49"/>
      <c r="BPZ13" s="49"/>
      <c r="BQA13" s="49"/>
      <c r="BQB13" s="49"/>
      <c r="BQC13" s="49"/>
      <c r="BQD13" s="67">
        <f t="shared" si="876"/>
        <v>0</v>
      </c>
      <c r="BQE13" s="68">
        <f t="shared" si="877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78"/>
        <v>220</v>
      </c>
      <c r="BQM13" s="68">
        <f t="shared" si="879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0"/>
        <v>442</v>
      </c>
      <c r="BQU13" s="68">
        <f t="shared" si="881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2"/>
        <v>223</v>
      </c>
      <c r="BRC13" s="68">
        <f t="shared" si="883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84"/>
        <v>119</v>
      </c>
      <c r="BRK13" s="68">
        <f t="shared" si="885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86"/>
        <v>220</v>
      </c>
      <c r="BRS13" s="68">
        <f t="shared" si="887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88"/>
        <v>399</v>
      </c>
      <c r="BSA13" s="68">
        <f t="shared" si="889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0"/>
        <v>225</v>
      </c>
      <c r="BSI13" s="68">
        <f t="shared" si="891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2"/>
        <v>220</v>
      </c>
      <c r="BSQ13" s="68">
        <f t="shared" si="893"/>
        <v>36.666666666666664</v>
      </c>
      <c r="BSR13" s="48"/>
      <c r="BSS13" s="49"/>
      <c r="BST13" s="49"/>
      <c r="BSU13" s="49"/>
      <c r="BSV13" s="49"/>
      <c r="BSW13" s="49"/>
      <c r="BSX13" s="67">
        <f t="shared" si="894"/>
        <v>0</v>
      </c>
      <c r="BSY13" s="68">
        <f t="shared" si="895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896"/>
        <v>408</v>
      </c>
      <c r="BTG13" s="68">
        <f t="shared" si="897"/>
        <v>68</v>
      </c>
      <c r="BTH13" s="48"/>
      <c r="BTI13" s="49"/>
      <c r="BTJ13" s="49"/>
      <c r="BTK13" s="49"/>
      <c r="BTL13" s="49"/>
      <c r="BTM13" s="49"/>
      <c r="BTN13" s="67">
        <f t="shared" si="898"/>
        <v>0</v>
      </c>
      <c r="BTO13" s="68">
        <f t="shared" si="899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0"/>
        <v>599</v>
      </c>
      <c r="BTW13" s="68">
        <f t="shared" si="901"/>
        <v>99.833333333333329</v>
      </c>
      <c r="BTX13" s="48"/>
      <c r="BTY13" s="49"/>
      <c r="BTZ13" s="49"/>
      <c r="BUA13" s="49"/>
      <c r="BUB13" s="49"/>
      <c r="BUC13" s="49"/>
      <c r="BUD13" s="67">
        <f t="shared" si="902"/>
        <v>0</v>
      </c>
      <c r="BUE13" s="68">
        <f t="shared" si="903"/>
        <v>0</v>
      </c>
      <c r="BUF13" s="48"/>
      <c r="BUG13" s="49"/>
      <c r="BUH13" s="49"/>
      <c r="BUI13" s="49"/>
      <c r="BUJ13" s="49"/>
      <c r="BUK13" s="49"/>
      <c r="BUL13" s="67">
        <f t="shared" si="904"/>
        <v>0</v>
      </c>
      <c r="BUM13" s="68">
        <f t="shared" si="905"/>
        <v>0</v>
      </c>
      <c r="BUN13" s="48"/>
      <c r="BUO13" s="49"/>
      <c r="BUP13" s="49"/>
      <c r="BUQ13" s="49"/>
      <c r="BUR13" s="49"/>
      <c r="BUS13" s="49"/>
      <c r="BUT13" s="67">
        <f t="shared" si="906"/>
        <v>0</v>
      </c>
      <c r="BUU13" s="68">
        <f t="shared" si="907"/>
        <v>0</v>
      </c>
      <c r="BUV13" s="48"/>
      <c r="BUW13" s="49"/>
      <c r="BUX13" s="49"/>
      <c r="BUY13" s="49"/>
      <c r="BUZ13" s="49"/>
      <c r="BVA13" s="49"/>
      <c r="BVB13" s="67">
        <f t="shared" si="908"/>
        <v>0</v>
      </c>
      <c r="BVC13" s="68">
        <f t="shared" si="909"/>
        <v>0</v>
      </c>
      <c r="BVD13" s="48"/>
      <c r="BVE13" s="49"/>
      <c r="BVF13" s="49"/>
      <c r="BVG13" s="49"/>
      <c r="BVH13" s="49"/>
      <c r="BVI13" s="49"/>
      <c r="BVJ13" s="67">
        <f t="shared" si="910"/>
        <v>0</v>
      </c>
      <c r="BVK13" s="68">
        <f t="shared" si="911"/>
        <v>0</v>
      </c>
      <c r="BVL13" s="48"/>
      <c r="BVM13" s="49"/>
      <c r="BVN13" s="49"/>
      <c r="BVO13" s="49"/>
      <c r="BVP13" s="49"/>
      <c r="BVQ13" s="49"/>
      <c r="BVR13" s="67">
        <f t="shared" si="912"/>
        <v>0</v>
      </c>
      <c r="BVS13" s="68">
        <f t="shared" si="913"/>
        <v>0</v>
      </c>
      <c r="BVT13" s="48"/>
      <c r="BVU13" s="49"/>
      <c r="BVV13" s="49"/>
      <c r="BVW13" s="49"/>
      <c r="BVX13" s="49"/>
      <c r="BVY13" s="49"/>
      <c r="BVZ13" s="67">
        <f t="shared" si="914"/>
        <v>0</v>
      </c>
      <c r="BWA13" s="68">
        <f t="shared" si="915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16"/>
        <v>329</v>
      </c>
      <c r="BWI13" s="68">
        <f t="shared" si="917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18"/>
        <v>213</v>
      </c>
      <c r="BWQ13" s="68">
        <f t="shared" si="919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0"/>
        <v>99</v>
      </c>
      <c r="BWY13" s="68">
        <f t="shared" si="921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2"/>
        <v>223</v>
      </c>
      <c r="BXG13" s="68">
        <f t="shared" si="923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24"/>
        <v>11</v>
      </c>
      <c r="BXO13" s="68">
        <f t="shared" si="925"/>
        <v>1.8333333333333333</v>
      </c>
      <c r="BXP13" s="48"/>
      <c r="BXQ13" s="49"/>
      <c r="BXR13" s="49"/>
      <c r="BXS13" s="49"/>
      <c r="BXT13" s="49"/>
      <c r="BXU13" s="49"/>
      <c r="BXV13" s="67">
        <f t="shared" si="926"/>
        <v>0</v>
      </c>
      <c r="BXW13" s="68">
        <f t="shared" si="927"/>
        <v>0</v>
      </c>
      <c r="BXX13" s="48"/>
      <c r="BXY13" s="49"/>
      <c r="BXZ13" s="49"/>
      <c r="BYA13" s="49"/>
      <c r="BYB13" s="49"/>
      <c r="BYC13" s="49"/>
      <c r="BYD13" s="67">
        <f t="shared" si="928"/>
        <v>0</v>
      </c>
      <c r="BYE13" s="68">
        <f t="shared" si="929"/>
        <v>0</v>
      </c>
      <c r="BYF13" s="48"/>
      <c r="BYG13" s="49"/>
      <c r="BYH13" s="49"/>
      <c r="BYI13" s="49"/>
      <c r="BYJ13" s="49"/>
      <c r="BYK13" s="49"/>
      <c r="BYL13" s="67">
        <f t="shared" si="930"/>
        <v>0</v>
      </c>
      <c r="BYM13" s="68">
        <f t="shared" si="931"/>
        <v>0</v>
      </c>
      <c r="BYN13" s="48"/>
      <c r="BYO13" s="49"/>
      <c r="BYP13" s="49"/>
      <c r="BYQ13" s="49"/>
      <c r="BYR13" s="49"/>
      <c r="BYS13" s="49"/>
      <c r="BYT13" s="67">
        <f t="shared" si="932"/>
        <v>0</v>
      </c>
      <c r="BYU13" s="68">
        <f t="shared" si="933"/>
        <v>0</v>
      </c>
      <c r="BYV13" s="48"/>
      <c r="BYW13" s="49"/>
      <c r="BYX13" s="49"/>
      <c r="BYY13" s="49"/>
      <c r="BYZ13" s="49"/>
      <c r="BZA13" s="49"/>
      <c r="BZB13" s="67">
        <f t="shared" si="934"/>
        <v>0</v>
      </c>
      <c r="BZC13" s="68">
        <f t="shared" si="935"/>
        <v>0</v>
      </c>
      <c r="BZD13" s="239"/>
      <c r="BZE13" s="1"/>
      <c r="BZF13" s="1"/>
      <c r="BZG13" s="1"/>
      <c r="BZH13" s="1"/>
      <c r="BZI13" s="1"/>
      <c r="BZJ13" s="67">
        <f t="shared" si="936"/>
        <v>0</v>
      </c>
      <c r="BZK13" s="68">
        <f t="shared" si="937"/>
        <v>0</v>
      </c>
      <c r="BZL13" s="48"/>
      <c r="BZM13" s="49"/>
      <c r="BZN13" s="49"/>
      <c r="BZO13" s="49"/>
      <c r="BZP13" s="49"/>
      <c r="BZQ13" s="49"/>
      <c r="BZR13" s="67">
        <f t="shared" si="938"/>
        <v>0</v>
      </c>
      <c r="BZS13" s="68">
        <f t="shared" si="939"/>
        <v>0</v>
      </c>
      <c r="BZT13" s="48"/>
      <c r="BZU13" s="49"/>
      <c r="BZV13" s="49"/>
      <c r="BZW13" s="49"/>
      <c r="BZX13" s="49"/>
      <c r="BZY13" s="49"/>
      <c r="BZZ13" s="67">
        <f t="shared" si="940"/>
        <v>0</v>
      </c>
      <c r="CAA13" s="68">
        <f t="shared" si="941"/>
        <v>0</v>
      </c>
      <c r="CAB13" s="48"/>
      <c r="CAC13" s="49"/>
      <c r="CAD13" s="49"/>
      <c r="CAE13" s="49"/>
      <c r="CAF13" s="49"/>
      <c r="CAG13" s="49"/>
      <c r="CAH13" s="67">
        <f t="shared" si="942"/>
        <v>0</v>
      </c>
      <c r="CAI13" s="68">
        <f t="shared" si="943"/>
        <v>0</v>
      </c>
      <c r="CAJ13" s="48"/>
      <c r="CAK13" s="49"/>
      <c r="CAL13" s="49"/>
      <c r="CAM13" s="49"/>
      <c r="CAN13" s="49"/>
      <c r="CAO13" s="49"/>
      <c r="CAP13" s="67">
        <f t="shared" si="944"/>
        <v>0</v>
      </c>
      <c r="CAQ13" s="68">
        <f t="shared" si="945"/>
        <v>0</v>
      </c>
      <c r="CAR13" s="201"/>
      <c r="CAS13" s="47"/>
      <c r="CAT13" s="47"/>
      <c r="CAU13" s="47"/>
      <c r="CAV13" s="47"/>
      <c r="CAW13" s="47"/>
      <c r="CAX13" s="67">
        <f t="shared" si="946"/>
        <v>0</v>
      </c>
      <c r="CAY13" s="68">
        <f t="shared" si="947"/>
        <v>0</v>
      </c>
      <c r="CAZ13" s="63"/>
      <c r="CBA13" s="64"/>
      <c r="CBB13" s="64"/>
      <c r="CBC13" s="64"/>
      <c r="CBD13" s="64"/>
      <c r="CBE13" s="64"/>
      <c r="CBF13" s="67">
        <f t="shared" si="948"/>
        <v>0</v>
      </c>
      <c r="CBG13" s="68">
        <f t="shared" si="949"/>
        <v>0</v>
      </c>
      <c r="CBH13" s="48"/>
      <c r="CBI13" s="49"/>
      <c r="CBJ13" s="49"/>
      <c r="CBK13" s="49"/>
      <c r="CBL13" s="49"/>
      <c r="CBM13" s="49"/>
      <c r="CBN13" s="67">
        <f t="shared" si="950"/>
        <v>0</v>
      </c>
      <c r="CBO13" s="68">
        <f t="shared" si="951"/>
        <v>0</v>
      </c>
      <c r="CBP13" s="48"/>
      <c r="CBQ13" s="49"/>
      <c r="CBR13" s="49"/>
      <c r="CBS13" s="49"/>
      <c r="CBT13" s="49"/>
      <c r="CBU13" s="49"/>
      <c r="CBV13" s="67">
        <f t="shared" si="952"/>
        <v>0</v>
      </c>
      <c r="CBW13" s="68">
        <f t="shared" si="953"/>
        <v>0</v>
      </c>
      <c r="CBX13" s="48"/>
      <c r="CBY13" s="49"/>
      <c r="CBZ13" s="49"/>
      <c r="CCA13" s="49"/>
      <c r="CCB13" s="49"/>
      <c r="CCC13" s="49"/>
      <c r="CCD13" s="67">
        <f t="shared" si="954"/>
        <v>0</v>
      </c>
      <c r="CCE13" s="68">
        <f t="shared" si="955"/>
        <v>0</v>
      </c>
      <c r="CCF13" s="48"/>
      <c r="CCG13" s="49"/>
      <c r="CCH13" s="49"/>
      <c r="CCI13" s="49"/>
      <c r="CCJ13" s="49"/>
      <c r="CCK13" s="49"/>
      <c r="CCL13" s="67">
        <f t="shared" si="956"/>
        <v>0</v>
      </c>
      <c r="CCM13" s="68">
        <f t="shared" si="957"/>
        <v>0</v>
      </c>
      <c r="CCN13" s="48"/>
      <c r="CCO13" s="49"/>
      <c r="CCP13" s="49"/>
      <c r="CCQ13" s="49"/>
      <c r="CCR13" s="49"/>
      <c r="CCS13" s="49"/>
      <c r="CCT13" s="67">
        <f t="shared" si="958"/>
        <v>0</v>
      </c>
      <c r="CCU13" s="68">
        <f t="shared" si="959"/>
        <v>0</v>
      </c>
      <c r="CCV13" s="48"/>
      <c r="CCW13" s="49"/>
      <c r="CCX13" s="49"/>
      <c r="CCY13" s="49"/>
      <c r="CCZ13" s="49"/>
      <c r="CDA13" s="49"/>
      <c r="CDB13" s="67">
        <f t="shared" si="960"/>
        <v>0</v>
      </c>
      <c r="CDC13" s="68">
        <f t="shared" si="961"/>
        <v>0</v>
      </c>
      <c r="CDD13" s="201"/>
      <c r="CDE13" s="47"/>
      <c r="CDF13" s="47"/>
      <c r="CDG13" s="47"/>
      <c r="CDH13" s="47"/>
      <c r="CDI13" s="47"/>
      <c r="CDJ13" s="67">
        <f t="shared" si="962"/>
        <v>0</v>
      </c>
      <c r="CDK13" s="68">
        <f t="shared" si="963"/>
        <v>0</v>
      </c>
      <c r="CDL13" s="48"/>
      <c r="CDM13" s="49"/>
      <c r="CDN13" s="49"/>
      <c r="CDO13" s="49"/>
      <c r="CDP13" s="49"/>
      <c r="CDQ13" s="49"/>
      <c r="CDR13" s="67">
        <f t="shared" si="964"/>
        <v>0</v>
      </c>
      <c r="CDS13" s="68">
        <f t="shared" si="965"/>
        <v>0</v>
      </c>
      <c r="CDT13" s="48"/>
      <c r="CDU13" s="49"/>
      <c r="CDV13" s="49"/>
      <c r="CDW13" s="49"/>
      <c r="CDX13" s="49"/>
      <c r="CDY13" s="49"/>
      <c r="CDZ13" s="67">
        <f t="shared" si="966"/>
        <v>0</v>
      </c>
      <c r="CEA13" s="68">
        <f t="shared" si="967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68"/>
        <v>0</v>
      </c>
      <c r="CFE13" s="68">
        <f t="shared" si="969"/>
        <v>0</v>
      </c>
      <c r="CFF13" s="48"/>
      <c r="CFG13" s="49"/>
      <c r="CFH13" s="49"/>
      <c r="CFI13" s="49"/>
      <c r="CFJ13" s="49"/>
      <c r="CFK13" s="49"/>
      <c r="CFL13" s="64">
        <f t="shared" si="970"/>
        <v>0</v>
      </c>
      <c r="CFM13" s="68">
        <f t="shared" si="971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2"/>
        <v>0</v>
      </c>
      <c r="CFU13" s="68">
        <f t="shared" si="973"/>
        <v>0</v>
      </c>
      <c r="CFV13" s="48"/>
      <c r="CFW13" s="49"/>
      <c r="CFX13" s="49"/>
      <c r="CFY13" s="49"/>
      <c r="CFZ13" s="49"/>
      <c r="CGA13" s="49"/>
      <c r="CGB13" s="64">
        <f t="shared" si="974"/>
        <v>0</v>
      </c>
      <c r="CGC13" s="68">
        <f t="shared" si="975"/>
        <v>0</v>
      </c>
      <c r="CGD13" s="48"/>
      <c r="CGE13" s="49"/>
      <c r="CGF13" s="49"/>
      <c r="CGG13" s="49"/>
      <c r="CGH13" s="49"/>
      <c r="CGI13" s="49"/>
      <c r="CGJ13" s="64">
        <f t="shared" si="976"/>
        <v>0</v>
      </c>
      <c r="CGK13" s="68">
        <f t="shared" si="977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78"/>
        <v>326</v>
      </c>
      <c r="CGS13" s="68">
        <f t="shared" si="979"/>
        <v>54.333333333333336</v>
      </c>
      <c r="CGT13" s="48"/>
      <c r="CGU13" s="49"/>
      <c r="CGV13" s="49"/>
      <c r="CGW13" s="49"/>
      <c r="CGX13" s="49"/>
      <c r="CGY13" s="49"/>
      <c r="CGZ13" s="64">
        <f t="shared" si="980"/>
        <v>0</v>
      </c>
      <c r="CHA13" s="68">
        <f t="shared" si="981"/>
        <v>0</v>
      </c>
      <c r="CHB13" s="48"/>
      <c r="CHC13" s="49"/>
      <c r="CHD13" s="49"/>
      <c r="CHE13" s="49"/>
      <c r="CHF13" s="49"/>
      <c r="CHG13" s="49"/>
      <c r="CHH13" s="64">
        <f t="shared" si="982"/>
        <v>0</v>
      </c>
      <c r="CHI13" s="68">
        <f t="shared" si="983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84"/>
        <v>320</v>
      </c>
      <c r="CHQ13" s="68">
        <f t="shared" si="985"/>
        <v>53.333333333333336</v>
      </c>
      <c r="CHR13" s="48"/>
      <c r="CHS13" s="49"/>
      <c r="CHT13" s="49"/>
      <c r="CHU13" s="49"/>
      <c r="CHV13" s="49"/>
      <c r="CHW13" s="49"/>
      <c r="CHX13" s="64">
        <f t="shared" si="986"/>
        <v>0</v>
      </c>
      <c r="CHY13" s="68">
        <f t="shared" si="987"/>
        <v>0</v>
      </c>
      <c r="CHZ13" s="48"/>
      <c r="CIA13" s="49"/>
      <c r="CIB13" s="49"/>
      <c r="CIC13" s="49"/>
      <c r="CID13" s="49"/>
      <c r="CIE13" s="49"/>
      <c r="CIF13" s="64">
        <f t="shared" si="988"/>
        <v>0</v>
      </c>
      <c r="CIG13" s="68">
        <f t="shared" si="989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0"/>
        <v>670</v>
      </c>
      <c r="CIO13" s="68">
        <f t="shared" si="991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2"/>
        <v>316</v>
      </c>
      <c r="CIW13" s="68">
        <f t="shared" si="993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994"/>
        <v>328</v>
      </c>
      <c r="CJE13" s="43">
        <f t="shared" si="995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996"/>
        <v>632</v>
      </c>
      <c r="CJM13" s="43">
        <f t="shared" si="997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998"/>
        <v>909</v>
      </c>
      <c r="CJU13" s="43">
        <f t="shared" si="999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0"/>
        <v>314</v>
      </c>
      <c r="CKC13" s="43">
        <f t="shared" si="1001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2"/>
        <v>315</v>
      </c>
      <c r="CKK13" s="43">
        <f t="shared" si="1003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04"/>
        <v>656</v>
      </c>
      <c r="CKS13" s="43">
        <f t="shared" si="1005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06"/>
        <v>668</v>
      </c>
      <c r="CLA13" s="43">
        <f t="shared" si="1007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08"/>
        <v>657</v>
      </c>
      <c r="CLI13" s="43">
        <f t="shared" si="1009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0"/>
        <v>315</v>
      </c>
      <c r="CLQ13" s="43">
        <f t="shared" si="1011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2"/>
        <v>353</v>
      </c>
      <c r="CLY13" s="43">
        <f t="shared" si="1013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14"/>
        <v>668</v>
      </c>
      <c r="CMG13" s="43">
        <f t="shared" si="1015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16"/>
        <v>652</v>
      </c>
      <c r="CMO13" s="43">
        <f t="shared" si="1017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18"/>
        <v>337</v>
      </c>
      <c r="CMW13" s="43">
        <f t="shared" si="1019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0"/>
        <v>660</v>
      </c>
      <c r="CNE13" s="68">
        <f t="shared" si="1021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5"/>
        <v>316</v>
      </c>
      <c r="CNM13" s="68">
        <f t="shared" si="226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7"/>
        <v>0</v>
      </c>
      <c r="CNU13" s="68">
        <f t="shared" si="228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29"/>
        <v>327</v>
      </c>
      <c r="COC13" s="68">
        <f t="shared" si="230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1"/>
        <v>315</v>
      </c>
      <c r="COK13" s="68">
        <f t="shared" si="232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3"/>
        <v>336</v>
      </c>
      <c r="COS13" s="68">
        <f t="shared" si="234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5"/>
        <v>660</v>
      </c>
      <c r="CPA13" s="68">
        <f t="shared" si="236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7"/>
        <v>328</v>
      </c>
      <c r="CPI13" s="68">
        <f t="shared" si="238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39"/>
        <v>640</v>
      </c>
      <c r="CPQ13" s="68">
        <f t="shared" si="240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1"/>
        <v>355</v>
      </c>
      <c r="CPY13" s="68">
        <f t="shared" si="242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3"/>
        <v>321</v>
      </c>
      <c r="CQG13" s="68">
        <f t="shared" si="244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5"/>
        <v>326</v>
      </c>
      <c r="CQO13" s="43">
        <f t="shared" si="246"/>
        <v>54.333333333333336</v>
      </c>
      <c r="CQP13" s="48"/>
      <c r="CQQ13" s="49"/>
      <c r="CQR13" s="49"/>
      <c r="CQS13" s="49"/>
      <c r="CQT13" s="49"/>
      <c r="CQU13" s="49"/>
      <c r="CQV13" s="127">
        <f t="shared" si="247"/>
        <v>0</v>
      </c>
      <c r="CQW13" s="43">
        <f t="shared" si="248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49"/>
        <v>265</v>
      </c>
      <c r="CRE13" s="43">
        <f t="shared" si="250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1"/>
        <v>335</v>
      </c>
      <c r="DKG13" s="68">
        <f t="shared" si="252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3"/>
        <v>0</v>
      </c>
      <c r="DKO13" s="68">
        <f t="shared" si="254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5"/>
        <v>328</v>
      </c>
      <c r="DKW13" s="68">
        <f t="shared" si="256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7"/>
        <v>326</v>
      </c>
      <c r="DLE13" s="68">
        <f t="shared" si="258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59"/>
        <v>338</v>
      </c>
      <c r="DLM13" s="68">
        <f t="shared" si="260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1"/>
        <v>322</v>
      </c>
      <c r="DLU13" s="68">
        <f t="shared" si="262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3"/>
        <v>0</v>
      </c>
      <c r="DMC13" s="68">
        <f t="shared" si="264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5"/>
        <v>648</v>
      </c>
      <c r="DMK13" s="68">
        <f t="shared" si="266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7"/>
        <v>0</v>
      </c>
      <c r="DMS13" s="68">
        <f t="shared" si="268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69"/>
        <v>644</v>
      </c>
      <c r="DNA13" s="68">
        <f t="shared" si="270"/>
        <v>107.33333333333333</v>
      </c>
      <c r="DNB13" s="48"/>
      <c r="DNC13" s="49"/>
      <c r="DND13" s="49"/>
      <c r="DNE13" s="49"/>
      <c r="DNF13" s="49"/>
      <c r="DNG13" s="49"/>
      <c r="DNH13" s="64">
        <f t="shared" si="271"/>
        <v>0</v>
      </c>
      <c r="DNI13" s="68">
        <f t="shared" si="272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3"/>
        <v>0</v>
      </c>
      <c r="DNQ13" s="68">
        <f t="shared" si="274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5"/>
        <v>329</v>
      </c>
      <c r="DNY13" s="68">
        <f t="shared" si="276"/>
        <v>54.833333333333336</v>
      </c>
      <c r="DNZ13" s="48"/>
      <c r="DOA13" s="49"/>
      <c r="DOB13" s="49"/>
      <c r="DOC13" s="49"/>
      <c r="DOD13" s="49"/>
      <c r="DOE13" s="49"/>
      <c r="DOF13" s="64">
        <f t="shared" si="277"/>
        <v>0</v>
      </c>
      <c r="DOG13" s="68">
        <f t="shared" si="278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79"/>
        <v>0</v>
      </c>
      <c r="DOO13" s="68">
        <f t="shared" si="280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1"/>
        <v>324</v>
      </c>
      <c r="DOW13" s="68">
        <f t="shared" si="282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3"/>
        <v>339</v>
      </c>
      <c r="DPE13" s="68">
        <f t="shared" si="284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5"/>
        <v>0</v>
      </c>
      <c r="DPM13" s="68">
        <f t="shared" si="286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7"/>
        <v>299</v>
      </c>
      <c r="DPU13" s="68">
        <f t="shared" si="288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89"/>
        <v>332</v>
      </c>
      <c r="DQC13" s="68">
        <f t="shared" si="290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1"/>
        <v>332</v>
      </c>
      <c r="DQK13" s="68">
        <f t="shared" si="292"/>
        <v>55.333333333333336</v>
      </c>
      <c r="DQL13" s="48"/>
      <c r="DQM13" s="49"/>
      <c r="DQN13" s="49"/>
      <c r="DQO13" s="49"/>
      <c r="DQP13" s="49"/>
      <c r="DQQ13" s="49"/>
      <c r="DQR13" s="64">
        <f t="shared" si="293"/>
        <v>0</v>
      </c>
      <c r="DQS13" s="68">
        <f t="shared" si="294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5"/>
        <v>329</v>
      </c>
      <c r="DRA13" s="68">
        <f t="shared" si="296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7"/>
        <v>335</v>
      </c>
      <c r="DRI13" s="68">
        <f t="shared" si="298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299"/>
        <v>323</v>
      </c>
      <c r="DRQ13" s="68">
        <f t="shared" si="300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1"/>
        <v>0</v>
      </c>
      <c r="DRY13" s="68">
        <f t="shared" si="302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3"/>
        <v>321</v>
      </c>
      <c r="DSG13" s="68">
        <f t="shared" si="304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5"/>
        <v>327</v>
      </c>
      <c r="DSO13" s="68">
        <f t="shared" si="306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7"/>
        <v>0</v>
      </c>
      <c r="DSW13" s="68">
        <f t="shared" si="308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09"/>
        <v>332</v>
      </c>
      <c r="DTE13" s="68">
        <f t="shared" si="310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1"/>
        <v>0</v>
      </c>
      <c r="DTM13" s="68">
        <f t="shared" si="312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3"/>
        <v>0</v>
      </c>
      <c r="DTU13" s="68">
        <f t="shared" si="314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5"/>
        <v>356</v>
      </c>
      <c r="DUC13" s="68">
        <f t="shared" si="316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7"/>
        <v>0</v>
      </c>
      <c r="DUK13" s="68">
        <f t="shared" si="318"/>
        <v>0</v>
      </c>
      <c r="DUL13" s="48"/>
      <c r="DUM13" s="49"/>
      <c r="DUN13" s="49"/>
      <c r="DUO13" s="49"/>
      <c r="DUP13" s="49"/>
      <c r="DUQ13" s="49"/>
      <c r="DUR13" s="64">
        <f t="shared" si="319"/>
        <v>0</v>
      </c>
      <c r="DUS13" s="68">
        <f t="shared" si="320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1"/>
        <v>334</v>
      </c>
      <c r="DVA13" s="68">
        <f t="shared" si="322"/>
        <v>55.666666666666664</v>
      </c>
      <c r="DVB13" s="48"/>
      <c r="DVC13" s="49"/>
      <c r="DVD13" s="49"/>
      <c r="DVE13" s="49"/>
      <c r="DVF13" s="49"/>
      <c r="DVG13" s="49"/>
      <c r="DVH13" s="64">
        <f t="shared" si="323"/>
        <v>0</v>
      </c>
      <c r="DVI13" s="68">
        <f t="shared" si="324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5"/>
        <v>339</v>
      </c>
      <c r="DVQ13" s="68">
        <f t="shared" si="326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7"/>
        <v>0</v>
      </c>
      <c r="DVY13" s="68">
        <f t="shared" si="328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29"/>
        <v>339</v>
      </c>
      <c r="DWG13" s="68">
        <f t="shared" si="330"/>
        <v>56.5</v>
      </c>
      <c r="DWH13" s="48"/>
      <c r="DWI13" s="49"/>
      <c r="DWJ13" s="49"/>
      <c r="DWK13" s="49"/>
      <c r="DWL13" s="49"/>
      <c r="DWM13" s="49"/>
      <c r="DWN13" s="64">
        <f t="shared" si="331"/>
        <v>0</v>
      </c>
      <c r="DWO13" s="68">
        <f t="shared" si="332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3"/>
        <v>300</v>
      </c>
      <c r="DWW13" s="68">
        <f t="shared" si="334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5"/>
        <v>0</v>
      </c>
      <c r="DXE13" s="68">
        <f t="shared" si="336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7"/>
        <v>327</v>
      </c>
      <c r="DXM13" s="68">
        <f t="shared" si="338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39"/>
        <v>0</v>
      </c>
      <c r="DXU13" s="184">
        <f t="shared" si="340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1"/>
        <v>340</v>
      </c>
      <c r="DYD13" s="211">
        <f t="shared" si="342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3"/>
        <v>334</v>
      </c>
      <c r="DYL13" s="211">
        <f t="shared" si="344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5"/>
        <v>0</v>
      </c>
      <c r="DYT13" s="211">
        <f t="shared" si="346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7"/>
        <v>329</v>
      </c>
      <c r="DZB13" s="211">
        <f t="shared" si="348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49"/>
        <v>343</v>
      </c>
      <c r="DZJ13" s="211">
        <f t="shared" si="350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1"/>
        <v>0</v>
      </c>
      <c r="DZR13" s="211">
        <f t="shared" si="352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3"/>
        <v>0</v>
      </c>
      <c r="DZZ13" s="211">
        <f t="shared" si="354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5"/>
        <v>0</v>
      </c>
      <c r="EAH13" s="211">
        <f t="shared" si="356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7"/>
        <v>346</v>
      </c>
      <c r="EAP13" s="211">
        <f t="shared" si="358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59"/>
        <v>331</v>
      </c>
      <c r="EAX13" s="211">
        <f t="shared" si="360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1"/>
        <v>0</v>
      </c>
      <c r="EBF13" s="211">
        <f t="shared" si="362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3"/>
        <v>338</v>
      </c>
      <c r="EBN13" s="211">
        <f t="shared" si="364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5"/>
        <v>332</v>
      </c>
      <c r="EBV13" s="184">
        <f t="shared" si="366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7"/>
        <v>324</v>
      </c>
      <c r="ECD13" s="211">
        <f t="shared" si="368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69"/>
        <v>328</v>
      </c>
      <c r="ECL13" s="211">
        <f t="shared" si="370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1"/>
        <v>0</v>
      </c>
      <c r="ECT13" s="211">
        <f t="shared" si="372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3"/>
        <v>336</v>
      </c>
      <c r="EDB13" s="211">
        <f t="shared" si="374"/>
        <v>56</v>
      </c>
      <c r="EDC13" s="195"/>
      <c r="EDD13" s="49"/>
      <c r="EDE13" s="49"/>
      <c r="EDF13" s="49"/>
      <c r="EDG13" s="49"/>
      <c r="EDH13" s="49"/>
      <c r="EDI13" s="64">
        <f t="shared" si="375"/>
        <v>0</v>
      </c>
      <c r="EDJ13" s="211">
        <f t="shared" si="376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7"/>
        <v>0</v>
      </c>
      <c r="EDR13" s="211">
        <f t="shared" si="378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79"/>
        <v>326</v>
      </c>
      <c r="EDZ13" s="707">
        <f t="shared" si="380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1"/>
        <v>0</v>
      </c>
      <c r="EEH13" s="211">
        <f t="shared" si="382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3"/>
        <v>315</v>
      </c>
      <c r="EEP13" s="211">
        <f t="shared" si="384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5"/>
        <v>0</v>
      </c>
      <c r="EEX13" s="211">
        <f t="shared" si="386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7"/>
        <v>325</v>
      </c>
      <c r="EFF13" s="211">
        <f t="shared" si="388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89"/>
        <v>316</v>
      </c>
      <c r="EFN13" s="211">
        <f t="shared" si="390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1"/>
        <v>607</v>
      </c>
      <c r="EFV13" s="211">
        <f t="shared" si="392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3"/>
        <v>0</v>
      </c>
      <c r="EGD13" s="211">
        <f t="shared" si="394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5"/>
        <v>617</v>
      </c>
      <c r="EGL13" s="211">
        <f t="shared" si="396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7"/>
        <v>323</v>
      </c>
      <c r="EGT13" s="211">
        <f t="shared" si="398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399"/>
        <v>323</v>
      </c>
      <c r="EHB13" s="211">
        <f t="shared" si="400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1"/>
        <v>562</v>
      </c>
      <c r="EHJ13" s="211">
        <f t="shared" si="402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3"/>
        <v>326</v>
      </c>
      <c r="EHR13" s="211">
        <f t="shared" si="404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5"/>
        <v>294</v>
      </c>
      <c r="EHZ13" s="211">
        <f t="shared" si="406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7"/>
        <v>664</v>
      </c>
      <c r="EIH13" s="211">
        <f t="shared" si="408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09"/>
        <v>632</v>
      </c>
      <c r="EIP13" s="211">
        <f t="shared" si="410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1"/>
        <v>1957</v>
      </c>
      <c r="EIX13" s="211">
        <f t="shared" si="412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3"/>
        <v>658</v>
      </c>
      <c r="EJF13" s="211">
        <f t="shared" si="414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5"/>
        <v>331</v>
      </c>
      <c r="EJN13" s="211">
        <f t="shared" si="416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7"/>
        <v>648</v>
      </c>
      <c r="EJV13" s="211">
        <f t="shared" si="418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19"/>
        <v>0</v>
      </c>
      <c r="EKD13" s="211">
        <f t="shared" si="420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1"/>
        <v>1584</v>
      </c>
      <c r="EKL13" s="211">
        <f t="shared" si="422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3"/>
        <v>0</v>
      </c>
      <c r="EKT13" s="211">
        <f t="shared" si="424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5"/>
        <v>0</v>
      </c>
      <c r="ELB13" s="211">
        <f t="shared" si="426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7"/>
        <v>1577</v>
      </c>
      <c r="ELJ13" s="211">
        <f t="shared" si="428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29"/>
        <v>951</v>
      </c>
      <c r="ELR13" s="211">
        <f t="shared" si="430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1"/>
        <v>0</v>
      </c>
      <c r="ELZ13" s="873">
        <f t="shared" si="432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3"/>
        <v>0</v>
      </c>
      <c r="EMH13" s="873">
        <f t="shared" si="434"/>
        <v>0</v>
      </c>
      <c r="EMI13" s="195">
        <v>659</v>
      </c>
      <c r="EMJ13" s="49"/>
      <c r="EMK13" s="49"/>
      <c r="EML13" s="49"/>
      <c r="EMM13" s="49"/>
      <c r="EMN13" s="49"/>
      <c r="EMO13" s="872">
        <f t="shared" si="435"/>
        <v>659</v>
      </c>
      <c r="EMP13" s="873">
        <f t="shared" si="436"/>
        <v>109.83333333333333</v>
      </c>
    </row>
    <row r="14" spans="1:3734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2762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2762</v>
      </c>
      <c r="M14" s="15">
        <f t="shared" si="1022"/>
        <v>2762</v>
      </c>
      <c r="N14" s="15">
        <v>109.33333333333333</v>
      </c>
      <c r="O14" s="276">
        <f t="shared" si="2"/>
        <v>25.262195121951219</v>
      </c>
      <c r="P14" s="277">
        <f t="shared" si="437"/>
        <v>53.333333333333336</v>
      </c>
      <c r="Q14" s="276">
        <f t="shared" si="3"/>
        <v>310.72499999999997</v>
      </c>
      <c r="R14" s="277">
        <f t="shared" si="224"/>
        <v>12.307692307692308</v>
      </c>
      <c r="S14" s="222">
        <v>320</v>
      </c>
      <c r="T14" s="276">
        <f t="shared" si="4"/>
        <v>224.41249999999999</v>
      </c>
      <c r="U14" s="278"/>
      <c r="V14" s="302">
        <f t="shared" si="5"/>
        <v>224.41249999999999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38"/>
        <v>686</v>
      </c>
      <c r="AM14" s="43">
        <f t="shared" si="439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0"/>
        <v>638</v>
      </c>
      <c r="AU14" s="43">
        <f t="shared" si="441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2"/>
        <v>797</v>
      </c>
      <c r="BC14" s="43">
        <f t="shared" si="443"/>
        <v>132.83333333333334</v>
      </c>
      <c r="BD14" s="48"/>
      <c r="BE14" s="49"/>
      <c r="BF14" s="49"/>
      <c r="BG14" s="49"/>
      <c r="BH14" s="49"/>
      <c r="BI14" s="49"/>
      <c r="BJ14" s="42">
        <f t="shared" si="444"/>
        <v>0</v>
      </c>
      <c r="BK14" s="43">
        <f t="shared" si="445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46"/>
        <v>1174</v>
      </c>
      <c r="BS14" s="43">
        <f t="shared" si="447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48"/>
        <v>1382</v>
      </c>
      <c r="CA14" s="43">
        <f t="shared" si="449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0"/>
        <v>602</v>
      </c>
      <c r="CI14" s="43">
        <f t="shared" si="451"/>
        <v>100.33333333333333</v>
      </c>
      <c r="CJ14" s="48"/>
      <c r="CK14" s="49"/>
      <c r="CL14" s="49"/>
      <c r="CM14" s="49"/>
      <c r="CN14" s="49"/>
      <c r="CO14" s="49"/>
      <c r="CP14" s="42">
        <f t="shared" si="452"/>
        <v>0</v>
      </c>
      <c r="CQ14" s="43">
        <f t="shared" si="453"/>
        <v>0</v>
      </c>
      <c r="CR14" s="48">
        <v>102</v>
      </c>
      <c r="CS14" s="49"/>
      <c r="CT14" s="49"/>
      <c r="CU14" s="49"/>
      <c r="CV14" s="49"/>
      <c r="CW14" s="49"/>
      <c r="CX14" s="42">
        <f t="shared" si="454"/>
        <v>102</v>
      </c>
      <c r="CY14" s="43">
        <f t="shared" si="455"/>
        <v>17</v>
      </c>
      <c r="CZ14" s="48">
        <v>591</v>
      </c>
      <c r="DA14" s="49"/>
      <c r="DB14" s="49"/>
      <c r="DC14" s="49"/>
      <c r="DD14" s="49"/>
      <c r="DE14" s="49"/>
      <c r="DF14" s="42">
        <f t="shared" si="456"/>
        <v>591</v>
      </c>
      <c r="DG14" s="43">
        <f t="shared" si="457"/>
        <v>98.5</v>
      </c>
      <c r="DH14" s="48"/>
      <c r="DI14" s="49"/>
      <c r="DJ14" s="49"/>
      <c r="DK14" s="49">
        <v>404</v>
      </c>
      <c r="DL14" s="49"/>
      <c r="DM14" s="49"/>
      <c r="DN14" s="42">
        <f t="shared" si="458"/>
        <v>404</v>
      </c>
      <c r="DO14" s="43">
        <f t="shared" si="459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0"/>
        <v>397</v>
      </c>
      <c r="DW14" s="43">
        <f t="shared" si="461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2"/>
        <v>518</v>
      </c>
      <c r="EE14" s="43">
        <f t="shared" si="463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64"/>
        <v>399</v>
      </c>
      <c r="EM14" s="43">
        <f t="shared" si="465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66"/>
        <v>486</v>
      </c>
      <c r="EU14" s="43">
        <f t="shared" si="467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68"/>
        <v>399</v>
      </c>
      <c r="FC14" s="43">
        <f t="shared" si="469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0"/>
        <v>323</v>
      </c>
      <c r="FK14" s="43">
        <f t="shared" si="471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2"/>
        <v>1064</v>
      </c>
      <c r="FS14" s="43">
        <f t="shared" si="473"/>
        <v>177.33333333333334</v>
      </c>
      <c r="FT14" s="48"/>
      <c r="FU14" s="49"/>
      <c r="FV14" s="49"/>
      <c r="FW14" s="49"/>
      <c r="FX14" s="49"/>
      <c r="FY14" s="49"/>
      <c r="FZ14" s="42">
        <f t="shared" si="474"/>
        <v>0</v>
      </c>
      <c r="GA14" s="43">
        <f t="shared" si="475"/>
        <v>0</v>
      </c>
      <c r="GB14" s="48"/>
      <c r="GC14" s="49"/>
      <c r="GD14" s="49">
        <v>449</v>
      </c>
      <c r="GE14" s="49"/>
      <c r="GF14" s="49"/>
      <c r="GG14" s="49"/>
      <c r="GH14" s="42">
        <f t="shared" si="476"/>
        <v>449</v>
      </c>
      <c r="GI14" s="43">
        <f t="shared" si="477"/>
        <v>74.833333333333329</v>
      </c>
      <c r="GJ14" s="48"/>
      <c r="GK14" s="49"/>
      <c r="GL14" s="49"/>
      <c r="GM14" s="49"/>
      <c r="GN14" s="49"/>
      <c r="GO14" s="49"/>
      <c r="GP14" s="42">
        <f t="shared" si="478"/>
        <v>0</v>
      </c>
      <c r="GQ14" s="43">
        <f t="shared" si="479"/>
        <v>0</v>
      </c>
      <c r="GR14" s="48"/>
      <c r="GS14" s="49">
        <v>199</v>
      </c>
      <c r="GT14" s="49"/>
      <c r="GU14" s="49"/>
      <c r="GV14" s="49"/>
      <c r="GW14" s="49"/>
      <c r="GX14" s="42">
        <f t="shared" si="480"/>
        <v>199</v>
      </c>
      <c r="GY14" s="43">
        <f t="shared" si="481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2"/>
        <v>200</v>
      </c>
      <c r="HG14" s="43">
        <f t="shared" si="483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84"/>
        <v>199</v>
      </c>
      <c r="HO14" s="43">
        <f t="shared" si="485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86"/>
        <v>246</v>
      </c>
      <c r="HW14" s="43">
        <f t="shared" si="487"/>
        <v>41</v>
      </c>
      <c r="HX14" s="48"/>
      <c r="HY14" s="49">
        <v>100</v>
      </c>
      <c r="HZ14" s="49"/>
      <c r="IA14" s="49"/>
      <c r="IB14" s="49"/>
      <c r="IC14" s="49"/>
      <c r="ID14" s="42">
        <f t="shared" si="488"/>
        <v>100</v>
      </c>
      <c r="IE14" s="43">
        <f t="shared" si="489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0"/>
        <v>825</v>
      </c>
      <c r="IM14" s="43">
        <f t="shared" si="491"/>
        <v>137.5</v>
      </c>
      <c r="IN14" s="82"/>
      <c r="IO14" s="83"/>
      <c r="IP14" s="83"/>
      <c r="IQ14" s="83"/>
      <c r="IR14" s="83"/>
      <c r="IS14" s="83"/>
      <c r="IT14" s="42">
        <f t="shared" si="492"/>
        <v>0</v>
      </c>
      <c r="IU14" s="43">
        <f t="shared" si="493"/>
        <v>0</v>
      </c>
      <c r="IV14" s="48"/>
      <c r="IW14" s="49"/>
      <c r="IX14" s="49"/>
      <c r="IY14" s="49"/>
      <c r="IZ14" s="49"/>
      <c r="JA14" s="49"/>
      <c r="JB14" s="42">
        <f t="shared" si="494"/>
        <v>0</v>
      </c>
      <c r="JC14" s="43">
        <f t="shared" si="495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496"/>
        <v>383</v>
      </c>
      <c r="JK14" s="43">
        <f t="shared" si="497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498"/>
        <v>365</v>
      </c>
      <c r="JS14" s="43">
        <f t="shared" si="499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0"/>
        <v>205</v>
      </c>
      <c r="KA14" s="43">
        <f t="shared" si="501"/>
        <v>34.166666666666664</v>
      </c>
      <c r="KB14" s="48"/>
      <c r="KC14" s="49"/>
      <c r="KD14" s="49"/>
      <c r="KE14" s="49"/>
      <c r="KF14" s="49"/>
      <c r="KG14" s="49"/>
      <c r="KH14" s="42">
        <f t="shared" si="502"/>
        <v>0</v>
      </c>
      <c r="KI14" s="43">
        <f t="shared" si="503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04"/>
        <v>494</v>
      </c>
      <c r="KQ14" s="43">
        <f t="shared" si="505"/>
        <v>82.333333333333329</v>
      </c>
      <c r="KR14" s="48"/>
      <c r="KS14" s="49"/>
      <c r="KT14" s="49"/>
      <c r="KU14" s="49"/>
      <c r="KV14" s="49"/>
      <c r="KW14" s="49"/>
      <c r="KX14" s="42">
        <f t="shared" si="506"/>
        <v>0</v>
      </c>
      <c r="KY14" s="101">
        <f t="shared" si="507"/>
        <v>0</v>
      </c>
      <c r="KZ14" s="48"/>
      <c r="LA14" s="49"/>
      <c r="LB14" s="49"/>
      <c r="LC14" s="49"/>
      <c r="LD14" s="49"/>
      <c r="LE14" s="49"/>
      <c r="LF14" s="42">
        <f t="shared" si="508"/>
        <v>0</v>
      </c>
      <c r="LG14" s="43">
        <f t="shared" si="509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0"/>
        <v>727</v>
      </c>
      <c r="LO14" s="68">
        <f t="shared" si="511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2"/>
        <v>95</v>
      </c>
      <c r="LW14" s="68">
        <f t="shared" si="513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14"/>
        <v>199</v>
      </c>
      <c r="ME14" s="68">
        <f t="shared" si="515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16"/>
        <v>399</v>
      </c>
      <c r="MM14" s="43">
        <f t="shared" si="517"/>
        <v>66.5</v>
      </c>
      <c r="MN14" s="48"/>
      <c r="MO14" s="49"/>
      <c r="MP14" s="49"/>
      <c r="MQ14" s="49">
        <v>200</v>
      </c>
      <c r="MR14" s="49"/>
      <c r="MS14" s="49"/>
      <c r="MT14" s="42">
        <f t="shared" si="518"/>
        <v>200</v>
      </c>
      <c r="MU14" s="43">
        <f t="shared" si="519"/>
        <v>33.333333333333336</v>
      </c>
      <c r="MV14" s="48"/>
      <c r="MW14" s="49"/>
      <c r="MX14" s="49"/>
      <c r="MY14" s="49"/>
      <c r="MZ14" s="49"/>
      <c r="NA14" s="49"/>
      <c r="NB14" s="42">
        <f t="shared" si="520"/>
        <v>0</v>
      </c>
      <c r="NC14" s="43">
        <f t="shared" si="521"/>
        <v>0</v>
      </c>
      <c r="ND14" s="48"/>
      <c r="NE14" s="49"/>
      <c r="NF14" s="49"/>
      <c r="NG14" s="49"/>
      <c r="NH14" s="49"/>
      <c r="NI14" s="49"/>
      <c r="NJ14" s="42">
        <f t="shared" si="522"/>
        <v>0</v>
      </c>
      <c r="NK14" s="43">
        <f t="shared" si="523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24"/>
        <v>676</v>
      </c>
      <c r="NS14" s="43">
        <f t="shared" si="525"/>
        <v>112.66666666666667</v>
      </c>
      <c r="NT14" s="48"/>
      <c r="NU14" s="49"/>
      <c r="NV14" s="49"/>
      <c r="NW14" s="49"/>
      <c r="NX14" s="49"/>
      <c r="NY14" s="49"/>
      <c r="NZ14" s="42">
        <f t="shared" si="526"/>
        <v>0</v>
      </c>
      <c r="OA14" s="43">
        <f t="shared" si="527"/>
        <v>0</v>
      </c>
      <c r="OB14" s="48">
        <v>97</v>
      </c>
      <c r="OC14" s="49"/>
      <c r="OD14" s="49"/>
      <c r="OE14" s="49"/>
      <c r="OF14" s="49"/>
      <c r="OG14" s="49"/>
      <c r="OH14" s="42">
        <f t="shared" si="528"/>
        <v>97</v>
      </c>
      <c r="OI14" s="43">
        <f t="shared" si="529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0"/>
        <v>402</v>
      </c>
      <c r="OQ14" s="43">
        <f t="shared" si="531"/>
        <v>67</v>
      </c>
      <c r="OR14" s="48"/>
      <c r="OS14" s="49"/>
      <c r="OT14" s="49"/>
      <c r="OU14" s="49"/>
      <c r="OV14" s="49"/>
      <c r="OW14" s="49"/>
      <c r="OX14" s="67">
        <f t="shared" si="532"/>
        <v>0</v>
      </c>
      <c r="OY14" s="68">
        <f t="shared" si="533"/>
        <v>0</v>
      </c>
      <c r="OZ14" s="48"/>
      <c r="PA14" s="49"/>
      <c r="PB14" s="49">
        <v>316</v>
      </c>
      <c r="PC14" s="49"/>
      <c r="PD14" s="49"/>
      <c r="PE14" s="49"/>
      <c r="PF14" s="67">
        <f t="shared" si="534"/>
        <v>316</v>
      </c>
      <c r="PG14" s="68">
        <f t="shared" si="535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36"/>
        <v>740</v>
      </c>
      <c r="PO14" s="105">
        <f t="shared" si="537"/>
        <v>123.33333333333333</v>
      </c>
      <c r="PP14" s="106"/>
      <c r="PQ14" s="107"/>
      <c r="PR14" s="107"/>
      <c r="PS14" s="107"/>
      <c r="PT14" s="107"/>
      <c r="PU14" s="107"/>
      <c r="PV14" s="104">
        <f t="shared" si="538"/>
        <v>0</v>
      </c>
      <c r="PW14" s="105">
        <f t="shared" si="539"/>
        <v>0</v>
      </c>
      <c r="PX14" s="106"/>
      <c r="PY14" s="107"/>
      <c r="PZ14" s="107"/>
      <c r="QA14" s="107"/>
      <c r="QB14" s="107"/>
      <c r="QC14" s="107"/>
      <c r="QD14" s="104">
        <f t="shared" si="540"/>
        <v>0</v>
      </c>
      <c r="QE14" s="105">
        <f t="shared" si="541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2"/>
        <v>628</v>
      </c>
      <c r="QM14" s="105">
        <f t="shared" si="543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44"/>
        <v>471</v>
      </c>
      <c r="QU14" s="105">
        <f t="shared" si="545"/>
        <v>78.5</v>
      </c>
      <c r="QV14" s="106"/>
      <c r="QW14" s="107"/>
      <c r="QX14" s="107"/>
      <c r="QY14" s="107"/>
      <c r="QZ14" s="107"/>
      <c r="RA14" s="107"/>
      <c r="RB14" s="104">
        <f t="shared" si="546"/>
        <v>0</v>
      </c>
      <c r="RC14" s="105">
        <f t="shared" si="547"/>
        <v>0</v>
      </c>
      <c r="RD14" s="106"/>
      <c r="RE14" s="107"/>
      <c r="RF14" s="107"/>
      <c r="RG14" s="107"/>
      <c r="RH14" s="107"/>
      <c r="RI14" s="107"/>
      <c r="RJ14" s="104">
        <f t="shared" si="548"/>
        <v>0</v>
      </c>
      <c r="RK14" s="105">
        <f t="shared" si="549"/>
        <v>0</v>
      </c>
      <c r="RL14" s="106"/>
      <c r="RM14" s="107"/>
      <c r="RN14" s="107"/>
      <c r="RO14" s="107"/>
      <c r="RP14" s="107"/>
      <c r="RQ14" s="107"/>
      <c r="RR14" s="104">
        <f t="shared" si="550"/>
        <v>0</v>
      </c>
      <c r="RS14" s="105">
        <f t="shared" si="551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2"/>
        <v>372</v>
      </c>
      <c r="SA14" s="105">
        <f t="shared" si="553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54"/>
        <v>203</v>
      </c>
      <c r="SI14" s="105">
        <f t="shared" si="555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56"/>
        <v>403</v>
      </c>
      <c r="SQ14" s="105">
        <f t="shared" si="557"/>
        <v>67.166666666666671</v>
      </c>
      <c r="SR14" s="106"/>
      <c r="SS14" s="107"/>
      <c r="ST14" s="107"/>
      <c r="SU14" s="107"/>
      <c r="SV14" s="107"/>
      <c r="SW14" s="107"/>
      <c r="SX14" s="104">
        <f t="shared" si="558"/>
        <v>0</v>
      </c>
      <c r="SY14" s="105">
        <f t="shared" si="559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0"/>
        <v>535</v>
      </c>
      <c r="TG14" s="105">
        <f t="shared" si="561"/>
        <v>89.166666666666671</v>
      </c>
      <c r="TH14" s="106"/>
      <c r="TI14" s="107"/>
      <c r="TJ14" s="107"/>
      <c r="TK14" s="107"/>
      <c r="TL14" s="107"/>
      <c r="TM14" s="107"/>
      <c r="TN14" s="104">
        <f t="shared" si="562"/>
        <v>0</v>
      </c>
      <c r="TO14" s="105">
        <f t="shared" si="563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64"/>
        <v>0</v>
      </c>
      <c r="TX14" s="105">
        <f t="shared" si="565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66"/>
        <v>431</v>
      </c>
      <c r="UF14" s="105">
        <f t="shared" si="567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68"/>
        <v>198</v>
      </c>
      <c r="UN14" s="105">
        <f t="shared" si="569"/>
        <v>33</v>
      </c>
      <c r="UO14" s="106"/>
      <c r="UP14" s="107"/>
      <c r="UQ14" s="107"/>
      <c r="UR14" s="107"/>
      <c r="US14" s="107"/>
      <c r="UT14" s="107"/>
      <c r="UU14" s="104">
        <f t="shared" si="570"/>
        <v>0</v>
      </c>
      <c r="UV14" s="105">
        <f t="shared" si="571"/>
        <v>0</v>
      </c>
      <c r="UW14" s="106"/>
      <c r="UX14" s="107"/>
      <c r="UY14" s="107"/>
      <c r="UZ14" s="107"/>
      <c r="VA14" s="107"/>
      <c r="VB14" s="107"/>
      <c r="VC14" s="104">
        <f t="shared" si="572"/>
        <v>0</v>
      </c>
      <c r="VD14" s="105">
        <f t="shared" si="573"/>
        <v>0</v>
      </c>
      <c r="VE14" s="63">
        <v>262</v>
      </c>
      <c r="VF14" s="64"/>
      <c r="VG14" s="64"/>
      <c r="VH14" s="64"/>
      <c r="VI14" s="64"/>
      <c r="VJ14" s="64"/>
      <c r="VK14" s="67">
        <f t="shared" si="574"/>
        <v>262</v>
      </c>
      <c r="VL14" s="68">
        <f t="shared" si="575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76"/>
        <v>113</v>
      </c>
      <c r="VU14" s="68">
        <f t="shared" si="577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78"/>
        <v>538</v>
      </c>
      <c r="WD14" s="68">
        <f t="shared" si="579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0"/>
        <v>194</v>
      </c>
      <c r="WM14" s="68">
        <f t="shared" si="581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2"/>
        <v>433</v>
      </c>
      <c r="WV14" s="68">
        <f t="shared" si="583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84"/>
        <v>174</v>
      </c>
      <c r="XE14" s="105">
        <f t="shared" si="585"/>
        <v>29</v>
      </c>
      <c r="XF14" s="48"/>
      <c r="XG14" s="49"/>
      <c r="XH14" s="49"/>
      <c r="XI14" s="49"/>
      <c r="XJ14" s="49"/>
      <c r="XK14" s="49">
        <v>200</v>
      </c>
      <c r="XL14" s="67">
        <f t="shared" si="586"/>
        <v>200</v>
      </c>
      <c r="XM14" s="68">
        <f t="shared" si="587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88"/>
        <v>180</v>
      </c>
      <c r="XU14" s="68">
        <f t="shared" si="589"/>
        <v>30</v>
      </c>
      <c r="XV14" s="48"/>
      <c r="XW14" s="49"/>
      <c r="XX14" s="49"/>
      <c r="XY14" s="49"/>
      <c r="XZ14" s="24"/>
      <c r="YA14" s="49"/>
      <c r="YB14" s="67">
        <f t="shared" si="590"/>
        <v>0</v>
      </c>
      <c r="YC14" s="68">
        <f t="shared" si="591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2"/>
        <v>324</v>
      </c>
      <c r="YL14" s="68">
        <f t="shared" si="593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594"/>
        <v>200</v>
      </c>
      <c r="YU14" s="68">
        <f t="shared" si="595"/>
        <v>33.333333333333336</v>
      </c>
      <c r="YV14" s="48"/>
      <c r="YW14" s="49"/>
      <c r="YX14" s="49"/>
      <c r="YY14" s="49"/>
      <c r="YZ14" s="49"/>
      <c r="ZA14" s="49"/>
      <c r="ZB14" s="67">
        <f t="shared" si="596"/>
        <v>0</v>
      </c>
      <c r="ZC14" s="68">
        <f t="shared" si="597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598"/>
        <v>285</v>
      </c>
      <c r="ZK14" s="68">
        <f t="shared" si="599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0"/>
        <v>403</v>
      </c>
      <c r="ZS14" s="68">
        <f t="shared" si="601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2"/>
        <v>200</v>
      </c>
      <c r="AAA14" s="68">
        <f t="shared" si="603"/>
        <v>33.333333333333336</v>
      </c>
      <c r="AAB14" s="48"/>
      <c r="AAC14" s="49"/>
      <c r="AAD14" s="49"/>
      <c r="AAE14" s="49"/>
      <c r="AAF14" s="49"/>
      <c r="AAG14" s="49"/>
      <c r="AAH14" s="67">
        <f t="shared" si="604"/>
        <v>0</v>
      </c>
      <c r="AAI14" s="68">
        <f t="shared" si="605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06"/>
        <v>204</v>
      </c>
      <c r="AAQ14" s="68">
        <f t="shared" si="607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08"/>
        <v>276</v>
      </c>
      <c r="AAY14" s="68">
        <f t="shared" si="609"/>
        <v>46</v>
      </c>
      <c r="AAZ14" s="48"/>
      <c r="ABA14" s="49"/>
      <c r="ABB14" s="49"/>
      <c r="ABC14" s="49"/>
      <c r="ABD14" s="49"/>
      <c r="ABE14" s="49"/>
      <c r="ABF14" s="67">
        <f t="shared" si="610"/>
        <v>0</v>
      </c>
      <c r="ABG14" s="68">
        <f t="shared" si="611"/>
        <v>0</v>
      </c>
      <c r="ABH14" s="48"/>
      <c r="ABI14" s="49"/>
      <c r="ABJ14" s="49"/>
      <c r="ABK14" s="49"/>
      <c r="ABL14" s="49"/>
      <c r="ABM14" s="49"/>
      <c r="ABN14" s="67">
        <f t="shared" si="612"/>
        <v>0</v>
      </c>
      <c r="ABO14" s="68">
        <f t="shared" si="613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14"/>
        <v>208</v>
      </c>
      <c r="ABW14" s="68">
        <f t="shared" si="615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16"/>
        <v>314</v>
      </c>
      <c r="ACE14" s="68">
        <f t="shared" si="617"/>
        <v>52.333333333333336</v>
      </c>
      <c r="ACF14" s="48"/>
      <c r="ACG14" s="49"/>
      <c r="ACH14" s="49"/>
      <c r="ACI14" s="49"/>
      <c r="ACJ14" s="49"/>
      <c r="ACK14" s="49"/>
      <c r="ACL14" s="67">
        <f t="shared" si="618"/>
        <v>0</v>
      </c>
      <c r="ACM14" s="68">
        <f t="shared" si="619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0"/>
        <v>206</v>
      </c>
      <c r="ACU14" s="68">
        <f t="shared" si="621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2"/>
        <v>330</v>
      </c>
      <c r="ADC14" s="68">
        <f t="shared" si="623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24"/>
        <v>218</v>
      </c>
      <c r="ADK14" s="68">
        <f t="shared" si="625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26"/>
        <v>216</v>
      </c>
      <c r="ADS14" s="68">
        <f t="shared" si="627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28"/>
        <v>305</v>
      </c>
      <c r="AEA14" s="68">
        <f t="shared" si="629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0"/>
        <v>438</v>
      </c>
      <c r="AEI14" s="68">
        <f t="shared" si="631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2"/>
        <v>109</v>
      </c>
      <c r="AEQ14" s="68">
        <f t="shared" si="633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34"/>
        <v>100</v>
      </c>
      <c r="AEY14" s="68">
        <f t="shared" si="635"/>
        <v>10</v>
      </c>
      <c r="AEZ14" s="48"/>
      <c r="AFA14" s="49"/>
      <c r="AFB14" s="49"/>
      <c r="AFC14" s="49"/>
      <c r="AFD14" s="49"/>
      <c r="AFE14" s="49"/>
      <c r="AFF14" s="67">
        <f t="shared" si="636"/>
        <v>0</v>
      </c>
      <c r="AFG14" s="68">
        <f t="shared" si="637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38"/>
        <v>110</v>
      </c>
      <c r="AFO14" s="68">
        <f t="shared" si="639"/>
        <v>18.333333333333332</v>
      </c>
      <c r="AFP14" s="48"/>
      <c r="AFQ14" s="49"/>
      <c r="AFR14" s="49"/>
      <c r="AFS14" s="49"/>
      <c r="AFT14" s="49"/>
      <c r="AFU14" s="49"/>
      <c r="AFV14" s="67">
        <f t="shared" si="640"/>
        <v>0</v>
      </c>
      <c r="AFW14" s="68">
        <f t="shared" si="641"/>
        <v>0</v>
      </c>
      <c r="AFX14" s="48"/>
      <c r="AFY14" s="49"/>
      <c r="AFZ14" s="49"/>
      <c r="AGA14" s="49"/>
      <c r="AGB14" s="49"/>
      <c r="AGC14" s="49"/>
      <c r="AGD14" s="67">
        <f t="shared" si="642"/>
        <v>0</v>
      </c>
      <c r="AGE14" s="68">
        <f t="shared" si="643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44"/>
        <v>215</v>
      </c>
      <c r="AGM14" s="68">
        <f t="shared" si="645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46"/>
        <v>216</v>
      </c>
      <c r="AGU14" s="43">
        <f t="shared" si="647"/>
        <v>21.6</v>
      </c>
      <c r="AGV14" s="48"/>
      <c r="AGW14" s="49"/>
      <c r="AGX14" s="49"/>
      <c r="AGY14" s="49"/>
      <c r="AGZ14" s="49"/>
      <c r="AHA14" s="49"/>
      <c r="AHB14" s="42">
        <f t="shared" si="648"/>
        <v>0</v>
      </c>
      <c r="AHC14" s="43">
        <f t="shared" si="649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0"/>
        <v>108</v>
      </c>
      <c r="AHK14" s="43">
        <f t="shared" si="651"/>
        <v>10.8</v>
      </c>
      <c r="AHL14" s="48"/>
      <c r="AHM14" s="49"/>
      <c r="AHN14" s="49"/>
      <c r="AHO14" s="49"/>
      <c r="AHP14" s="49"/>
      <c r="AHQ14" s="49"/>
      <c r="AHR14" s="67">
        <f t="shared" si="652"/>
        <v>0</v>
      </c>
      <c r="AHS14" s="68">
        <f t="shared" si="653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54"/>
        <v>220</v>
      </c>
      <c r="AIA14" s="184">
        <f t="shared" si="655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56"/>
        <v>80</v>
      </c>
      <c r="AII14" s="184">
        <f t="shared" si="657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58"/>
        <v>108</v>
      </c>
      <c r="AIQ14" s="184">
        <f t="shared" si="659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0"/>
        <v>218</v>
      </c>
      <c r="AIY14" s="68">
        <f t="shared" si="661"/>
        <v>36.333333333333336</v>
      </c>
      <c r="AIZ14" s="48"/>
      <c r="AJA14" s="49"/>
      <c r="AJB14" s="49"/>
      <c r="AJC14" s="49"/>
      <c r="AJD14" s="49"/>
      <c r="AJE14" s="49"/>
      <c r="AJF14" s="67">
        <f t="shared" si="662"/>
        <v>0</v>
      </c>
      <c r="AJG14" s="68">
        <f t="shared" si="663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64"/>
        <v>110</v>
      </c>
      <c r="AJO14" s="43">
        <f t="shared" si="665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66"/>
        <v>112</v>
      </c>
      <c r="AJW14" s="43">
        <f t="shared" si="667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68"/>
        <v>365</v>
      </c>
      <c r="AKE14" s="43">
        <f t="shared" si="669"/>
        <v>60.833333333333336</v>
      </c>
      <c r="AKF14" s="48"/>
      <c r="AKG14" s="49"/>
      <c r="AKH14" s="49"/>
      <c r="AKI14" s="49"/>
      <c r="AKJ14" s="49"/>
      <c r="AKK14" s="49"/>
      <c r="AKL14" s="47">
        <f t="shared" si="670"/>
        <v>0</v>
      </c>
      <c r="AKM14" s="43">
        <f t="shared" si="671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2"/>
        <v>418</v>
      </c>
      <c r="AKU14" s="43">
        <f t="shared" si="673"/>
        <v>69.666666666666671</v>
      </c>
      <c r="AKV14" s="48"/>
      <c r="AKW14" s="49"/>
      <c r="AKX14" s="49"/>
      <c r="AKY14" s="49"/>
      <c r="AKZ14" s="49"/>
      <c r="ALA14" s="49"/>
      <c r="ALB14" s="47">
        <f t="shared" si="674"/>
        <v>0</v>
      </c>
      <c r="ALC14" s="43">
        <f t="shared" si="675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76"/>
        <v>110</v>
      </c>
      <c r="ALK14" s="43">
        <f t="shared" si="677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78"/>
        <v>243</v>
      </c>
      <c r="ALS14" s="68">
        <f t="shared" si="679"/>
        <v>40.5</v>
      </c>
      <c r="ALT14" s="48"/>
      <c r="ALU14" s="49"/>
      <c r="ALV14" s="49"/>
      <c r="ALW14" s="49"/>
      <c r="ALX14" s="49"/>
      <c r="ALY14" s="49"/>
      <c r="ALZ14" s="67">
        <f t="shared" si="680"/>
        <v>0</v>
      </c>
      <c r="AMA14" s="68">
        <f t="shared" si="681"/>
        <v>0</v>
      </c>
      <c r="AMB14" s="48"/>
      <c r="AMC14" s="49"/>
      <c r="AMD14" s="49"/>
      <c r="AME14" s="49"/>
      <c r="AMF14" s="49"/>
      <c r="AMG14" s="49"/>
      <c r="AMH14" s="67">
        <f t="shared" si="682"/>
        <v>0</v>
      </c>
      <c r="AMI14" s="68">
        <f t="shared" si="683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84"/>
        <v>100</v>
      </c>
      <c r="AMQ14" s="68">
        <f t="shared" si="685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86"/>
        <v>217</v>
      </c>
      <c r="AMY14" s="68">
        <f t="shared" si="687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88"/>
        <v>99</v>
      </c>
      <c r="ANG14" s="68">
        <f t="shared" si="689"/>
        <v>16.5</v>
      </c>
      <c r="ANH14" s="48"/>
      <c r="ANI14" s="49"/>
      <c r="ANJ14" s="49"/>
      <c r="ANK14" s="49"/>
      <c r="ANL14" s="49"/>
      <c r="ANM14" s="49"/>
      <c r="ANN14" s="67">
        <f t="shared" si="690"/>
        <v>0</v>
      </c>
      <c r="ANO14" s="68">
        <f t="shared" si="691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2"/>
        <v>311</v>
      </c>
      <c r="ANW14" s="68">
        <f t="shared" si="693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694"/>
        <v>100</v>
      </c>
      <c r="AOE14" s="68">
        <f t="shared" si="695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696"/>
        <v>109</v>
      </c>
      <c r="AOM14" s="68">
        <f t="shared" si="697"/>
        <v>18.166666666666668</v>
      </c>
      <c r="AON14" s="48"/>
      <c r="AOO14" s="49"/>
      <c r="AOP14" s="49"/>
      <c r="AOQ14" s="49"/>
      <c r="AOR14" s="49"/>
      <c r="AOS14" s="49"/>
      <c r="AOT14" s="67">
        <f t="shared" si="698"/>
        <v>0</v>
      </c>
      <c r="AOU14" s="68">
        <f t="shared" si="699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0"/>
        <v>217</v>
      </c>
      <c r="APC14" s="68">
        <f t="shared" si="701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2"/>
        <v>259</v>
      </c>
      <c r="APK14" s="68">
        <f t="shared" si="703"/>
        <v>43.166666666666664</v>
      </c>
      <c r="APL14" s="48"/>
      <c r="APM14" s="49"/>
      <c r="APN14" s="49"/>
      <c r="APO14" s="49"/>
      <c r="APP14" s="49"/>
      <c r="APQ14" s="49"/>
      <c r="APR14" s="67">
        <f t="shared" si="704"/>
        <v>0</v>
      </c>
      <c r="APS14" s="68">
        <f t="shared" si="705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06"/>
        <v>110</v>
      </c>
      <c r="AQA14" s="68">
        <f t="shared" si="707"/>
        <v>18.333333333333332</v>
      </c>
      <c r="AQB14" s="48"/>
      <c r="AQC14" s="49"/>
      <c r="AQD14" s="49"/>
      <c r="AQE14" s="49"/>
      <c r="AQF14" s="49"/>
      <c r="AQG14" s="49"/>
      <c r="AQH14" s="67">
        <f t="shared" si="708"/>
        <v>0</v>
      </c>
      <c r="AQI14" s="68">
        <f t="shared" si="709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0"/>
        <v>110</v>
      </c>
      <c r="AQQ14" s="43">
        <f t="shared" si="711"/>
        <v>18.333333333333332</v>
      </c>
      <c r="AQR14" s="48"/>
      <c r="AQS14" s="49"/>
      <c r="AQT14" s="49"/>
      <c r="AQU14" s="49"/>
      <c r="AQV14" s="49"/>
      <c r="AQW14" s="49"/>
      <c r="AQX14" s="42">
        <f t="shared" si="712"/>
        <v>0</v>
      </c>
      <c r="AQY14" s="43">
        <f t="shared" si="713"/>
        <v>0</v>
      </c>
      <c r="AQZ14" s="48"/>
      <c r="ARA14" s="49"/>
      <c r="ARB14" s="49"/>
      <c r="ARC14" s="49"/>
      <c r="ARD14" s="49"/>
      <c r="ARE14" s="49"/>
      <c r="ARF14" s="42">
        <f t="shared" si="714"/>
        <v>0</v>
      </c>
      <c r="ARG14" s="43">
        <f t="shared" si="715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16"/>
        <v>93</v>
      </c>
      <c r="ARO14" s="43">
        <f t="shared" si="717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18"/>
        <v>100</v>
      </c>
      <c r="ARW14" s="43">
        <f t="shared" si="719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0"/>
        <v>100</v>
      </c>
      <c r="ASE14" s="43">
        <f t="shared" si="721"/>
        <v>16.666666666666668</v>
      </c>
      <c r="ASF14" s="48"/>
      <c r="ASG14" s="49"/>
      <c r="ASH14" s="49"/>
      <c r="ASI14" s="49"/>
      <c r="ASJ14" s="49"/>
      <c r="ASK14" s="49"/>
      <c r="ASL14" s="42">
        <f t="shared" si="722"/>
        <v>0</v>
      </c>
      <c r="ASM14" s="43">
        <f t="shared" si="723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24"/>
        <v>110</v>
      </c>
      <c r="ASU14" s="43">
        <f t="shared" si="725"/>
        <v>18.333333333333332</v>
      </c>
      <c r="ASV14" s="48"/>
      <c r="ASW14" s="49"/>
      <c r="ASX14" s="49"/>
      <c r="ASY14" s="49"/>
      <c r="ASZ14" s="49"/>
      <c r="ATA14" s="49"/>
      <c r="ATB14" s="42">
        <f t="shared" si="726"/>
        <v>0</v>
      </c>
      <c r="ATC14" s="43">
        <f t="shared" si="727"/>
        <v>0</v>
      </c>
      <c r="ATD14" s="48"/>
      <c r="ATE14" s="49"/>
      <c r="ATF14" s="49"/>
      <c r="ATG14" s="49"/>
      <c r="ATH14" s="49"/>
      <c r="ATI14" s="49"/>
      <c r="ATJ14" s="42">
        <f t="shared" si="728"/>
        <v>0</v>
      </c>
      <c r="ATK14" s="43">
        <f t="shared" si="729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0"/>
        <v>216</v>
      </c>
      <c r="ATS14" s="43">
        <f t="shared" si="731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2"/>
        <v>111</v>
      </c>
      <c r="AUA14" s="43">
        <f t="shared" si="733"/>
        <v>18.5</v>
      </c>
      <c r="AUB14" s="48"/>
      <c r="AUC14" s="49"/>
      <c r="AUD14" s="49"/>
      <c r="AUE14" s="49"/>
      <c r="AUF14" s="49"/>
      <c r="AUG14" s="49"/>
      <c r="AUH14" s="42">
        <f t="shared" si="734"/>
        <v>0</v>
      </c>
      <c r="AUI14" s="43">
        <f t="shared" si="735"/>
        <v>0</v>
      </c>
      <c r="AUJ14" s="48"/>
      <c r="AUK14" s="49"/>
      <c r="AUL14" s="49"/>
      <c r="AUM14" s="49"/>
      <c r="AUN14" s="49"/>
      <c r="AUO14" s="49"/>
      <c r="AUP14" s="42">
        <f t="shared" si="736"/>
        <v>0</v>
      </c>
      <c r="AUQ14" s="43">
        <f t="shared" si="737"/>
        <v>0</v>
      </c>
      <c r="AUR14" s="48"/>
      <c r="AUS14" s="49"/>
      <c r="AUT14" s="49"/>
      <c r="AUU14" s="49"/>
      <c r="AUV14" s="49"/>
      <c r="AUW14" s="49"/>
      <c r="AUX14" s="42">
        <f t="shared" si="738"/>
        <v>0</v>
      </c>
      <c r="AUY14" s="43">
        <f t="shared" si="739"/>
        <v>0</v>
      </c>
      <c r="AUZ14" s="48"/>
      <c r="AVA14" s="49"/>
      <c r="AVB14" s="49"/>
      <c r="AVC14" s="49"/>
      <c r="AVD14" s="49"/>
      <c r="AVE14" s="49"/>
      <c r="AVF14" s="42">
        <f t="shared" si="740"/>
        <v>0</v>
      </c>
      <c r="AVG14" s="43">
        <f t="shared" si="741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2"/>
        <v>222</v>
      </c>
      <c r="AVO14" s="43">
        <f t="shared" si="743"/>
        <v>37</v>
      </c>
      <c r="AVP14" s="48"/>
      <c r="AVQ14" s="49"/>
      <c r="AVR14" s="49"/>
      <c r="AVS14" s="49"/>
      <c r="AVT14" s="49"/>
      <c r="AVU14" s="49"/>
      <c r="AVV14" s="42">
        <f t="shared" si="744"/>
        <v>0</v>
      </c>
      <c r="AVW14" s="43">
        <f t="shared" si="745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46"/>
        <v>216</v>
      </c>
      <c r="AWE14" s="43">
        <f t="shared" si="747"/>
        <v>36</v>
      </c>
      <c r="AWF14" s="48"/>
      <c r="AWG14" s="49"/>
      <c r="AWH14" s="49"/>
      <c r="AWI14" s="49"/>
      <c r="AWJ14" s="49"/>
      <c r="AWK14" s="49"/>
      <c r="AWL14" s="42">
        <f t="shared" si="748"/>
        <v>0</v>
      </c>
      <c r="AWM14" s="43">
        <f t="shared" si="749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0"/>
        <v>108</v>
      </c>
      <c r="AWU14" s="43">
        <f t="shared" si="751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2"/>
        <v>213</v>
      </c>
      <c r="AXC14" s="43">
        <f t="shared" si="753"/>
        <v>35.5</v>
      </c>
      <c r="AXD14" s="48"/>
      <c r="AXE14" s="49"/>
      <c r="AXF14" s="49"/>
      <c r="AXG14" s="49"/>
      <c r="AXH14" s="49"/>
      <c r="AXI14" s="49"/>
      <c r="AXJ14" s="42">
        <f t="shared" si="754"/>
        <v>0</v>
      </c>
      <c r="AXK14" s="43">
        <f t="shared" si="755"/>
        <v>0</v>
      </c>
      <c r="AXL14" s="48"/>
      <c r="AXM14" s="49"/>
      <c r="AXN14" s="49"/>
      <c r="AXO14" s="49"/>
      <c r="AXP14" s="49"/>
      <c r="AXQ14" s="49"/>
      <c r="AXR14" s="42">
        <f t="shared" si="756"/>
        <v>0</v>
      </c>
      <c r="AXS14" s="43">
        <f t="shared" si="757"/>
        <v>0</v>
      </c>
      <c r="AXT14" s="48"/>
      <c r="AXU14" s="49"/>
      <c r="AXV14" s="49"/>
      <c r="AXW14" s="49"/>
      <c r="AXX14" s="49"/>
      <c r="AXY14" s="49"/>
      <c r="AXZ14" s="42">
        <f t="shared" si="758"/>
        <v>0</v>
      </c>
      <c r="AYA14" s="43">
        <f t="shared" si="759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0"/>
        <v>201</v>
      </c>
      <c r="AYI14" s="43">
        <f t="shared" si="761"/>
        <v>33.5</v>
      </c>
      <c r="AYJ14" s="48"/>
      <c r="AYK14" s="49"/>
      <c r="AYL14" s="49"/>
      <c r="AYM14" s="49"/>
      <c r="AYN14" s="49"/>
      <c r="AYO14" s="49"/>
      <c r="AYP14" s="42">
        <f t="shared" si="762"/>
        <v>0</v>
      </c>
      <c r="AYQ14" s="43">
        <f t="shared" si="763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64"/>
        <v>111</v>
      </c>
      <c r="AYY14" s="43">
        <f t="shared" si="765"/>
        <v>18.5</v>
      </c>
      <c r="AYZ14" s="48"/>
      <c r="AZA14" s="49"/>
      <c r="AZB14" s="49"/>
      <c r="AZC14" s="49"/>
      <c r="AZD14" s="49"/>
      <c r="AZE14" s="49"/>
      <c r="AZF14" s="42">
        <f t="shared" si="766"/>
        <v>0</v>
      </c>
      <c r="AZG14" s="43">
        <f t="shared" si="767"/>
        <v>0</v>
      </c>
      <c r="AZH14" s="82"/>
      <c r="AZI14" s="83"/>
      <c r="AZJ14" s="83"/>
      <c r="AZK14" s="83"/>
      <c r="AZL14" s="83"/>
      <c r="AZM14" s="83"/>
      <c r="AZN14" s="42">
        <f t="shared" si="768"/>
        <v>0</v>
      </c>
      <c r="AZO14" s="43">
        <f t="shared" si="769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0"/>
        <v>215</v>
      </c>
      <c r="AZW14" s="43">
        <f t="shared" si="771"/>
        <v>35.833333333333336</v>
      </c>
      <c r="AZX14" s="239"/>
      <c r="AZY14" s="1"/>
      <c r="AZZ14" s="1"/>
      <c r="BAA14" s="1"/>
      <c r="BAB14" s="1"/>
      <c r="BAC14" s="1"/>
      <c r="BAD14" s="42">
        <f t="shared" si="772"/>
        <v>0</v>
      </c>
      <c r="BAE14" s="43">
        <f t="shared" si="773"/>
        <v>0</v>
      </c>
      <c r="BAF14" s="48"/>
      <c r="BAG14" s="49"/>
      <c r="BAH14" s="49"/>
      <c r="BAI14" s="49"/>
      <c r="BAJ14" s="49"/>
      <c r="BAK14" s="49"/>
      <c r="BAL14" s="42">
        <f t="shared" si="774"/>
        <v>0</v>
      </c>
      <c r="BAM14" s="43">
        <f t="shared" si="775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76"/>
        <v>220</v>
      </c>
      <c r="BAU14" s="43">
        <f t="shared" si="777"/>
        <v>36.666666666666664</v>
      </c>
      <c r="BAV14" s="48"/>
      <c r="BAW14" s="49"/>
      <c r="BAX14" s="49"/>
      <c r="BAY14" s="49"/>
      <c r="BAZ14" s="49"/>
      <c r="BBA14" s="49"/>
      <c r="BBB14" s="42">
        <f t="shared" si="778"/>
        <v>0</v>
      </c>
      <c r="BBC14" s="43">
        <f t="shared" si="779"/>
        <v>0</v>
      </c>
      <c r="BBD14" s="48"/>
      <c r="BBE14" s="49"/>
      <c r="BBF14" s="49"/>
      <c r="BBG14" s="49"/>
      <c r="BBH14" s="49"/>
      <c r="BBI14" s="49"/>
      <c r="BBJ14" s="42">
        <f t="shared" si="780"/>
        <v>0</v>
      </c>
      <c r="BBK14" s="43">
        <f t="shared" si="781"/>
        <v>0</v>
      </c>
      <c r="BBL14" s="48"/>
      <c r="BBM14" s="49"/>
      <c r="BBN14" s="49"/>
      <c r="BBO14" s="49"/>
      <c r="BBP14" s="49"/>
      <c r="BBQ14" s="49"/>
      <c r="BBR14" s="42">
        <f t="shared" si="782"/>
        <v>0</v>
      </c>
      <c r="BBS14" s="43">
        <f t="shared" si="783"/>
        <v>0</v>
      </c>
      <c r="BBT14" s="48"/>
      <c r="BBU14" s="49"/>
      <c r="BBV14" s="49"/>
      <c r="BBW14" s="49"/>
      <c r="BBX14" s="49"/>
      <c r="BBY14" s="49"/>
      <c r="BBZ14" s="42">
        <f t="shared" si="784"/>
        <v>0</v>
      </c>
      <c r="BCA14" s="43">
        <f t="shared" si="785"/>
        <v>0</v>
      </c>
      <c r="BCB14" s="48"/>
      <c r="BCC14" s="49"/>
      <c r="BCD14" s="49"/>
      <c r="BCE14" s="49"/>
      <c r="BCF14" s="49"/>
      <c r="BCG14" s="49"/>
      <c r="BCH14" s="42">
        <f t="shared" si="786"/>
        <v>0</v>
      </c>
      <c r="BCI14" s="43">
        <f t="shared" si="787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88"/>
        <v>206</v>
      </c>
      <c r="BCQ14" s="43">
        <f t="shared" si="789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0"/>
        <v>220</v>
      </c>
      <c r="BCY14" s="43">
        <f t="shared" si="791"/>
        <v>36.666666666666664</v>
      </c>
      <c r="BCZ14" s="48"/>
      <c r="BDA14" s="49"/>
      <c r="BDB14" s="49"/>
      <c r="BDC14" s="49"/>
      <c r="BDD14" s="49"/>
      <c r="BDE14" s="49"/>
      <c r="BDF14" s="42">
        <f t="shared" si="792"/>
        <v>0</v>
      </c>
      <c r="BDG14" s="43">
        <f t="shared" si="793"/>
        <v>0</v>
      </c>
      <c r="BDH14" s="48"/>
      <c r="BDI14" s="49"/>
      <c r="BDJ14" s="49"/>
      <c r="BDK14" s="49"/>
      <c r="BDL14" s="49"/>
      <c r="BDM14" s="49"/>
      <c r="BDN14" s="42">
        <f t="shared" si="794"/>
        <v>0</v>
      </c>
      <c r="BDO14" s="43">
        <f t="shared" si="795"/>
        <v>0</v>
      </c>
      <c r="BDP14" s="48"/>
      <c r="BDQ14" s="49"/>
      <c r="BDR14" s="49"/>
      <c r="BDS14" s="49"/>
      <c r="BDT14" s="49"/>
      <c r="BDU14" s="49"/>
      <c r="BDV14" s="42">
        <f t="shared" si="796"/>
        <v>0</v>
      </c>
      <c r="BDW14" s="43">
        <f t="shared" si="797"/>
        <v>0</v>
      </c>
      <c r="BDX14" s="48"/>
      <c r="BDY14" s="49"/>
      <c r="BDZ14" s="49"/>
      <c r="BEA14" s="49"/>
      <c r="BEB14" s="49"/>
      <c r="BEC14" s="49"/>
      <c r="BED14" s="42">
        <f t="shared" si="798"/>
        <v>0</v>
      </c>
      <c r="BEE14" s="43">
        <f t="shared" si="799"/>
        <v>0</v>
      </c>
      <c r="BEF14" s="48"/>
      <c r="BEG14" s="49"/>
      <c r="BEH14" s="49"/>
      <c r="BEI14" s="49"/>
      <c r="BEJ14" s="49"/>
      <c r="BEK14" s="49"/>
      <c r="BEL14" s="42">
        <f t="shared" si="800"/>
        <v>0</v>
      </c>
      <c r="BEM14" s="43">
        <f t="shared" si="801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2"/>
        <v>306</v>
      </c>
      <c r="BEU14" s="43">
        <f t="shared" si="803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04"/>
        <v>425</v>
      </c>
      <c r="BFC14" s="43">
        <f t="shared" si="805"/>
        <v>70.833333333333329</v>
      </c>
      <c r="BFD14" s="48"/>
      <c r="BFE14" s="49"/>
      <c r="BFF14" s="49"/>
      <c r="BFG14" s="49"/>
      <c r="BFH14" s="49"/>
      <c r="BFI14" s="49"/>
      <c r="BFJ14" s="42">
        <f t="shared" si="806"/>
        <v>0</v>
      </c>
      <c r="BFK14" s="43">
        <f t="shared" si="807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08"/>
        <v>40</v>
      </c>
      <c r="BFS14" s="43">
        <f t="shared" si="809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0"/>
        <v>40</v>
      </c>
      <c r="BGA14" s="43">
        <f t="shared" si="811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2"/>
        <v>53</v>
      </c>
      <c r="BGI14" s="43">
        <f t="shared" si="813"/>
        <v>8.8333333333333339</v>
      </c>
      <c r="BGJ14" s="48"/>
      <c r="BGK14" s="49"/>
      <c r="BGL14" s="49"/>
      <c r="BGM14" s="49"/>
      <c r="BGN14" s="49"/>
      <c r="BGO14" s="49"/>
      <c r="BGP14" s="42">
        <f t="shared" si="814"/>
        <v>0</v>
      </c>
      <c r="BGQ14" s="43">
        <f t="shared" si="815"/>
        <v>0</v>
      </c>
      <c r="BGR14" s="48"/>
      <c r="BGS14" s="49"/>
      <c r="BGT14" s="49"/>
      <c r="BGU14" s="49"/>
      <c r="BGV14" s="49"/>
      <c r="BGW14" s="49"/>
      <c r="BGX14" s="42">
        <f t="shared" si="816"/>
        <v>0</v>
      </c>
      <c r="BGY14" s="43">
        <f t="shared" si="817"/>
        <v>0</v>
      </c>
      <c r="BGZ14" s="48"/>
      <c r="BHA14" s="49"/>
      <c r="BHB14" s="49"/>
      <c r="BHC14" s="49"/>
      <c r="BHD14" s="49"/>
      <c r="BHE14" s="49"/>
      <c r="BHF14" s="42">
        <f t="shared" si="818"/>
        <v>0</v>
      </c>
      <c r="BHG14" s="43">
        <f t="shared" si="819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0"/>
        <v>81</v>
      </c>
      <c r="BHO14" s="43">
        <f t="shared" si="821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2"/>
        <v>99</v>
      </c>
      <c r="BHW14" s="43">
        <f t="shared" si="823"/>
        <v>16.5</v>
      </c>
      <c r="BHX14" s="48"/>
      <c r="BHY14" s="49"/>
      <c r="BHZ14" s="49"/>
      <c r="BIA14" s="49"/>
      <c r="BIB14" s="49"/>
      <c r="BIC14" s="49"/>
      <c r="BID14" s="42">
        <f t="shared" si="824"/>
        <v>0</v>
      </c>
      <c r="BIE14" s="43">
        <f t="shared" si="825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26"/>
        <v>99</v>
      </c>
      <c r="BIM14" s="43">
        <f t="shared" si="827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28"/>
        <v>219</v>
      </c>
      <c r="BIU14" s="43">
        <f t="shared" si="829"/>
        <v>36.5</v>
      </c>
      <c r="BIV14" s="48"/>
      <c r="BIW14" s="49"/>
      <c r="BIX14" s="49"/>
      <c r="BIY14" s="49"/>
      <c r="BIZ14" s="49"/>
      <c r="BJA14" s="49"/>
      <c r="BJB14" s="42">
        <f t="shared" si="830"/>
        <v>0</v>
      </c>
      <c r="BJC14" s="43">
        <f t="shared" si="831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2"/>
        <v>110</v>
      </c>
      <c r="BJK14" s="43">
        <f t="shared" si="833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34"/>
        <v>110</v>
      </c>
      <c r="BJS14" s="43">
        <f t="shared" si="835"/>
        <v>18.333333333333332</v>
      </c>
      <c r="BJT14" s="48"/>
      <c r="BJU14" s="49"/>
      <c r="BJV14" s="49"/>
      <c r="BJW14" s="49"/>
      <c r="BJX14" s="49"/>
      <c r="BJY14" s="49"/>
      <c r="BJZ14" s="67">
        <f t="shared" si="836"/>
        <v>0</v>
      </c>
      <c r="BKA14" s="43">
        <f t="shared" si="837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38"/>
        <v>19</v>
      </c>
      <c r="BKI14" s="43">
        <f t="shared" si="839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0"/>
        <v>110</v>
      </c>
      <c r="BKQ14" s="43">
        <f t="shared" si="841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2"/>
        <v>110</v>
      </c>
      <c r="BKY14" s="43">
        <f t="shared" si="843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44"/>
        <v>108</v>
      </c>
      <c r="BLG14" s="43">
        <f t="shared" si="845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46"/>
        <v>322</v>
      </c>
      <c r="BLO14" s="68">
        <f t="shared" si="847"/>
        <v>53.666666666666664</v>
      </c>
      <c r="BLP14" s="48"/>
      <c r="BLQ14" s="49"/>
      <c r="BLR14" s="49"/>
      <c r="BLS14" s="49"/>
      <c r="BLT14" s="49"/>
      <c r="BLU14" s="49"/>
      <c r="BLV14" s="67">
        <f t="shared" si="848"/>
        <v>0</v>
      </c>
      <c r="BLW14" s="68">
        <f t="shared" si="849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0"/>
        <v>110</v>
      </c>
      <c r="BME14" s="43">
        <f t="shared" si="851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2"/>
        <v>108</v>
      </c>
      <c r="BMM14" s="43">
        <f t="shared" si="853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54"/>
        <v>220</v>
      </c>
      <c r="BMU14" s="43">
        <f t="shared" si="855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56"/>
        <v>211</v>
      </c>
      <c r="BNC14" s="43">
        <f t="shared" si="857"/>
        <v>35.166666666666664</v>
      </c>
      <c r="BND14" s="48"/>
      <c r="BNE14" s="49"/>
      <c r="BNF14" s="49"/>
      <c r="BNG14" s="49"/>
      <c r="BNH14" s="49"/>
      <c r="BNI14" s="49"/>
      <c r="BNJ14" s="67">
        <f t="shared" si="858"/>
        <v>0</v>
      </c>
      <c r="BNK14" s="184">
        <f t="shared" si="859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0"/>
        <v>110</v>
      </c>
      <c r="BNS14" s="211">
        <f t="shared" si="861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2"/>
        <v>109</v>
      </c>
      <c r="BOA14" s="184">
        <f t="shared" si="863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64"/>
        <v>110</v>
      </c>
      <c r="BOI14" s="68">
        <f t="shared" si="865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66"/>
        <v>108</v>
      </c>
      <c r="BOQ14" s="68">
        <f t="shared" si="867"/>
        <v>18</v>
      </c>
      <c r="BOR14" s="48"/>
      <c r="BOS14" s="49"/>
      <c r="BOT14" s="49"/>
      <c r="BOU14" s="49"/>
      <c r="BOV14" s="49"/>
      <c r="BOW14" s="49"/>
      <c r="BOX14" s="67">
        <f t="shared" si="868"/>
        <v>0</v>
      </c>
      <c r="BOY14" s="68">
        <f t="shared" si="869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0"/>
        <v>221</v>
      </c>
      <c r="BPG14" s="68">
        <f t="shared" si="871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2"/>
        <v>108</v>
      </c>
      <c r="BPO14" s="68">
        <f t="shared" si="873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74"/>
        <v>110</v>
      </c>
      <c r="BPW14" s="68">
        <f t="shared" si="875"/>
        <v>18.333333333333332</v>
      </c>
      <c r="BPX14" s="48"/>
      <c r="BPY14" s="49"/>
      <c r="BPZ14" s="49"/>
      <c r="BQA14" s="49"/>
      <c r="BQB14" s="49"/>
      <c r="BQC14" s="49"/>
      <c r="BQD14" s="67">
        <f t="shared" si="876"/>
        <v>0</v>
      </c>
      <c r="BQE14" s="68">
        <f t="shared" si="877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78"/>
        <v>110</v>
      </c>
      <c r="BQM14" s="68">
        <f t="shared" si="879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0"/>
        <v>218</v>
      </c>
      <c r="BQU14" s="68">
        <f t="shared" si="881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2"/>
        <v>109</v>
      </c>
      <c r="BRC14" s="68">
        <f t="shared" si="883"/>
        <v>18.166666666666668</v>
      </c>
      <c r="BRD14" s="48"/>
      <c r="BRE14" s="49"/>
      <c r="BRF14" s="49"/>
      <c r="BRG14" s="49"/>
      <c r="BRH14" s="49"/>
      <c r="BRI14" s="49"/>
      <c r="BRJ14" s="67">
        <f t="shared" si="884"/>
        <v>0</v>
      </c>
      <c r="BRK14" s="68">
        <f t="shared" si="885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86"/>
        <v>110</v>
      </c>
      <c r="BRS14" s="68">
        <f t="shared" si="887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88"/>
        <v>221</v>
      </c>
      <c r="BSA14" s="68">
        <f t="shared" si="889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0"/>
        <v>110</v>
      </c>
      <c r="BSI14" s="68">
        <f t="shared" si="891"/>
        <v>18.333333333333332</v>
      </c>
      <c r="BSJ14" s="48"/>
      <c r="BSK14" s="49"/>
      <c r="BSL14" s="49"/>
      <c r="BSM14" s="49"/>
      <c r="BSN14" s="49"/>
      <c r="BSO14" s="49"/>
      <c r="BSP14" s="67">
        <f t="shared" si="892"/>
        <v>0</v>
      </c>
      <c r="BSQ14" s="68">
        <f t="shared" si="893"/>
        <v>0</v>
      </c>
      <c r="BSR14" s="48"/>
      <c r="BSS14" s="49"/>
      <c r="BST14" s="49"/>
      <c r="BSU14" s="49"/>
      <c r="BSV14" s="49"/>
      <c r="BSW14" s="49"/>
      <c r="BSX14" s="67">
        <f t="shared" si="894"/>
        <v>0</v>
      </c>
      <c r="BSY14" s="68">
        <f t="shared" si="895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896"/>
        <v>245</v>
      </c>
      <c r="BTG14" s="68">
        <f t="shared" si="897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898"/>
        <v>108</v>
      </c>
      <c r="BTO14" s="68">
        <f t="shared" si="899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0"/>
        <v>109</v>
      </c>
      <c r="BTW14" s="68">
        <f t="shared" si="901"/>
        <v>18.166666666666668</v>
      </c>
      <c r="BTX14" s="48"/>
      <c r="BTY14" s="49"/>
      <c r="BTZ14" s="49"/>
      <c r="BUA14" s="49"/>
      <c r="BUB14" s="49"/>
      <c r="BUC14" s="49"/>
      <c r="BUD14" s="67">
        <f t="shared" si="902"/>
        <v>0</v>
      </c>
      <c r="BUE14" s="68">
        <f t="shared" si="903"/>
        <v>0</v>
      </c>
      <c r="BUF14" s="48"/>
      <c r="BUG14" s="49"/>
      <c r="BUH14" s="49"/>
      <c r="BUI14" s="49"/>
      <c r="BUJ14" s="49"/>
      <c r="BUK14" s="49"/>
      <c r="BUL14" s="67">
        <f t="shared" si="904"/>
        <v>0</v>
      </c>
      <c r="BUM14" s="68">
        <f t="shared" si="905"/>
        <v>0</v>
      </c>
      <c r="BUN14" s="48"/>
      <c r="BUO14" s="49"/>
      <c r="BUP14" s="49"/>
      <c r="BUQ14" s="49"/>
      <c r="BUR14" s="49"/>
      <c r="BUS14" s="49"/>
      <c r="BUT14" s="67">
        <f t="shared" si="906"/>
        <v>0</v>
      </c>
      <c r="BUU14" s="68">
        <f t="shared" si="907"/>
        <v>0</v>
      </c>
      <c r="BUV14" s="48"/>
      <c r="BUW14" s="49"/>
      <c r="BUX14" s="49"/>
      <c r="BUY14" s="49"/>
      <c r="BUZ14" s="49"/>
      <c r="BVA14" s="49"/>
      <c r="BVB14" s="67">
        <f t="shared" si="908"/>
        <v>0</v>
      </c>
      <c r="BVC14" s="68">
        <f t="shared" si="909"/>
        <v>0</v>
      </c>
      <c r="BVD14" s="48"/>
      <c r="BVE14" s="49"/>
      <c r="BVF14" s="49"/>
      <c r="BVG14" s="49"/>
      <c r="BVH14" s="49"/>
      <c r="BVI14" s="49"/>
      <c r="BVJ14" s="67">
        <f t="shared" si="910"/>
        <v>0</v>
      </c>
      <c r="BVK14" s="68">
        <f t="shared" si="911"/>
        <v>0</v>
      </c>
      <c r="BVL14" s="48"/>
      <c r="BVM14" s="49"/>
      <c r="BVN14" s="49"/>
      <c r="BVO14" s="49"/>
      <c r="BVP14" s="49"/>
      <c r="BVQ14" s="49"/>
      <c r="BVR14" s="67">
        <f t="shared" si="912"/>
        <v>0</v>
      </c>
      <c r="BVS14" s="68">
        <f t="shared" si="913"/>
        <v>0</v>
      </c>
      <c r="BVT14" s="48"/>
      <c r="BVU14" s="49"/>
      <c r="BVV14" s="49"/>
      <c r="BVW14" s="49"/>
      <c r="BVX14" s="49"/>
      <c r="BVY14" s="49"/>
      <c r="BVZ14" s="67">
        <f t="shared" si="914"/>
        <v>0</v>
      </c>
      <c r="BWA14" s="68">
        <f t="shared" si="915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16"/>
        <v>270</v>
      </c>
      <c r="BWI14" s="68">
        <f t="shared" si="917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18"/>
        <v>216</v>
      </c>
      <c r="BWQ14" s="68">
        <f t="shared" si="919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0"/>
        <v>223</v>
      </c>
      <c r="BWY14" s="68">
        <f t="shared" si="921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2"/>
        <v>222</v>
      </c>
      <c r="BXG14" s="68">
        <f t="shared" si="923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24"/>
        <v>467</v>
      </c>
      <c r="BXO14" s="68">
        <f t="shared" si="925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26"/>
        <v>110</v>
      </c>
      <c r="BXW14" s="68">
        <f t="shared" si="927"/>
        <v>18.333333333333332</v>
      </c>
      <c r="BXX14" s="48"/>
      <c r="BXY14" s="49"/>
      <c r="BXZ14" s="49"/>
      <c r="BYA14" s="49"/>
      <c r="BYB14" s="49"/>
      <c r="BYC14" s="49"/>
      <c r="BYD14" s="67">
        <f t="shared" si="928"/>
        <v>0</v>
      </c>
      <c r="BYE14" s="68">
        <f t="shared" si="929"/>
        <v>0</v>
      </c>
      <c r="BYF14" s="48"/>
      <c r="BYG14" s="49"/>
      <c r="BYH14" s="49"/>
      <c r="BYI14" s="49"/>
      <c r="BYJ14" s="49"/>
      <c r="BYK14" s="49"/>
      <c r="BYL14" s="67">
        <f t="shared" si="930"/>
        <v>0</v>
      </c>
      <c r="BYM14" s="68">
        <f t="shared" si="931"/>
        <v>0</v>
      </c>
      <c r="BYN14" s="48"/>
      <c r="BYO14" s="49"/>
      <c r="BYP14" s="49"/>
      <c r="BYQ14" s="49"/>
      <c r="BYR14" s="49"/>
      <c r="BYS14" s="49"/>
      <c r="BYT14" s="67">
        <f t="shared" si="932"/>
        <v>0</v>
      </c>
      <c r="BYU14" s="68">
        <f t="shared" si="933"/>
        <v>0</v>
      </c>
      <c r="BYV14" s="48"/>
      <c r="BYW14" s="49"/>
      <c r="BYX14" s="49"/>
      <c r="BYY14" s="49"/>
      <c r="BYZ14" s="49"/>
      <c r="BZA14" s="49"/>
      <c r="BZB14" s="67">
        <f t="shared" si="934"/>
        <v>0</v>
      </c>
      <c r="BZC14" s="68">
        <f t="shared" si="935"/>
        <v>0</v>
      </c>
      <c r="BZD14" s="239"/>
      <c r="BZE14" s="1"/>
      <c r="BZF14" s="1"/>
      <c r="BZG14" s="1"/>
      <c r="BZH14" s="1"/>
      <c r="BZI14" s="1"/>
      <c r="BZJ14" s="67">
        <f t="shared" si="936"/>
        <v>0</v>
      </c>
      <c r="BZK14" s="68">
        <f t="shared" si="937"/>
        <v>0</v>
      </c>
      <c r="BZL14" s="48"/>
      <c r="BZM14" s="49"/>
      <c r="BZN14" s="49"/>
      <c r="BZO14" s="49"/>
      <c r="BZP14" s="49"/>
      <c r="BZQ14" s="49"/>
      <c r="BZR14" s="67">
        <f t="shared" si="938"/>
        <v>0</v>
      </c>
      <c r="BZS14" s="68">
        <f t="shared" si="939"/>
        <v>0</v>
      </c>
      <c r="BZT14" s="48"/>
      <c r="BZU14" s="49"/>
      <c r="BZV14" s="49"/>
      <c r="BZW14" s="49"/>
      <c r="BZX14" s="49"/>
      <c r="BZY14" s="49"/>
      <c r="BZZ14" s="67">
        <f t="shared" si="940"/>
        <v>0</v>
      </c>
      <c r="CAA14" s="68">
        <f t="shared" si="941"/>
        <v>0</v>
      </c>
      <c r="CAB14" s="48"/>
      <c r="CAC14" s="49"/>
      <c r="CAD14" s="49"/>
      <c r="CAE14" s="49"/>
      <c r="CAF14" s="49"/>
      <c r="CAG14" s="49"/>
      <c r="CAH14" s="67">
        <f t="shared" si="942"/>
        <v>0</v>
      </c>
      <c r="CAI14" s="68">
        <f t="shared" si="943"/>
        <v>0</v>
      </c>
      <c r="CAJ14" s="48"/>
      <c r="CAK14" s="49"/>
      <c r="CAL14" s="49"/>
      <c r="CAM14" s="49"/>
      <c r="CAN14" s="49"/>
      <c r="CAO14" s="49"/>
      <c r="CAP14" s="67">
        <f t="shared" si="944"/>
        <v>0</v>
      </c>
      <c r="CAQ14" s="68">
        <f t="shared" si="945"/>
        <v>0</v>
      </c>
      <c r="CAR14" s="201"/>
      <c r="CAS14" s="47"/>
      <c r="CAT14" s="47"/>
      <c r="CAU14" s="47"/>
      <c r="CAV14" s="47"/>
      <c r="CAW14" s="47"/>
      <c r="CAX14" s="67">
        <f t="shared" si="946"/>
        <v>0</v>
      </c>
      <c r="CAY14" s="68">
        <f t="shared" si="947"/>
        <v>0</v>
      </c>
      <c r="CAZ14" s="63"/>
      <c r="CBA14" s="64"/>
      <c r="CBB14" s="64"/>
      <c r="CBC14" s="64"/>
      <c r="CBD14" s="64"/>
      <c r="CBE14" s="64"/>
      <c r="CBF14" s="67">
        <f t="shared" si="948"/>
        <v>0</v>
      </c>
      <c r="CBG14" s="68">
        <f t="shared" si="949"/>
        <v>0</v>
      </c>
      <c r="CBH14" s="48"/>
      <c r="CBI14" s="49"/>
      <c r="CBJ14" s="49"/>
      <c r="CBK14" s="49"/>
      <c r="CBL14" s="49"/>
      <c r="CBM14" s="49"/>
      <c r="CBN14" s="67">
        <f t="shared" si="950"/>
        <v>0</v>
      </c>
      <c r="CBO14" s="68">
        <f t="shared" si="951"/>
        <v>0</v>
      </c>
      <c r="CBP14" s="48"/>
      <c r="CBQ14" s="49"/>
      <c r="CBR14" s="49"/>
      <c r="CBS14" s="49"/>
      <c r="CBT14" s="49"/>
      <c r="CBU14" s="49"/>
      <c r="CBV14" s="67">
        <f t="shared" si="952"/>
        <v>0</v>
      </c>
      <c r="CBW14" s="68">
        <f t="shared" si="953"/>
        <v>0</v>
      </c>
      <c r="CBX14" s="48"/>
      <c r="CBY14" s="49"/>
      <c r="CBZ14" s="49"/>
      <c r="CCA14" s="49"/>
      <c r="CCB14" s="49"/>
      <c r="CCC14" s="49"/>
      <c r="CCD14" s="67">
        <f t="shared" si="954"/>
        <v>0</v>
      </c>
      <c r="CCE14" s="68">
        <f t="shared" si="955"/>
        <v>0</v>
      </c>
      <c r="CCF14" s="48"/>
      <c r="CCG14" s="49"/>
      <c r="CCH14" s="49"/>
      <c r="CCI14" s="49"/>
      <c r="CCJ14" s="49"/>
      <c r="CCK14" s="49"/>
      <c r="CCL14" s="67">
        <f t="shared" si="956"/>
        <v>0</v>
      </c>
      <c r="CCM14" s="68">
        <f t="shared" si="957"/>
        <v>0</v>
      </c>
      <c r="CCN14" s="48"/>
      <c r="CCO14" s="49"/>
      <c r="CCP14" s="49"/>
      <c r="CCQ14" s="49"/>
      <c r="CCR14" s="49"/>
      <c r="CCS14" s="49"/>
      <c r="CCT14" s="67">
        <f t="shared" si="958"/>
        <v>0</v>
      </c>
      <c r="CCU14" s="68">
        <f t="shared" si="959"/>
        <v>0</v>
      </c>
      <c r="CCV14" s="48"/>
      <c r="CCW14" s="49"/>
      <c r="CCX14" s="49"/>
      <c r="CCY14" s="49"/>
      <c r="CCZ14" s="49"/>
      <c r="CDA14" s="49"/>
      <c r="CDB14" s="67">
        <f t="shared" si="960"/>
        <v>0</v>
      </c>
      <c r="CDC14" s="68">
        <f t="shared" si="961"/>
        <v>0</v>
      </c>
      <c r="CDD14" s="201"/>
      <c r="CDE14" s="47"/>
      <c r="CDF14" s="47"/>
      <c r="CDG14" s="47"/>
      <c r="CDH14" s="47"/>
      <c r="CDI14" s="47"/>
      <c r="CDJ14" s="67">
        <f t="shared" si="962"/>
        <v>0</v>
      </c>
      <c r="CDK14" s="68">
        <f t="shared" si="963"/>
        <v>0</v>
      </c>
      <c r="CDL14" s="48"/>
      <c r="CDM14" s="49"/>
      <c r="CDN14" s="49"/>
      <c r="CDO14" s="49"/>
      <c r="CDP14" s="49"/>
      <c r="CDQ14" s="49"/>
      <c r="CDR14" s="67">
        <f t="shared" si="964"/>
        <v>0</v>
      </c>
      <c r="CDS14" s="68">
        <f t="shared" si="965"/>
        <v>0</v>
      </c>
      <c r="CDT14" s="48"/>
      <c r="CDU14" s="49"/>
      <c r="CDV14" s="49"/>
      <c r="CDW14" s="49"/>
      <c r="CDX14" s="49"/>
      <c r="CDY14" s="49"/>
      <c r="CDZ14" s="67">
        <f t="shared" si="966"/>
        <v>0</v>
      </c>
      <c r="CEA14" s="68">
        <f t="shared" si="967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68"/>
        <v>0</v>
      </c>
      <c r="CFE14" s="68">
        <f t="shared" si="969"/>
        <v>0</v>
      </c>
      <c r="CFF14" s="48"/>
      <c r="CFG14" s="49"/>
      <c r="CFH14" s="49"/>
      <c r="CFI14" s="49"/>
      <c r="CFJ14" s="49"/>
      <c r="CFK14" s="49"/>
      <c r="CFL14" s="64">
        <f t="shared" si="970"/>
        <v>0</v>
      </c>
      <c r="CFM14" s="68">
        <f t="shared" si="971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2"/>
        <v>0</v>
      </c>
      <c r="CFU14" s="68">
        <f t="shared" si="973"/>
        <v>0</v>
      </c>
      <c r="CFV14" s="48"/>
      <c r="CFW14" s="49"/>
      <c r="CFX14" s="49"/>
      <c r="CFY14" s="49"/>
      <c r="CFZ14" s="49"/>
      <c r="CGA14" s="49"/>
      <c r="CGB14" s="64">
        <f t="shared" si="974"/>
        <v>0</v>
      </c>
      <c r="CGC14" s="68">
        <f t="shared" si="975"/>
        <v>0</v>
      </c>
      <c r="CGD14" s="48"/>
      <c r="CGE14" s="49"/>
      <c r="CGF14" s="49"/>
      <c r="CGG14" s="49"/>
      <c r="CGH14" s="49"/>
      <c r="CGI14" s="49"/>
      <c r="CGJ14" s="64">
        <f t="shared" si="976"/>
        <v>0</v>
      </c>
      <c r="CGK14" s="68">
        <f t="shared" si="977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78"/>
        <v>0</v>
      </c>
      <c r="CGS14" s="68">
        <f t="shared" si="979"/>
        <v>0</v>
      </c>
      <c r="CGT14" s="48"/>
      <c r="CGU14" s="49"/>
      <c r="CGV14" s="49"/>
      <c r="CGW14" s="49"/>
      <c r="CGX14" s="49"/>
      <c r="CGY14" s="49"/>
      <c r="CGZ14" s="64">
        <f t="shared" si="980"/>
        <v>0</v>
      </c>
      <c r="CHA14" s="68">
        <f t="shared" si="981"/>
        <v>0</v>
      </c>
      <c r="CHB14" s="48"/>
      <c r="CHC14" s="49"/>
      <c r="CHD14" s="49"/>
      <c r="CHE14" s="49"/>
      <c r="CHF14" s="49"/>
      <c r="CHG14" s="49"/>
      <c r="CHH14" s="64">
        <f t="shared" si="982"/>
        <v>0</v>
      </c>
      <c r="CHI14" s="68">
        <f t="shared" si="983"/>
        <v>0</v>
      </c>
      <c r="CHJ14" s="48"/>
      <c r="CHK14" s="49"/>
      <c r="CHL14" s="49"/>
      <c r="CHM14" s="49"/>
      <c r="CHN14" s="49"/>
      <c r="CHO14" s="49"/>
      <c r="CHP14" s="64">
        <f t="shared" si="984"/>
        <v>0</v>
      </c>
      <c r="CHQ14" s="68">
        <f t="shared" si="985"/>
        <v>0</v>
      </c>
      <c r="CHR14" s="48"/>
      <c r="CHS14" s="49"/>
      <c r="CHT14" s="49"/>
      <c r="CHU14" s="49"/>
      <c r="CHV14" s="49"/>
      <c r="CHW14" s="49"/>
      <c r="CHX14" s="64">
        <f t="shared" si="986"/>
        <v>0</v>
      </c>
      <c r="CHY14" s="68">
        <f t="shared" si="987"/>
        <v>0</v>
      </c>
      <c r="CHZ14" s="48"/>
      <c r="CIA14" s="49"/>
      <c r="CIB14" s="49"/>
      <c r="CIC14" s="49"/>
      <c r="CID14" s="49"/>
      <c r="CIE14" s="49"/>
      <c r="CIF14" s="64">
        <f t="shared" si="988"/>
        <v>0</v>
      </c>
      <c r="CIG14" s="68">
        <f t="shared" si="989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0"/>
        <v>0</v>
      </c>
      <c r="CIO14" s="68">
        <f t="shared" si="991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2"/>
        <v>0</v>
      </c>
      <c r="CIW14" s="68">
        <f t="shared" si="993"/>
        <v>0</v>
      </c>
      <c r="CIX14" s="48"/>
      <c r="CIY14" s="49"/>
      <c r="CIZ14" s="49"/>
      <c r="CJA14" s="49"/>
      <c r="CJB14" s="49"/>
      <c r="CJC14" s="49"/>
      <c r="CJD14" s="127">
        <f t="shared" si="994"/>
        <v>0</v>
      </c>
      <c r="CJE14" s="43">
        <f t="shared" si="995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996"/>
        <v>0</v>
      </c>
      <c r="CJM14" s="43">
        <f t="shared" si="997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998"/>
        <v>0</v>
      </c>
      <c r="CJU14" s="43">
        <f t="shared" si="999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0"/>
        <v>0</v>
      </c>
      <c r="CKC14" s="43">
        <f t="shared" si="1001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2"/>
        <v>0</v>
      </c>
      <c r="CKK14" s="43">
        <f t="shared" si="1003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04"/>
        <v>0</v>
      </c>
      <c r="CKS14" s="43">
        <f t="shared" si="1005"/>
        <v>0</v>
      </c>
      <c r="CKT14" s="48"/>
      <c r="CKU14" s="49"/>
      <c r="CKV14" s="49"/>
      <c r="CKW14" s="49"/>
      <c r="CKX14" s="49"/>
      <c r="CKY14" s="49"/>
      <c r="CKZ14" s="127">
        <f t="shared" si="1006"/>
        <v>0</v>
      </c>
      <c r="CLA14" s="43">
        <f t="shared" si="1007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08"/>
        <v>0</v>
      </c>
      <c r="CLI14" s="43">
        <f t="shared" si="1009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0"/>
        <v>0</v>
      </c>
      <c r="CLQ14" s="43">
        <f t="shared" si="1011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2"/>
        <v>462</v>
      </c>
      <c r="CLY14" s="43">
        <f t="shared" si="1013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14"/>
        <v>330</v>
      </c>
      <c r="CMG14" s="43">
        <f t="shared" si="1015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16"/>
        <v>981</v>
      </c>
      <c r="CMO14" s="43">
        <f t="shared" si="1017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18"/>
        <v>0</v>
      </c>
      <c r="CMW14" s="43">
        <f t="shared" si="1019"/>
        <v>0</v>
      </c>
      <c r="CMX14" s="63"/>
      <c r="CMY14" s="64"/>
      <c r="CMZ14" s="64"/>
      <c r="CNA14" s="64"/>
      <c r="CNB14" s="64"/>
      <c r="CNC14" s="64"/>
      <c r="CND14" s="64">
        <f t="shared" si="1020"/>
        <v>0</v>
      </c>
      <c r="CNE14" s="68">
        <f t="shared" si="1021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5"/>
        <v>0</v>
      </c>
      <c r="CNM14" s="68">
        <f t="shared" si="226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7"/>
        <v>0</v>
      </c>
      <c r="CNU14" s="68">
        <f t="shared" si="228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29"/>
        <v>337</v>
      </c>
      <c r="COC14" s="68">
        <f t="shared" si="230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1"/>
        <v>0</v>
      </c>
      <c r="COK14" s="68">
        <f t="shared" si="232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3"/>
        <v>334</v>
      </c>
      <c r="COS14" s="68">
        <f t="shared" si="234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5"/>
        <v>334</v>
      </c>
      <c r="CPA14" s="68">
        <f t="shared" si="236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7"/>
        <v>334</v>
      </c>
      <c r="CPI14" s="68">
        <f t="shared" si="238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39"/>
        <v>936</v>
      </c>
      <c r="CPQ14" s="68">
        <f t="shared" si="240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1"/>
        <v>332</v>
      </c>
      <c r="CPY14" s="68">
        <f t="shared" si="242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3"/>
        <v>0</v>
      </c>
      <c r="CQG14" s="68">
        <f t="shared" si="244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5"/>
        <v>333</v>
      </c>
      <c r="CQO14" s="43">
        <f t="shared" si="246"/>
        <v>55.5</v>
      </c>
      <c r="CQP14" s="48"/>
      <c r="CQQ14" s="49"/>
      <c r="CQR14" s="49"/>
      <c r="CQS14" s="49"/>
      <c r="CQT14" s="49"/>
      <c r="CQU14" s="49"/>
      <c r="CQV14" s="127">
        <f t="shared" si="247"/>
        <v>0</v>
      </c>
      <c r="CQW14" s="43">
        <f t="shared" si="248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49"/>
        <v>365</v>
      </c>
      <c r="CRE14" s="43">
        <f t="shared" si="250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1"/>
        <v>0</v>
      </c>
      <c r="DKG14" s="68">
        <f t="shared" si="252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3"/>
        <v>338</v>
      </c>
      <c r="DKO14" s="68">
        <f t="shared" si="254"/>
        <v>56.333333333333336</v>
      </c>
      <c r="DKP14" s="48"/>
      <c r="DKQ14" s="49"/>
      <c r="DKR14" s="49"/>
      <c r="DKS14" s="49"/>
      <c r="DKT14" s="49"/>
      <c r="DKU14" s="49"/>
      <c r="DKV14" s="64">
        <f t="shared" si="255"/>
        <v>0</v>
      </c>
      <c r="DKW14" s="68">
        <f t="shared" si="256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7"/>
        <v>0</v>
      </c>
      <c r="DLE14" s="68">
        <f t="shared" si="258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59"/>
        <v>0</v>
      </c>
      <c r="DLM14" s="68">
        <f t="shared" si="260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1"/>
        <v>0</v>
      </c>
      <c r="DLU14" s="68">
        <f t="shared" si="262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3"/>
        <v>0</v>
      </c>
      <c r="DMC14" s="68">
        <f t="shared" si="264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5"/>
        <v>0</v>
      </c>
      <c r="DMK14" s="68">
        <f t="shared" si="266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7"/>
        <v>0</v>
      </c>
      <c r="DMS14" s="68">
        <f t="shared" si="268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69"/>
        <v>0</v>
      </c>
      <c r="DNA14" s="68">
        <f t="shared" si="270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1"/>
        <v>333</v>
      </c>
      <c r="DNI14" s="68">
        <f t="shared" si="272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3"/>
        <v>0</v>
      </c>
      <c r="DNQ14" s="68">
        <f t="shared" si="274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5"/>
        <v>0</v>
      </c>
      <c r="DNY14" s="68">
        <f t="shared" si="276"/>
        <v>0</v>
      </c>
      <c r="DNZ14" s="48"/>
      <c r="DOA14" s="49"/>
      <c r="DOB14" s="49"/>
      <c r="DOC14" s="49"/>
      <c r="DOD14" s="49"/>
      <c r="DOE14" s="49"/>
      <c r="DOF14" s="64">
        <f t="shared" si="277"/>
        <v>0</v>
      </c>
      <c r="DOG14" s="68">
        <f t="shared" si="278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79"/>
        <v>0</v>
      </c>
      <c r="DOO14" s="68">
        <f t="shared" si="280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1"/>
        <v>0</v>
      </c>
      <c r="DOW14" s="68">
        <f t="shared" si="282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3"/>
        <v>0</v>
      </c>
      <c r="DPE14" s="68">
        <f t="shared" si="284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5"/>
        <v>0</v>
      </c>
      <c r="DPM14" s="68">
        <f t="shared" si="286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7"/>
        <v>328</v>
      </c>
      <c r="DPU14" s="68">
        <f t="shared" si="288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89"/>
        <v>0</v>
      </c>
      <c r="DQC14" s="68">
        <f t="shared" si="290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1"/>
        <v>0</v>
      </c>
      <c r="DQK14" s="68">
        <f t="shared" si="292"/>
        <v>0</v>
      </c>
      <c r="DQL14" s="48"/>
      <c r="DQM14" s="49"/>
      <c r="DQN14" s="49"/>
      <c r="DQO14" s="49"/>
      <c r="DQP14" s="49"/>
      <c r="DQQ14" s="49"/>
      <c r="DQR14" s="64">
        <f t="shared" si="293"/>
        <v>0</v>
      </c>
      <c r="DQS14" s="68">
        <f t="shared" si="294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5"/>
        <v>336</v>
      </c>
      <c r="DRA14" s="68">
        <f t="shared" si="296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7"/>
        <v>0</v>
      </c>
      <c r="DRI14" s="68">
        <f t="shared" si="298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299"/>
        <v>322</v>
      </c>
      <c r="DRQ14" s="68">
        <f t="shared" si="300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1"/>
        <v>335</v>
      </c>
      <c r="DRY14" s="68">
        <f t="shared" si="302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3"/>
        <v>0</v>
      </c>
      <c r="DSG14" s="68">
        <f t="shared" si="304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5"/>
        <v>0</v>
      </c>
      <c r="DSO14" s="68">
        <f t="shared" si="306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7"/>
        <v>0</v>
      </c>
      <c r="DSW14" s="68">
        <f t="shared" si="308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09"/>
        <v>332</v>
      </c>
      <c r="DTE14" s="68">
        <f t="shared" si="310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1"/>
        <v>0</v>
      </c>
      <c r="DTM14" s="68">
        <f t="shared" si="312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3"/>
        <v>184</v>
      </c>
      <c r="DTU14" s="68">
        <f t="shared" si="314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5"/>
        <v>322</v>
      </c>
      <c r="DUC14" s="68">
        <f t="shared" si="316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7"/>
        <v>0</v>
      </c>
      <c r="DUK14" s="68">
        <f t="shared" si="318"/>
        <v>0</v>
      </c>
      <c r="DUL14" s="48"/>
      <c r="DUM14" s="49"/>
      <c r="DUN14" s="49"/>
      <c r="DUO14" s="49"/>
      <c r="DUP14" s="49"/>
      <c r="DUQ14" s="49"/>
      <c r="DUR14" s="64">
        <f t="shared" si="319"/>
        <v>0</v>
      </c>
      <c r="DUS14" s="68">
        <f t="shared" si="320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1"/>
        <v>0</v>
      </c>
      <c r="DVA14" s="68">
        <f t="shared" si="322"/>
        <v>0</v>
      </c>
      <c r="DVB14" s="48"/>
      <c r="DVC14" s="49"/>
      <c r="DVD14" s="49"/>
      <c r="DVE14" s="49"/>
      <c r="DVF14" s="49"/>
      <c r="DVG14" s="49"/>
      <c r="DVH14" s="64">
        <f t="shared" si="323"/>
        <v>0</v>
      </c>
      <c r="DVI14" s="68">
        <f t="shared" si="324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5"/>
        <v>319</v>
      </c>
      <c r="DVQ14" s="68">
        <f t="shared" si="326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7"/>
        <v>314</v>
      </c>
      <c r="DVY14" s="68">
        <f t="shared" si="328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29"/>
        <v>0</v>
      </c>
      <c r="DWG14" s="68">
        <f t="shared" si="330"/>
        <v>0</v>
      </c>
      <c r="DWH14" s="48"/>
      <c r="DWI14" s="49"/>
      <c r="DWJ14" s="49"/>
      <c r="DWK14" s="49"/>
      <c r="DWL14" s="49"/>
      <c r="DWM14" s="49"/>
      <c r="DWN14" s="64">
        <f t="shared" si="331"/>
        <v>0</v>
      </c>
      <c r="DWO14" s="68">
        <f t="shared" si="332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3"/>
        <v>317</v>
      </c>
      <c r="DWW14" s="68">
        <f t="shared" si="334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5"/>
        <v>329</v>
      </c>
      <c r="DXE14" s="68">
        <f t="shared" si="336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7"/>
        <v>0</v>
      </c>
      <c r="DXM14" s="68">
        <f t="shared" si="338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39"/>
        <v>320</v>
      </c>
      <c r="DXU14" s="184">
        <f t="shared" si="340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1"/>
        <v>0</v>
      </c>
      <c r="DYD14" s="211">
        <f t="shared" si="342"/>
        <v>0</v>
      </c>
      <c r="DYE14" s="195"/>
      <c r="DYF14" s="49"/>
      <c r="DYG14" s="49"/>
      <c r="DYH14" s="49"/>
      <c r="DYI14" s="49"/>
      <c r="DYJ14" s="49"/>
      <c r="DYK14" s="64">
        <f t="shared" si="343"/>
        <v>0</v>
      </c>
      <c r="DYL14" s="211">
        <f t="shared" si="344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5"/>
        <v>663</v>
      </c>
      <c r="DYT14" s="211">
        <f t="shared" si="346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7"/>
        <v>661</v>
      </c>
      <c r="DZB14" s="211">
        <f t="shared" si="348"/>
        <v>110.16666666666667</v>
      </c>
      <c r="DZC14" s="195"/>
      <c r="DZD14" s="49"/>
      <c r="DZE14" s="49"/>
      <c r="DZF14" s="49"/>
      <c r="DZG14" s="49"/>
      <c r="DZH14" s="49"/>
      <c r="DZI14" s="64">
        <f t="shared" si="349"/>
        <v>0</v>
      </c>
      <c r="DZJ14" s="211">
        <f t="shared" si="350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1"/>
        <v>0</v>
      </c>
      <c r="DZR14" s="211">
        <f t="shared" si="352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3"/>
        <v>0</v>
      </c>
      <c r="DZZ14" s="211">
        <f t="shared" si="354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5"/>
        <v>0</v>
      </c>
      <c r="EAH14" s="211">
        <f t="shared" si="356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7"/>
        <v>0</v>
      </c>
      <c r="EAP14" s="211">
        <f t="shared" si="358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59"/>
        <v>0</v>
      </c>
      <c r="EAX14" s="211">
        <f t="shared" si="360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1"/>
        <v>0</v>
      </c>
      <c r="EBF14" s="211">
        <f t="shared" si="362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3"/>
        <v>0</v>
      </c>
      <c r="EBN14" s="211">
        <f t="shared" si="364"/>
        <v>0</v>
      </c>
      <c r="EBO14" s="195"/>
      <c r="EBP14" s="49"/>
      <c r="EBQ14" s="49"/>
      <c r="EBR14" s="49"/>
      <c r="EBS14" s="49"/>
      <c r="EBT14" s="49"/>
      <c r="EBU14" s="64">
        <f t="shared" si="365"/>
        <v>0</v>
      </c>
      <c r="EBV14" s="184">
        <f t="shared" si="366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7"/>
        <v>288</v>
      </c>
      <c r="ECD14" s="211">
        <f t="shared" si="368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69"/>
        <v>638</v>
      </c>
      <c r="ECL14" s="211">
        <f t="shared" si="370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1"/>
        <v>777</v>
      </c>
      <c r="ECT14" s="211">
        <f t="shared" si="372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3"/>
        <v>0</v>
      </c>
      <c r="EDB14" s="211">
        <f t="shared" si="374"/>
        <v>0</v>
      </c>
      <c r="EDC14" s="195"/>
      <c r="EDD14" s="49"/>
      <c r="EDE14" s="49"/>
      <c r="EDF14" s="49"/>
      <c r="EDG14" s="49"/>
      <c r="EDH14" s="49"/>
      <c r="EDI14" s="64">
        <f t="shared" si="375"/>
        <v>0</v>
      </c>
      <c r="EDJ14" s="211">
        <f t="shared" si="376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7"/>
        <v>0</v>
      </c>
      <c r="EDR14" s="211">
        <f t="shared" si="378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79"/>
        <v>0</v>
      </c>
      <c r="EDZ14" s="707">
        <f t="shared" si="380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1"/>
        <v>324</v>
      </c>
      <c r="EEH14" s="211">
        <f t="shared" si="382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3"/>
        <v>0</v>
      </c>
      <c r="EEP14" s="211">
        <f t="shared" si="384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5"/>
        <v>650</v>
      </c>
      <c r="EEX14" s="211">
        <f t="shared" si="386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7"/>
        <v>0</v>
      </c>
      <c r="EFF14" s="211">
        <f t="shared" si="388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89"/>
        <v>324</v>
      </c>
      <c r="EFN14" s="211">
        <f t="shared" si="390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1"/>
        <v>329</v>
      </c>
      <c r="EFV14" s="211">
        <f t="shared" si="392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3"/>
        <v>720</v>
      </c>
      <c r="EGD14" s="211">
        <f t="shared" si="394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5"/>
        <v>338</v>
      </c>
      <c r="EGL14" s="211">
        <f t="shared" si="396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7"/>
        <v>645</v>
      </c>
      <c r="EGT14" s="211">
        <f t="shared" si="398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399"/>
        <v>313</v>
      </c>
      <c r="EHB14" s="211">
        <f t="shared" si="400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1"/>
        <v>0</v>
      </c>
      <c r="EHJ14" s="211">
        <f t="shared" si="402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3"/>
        <v>616</v>
      </c>
      <c r="EHR14" s="211">
        <f t="shared" si="404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5"/>
        <v>0</v>
      </c>
      <c r="EHZ14" s="211">
        <f t="shared" si="406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7"/>
        <v>632</v>
      </c>
      <c r="EIH14" s="211">
        <f t="shared" si="408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09"/>
        <v>0</v>
      </c>
      <c r="EIP14" s="211">
        <f t="shared" si="410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1"/>
        <v>663</v>
      </c>
      <c r="EIX14" s="211">
        <f t="shared" si="412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3"/>
        <v>981</v>
      </c>
      <c r="EJF14" s="211">
        <f t="shared" si="414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5"/>
        <v>0</v>
      </c>
      <c r="EJN14" s="211">
        <f t="shared" si="416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7"/>
        <v>322</v>
      </c>
      <c r="EJV14" s="211">
        <f t="shared" si="418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19"/>
        <v>409</v>
      </c>
      <c r="EKD14" s="211">
        <f t="shared" si="420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1"/>
        <v>0</v>
      </c>
      <c r="EKL14" s="211">
        <f t="shared" si="422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3"/>
        <v>517</v>
      </c>
      <c r="EKT14" s="211">
        <f t="shared" si="424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5"/>
        <v>318</v>
      </c>
      <c r="ELB14" s="211">
        <f t="shared" si="426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7"/>
        <v>326</v>
      </c>
      <c r="ELJ14" s="211">
        <f t="shared" si="428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29"/>
        <v>0</v>
      </c>
      <c r="ELR14" s="211">
        <f t="shared" si="430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1"/>
        <v>328</v>
      </c>
      <c r="ELZ14" s="873">
        <f t="shared" si="432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3"/>
        <v>656</v>
      </c>
      <c r="EMH14" s="873">
        <f t="shared" si="434"/>
        <v>109.33333333333333</v>
      </c>
      <c r="EMI14" s="195">
        <v>0</v>
      </c>
      <c r="EMJ14" s="49"/>
      <c r="EMK14" s="49"/>
      <c r="EML14" s="49"/>
      <c r="EMM14" s="49"/>
      <c r="EMN14" s="49"/>
      <c r="EMO14" s="872">
        <f t="shared" si="435"/>
        <v>0</v>
      </c>
      <c r="EMP14" s="873">
        <f t="shared" si="436"/>
        <v>0</v>
      </c>
    </row>
    <row r="15" spans="1:3734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658</v>
      </c>
      <c r="G15" s="24"/>
      <c r="H15" s="24"/>
      <c r="I15" s="360"/>
      <c r="J15" s="360">
        <f>SUMIF(SUMPK!$B:$B,$B:$B,SUMPK!$O:$O)</f>
        <v>0</v>
      </c>
      <c r="K15" s="24"/>
      <c r="L15" s="24">
        <f t="shared" si="0"/>
        <v>658</v>
      </c>
      <c r="M15" s="15">
        <f t="shared" ref="M15:M16" si="1025">K15+L15</f>
        <v>658</v>
      </c>
      <c r="N15" s="15">
        <v>0</v>
      </c>
      <c r="O15" s="276">
        <f t="shared" si="2"/>
        <v>0</v>
      </c>
      <c r="P15" s="277">
        <f t="shared" si="437"/>
        <v>53.333333333333336</v>
      </c>
      <c r="Q15" s="276">
        <f t="shared" si="3"/>
        <v>74.024999999999991</v>
      </c>
      <c r="R15" s="277">
        <f t="shared" ref="R15:R16" si="1026">S15/$S$3</f>
        <v>12.307692307692308</v>
      </c>
      <c r="S15" s="222">
        <v>320</v>
      </c>
      <c r="T15" s="276">
        <f t="shared" si="4"/>
        <v>53.462499999999999</v>
      </c>
      <c r="U15" s="278"/>
      <c r="V15" s="302">
        <f t="shared" si="5"/>
        <v>53.462499999999999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27">SUM(AF15:AK15)</f>
        <v>0</v>
      </c>
      <c r="AM15" s="53">
        <f t="shared" ref="AM15" si="1028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29">SUM(AN15:AS15)</f>
        <v>453</v>
      </c>
      <c r="AU15" s="53">
        <f t="shared" ref="AU15" si="1030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1">SUM(AV15:BA15)</f>
        <v>85</v>
      </c>
      <c r="BC15" s="53">
        <f t="shared" ref="BC15" si="1032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3">SUM(BD15:BI15)</f>
        <v>201</v>
      </c>
      <c r="BK15" s="53">
        <f t="shared" ref="BK15" si="1034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35">SUM(BL15:BQ15)</f>
        <v>400</v>
      </c>
      <c r="BS15" s="53">
        <f t="shared" ref="BS15" si="1036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37">SUM(BT15:BY15)</f>
        <v>400</v>
      </c>
      <c r="CA15" s="53">
        <f t="shared" ref="CA15" si="1038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39">SUM(CB15:CG15)</f>
        <v>0</v>
      </c>
      <c r="CI15" s="53">
        <f t="shared" ref="CI15" si="1040">CH15/$BK$5</f>
        <v>0</v>
      </c>
      <c r="CJ15" s="50"/>
      <c r="CK15" s="51"/>
      <c r="CL15" s="51"/>
      <c r="CM15" s="51"/>
      <c r="CN15" s="51"/>
      <c r="CO15" s="51"/>
      <c r="CP15" s="52">
        <f t="shared" ref="CP15" si="1041">SUM(CJ15:CO15)</f>
        <v>0</v>
      </c>
      <c r="CQ15" s="53">
        <f t="shared" ref="CQ15" si="1042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3">SUM(CR15:CW15)</f>
        <v>200</v>
      </c>
      <c r="CY15" s="53">
        <f t="shared" ref="CY15" si="1044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45">SUM(CZ15:DE15)</f>
        <v>620</v>
      </c>
      <c r="DG15" s="53">
        <f t="shared" ref="DG15" si="1046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47">SUM(DH15:DM15)</f>
        <v>0</v>
      </c>
      <c r="DO15" s="53">
        <f t="shared" ref="DO15" si="1048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49">SUM(DP15:DU15)</f>
        <v>400</v>
      </c>
      <c r="DW15" s="43">
        <f t="shared" ref="DW15" si="1050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1">SUM(DX15:EC15)</f>
        <v>0</v>
      </c>
      <c r="EE15" s="53">
        <f t="shared" ref="EE15" si="1052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3">SUM(EF15:EK15)</f>
        <v>400</v>
      </c>
      <c r="EM15" s="53">
        <f t="shared" ref="EM15" si="1054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55">SUM(EN15:ES15)</f>
        <v>300</v>
      </c>
      <c r="EU15" s="53">
        <f t="shared" ref="EU15" si="1056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57">SUM(EV15:FA15)</f>
        <v>202</v>
      </c>
      <c r="FC15" s="53">
        <f t="shared" ref="FC15" si="1058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59">SUM(FD15:FI15)</f>
        <v>125</v>
      </c>
      <c r="FK15" s="53">
        <f t="shared" ref="FK15" si="1060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1">SUM(FL15:FQ15)</f>
        <v>0</v>
      </c>
      <c r="FS15" s="53">
        <f t="shared" ref="FS15" si="1062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3">SUM(FT15:FY15)</f>
        <v>400</v>
      </c>
      <c r="GA15" s="53">
        <f t="shared" ref="GA15" si="1064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65">SUM(GB15:GG15)</f>
        <v>0</v>
      </c>
      <c r="GI15" s="53">
        <f t="shared" ref="GI15" si="1066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67">SUM(GJ15:GO15)</f>
        <v>200</v>
      </c>
      <c r="GQ15" s="53">
        <f t="shared" ref="GQ15" si="1068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69">SUM(GR15:GW15)</f>
        <v>200</v>
      </c>
      <c r="GY15" s="53">
        <f t="shared" ref="GY15" si="1070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1">SUM(GZ15:HE15)</f>
        <v>0</v>
      </c>
      <c r="HG15" s="53">
        <f t="shared" ref="HG15" si="1072">HF15/$FC$5</f>
        <v>0</v>
      </c>
      <c r="HH15" s="50"/>
      <c r="HI15" s="51"/>
      <c r="HJ15" s="51"/>
      <c r="HK15" s="51"/>
      <c r="HL15" s="51"/>
      <c r="HM15" s="51"/>
      <c r="HN15" s="52">
        <f t="shared" ref="HN15" si="1073">SUM(HH15:HM15)</f>
        <v>0</v>
      </c>
      <c r="HO15" s="53">
        <f t="shared" ref="HO15" si="1074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75">SUM(HP15:HU15)</f>
        <v>399</v>
      </c>
      <c r="HW15" s="53">
        <f t="shared" ref="HW15" si="1076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77">SUM(HX15:IC15)</f>
        <v>199</v>
      </c>
      <c r="IE15" s="53">
        <f t="shared" ref="IE15" si="1078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79">SUM(IF15:IK15)</f>
        <v>401</v>
      </c>
      <c r="IM15" s="53">
        <f t="shared" ref="IM15" si="1080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1">SUM(IN15:IS15)</f>
        <v>0</v>
      </c>
      <c r="IU15" s="53">
        <f t="shared" ref="IU15" si="1082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3">SUM(IV15:JA15)</f>
        <v>305</v>
      </c>
      <c r="JC15" s="53">
        <f t="shared" ref="JC15" si="1084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85">SUM(JD15:JI15)</f>
        <v>280</v>
      </c>
      <c r="JK15" s="53">
        <f t="shared" ref="JK15" si="1086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87">SUM(JL15:JQ15)</f>
        <v>0</v>
      </c>
      <c r="JS15" s="53">
        <f t="shared" ref="JS15" si="1088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89">SUM(JT15:JY15)</f>
        <v>300</v>
      </c>
      <c r="KA15" s="53">
        <f t="shared" ref="KA15" si="1090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1">SUM(KB15:KG15)</f>
        <v>200</v>
      </c>
      <c r="KI15" s="53">
        <f t="shared" ref="KI15" si="1092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3">SUM(KJ15:KO15)</f>
        <v>0</v>
      </c>
      <c r="KQ15" s="53">
        <f t="shared" ref="KQ15" si="1094">KP15/$JS$5</f>
        <v>0</v>
      </c>
      <c r="KR15" s="50"/>
      <c r="KS15" s="51"/>
      <c r="KT15" s="51"/>
      <c r="KU15" s="51"/>
      <c r="KV15" s="51"/>
      <c r="KW15" s="51"/>
      <c r="KX15" s="52">
        <f t="shared" ref="KX15" si="1095">SUM(KR15:KW15)</f>
        <v>0</v>
      </c>
      <c r="KY15" s="102">
        <f t="shared" ref="KY15" si="1096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097">SUM(KZ15:LE15)</f>
        <v>300</v>
      </c>
      <c r="LG15" s="43">
        <f t="shared" ref="LG15" si="1098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099">SUM(LH15:LM15)</f>
        <v>200</v>
      </c>
      <c r="LO15" s="70">
        <f t="shared" ref="LO15" si="1100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1">SUM(LP15:LU15)</f>
        <v>0</v>
      </c>
      <c r="LW15" s="70">
        <f t="shared" ref="LW15" si="1102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3">SUM(LX15:MC15)</f>
        <v>198</v>
      </c>
      <c r="ME15" s="70">
        <f t="shared" ref="ME15" si="1104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05">SUM(MF15:MK15)</f>
        <v>104</v>
      </c>
      <c r="MM15" s="53">
        <f t="shared" ref="MM15" si="1106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07">SUM(MN15:MS15)</f>
        <v>0</v>
      </c>
      <c r="MU15" s="53">
        <f t="shared" ref="MU15" si="1108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09">SUM(MV15:NA15)</f>
        <v>206</v>
      </c>
      <c r="NC15" s="53">
        <f t="shared" ref="NC15" si="1110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1">SUM(ND15:NI15)</f>
        <v>200</v>
      </c>
      <c r="NK15" s="53">
        <f t="shared" ref="NK15" si="1112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3">SUM(NL15:NQ15)</f>
        <v>0</v>
      </c>
      <c r="NS15" s="53">
        <f t="shared" ref="NS15" si="1114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15">SUM(NT15:NY15)</f>
        <v>200</v>
      </c>
      <c r="OA15" s="53">
        <f t="shared" ref="OA15" si="1116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17">SUM(OB15:OG15)</f>
        <v>200</v>
      </c>
      <c r="OI15" s="53">
        <f t="shared" ref="OI15" si="1118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19">SUM(OJ15:OO15)</f>
        <v>0</v>
      </c>
      <c r="OQ15" s="53">
        <f t="shared" ref="OQ15" si="1120">OP15/$OQ$5</f>
        <v>0</v>
      </c>
      <c r="OR15" s="50"/>
      <c r="OS15" s="51"/>
      <c r="OT15" s="51"/>
      <c r="OU15" s="51"/>
      <c r="OV15" s="51"/>
      <c r="OW15" s="51"/>
      <c r="OX15" s="69">
        <f t="shared" ref="OX15" si="1121">SUM(OR15:OW15)</f>
        <v>0</v>
      </c>
      <c r="OY15" s="70">
        <f t="shared" ref="OY15" si="1122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3">SUM(OZ15:PE15)</f>
        <v>200</v>
      </c>
      <c r="PG15" s="70">
        <f t="shared" ref="PG15" si="1124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25">SUM(PH15:PM15)</f>
        <v>199</v>
      </c>
      <c r="PO15" s="105">
        <f t="shared" ref="PO15" si="1126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27">SUM(PP15:PU15)</f>
        <v>200</v>
      </c>
      <c r="PW15" s="111">
        <f t="shared" ref="PW15" si="1128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29">SUM(PX15:QC15)</f>
        <v>97</v>
      </c>
      <c r="QE15" s="111">
        <f t="shared" ref="QE15" si="1130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1">SUM(QF15:QK15)</f>
        <v>200</v>
      </c>
      <c r="QM15" s="111">
        <f t="shared" ref="QM15" si="1132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3">SUM(QN15:QS15)</f>
        <v>199</v>
      </c>
      <c r="QU15" s="111">
        <f t="shared" ref="QU15" si="1134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35">SUM(QV15:RA15)</f>
        <v>0</v>
      </c>
      <c r="RC15" s="111">
        <f t="shared" ref="RC15" si="1136">RB15/$PO$5</f>
        <v>0</v>
      </c>
      <c r="RD15" s="108"/>
      <c r="RE15" s="109"/>
      <c r="RF15" s="109"/>
      <c r="RG15" s="109"/>
      <c r="RH15" s="109"/>
      <c r="RI15" s="109"/>
      <c r="RJ15" s="110">
        <f t="shared" ref="RJ15" si="1137">SUM(RD15:RI15)</f>
        <v>0</v>
      </c>
      <c r="RK15" s="111">
        <f t="shared" ref="RK15" si="1138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39">SUM(RL15:RQ15)</f>
        <v>101</v>
      </c>
      <c r="RS15" s="111">
        <f t="shared" ref="RS15" si="1140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1">SUM(RT15:RY15)</f>
        <v>101</v>
      </c>
      <c r="SA15" s="111">
        <f t="shared" ref="SA15" si="1142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3">SUM(SB15:SG15)</f>
        <v>100</v>
      </c>
      <c r="SI15" s="111">
        <f t="shared" ref="SI15" si="1144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45">SUM(SJ15:SO15)</f>
        <v>198</v>
      </c>
      <c r="SQ15" s="111">
        <f t="shared" ref="SQ15" si="1146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47">SUM(SR15:SW15)</f>
        <v>200</v>
      </c>
      <c r="SY15" s="111">
        <f t="shared" ref="SY15" si="1148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49">SUM(SZ15:TE15)</f>
        <v>100</v>
      </c>
      <c r="TG15" s="111">
        <f t="shared" ref="TG15" si="1150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1">SUM(TH15:TM15)</f>
        <v>0</v>
      </c>
      <c r="TO15" s="111">
        <f t="shared" ref="TO15" si="1152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3">SUM(TQ15:TV15)</f>
        <v>200</v>
      </c>
      <c r="TX15" s="111">
        <f t="shared" ref="TX15" si="1154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55">SUM(TY15:UD15)</f>
        <v>100</v>
      </c>
      <c r="UF15" s="111">
        <f t="shared" ref="UF15" si="1156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57">SUM(UG15:UL15)</f>
        <v>0</v>
      </c>
      <c r="UN15" s="111">
        <f t="shared" ref="UN15" si="1158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59">SUM(UO15:UT15)</f>
        <v>200</v>
      </c>
      <c r="UV15" s="111">
        <f t="shared" ref="UV15" si="1160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1">SUM(UW15:VB15)</f>
        <v>0</v>
      </c>
      <c r="VD15" s="111">
        <f t="shared" ref="VD15" si="1162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3">SUM(VE15:VJ15)</f>
        <v>213</v>
      </c>
      <c r="VL15" s="70">
        <f t="shared" ref="VL15" si="1164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65">SUM(VN15:VS15)</f>
        <v>213</v>
      </c>
      <c r="VU15" s="70">
        <f t="shared" ref="VU15" si="1166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67">SUM(VW15:WB15)</f>
        <v>201</v>
      </c>
      <c r="WD15" s="70">
        <f t="shared" ref="WD15" si="1168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69">SUM(WF15:WK15)</f>
        <v>0</v>
      </c>
      <c r="WM15" s="70">
        <f t="shared" ref="WM15" si="1170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1">SUM(WO15:WT15)</f>
        <v>214</v>
      </c>
      <c r="WV15" s="70">
        <f t="shared" ref="WV15" si="1172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3">SUM(WX15:XC15)</f>
        <v>200</v>
      </c>
      <c r="XE15" s="111">
        <f t="shared" ref="XE15" si="1174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75">SUM(XF15:XK15)</f>
        <v>85</v>
      </c>
      <c r="XM15" s="70">
        <f t="shared" ref="XM15" si="1176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77">SUM(XN15:XS15)</f>
        <v>0</v>
      </c>
      <c r="XU15" s="70">
        <f t="shared" ref="XU15" si="1178">XT15/$VL$5</f>
        <v>0</v>
      </c>
      <c r="XV15" s="50"/>
      <c r="XW15" s="51"/>
      <c r="XX15" s="51"/>
      <c r="XY15" s="51"/>
      <c r="XZ15" s="24"/>
      <c r="YA15" s="51"/>
      <c r="YB15" s="69">
        <f t="shared" ref="YB15" si="1179">SUM(XV15:YA15)</f>
        <v>0</v>
      </c>
      <c r="YC15" s="70">
        <f t="shared" ref="YC15" si="1180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1">SUM(YE15:YJ15)</f>
        <v>200</v>
      </c>
      <c r="YL15" s="70">
        <f t="shared" ref="YL15" si="1182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3">SUM(YN15:YS15)</f>
        <v>200</v>
      </c>
      <c r="YU15" s="70">
        <f t="shared" ref="YU15" si="1184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85">SUM(YV15:ZA15)</f>
        <v>100</v>
      </c>
      <c r="ZC15" s="70">
        <f t="shared" ref="ZC15" si="1186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87">SUM(ZD15:ZI15)</f>
        <v>0</v>
      </c>
      <c r="ZK15" s="70">
        <f t="shared" ref="ZK15" si="1188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89">SUM(ZL15:ZQ15)</f>
        <v>202</v>
      </c>
      <c r="ZS15" s="70">
        <f t="shared" ref="ZS15" si="1190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1">SUM(ZT15:ZY15)</f>
        <v>0</v>
      </c>
      <c r="AAA15" s="70">
        <f t="shared" ref="AAA15" si="1192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3">SUM(AAB15:AAG15)</f>
        <v>100</v>
      </c>
      <c r="AAI15" s="70">
        <f t="shared" ref="AAI15" si="1194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195">SUM(AAJ15:AAO15)</f>
        <v>0</v>
      </c>
      <c r="AAQ15" s="70">
        <f t="shared" ref="AAQ15" si="1196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197">SUM(AAR15:AAW15)</f>
        <v>421</v>
      </c>
      <c r="AAY15" s="70">
        <f t="shared" ref="AAY15" si="1198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199">SUM(AAZ15:ABE15)</f>
        <v>0</v>
      </c>
      <c r="ABG15" s="70">
        <f t="shared" ref="ABG15" si="1200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1">SUM(ABH15:ABM15)</f>
        <v>108</v>
      </c>
      <c r="ABO15" s="70">
        <f t="shared" ref="ABO15" si="1202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3">SUM(ABP15:ABU15)</f>
        <v>119</v>
      </c>
      <c r="ABW15" s="70">
        <f t="shared" ref="ABW15" si="1204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05">SUM(ABX15:ACC15)</f>
        <v>220</v>
      </c>
      <c r="ACE15" s="70">
        <f t="shared" ref="ACE15" si="1206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07">SUM(ACF15:ACK15)</f>
        <v>220</v>
      </c>
      <c r="ACM15" s="70">
        <f t="shared" ref="ACM15" si="1208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09">SUM(ACN15:ACS15)</f>
        <v>0</v>
      </c>
      <c r="ACU15" s="70">
        <f t="shared" ref="ACU15" si="1210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1">SUM(ACV15:ADA15)</f>
        <v>220</v>
      </c>
      <c r="ADC15" s="70">
        <f t="shared" ref="ADC15" si="1212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3">SUM(ADD15:ADI15)</f>
        <v>0</v>
      </c>
      <c r="ADK15" s="70">
        <f t="shared" ref="ADK15" si="1214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15">SUM(ADL15:ADQ15)</f>
        <v>220</v>
      </c>
      <c r="ADS15" s="70">
        <f t="shared" ref="ADS15" si="1216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17">SUM(ADT15:ADY15)</f>
        <v>110</v>
      </c>
      <c r="AEA15" s="70">
        <f t="shared" ref="AEA15" si="1218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19">SUM(AEB15:AEG15)</f>
        <v>0</v>
      </c>
      <c r="AEI15" s="70">
        <f t="shared" ref="AEI15" si="1220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1">SUM(AEJ15:AEO15)</f>
        <v>143</v>
      </c>
      <c r="AEQ15" s="70">
        <f t="shared" ref="AEQ15" si="1222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3">SUM(AER15:AEW15)</f>
        <v>110</v>
      </c>
      <c r="AEY15" s="68">
        <f t="shared" ref="AEY15" si="1224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25">SUM(AEZ15:AFE15)</f>
        <v>110</v>
      </c>
      <c r="AFG15" s="70">
        <f t="shared" ref="AFG15" si="1226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27">SUM(AFH15:AFM15)</f>
        <v>110</v>
      </c>
      <c r="AFO15" s="70">
        <f t="shared" ref="AFO15" si="1228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29">SUM(AFP15:AFU15)</f>
        <v>110</v>
      </c>
      <c r="AFW15" s="70">
        <f t="shared" ref="AFW15" si="1230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1">SUM(AFX15:AGC15)</f>
        <v>0</v>
      </c>
      <c r="AGE15" s="70">
        <f t="shared" ref="AGE15" si="1232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3">SUM(AGF15:AGK15)</f>
        <v>110</v>
      </c>
      <c r="AGM15" s="70">
        <f t="shared" ref="AGM15" si="1234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35">SUM(AGN15:AGS15)</f>
        <v>0</v>
      </c>
      <c r="AGU15" s="53">
        <f t="shared" ref="AGU15" si="1236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37">SUM(AGV15:AHA15)</f>
        <v>0</v>
      </c>
      <c r="AHC15" s="53">
        <f t="shared" ref="AHC15" si="1238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39">SUM(AHD15:AHI15)</f>
        <v>0</v>
      </c>
      <c r="AHK15" s="53">
        <f t="shared" ref="AHK15" si="1240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1">SUM(AHL15:AHQ15)</f>
        <v>220</v>
      </c>
      <c r="AHS15" s="70">
        <f t="shared" ref="AHS15" si="1242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3">SUM(AHT15:AHY15)</f>
        <v>113</v>
      </c>
      <c r="AIA15" s="184">
        <f t="shared" ref="AIA15" si="1244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45">SUM(AIB15:AIG15)</f>
        <v>108</v>
      </c>
      <c r="AII15" s="199">
        <f t="shared" ref="AII15" si="1246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47">SUM(AIJ15:AIO15)</f>
        <v>0</v>
      </c>
      <c r="AIQ15" s="199">
        <f t="shared" ref="AIQ15" si="1248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49">SUM(AIR15:AIW15)</f>
        <v>0</v>
      </c>
      <c r="AIY15" s="70">
        <f t="shared" ref="AIY15" si="1250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1">SUM(AIZ15:AJE15)</f>
        <v>110</v>
      </c>
      <c r="AJG15" s="70">
        <f t="shared" ref="AJG15" si="1252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3">SUM(AJH15:AJM15)</f>
        <v>110</v>
      </c>
      <c r="AJO15" s="43">
        <f t="shared" ref="AJO15" si="1254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55">SUM(AJP15:AJU15)</f>
        <v>99</v>
      </c>
      <c r="AJW15" s="53">
        <f t="shared" ref="AJW15" si="1256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57">SUM(AJX15:AKC15)</f>
        <v>107</v>
      </c>
      <c r="AKE15" s="53">
        <f t="shared" ref="AKE15" si="1258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59">SUM(AKF15:AKK15)</f>
        <v>0</v>
      </c>
      <c r="AKM15" s="43">
        <f t="shared" ref="AKM15" si="1260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1">SUM(AKN15:AKS15)</f>
        <v>114</v>
      </c>
      <c r="AKU15" s="53">
        <f t="shared" ref="AKU15" si="1262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3">SUM(AKV15:ALA15)</f>
        <v>110</v>
      </c>
      <c r="ALC15" s="53">
        <f t="shared" ref="ALC15" si="1264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65">SUM(ALD15:ALI15)</f>
        <v>110</v>
      </c>
      <c r="ALK15" s="53">
        <f t="shared" ref="ALK15" si="1266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67">SUM(ALL15:ALQ15)</f>
        <v>0</v>
      </c>
      <c r="ALS15" s="70">
        <f t="shared" ref="ALS15" si="1268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69">SUM(ALT15:ALY15)</f>
        <v>110</v>
      </c>
      <c r="AMA15" s="70">
        <f t="shared" ref="AMA15" si="1270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1">SUM(AMB15:AMG15)</f>
        <v>110</v>
      </c>
      <c r="AMI15" s="70">
        <f t="shared" ref="AMI15" si="1272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3">SUM(AMJ15:AMO15)</f>
        <v>0</v>
      </c>
      <c r="AMQ15" s="70">
        <f t="shared" ref="AMQ15" si="1274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75">SUM(AMR15:AMW15)</f>
        <v>110</v>
      </c>
      <c r="AMY15" s="70">
        <f t="shared" ref="AMY15" si="1276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77">SUM(AMZ15:ANE15)</f>
        <v>110</v>
      </c>
      <c r="ANG15" s="70">
        <f t="shared" ref="ANG15" si="1278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79">SUM(ANH15:ANM15)</f>
        <v>107</v>
      </c>
      <c r="ANO15" s="70">
        <f t="shared" ref="ANO15" si="1280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1">SUM(ANP15:ANU15)</f>
        <v>96</v>
      </c>
      <c r="ANW15" s="70">
        <f t="shared" ref="ANW15" si="1282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3">SUM(ANX15:AOC15)</f>
        <v>107</v>
      </c>
      <c r="AOE15" s="70">
        <f t="shared" ref="AOE15" si="1284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85">SUM(AOF15:AOK15)</f>
        <v>110</v>
      </c>
      <c r="AOM15" s="70">
        <f t="shared" ref="AOM15" si="1286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87">SUM(AON15:AOS15)</f>
        <v>110</v>
      </c>
      <c r="AOU15" s="70">
        <f t="shared" ref="AOU15" si="1288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89">SUM(AOV15:APA15)</f>
        <v>0</v>
      </c>
      <c r="APC15" s="70">
        <f t="shared" ref="APC15" si="1290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1">SUM(APD15:API15)</f>
        <v>0</v>
      </c>
      <c r="APK15" s="70">
        <f t="shared" ref="APK15" si="1292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3">SUM(APL15:APQ15)</f>
        <v>110</v>
      </c>
      <c r="APS15" s="70">
        <f t="shared" ref="APS15" si="1294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295">SUM(APT15:APY15)</f>
        <v>0</v>
      </c>
      <c r="AQA15" s="70">
        <f t="shared" ref="AQA15" si="1296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297">SUM(AQB15:AQG15)</f>
        <v>110</v>
      </c>
      <c r="AQI15" s="70">
        <f t="shared" ref="AQI15" si="1298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299">SUM(AQJ15:AQO15)</f>
        <v>100</v>
      </c>
      <c r="AQQ15" s="53">
        <f t="shared" ref="AQQ15" si="1300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1">SUM(AQR15:AQW15)</f>
        <v>0</v>
      </c>
      <c r="AQY15" s="53">
        <f t="shared" ref="AQY15" si="1302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3">SUM(AQZ15:ARE15)</f>
        <v>0</v>
      </c>
      <c r="ARG15" s="53">
        <f t="shared" ref="ARG15" si="1304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05">SUM(ARH15:ARM15)</f>
        <v>162</v>
      </c>
      <c r="ARO15" s="53">
        <f t="shared" ref="ARO15" si="1306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07">SUM(ARP15:ARU15)</f>
        <v>0</v>
      </c>
      <c r="ARW15" s="53">
        <f t="shared" ref="ARW15" si="1308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09">SUM(ARX15:ASC15)</f>
        <v>0</v>
      </c>
      <c r="ASE15" s="53">
        <f t="shared" ref="ASE15" si="1310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1">SUM(ASF15:ASK15)</f>
        <v>0</v>
      </c>
      <c r="ASM15" s="53">
        <f t="shared" ref="ASM15" si="1312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3">SUM(ASN15:ASS15)</f>
        <v>110</v>
      </c>
      <c r="ASU15" s="53">
        <f t="shared" ref="ASU15" si="1314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15">SUM(ASV15:ATA15)</f>
        <v>0</v>
      </c>
      <c r="ATC15" s="53">
        <f t="shared" ref="ATC15" si="1316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17">SUM(ATD15:ATI15)</f>
        <v>0</v>
      </c>
      <c r="ATK15" s="53">
        <f t="shared" ref="ATK15" si="1318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19">SUM(ATL15:ATQ15)</f>
        <v>0</v>
      </c>
      <c r="ATS15" s="53">
        <f t="shared" ref="ATS15" si="1320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1">SUM(ATT15:ATY15)</f>
        <v>112</v>
      </c>
      <c r="AUA15" s="53">
        <f t="shared" ref="AUA15" si="1322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3">SUM(AUB15:AUG15)</f>
        <v>110</v>
      </c>
      <c r="AUI15" s="53">
        <f t="shared" ref="AUI15" si="1324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25">SUM(AUJ15:AUO15)</f>
        <v>110</v>
      </c>
      <c r="AUQ15" s="53">
        <f t="shared" ref="AUQ15" si="1326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27">SUM(AUR15:AUW15)</f>
        <v>0</v>
      </c>
      <c r="AUY15" s="53">
        <f t="shared" ref="AUY15" si="1328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29">SUM(AUZ15:AVE15)</f>
        <v>0</v>
      </c>
      <c r="AVG15" s="53">
        <f t="shared" ref="AVG15" si="1330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1">SUM(AVH15:AVM15)</f>
        <v>0</v>
      </c>
      <c r="AVO15" s="53">
        <f t="shared" ref="AVO15" si="1332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3">SUM(AVP15:AVU15)</f>
        <v>0</v>
      </c>
      <c r="AVW15" s="53">
        <f t="shared" ref="AVW15" si="1334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35">SUM(AVX15:AWC15)</f>
        <v>208</v>
      </c>
      <c r="AWE15" s="53">
        <f t="shared" ref="AWE15" si="1336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37">SUM(AWF15:AWK15)</f>
        <v>0</v>
      </c>
      <c r="AWM15" s="53">
        <f t="shared" ref="AWM15" si="1338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39">SUM(AWN15:AWS15)</f>
        <v>112</v>
      </c>
      <c r="AWU15" s="53">
        <f t="shared" ref="AWU15" si="1340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1">SUM(AWV15:AXA15)</f>
        <v>0</v>
      </c>
      <c r="AXC15" s="53">
        <f t="shared" ref="AXC15" si="1342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3">SUM(AXD15:AXI15)</f>
        <v>0</v>
      </c>
      <c r="AXK15" s="53">
        <f t="shared" ref="AXK15" si="1344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45">SUM(AXL15:AXP15)</f>
        <v>105</v>
      </c>
      <c r="AXS15" s="53">
        <f t="shared" ref="AXS15" si="1346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47">SUM(AXT15:AXX15)</f>
        <v>110</v>
      </c>
      <c r="AYA15" s="43">
        <f t="shared" ref="AYA15" si="1348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49">SUM(AYB15:AYG15)</f>
        <v>0</v>
      </c>
      <c r="AYI15" s="53">
        <f t="shared" ref="AYI15" si="1350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1">SUM(AYJ15:AYO15)</f>
        <v>110</v>
      </c>
      <c r="AYQ15" s="53">
        <f t="shared" ref="AYQ15" si="1352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3">SUM(AYR15:AYW15)</f>
        <v>0</v>
      </c>
      <c r="AYY15" s="53">
        <f t="shared" ref="AYY15" si="1354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55">SUM(AYZ15:AZE15)</f>
        <v>0</v>
      </c>
      <c r="AZG15" s="53">
        <f t="shared" ref="AZG15" si="1356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57">SUM(AZH15:AZM15)</f>
        <v>0</v>
      </c>
      <c r="AZO15" s="53">
        <f t="shared" ref="AZO15" si="1358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59">SUM(AZP15:AZU15)</f>
        <v>100</v>
      </c>
      <c r="AZW15" s="53">
        <f t="shared" ref="AZW15" si="1360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1">SUM(AZX15:BAC15)</f>
        <v>0</v>
      </c>
      <c r="BAE15" s="53">
        <f t="shared" ref="BAE15" si="1362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3">SUM(BAF15:BAK15)</f>
        <v>0</v>
      </c>
      <c r="BAM15" s="53">
        <f t="shared" ref="BAM15" si="1364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65">SUM(BAN15:BAS15)</f>
        <v>110</v>
      </c>
      <c r="BAU15" s="53">
        <f t="shared" ref="BAU15" si="1366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67">SUM(BAV15:BBA15)</f>
        <v>110</v>
      </c>
      <c r="BBC15" s="53">
        <f t="shared" ref="BBC15" si="1368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69">SUM(BBD15:BBI15)</f>
        <v>0</v>
      </c>
      <c r="BBK15" s="53">
        <f t="shared" ref="BBK15" si="1370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1">SUM(BBL15:BBQ15)</f>
        <v>110</v>
      </c>
      <c r="BBS15" s="53">
        <f t="shared" ref="BBS15" si="1372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3">SUM(BBT15:BBY15)</f>
        <v>0</v>
      </c>
      <c r="BCA15" s="53">
        <f t="shared" ref="BCA15" si="1374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75">SUM(BCB15:BCG15)</f>
        <v>110</v>
      </c>
      <c r="BCI15" s="53">
        <f t="shared" ref="BCI15" si="1376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77">SUM(BCJ15:BCO15)</f>
        <v>0</v>
      </c>
      <c r="BCQ15" s="53">
        <f t="shared" ref="BCQ15" si="1378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79">SUM(BCR15:BCW15)</f>
        <v>89</v>
      </c>
      <c r="BCY15" s="53">
        <f t="shared" ref="BCY15" si="1380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1">SUM(BCZ15:BDE15)</f>
        <v>0</v>
      </c>
      <c r="BDG15" s="53">
        <f t="shared" ref="BDG15" si="1382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3">SUM(BDH15:BDM15)</f>
        <v>106</v>
      </c>
      <c r="BDO15" s="53">
        <f t="shared" ref="BDO15" si="1384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85">SUM(BDP15:BDU15)</f>
        <v>0</v>
      </c>
      <c r="BDW15" s="53">
        <f t="shared" ref="BDW15" si="1386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87">SUM(BDX15:BEC15)</f>
        <v>0</v>
      </c>
      <c r="BEE15" s="53">
        <f t="shared" ref="BEE15" si="1388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89">SUM(BEF15:BEK15)</f>
        <v>642</v>
      </c>
      <c r="BEM15" s="43">
        <f t="shared" ref="BEM15" si="1390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1">SUM(BEN15:BES15)</f>
        <v>294</v>
      </c>
      <c r="BEU15" s="53">
        <f t="shared" ref="BEU15" si="1392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3">SUM(BEV15:BFA15)</f>
        <v>0</v>
      </c>
      <c r="BFC15" s="53">
        <f t="shared" ref="BFC15" si="1394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395">SUM(BFD15:BFI15)</f>
        <v>0</v>
      </c>
      <c r="BFK15" s="53">
        <f t="shared" ref="BFK15" si="1396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397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398">SUM(BFT15:BFY15)</f>
        <v>0</v>
      </c>
      <c r="BGA15" s="53">
        <f t="shared" ref="BGA15" si="1399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0">SUM(BGB15:BGG15)</f>
        <v>0</v>
      </c>
      <c r="BGI15" s="53">
        <f t="shared" ref="BGI15" si="1401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2">SUM(BGJ15:BGO15)</f>
        <v>44</v>
      </c>
      <c r="BGQ15" s="53">
        <f t="shared" ref="BGQ15" si="1403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04">SUM(BGR15:BGW15)</f>
        <v>0</v>
      </c>
      <c r="BGY15" s="53">
        <f t="shared" ref="BGY15" si="1405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06">SUM(BGZ15:BHE15)</f>
        <v>0</v>
      </c>
      <c r="BHG15" s="53">
        <f t="shared" ref="BHG15" si="1407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08">SUM(BHH15:BHM15)</f>
        <v>100</v>
      </c>
      <c r="BHO15" s="53">
        <f t="shared" ref="BHO15" si="1409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0">SUM(BHP15:BHU15)</f>
        <v>0</v>
      </c>
      <c r="BHW15" s="53">
        <f t="shared" ref="BHW15" si="1411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2">SUM(BHX15:BIC15)</f>
        <v>0</v>
      </c>
      <c r="BIE15" s="53">
        <f t="shared" ref="BIE15" si="1413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14">SUM(BIF15:BIK15)</f>
        <v>0</v>
      </c>
      <c r="BIM15" s="53">
        <f t="shared" ref="BIM15" si="1415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16">SUM(BIN15:BIS15)</f>
        <v>100</v>
      </c>
      <c r="BIU15" s="53">
        <f t="shared" ref="BIU15" si="1417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18">SUM(BIV15:BJA15)</f>
        <v>0</v>
      </c>
      <c r="BJC15" s="53">
        <f t="shared" ref="BJC15" si="1419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0">SUM(BJD15:BJI15)</f>
        <v>0</v>
      </c>
      <c r="BJK15" s="53">
        <f t="shared" ref="BJK15" si="1421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2">SUM(BJL15:BJQ15)</f>
        <v>0</v>
      </c>
      <c r="BJS15" s="53">
        <f t="shared" ref="BJS15" si="1423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24">SUM(BJT15:BJY15)</f>
        <v>108</v>
      </c>
      <c r="BKA15" s="53">
        <f t="shared" ref="BKA15" si="1425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26">SUM(BKB15:BKG15)</f>
        <v>0</v>
      </c>
      <c r="BKI15" s="53">
        <f t="shared" ref="BKI15" si="1427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28">SUM(BKJ15:BKO15)</f>
        <v>0</v>
      </c>
      <c r="BKQ15" s="53">
        <f t="shared" ref="BKQ15" si="1429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0">SUM(BKR15:BKW15)</f>
        <v>110</v>
      </c>
      <c r="BKY15" s="43">
        <f t="shared" ref="BKY15" si="1431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2">SUM(BKZ15:BLE15)</f>
        <v>218</v>
      </c>
      <c r="BLG15" s="53">
        <f t="shared" ref="BLG15" si="1433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34">SUM(BLH15:BLM15)</f>
        <v>109</v>
      </c>
      <c r="BLO15" s="70">
        <f t="shared" ref="BLO15" si="1435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36">SUM(BLP15:BLU15)</f>
        <v>0</v>
      </c>
      <c r="BLW15" s="70">
        <f t="shared" ref="BLW15" si="1437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38">SUM(BLX15:BMC15)</f>
        <v>0</v>
      </c>
      <c r="BME15" s="53">
        <f t="shared" ref="BME15" si="1439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0">SUM(BMF15:BMK15)</f>
        <v>110</v>
      </c>
      <c r="BMM15" s="53">
        <f t="shared" ref="BMM15" si="1441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2">SUM(BMN15:BMS15)</f>
        <v>200</v>
      </c>
      <c r="BMU15" s="53">
        <f t="shared" ref="BMU15" si="1443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44">SUM(BMV15:BNA15)</f>
        <v>110</v>
      </c>
      <c r="BNC15" s="43">
        <f t="shared" ref="BNC15" si="1445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46">SUM(BND15:BNI15)</f>
        <v>103</v>
      </c>
      <c r="BNK15" s="184">
        <f t="shared" ref="BNK15" si="1447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48">SUM(BNL15:BNQ15)</f>
        <v>0</v>
      </c>
      <c r="BNS15" s="212">
        <f t="shared" ref="BNS15" si="1449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0">SUM(BNT15:BNY15)</f>
        <v>191</v>
      </c>
      <c r="BOA15" s="199">
        <f t="shared" ref="BOA15" si="1451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2">SUM(BOB15:BOG15)</f>
        <v>0</v>
      </c>
      <c r="BOI15" s="70">
        <f t="shared" ref="BOI15" si="1453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54">SUM(BOJ15:BOO15)</f>
        <v>80</v>
      </c>
      <c r="BOQ15" s="70">
        <f t="shared" ref="BOQ15" si="1455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56">SUM(BOR15:BOW15)</f>
        <v>78</v>
      </c>
      <c r="BOY15" s="70">
        <f t="shared" ref="BOY15" si="1457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58">SUM(BOZ15:BPE15)</f>
        <v>99</v>
      </c>
      <c r="BPG15" s="70">
        <f t="shared" ref="BPG15" si="1459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0">SUM(BPH15:BPM15)</f>
        <v>0</v>
      </c>
      <c r="BPO15" s="70">
        <f t="shared" ref="BPO15" si="1461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2">SUM(BPP15:BPU15)</f>
        <v>182</v>
      </c>
      <c r="BPW15" s="70">
        <f t="shared" ref="BPW15" si="1463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64">SUM(BPX15:BQC15)</f>
        <v>0</v>
      </c>
      <c r="BQE15" s="70">
        <f t="shared" ref="BQE15" si="1465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66">SUM(BQF15:BQK15)</f>
        <v>0</v>
      </c>
      <c r="BQM15" s="68">
        <f t="shared" ref="BQM15" si="1467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68">SUM(BQN15:BQS15)</f>
        <v>0</v>
      </c>
      <c r="BQU15" s="68">
        <f t="shared" ref="BQU15" si="1469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0">SUM(BQV15:BRA15)</f>
        <v>100</v>
      </c>
      <c r="BRC15" s="70">
        <f t="shared" ref="BRC15" si="1471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2">SUM(BRD15:BRI15)</f>
        <v>0</v>
      </c>
      <c r="BRK15" s="70">
        <f t="shared" ref="BRK15" si="1473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74">SUM(BRL15:BRQ15)</f>
        <v>0</v>
      </c>
      <c r="BRS15" s="70">
        <f t="shared" ref="BRS15" si="1475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76">SUM(BRT15:BRY15)</f>
        <v>0</v>
      </c>
      <c r="BSA15" s="70">
        <f t="shared" ref="BSA15" si="1477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78">SUM(BSB15:BSG15)</f>
        <v>110</v>
      </c>
      <c r="BSI15" s="70">
        <f t="shared" ref="BSI15" si="1479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0">SUM(BSJ15:BSO15)</f>
        <v>0</v>
      </c>
      <c r="BSQ15" s="70">
        <f t="shared" ref="BSQ15" si="1481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2">SUM(BSR15:BSW15)</f>
        <v>0</v>
      </c>
      <c r="BSY15" s="70">
        <f t="shared" ref="BSY15" si="1483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84">SUM(BSZ15:BTE15)</f>
        <v>160</v>
      </c>
      <c r="BTG15" s="70">
        <f t="shared" ref="BTG15" si="1485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86">SUM(BTH15:BTM15)</f>
        <v>144</v>
      </c>
      <c r="BTO15" s="70">
        <f t="shared" ref="BTO15" si="1487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88">SUM(BTP15:BTU15)</f>
        <v>0</v>
      </c>
      <c r="BTW15" s="70">
        <f t="shared" ref="BTW15" si="1489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0">SUM(BTX15:BUC15)</f>
        <v>80</v>
      </c>
      <c r="BUE15" s="70">
        <f t="shared" ref="BUE15" si="1491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2">SUM(BUF15:BUK15)</f>
        <v>0</v>
      </c>
      <c r="BUM15" s="70">
        <f t="shared" ref="BUM15" si="1493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494">SUM(BUN15:BUS15)</f>
        <v>0</v>
      </c>
      <c r="BUU15" s="70">
        <f t="shared" ref="BUU15" si="1495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496">SUM(BUV15:BVA15)</f>
        <v>0</v>
      </c>
      <c r="BVC15" s="70">
        <f t="shared" ref="BVC15" si="1497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498">SUM(BVD15:BVI15)</f>
        <v>0</v>
      </c>
      <c r="BVK15" s="70">
        <f t="shared" ref="BVK15" si="1499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0">SUM(BVL15:BVQ15)</f>
        <v>0</v>
      </c>
      <c r="BVS15" s="70">
        <f t="shared" ref="BVS15" si="1501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2">SUM(BVT15:BVY15)</f>
        <v>0</v>
      </c>
      <c r="BWA15" s="70">
        <f t="shared" ref="BWA15" si="1503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04">SUM(BWB15:BWG15)</f>
        <v>12</v>
      </c>
      <c r="BWI15" s="70">
        <f t="shared" ref="BWI15" si="1505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06">SUM(BWJ15:BWO15)</f>
        <v>216</v>
      </c>
      <c r="BWQ15" s="70">
        <f t="shared" ref="BWQ15" si="1507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08">SUM(BWR15:BWW15)</f>
        <v>110</v>
      </c>
      <c r="BWY15" s="70">
        <f t="shared" ref="BWY15" si="1509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0">SUM(BWZ15:BXE15)</f>
        <v>110</v>
      </c>
      <c r="BXG15" s="70">
        <f t="shared" ref="BXG15" si="1511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2">SUM(BXH15:BXM15)</f>
        <v>0</v>
      </c>
      <c r="BXO15" s="70">
        <f t="shared" ref="BXO15" si="1513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14">SUM(BXP15:BXU15)</f>
        <v>0</v>
      </c>
      <c r="BXW15" s="70">
        <f t="shared" ref="BXW15" si="1515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16">SUM(BXX15:BYC15)</f>
        <v>110</v>
      </c>
      <c r="BYE15" s="70">
        <f t="shared" ref="BYE15" si="1517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18">SUM(BYF15:BYK15)</f>
        <v>110</v>
      </c>
      <c r="BYM15" s="70">
        <f t="shared" ref="BYM15" si="1519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0">SUM(BYN15:BYS15)</f>
        <v>0</v>
      </c>
      <c r="BYU15" s="70">
        <f t="shared" ref="BYU15" si="1521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2">SUM(BYV15:BZA15)</f>
        <v>0</v>
      </c>
      <c r="BZC15" s="70">
        <f t="shared" ref="BZC15" si="1523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24">SUM(BZD15:BZI15)</f>
        <v>110</v>
      </c>
      <c r="BZK15" s="70">
        <f t="shared" ref="BZK15" si="1525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26">SUM(BZL15:BZQ15)</f>
        <v>0</v>
      </c>
      <c r="BZS15" s="70">
        <f t="shared" ref="BZS15" si="1527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28">SUM(BZT15:BZY15)</f>
        <v>0</v>
      </c>
      <c r="CAA15" s="70">
        <f t="shared" ref="CAA15" si="1529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0">SUM(CAB15:CAG15)</f>
        <v>0</v>
      </c>
      <c r="CAI15" s="70">
        <f t="shared" ref="CAI15" si="1531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2">SUM(CAJ15:CAO15)</f>
        <v>0</v>
      </c>
      <c r="CAQ15" s="70">
        <f t="shared" ref="CAQ15" si="1533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34">SUM(CAR15:CAW15)</f>
        <v>0</v>
      </c>
      <c r="CAY15" s="70">
        <f t="shared" ref="CAY15" si="1535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36">SUM(CAZ15:CBE15)</f>
        <v>176</v>
      </c>
      <c r="CBG15" s="70">
        <f t="shared" ref="CBG15" si="1537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38">SUM(CBH15:CBM15)</f>
        <v>0</v>
      </c>
      <c r="CBO15" s="70">
        <f t="shared" ref="CBO15" si="1539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0">SUM(CBP15:CBU15)</f>
        <v>318</v>
      </c>
      <c r="CBW15" s="70">
        <f t="shared" ref="CBW15" si="1541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2">SUM(CBX15:CCC15)</f>
        <v>0</v>
      </c>
      <c r="CCE15" s="70">
        <f t="shared" ref="CCE15" si="1543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44">SUM(CCF15:CCK15)</f>
        <v>0</v>
      </c>
      <c r="CCM15" s="70">
        <f t="shared" ref="CCM15" si="1545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46">SUM(CCN15:CCS15)</f>
        <v>0</v>
      </c>
      <c r="CCU15" s="70">
        <f t="shared" ref="CCU15" si="1547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48">SUM(CCV15:CDA15)</f>
        <v>0</v>
      </c>
      <c r="CDC15" s="70">
        <f t="shared" ref="CDC15" si="1549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0">SUM(CDD15:CDI15)</f>
        <v>0</v>
      </c>
      <c r="CDK15" s="70">
        <f t="shared" ref="CDK15" si="1551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2">SUM(CDL15:CDQ15)</f>
        <v>0</v>
      </c>
      <c r="CDS15" s="70">
        <f t="shared" ref="CDS15" si="1553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54">SUM(CDT15:CDY15)</f>
        <v>0</v>
      </c>
      <c r="CEA15" s="70">
        <f t="shared" ref="CEA15" si="1555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56">SUM(CEX15:CFC15)</f>
        <v>0</v>
      </c>
      <c r="CFE15" s="70">
        <f t="shared" ref="CFE15" si="1557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58">SUM(CFF15:CFK15)</f>
        <v>322</v>
      </c>
      <c r="CFM15" s="68">
        <f t="shared" ref="CFM15" si="1559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0">SUM(CFN15:CFS15)</f>
        <v>656</v>
      </c>
      <c r="CFU15" s="70">
        <f t="shared" ref="CFU15" si="1561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2">SUM(CFV15:CGA15)</f>
        <v>0</v>
      </c>
      <c r="CGC15" s="70">
        <f t="shared" ref="CGC15" si="1563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64">SUM(CGD15:CGI15)</f>
        <v>0</v>
      </c>
      <c r="CGK15" s="70">
        <f t="shared" ref="CGK15" si="1565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66">SUM(CGL15:CGQ15)</f>
        <v>0</v>
      </c>
      <c r="CGS15" s="70">
        <f t="shared" ref="CGS15" si="1567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68">SUM(CGT15:CGY15)</f>
        <v>0</v>
      </c>
      <c r="CHA15" s="70">
        <f t="shared" ref="CHA15" si="1569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0">SUM(CHB15:CHG15)</f>
        <v>0</v>
      </c>
      <c r="CHI15" s="70">
        <f t="shared" ref="CHI15" si="1571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2">SUM(CHJ15:CHO15)</f>
        <v>346</v>
      </c>
      <c r="CHQ15" s="70">
        <f t="shared" ref="CHQ15" si="1573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74">SUM(CHR15:CHW15)</f>
        <v>0</v>
      </c>
      <c r="CHY15" s="70">
        <f t="shared" ref="CHY15" si="1575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76">SUM(CHZ15:CIE15)</f>
        <v>0</v>
      </c>
      <c r="CIG15" s="70">
        <f t="shared" ref="CIG15" si="1577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78">SUM(CIH15:CIM15)</f>
        <v>328</v>
      </c>
      <c r="CIO15" s="70">
        <f t="shared" ref="CIO15" si="1579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0">SUM(CIP15:CIU15)</f>
        <v>322</v>
      </c>
      <c r="CIW15" s="70">
        <f t="shared" ref="CIW15" si="1581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2">SUM(CIX15:CJC15)</f>
        <v>0</v>
      </c>
      <c r="CJE15" s="53">
        <f t="shared" ref="CJE15" si="1583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84">SUM(CJF15:CJK15)</f>
        <v>319</v>
      </c>
      <c r="CJM15" s="53">
        <f t="shared" ref="CJM15" si="1585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86">SUM(CJN15:CJS15)</f>
        <v>0</v>
      </c>
      <c r="CJU15" s="53">
        <f t="shared" ref="CJU15" si="1587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88">SUM(CJV15:CKA15)</f>
        <v>318</v>
      </c>
      <c r="CKC15" s="53">
        <f t="shared" ref="CKC15" si="1589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0">SUM(CKD15:CKI15)</f>
        <v>0</v>
      </c>
      <c r="CKK15" s="53">
        <f t="shared" ref="CKK15" si="1591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2">SUM(CKL15:CKQ15)</f>
        <v>941</v>
      </c>
      <c r="CKS15" s="53">
        <f t="shared" ref="CKS15" si="1593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594">SUM(CKT15:CKY15)</f>
        <v>0</v>
      </c>
      <c r="CLA15" s="53">
        <f t="shared" ref="CLA15" si="1595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596">SUM(CLB15:CLG15)</f>
        <v>0</v>
      </c>
      <c r="CLI15" s="53">
        <f t="shared" ref="CLI15" si="1597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598">SUM(CLJ15:CLO15)</f>
        <v>622</v>
      </c>
      <c r="CLQ15" s="53">
        <f t="shared" ref="CLQ15" si="1599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0">SUM(CLR15:CLW15)</f>
        <v>0</v>
      </c>
      <c r="CLY15" s="53">
        <f t="shared" ref="CLY15" si="1601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2">SUM(CLZ15:CME15)</f>
        <v>628</v>
      </c>
      <c r="CMG15" s="53">
        <f t="shared" ref="CMG15" si="1603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04">SUM(CMH15:CMM15)</f>
        <v>100</v>
      </c>
      <c r="CMO15" s="43">
        <f t="shared" ref="CMO15" si="1605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18"/>
        <v>624</v>
      </c>
      <c r="CMW15" s="43">
        <f t="shared" si="1019"/>
        <v>104</v>
      </c>
      <c r="CMX15" s="63"/>
      <c r="CMY15" s="64"/>
      <c r="CMZ15" s="64"/>
      <c r="CNA15" s="64"/>
      <c r="CNB15" s="64"/>
      <c r="CNC15" s="64"/>
      <c r="CND15" s="64">
        <f t="shared" si="1020"/>
        <v>0</v>
      </c>
      <c r="CNE15" s="68">
        <f t="shared" si="1021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5"/>
        <v>0</v>
      </c>
      <c r="CNM15" s="68">
        <f t="shared" si="226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7"/>
        <v>957</v>
      </c>
      <c r="CNU15" s="68">
        <f t="shared" si="228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29"/>
        <v>0</v>
      </c>
      <c r="COC15" s="68">
        <f t="shared" si="230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1"/>
        <v>0</v>
      </c>
      <c r="COK15" s="68">
        <f t="shared" si="232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3"/>
        <v>0</v>
      </c>
      <c r="COS15" s="68">
        <f t="shared" si="234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5"/>
        <v>0</v>
      </c>
      <c r="CPA15" s="68">
        <f t="shared" si="236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7"/>
        <v>635</v>
      </c>
      <c r="CPI15" s="68">
        <f t="shared" si="238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39"/>
        <v>0</v>
      </c>
      <c r="CPQ15" s="68">
        <f t="shared" si="240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1"/>
        <v>0</v>
      </c>
      <c r="CPY15" s="68">
        <f t="shared" si="242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3"/>
        <v>0</v>
      </c>
      <c r="CQG15" s="68">
        <f t="shared" si="244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5"/>
        <v>324</v>
      </c>
      <c r="CQO15" s="43">
        <f t="shared" si="246"/>
        <v>54</v>
      </c>
      <c r="CQP15" s="48"/>
      <c r="CQQ15" s="49"/>
      <c r="CQR15" s="49"/>
      <c r="CQS15" s="49"/>
      <c r="CQT15" s="49"/>
      <c r="CQU15" s="49"/>
      <c r="CQV15" s="127">
        <f t="shared" si="247"/>
        <v>0</v>
      </c>
      <c r="CQW15" s="43">
        <f t="shared" si="248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49"/>
        <v>325</v>
      </c>
      <c r="CRE15" s="43">
        <f t="shared" si="250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1"/>
        <v>0</v>
      </c>
      <c r="DKG15" s="68">
        <f t="shared" si="252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3"/>
        <v>335</v>
      </c>
      <c r="DKO15" s="68">
        <f t="shared" si="254"/>
        <v>55.833333333333336</v>
      </c>
      <c r="DKP15" s="48"/>
      <c r="DKQ15" s="49"/>
      <c r="DKR15" s="49"/>
      <c r="DKS15" s="49"/>
      <c r="DKT15" s="49"/>
      <c r="DKU15" s="49"/>
      <c r="DKV15" s="64">
        <f t="shared" si="255"/>
        <v>0</v>
      </c>
      <c r="DKW15" s="68">
        <f t="shared" si="256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7"/>
        <v>303</v>
      </c>
      <c r="DLE15" s="68">
        <f t="shared" si="258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59"/>
        <v>328</v>
      </c>
      <c r="DLM15" s="68">
        <f t="shared" si="260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1"/>
        <v>0</v>
      </c>
      <c r="DLU15" s="68">
        <f t="shared" si="262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3"/>
        <v>344</v>
      </c>
      <c r="DMC15" s="68">
        <f t="shared" si="264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5"/>
        <v>0</v>
      </c>
      <c r="DMK15" s="68">
        <f t="shared" si="266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7"/>
        <v>0</v>
      </c>
      <c r="DMS15" s="68">
        <f t="shared" si="268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69"/>
        <v>318</v>
      </c>
      <c r="DNA15" s="68">
        <f t="shared" si="270"/>
        <v>53</v>
      </c>
      <c r="DNB15" s="48"/>
      <c r="DNC15" s="49"/>
      <c r="DND15" s="49"/>
      <c r="DNE15" s="49"/>
      <c r="DNF15" s="49"/>
      <c r="DNG15" s="49"/>
      <c r="DNH15" s="64">
        <f t="shared" si="271"/>
        <v>0</v>
      </c>
      <c r="DNI15" s="68">
        <f t="shared" si="272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3"/>
        <v>0</v>
      </c>
      <c r="DNQ15" s="68">
        <f t="shared" si="274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5"/>
        <v>334</v>
      </c>
      <c r="DNY15" s="68">
        <f t="shared" si="276"/>
        <v>55.666666666666664</v>
      </c>
      <c r="DNZ15" s="48"/>
      <c r="DOA15" s="49"/>
      <c r="DOB15" s="49"/>
      <c r="DOC15" s="49"/>
      <c r="DOD15" s="49"/>
      <c r="DOE15" s="49"/>
      <c r="DOF15" s="64">
        <f t="shared" si="277"/>
        <v>0</v>
      </c>
      <c r="DOG15" s="68">
        <f t="shared" si="278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79"/>
        <v>0</v>
      </c>
      <c r="DOO15" s="68">
        <f t="shared" si="280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1"/>
        <v>283</v>
      </c>
      <c r="DOW15" s="68">
        <f t="shared" si="282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3"/>
        <v>339</v>
      </c>
      <c r="DPE15" s="68">
        <f t="shared" si="284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5"/>
        <v>0</v>
      </c>
      <c r="DPM15" s="68">
        <f t="shared" si="286"/>
        <v>0</v>
      </c>
      <c r="DPN15" s="48"/>
      <c r="DPO15" s="49"/>
      <c r="DPP15" s="49"/>
      <c r="DPQ15" s="49"/>
      <c r="DPR15" s="49"/>
      <c r="DPS15" s="49"/>
      <c r="DPT15" s="64">
        <f t="shared" si="287"/>
        <v>0</v>
      </c>
      <c r="DPU15" s="68">
        <f t="shared" si="288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89"/>
        <v>346</v>
      </c>
      <c r="DQC15" s="68">
        <f t="shared" si="290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1"/>
        <v>0</v>
      </c>
      <c r="DQK15" s="68">
        <f t="shared" si="292"/>
        <v>0</v>
      </c>
      <c r="DQL15" s="48"/>
      <c r="DQM15" s="49"/>
      <c r="DQN15" s="49"/>
      <c r="DQO15" s="49"/>
      <c r="DQP15" s="49"/>
      <c r="DQQ15" s="49"/>
      <c r="DQR15" s="64">
        <f t="shared" si="293"/>
        <v>0</v>
      </c>
      <c r="DQS15" s="68">
        <f t="shared" si="294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5"/>
        <v>339</v>
      </c>
      <c r="DRA15" s="68">
        <f t="shared" si="296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7"/>
        <v>0</v>
      </c>
      <c r="DRI15" s="68">
        <f t="shared" si="298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299"/>
        <v>339</v>
      </c>
      <c r="DRQ15" s="68">
        <f t="shared" si="300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1"/>
        <v>0</v>
      </c>
      <c r="DRY15" s="68">
        <f t="shared" si="302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3"/>
        <v>0</v>
      </c>
      <c r="DSG15" s="68">
        <f t="shared" si="304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5"/>
        <v>0</v>
      </c>
      <c r="DSO15" s="68">
        <f t="shared" si="306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7"/>
        <v>324</v>
      </c>
      <c r="DSW15" s="68">
        <f t="shared" si="308"/>
        <v>54</v>
      </c>
      <c r="DSX15" s="48"/>
      <c r="DSY15" s="49"/>
      <c r="DSZ15" s="49"/>
      <c r="DTA15" s="49"/>
      <c r="DTB15" s="49"/>
      <c r="DTC15" s="49"/>
      <c r="DTD15" s="64">
        <f t="shared" si="309"/>
        <v>0</v>
      </c>
      <c r="DTE15" s="68">
        <f t="shared" si="310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1"/>
        <v>345</v>
      </c>
      <c r="DTM15" s="68">
        <f t="shared" si="312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3"/>
        <v>0</v>
      </c>
      <c r="DTU15" s="68">
        <f t="shared" si="314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5"/>
        <v>0</v>
      </c>
      <c r="DUC15" s="68">
        <f t="shared" si="316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7"/>
        <v>348</v>
      </c>
      <c r="DUK15" s="68">
        <f t="shared" si="318"/>
        <v>58</v>
      </c>
      <c r="DUL15" s="48"/>
      <c r="DUM15" s="49"/>
      <c r="DUN15" s="49"/>
      <c r="DUO15" s="49"/>
      <c r="DUP15" s="49"/>
      <c r="DUQ15" s="49"/>
      <c r="DUR15" s="64">
        <f t="shared" si="319"/>
        <v>0</v>
      </c>
      <c r="DUS15" s="68">
        <f t="shared" si="320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1"/>
        <v>0</v>
      </c>
      <c r="DVA15" s="68">
        <f t="shared" si="322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3"/>
        <v>345</v>
      </c>
      <c r="DVI15" s="68">
        <f t="shared" si="324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5"/>
        <v>0</v>
      </c>
      <c r="DVQ15" s="68">
        <f t="shared" si="326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7"/>
        <v>354</v>
      </c>
      <c r="DVY15" s="68">
        <f t="shared" si="328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29"/>
        <v>0</v>
      </c>
      <c r="DWG15" s="68">
        <f t="shared" si="330"/>
        <v>0</v>
      </c>
      <c r="DWH15" s="48"/>
      <c r="DWI15" s="49"/>
      <c r="DWJ15" s="49"/>
      <c r="DWK15" s="49"/>
      <c r="DWL15" s="49"/>
      <c r="DWM15" s="49"/>
      <c r="DWN15" s="64">
        <f t="shared" si="331"/>
        <v>0</v>
      </c>
      <c r="DWO15" s="68">
        <f t="shared" si="332"/>
        <v>0</v>
      </c>
      <c r="DWP15" s="48"/>
      <c r="DWQ15" s="49"/>
      <c r="DWR15" s="49"/>
      <c r="DWS15" s="49"/>
      <c r="DWT15" s="49"/>
      <c r="DWU15" s="49"/>
      <c r="DWV15" s="64">
        <f t="shared" si="333"/>
        <v>0</v>
      </c>
      <c r="DWW15" s="68">
        <f t="shared" si="334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5"/>
        <v>0</v>
      </c>
      <c r="DXE15" s="68">
        <f t="shared" si="336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7"/>
        <v>336</v>
      </c>
      <c r="DXM15" s="68">
        <f t="shared" si="338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39"/>
        <v>0</v>
      </c>
      <c r="DXU15" s="184">
        <f t="shared" si="340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1"/>
        <v>0</v>
      </c>
      <c r="DYD15" s="211">
        <f t="shared" si="342"/>
        <v>0</v>
      </c>
      <c r="DYE15" s="195"/>
      <c r="DYF15" s="49"/>
      <c r="DYG15" s="49"/>
      <c r="DYH15" s="49"/>
      <c r="DYI15" s="49"/>
      <c r="DYJ15" s="49"/>
      <c r="DYK15" s="64">
        <f t="shared" si="343"/>
        <v>0</v>
      </c>
      <c r="DYL15" s="211">
        <f t="shared" si="344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5"/>
        <v>0</v>
      </c>
      <c r="DYT15" s="211">
        <f t="shared" si="346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7"/>
        <v>0</v>
      </c>
      <c r="DZB15" s="211">
        <f t="shared" si="348"/>
        <v>0</v>
      </c>
      <c r="DZC15" s="195"/>
      <c r="DZD15" s="49"/>
      <c r="DZE15" s="49"/>
      <c r="DZF15" s="49"/>
      <c r="DZG15" s="49"/>
      <c r="DZH15" s="49"/>
      <c r="DZI15" s="64">
        <f t="shared" si="349"/>
        <v>0</v>
      </c>
      <c r="DZJ15" s="211">
        <f t="shared" si="350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1"/>
        <v>371</v>
      </c>
      <c r="DZR15" s="211">
        <f t="shared" si="352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3"/>
        <v>0</v>
      </c>
      <c r="DZZ15" s="211">
        <f t="shared" si="354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5"/>
        <v>0</v>
      </c>
      <c r="EAH15" s="211">
        <f t="shared" si="356"/>
        <v>0</v>
      </c>
      <c r="EAI15" s="195"/>
      <c r="EAJ15" s="49"/>
      <c r="EAK15" s="49"/>
      <c r="EAL15" s="49"/>
      <c r="EAM15" s="49"/>
      <c r="EAN15" s="49"/>
      <c r="EAO15" s="64">
        <f t="shared" si="357"/>
        <v>0</v>
      </c>
      <c r="EAP15" s="211">
        <f t="shared" si="358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59"/>
        <v>364</v>
      </c>
      <c r="EAX15" s="211">
        <f t="shared" si="360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1"/>
        <v>600</v>
      </c>
      <c r="EBF15" s="211">
        <f t="shared" si="362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3"/>
        <v>0</v>
      </c>
      <c r="EBN15" s="211">
        <f t="shared" si="364"/>
        <v>0</v>
      </c>
      <c r="EBO15" s="195"/>
      <c r="EBP15" s="49"/>
      <c r="EBQ15" s="49"/>
      <c r="EBR15" s="49"/>
      <c r="EBS15" s="49"/>
      <c r="EBT15" s="49"/>
      <c r="EBU15" s="64">
        <f t="shared" si="365"/>
        <v>0</v>
      </c>
      <c r="EBV15" s="184">
        <f t="shared" si="366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7"/>
        <v>0</v>
      </c>
      <c r="ECD15" s="211">
        <f t="shared" si="368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69"/>
        <v>0</v>
      </c>
      <c r="ECL15" s="211">
        <f t="shared" si="370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1"/>
        <v>0</v>
      </c>
      <c r="ECT15" s="211">
        <f t="shared" si="372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3"/>
        <v>0</v>
      </c>
      <c r="EDB15" s="211">
        <f t="shared" si="374"/>
        <v>0</v>
      </c>
      <c r="EDC15" s="195"/>
      <c r="EDD15" s="49"/>
      <c r="EDE15" s="49"/>
      <c r="EDF15" s="49"/>
      <c r="EDG15" s="49"/>
      <c r="EDH15" s="49"/>
      <c r="EDI15" s="64">
        <f t="shared" si="375"/>
        <v>0</v>
      </c>
      <c r="EDJ15" s="211">
        <f t="shared" si="376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7"/>
        <v>0</v>
      </c>
      <c r="EDR15" s="211">
        <f t="shared" si="378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79"/>
        <v>200</v>
      </c>
      <c r="EDZ15" s="707">
        <f t="shared" si="380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1"/>
        <v>0</v>
      </c>
      <c r="EEH15" s="211">
        <f t="shared" si="382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3"/>
        <v>346</v>
      </c>
      <c r="EEP15" s="211">
        <f t="shared" si="384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5"/>
        <v>0</v>
      </c>
      <c r="EEX15" s="211">
        <f t="shared" si="386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7"/>
        <v>0</v>
      </c>
      <c r="EFF15" s="211">
        <f t="shared" si="388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89"/>
        <v>0</v>
      </c>
      <c r="EFN15" s="211">
        <f t="shared" si="390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1"/>
        <v>0</v>
      </c>
      <c r="EFV15" s="211">
        <f t="shared" si="392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3"/>
        <v>334</v>
      </c>
      <c r="EGD15" s="211">
        <f t="shared" si="394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5"/>
        <v>22</v>
      </c>
      <c r="EGL15" s="211">
        <f t="shared" si="396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7"/>
        <v>0</v>
      </c>
      <c r="EGT15" s="211">
        <f t="shared" si="398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399"/>
        <v>0</v>
      </c>
      <c r="EHB15" s="211">
        <f t="shared" si="400"/>
        <v>0</v>
      </c>
      <c r="EHC15" s="458"/>
      <c r="EHD15" s="83"/>
      <c r="EHE15" s="83"/>
      <c r="EHF15" s="83"/>
      <c r="EHG15" s="83"/>
      <c r="EHH15" s="83"/>
      <c r="EHI15" s="808">
        <f t="shared" si="401"/>
        <v>0</v>
      </c>
      <c r="EHJ15" s="211">
        <f t="shared" si="402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3"/>
        <v>0</v>
      </c>
      <c r="EHR15" s="211">
        <f t="shared" si="404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5"/>
        <v>200</v>
      </c>
      <c r="EHZ15" s="211">
        <f t="shared" si="406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7"/>
        <v>235</v>
      </c>
      <c r="EIH15" s="211">
        <f t="shared" si="408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09"/>
        <v>0</v>
      </c>
      <c r="EIP15" s="211">
        <f t="shared" si="410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1"/>
        <v>976</v>
      </c>
      <c r="EIX15" s="211">
        <f t="shared" si="412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3"/>
        <v>359</v>
      </c>
      <c r="EJF15" s="211">
        <f t="shared" si="414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5"/>
        <v>0</v>
      </c>
      <c r="EJN15" s="211">
        <f t="shared" si="416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7"/>
        <v>0</v>
      </c>
      <c r="EJV15" s="211">
        <f t="shared" si="418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19"/>
        <v>345</v>
      </c>
      <c r="EKD15" s="211">
        <f t="shared" si="420"/>
        <v>57.5</v>
      </c>
      <c r="EKE15" s="195"/>
      <c r="EKF15" s="49"/>
      <c r="EKG15" s="49"/>
      <c r="EKH15" s="49"/>
      <c r="EKI15" s="49"/>
      <c r="EKJ15" s="49"/>
      <c r="EKK15" s="808">
        <f t="shared" si="421"/>
        <v>0</v>
      </c>
      <c r="EKL15" s="211">
        <f t="shared" si="422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3"/>
        <v>0</v>
      </c>
      <c r="EKT15" s="211">
        <f t="shared" si="424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5"/>
        <v>0</v>
      </c>
      <c r="ELB15" s="211">
        <f t="shared" si="426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7"/>
        <v>0</v>
      </c>
      <c r="ELJ15" s="211">
        <f t="shared" si="428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29"/>
        <v>340</v>
      </c>
      <c r="ELR15" s="211">
        <f t="shared" si="430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1"/>
        <v>0</v>
      </c>
      <c r="ELZ15" s="873">
        <f t="shared" si="432"/>
        <v>0</v>
      </c>
      <c r="EMA15" s="195"/>
      <c r="EMB15" s="49"/>
      <c r="EMC15" s="49"/>
      <c r="EMD15" s="49"/>
      <c r="EME15" s="49"/>
      <c r="EMF15" s="49"/>
      <c r="EMG15" s="872">
        <f t="shared" si="433"/>
        <v>0</v>
      </c>
      <c r="EMH15" s="873">
        <f t="shared" si="434"/>
        <v>0</v>
      </c>
      <c r="EMI15" s="195">
        <v>250</v>
      </c>
      <c r="EMJ15" s="49"/>
      <c r="EMK15" s="49"/>
      <c r="EML15" s="49"/>
      <c r="EMM15" s="49"/>
      <c r="EMN15" s="49"/>
      <c r="EMO15" s="872">
        <f t="shared" si="435"/>
        <v>250</v>
      </c>
      <c r="EMP15" s="873">
        <f t="shared" si="436"/>
        <v>41.666666666666664</v>
      </c>
    </row>
    <row r="16" spans="1:3734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1901</v>
      </c>
      <c r="G16" s="24"/>
      <c r="H16" s="24"/>
      <c r="I16" s="360"/>
      <c r="J16" s="360">
        <f>SUMIF(SUMPK!$B:$B,$B:$B,SUMPK!$O:$O)</f>
        <v>0</v>
      </c>
      <c r="K16" s="24"/>
      <c r="L16" s="24">
        <f t="shared" si="0"/>
        <v>1901</v>
      </c>
      <c r="M16" s="15">
        <f t="shared" si="1025"/>
        <v>1901</v>
      </c>
      <c r="N16" s="15">
        <v>0</v>
      </c>
      <c r="O16" s="276">
        <f t="shared" si="2"/>
        <v>0</v>
      </c>
      <c r="P16" s="277"/>
      <c r="Q16" s="276"/>
      <c r="R16" s="277">
        <f t="shared" si="1026"/>
        <v>61.53846153846154</v>
      </c>
      <c r="S16" s="222">
        <v>1600</v>
      </c>
      <c r="T16" s="276">
        <f t="shared" si="4"/>
        <v>30.891249999999999</v>
      </c>
      <c r="U16" s="278"/>
      <c r="V16" s="302">
        <f t="shared" si="5"/>
        <v>30.891249999999999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18"/>
        <v>660</v>
      </c>
      <c r="CMW16" s="53">
        <f t="shared" si="1019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0"/>
        <v>731</v>
      </c>
      <c r="CNE16" s="70">
        <f t="shared" si="1021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5"/>
        <v>518</v>
      </c>
      <c r="CNM16" s="70">
        <f t="shared" si="226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7"/>
        <v>1290</v>
      </c>
      <c r="CNU16" s="70">
        <f t="shared" si="228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29"/>
        <v>1213</v>
      </c>
      <c r="COC16" s="70">
        <f t="shared" si="230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1"/>
        <v>923</v>
      </c>
      <c r="COK16" s="70">
        <f t="shared" si="232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3"/>
        <v>641</v>
      </c>
      <c r="COS16" s="70">
        <f t="shared" si="234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5"/>
        <v>2075</v>
      </c>
      <c r="CPA16" s="70">
        <f t="shared" si="236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7"/>
        <v>1574</v>
      </c>
      <c r="CPI16" s="70">
        <f t="shared" si="238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39"/>
        <v>1918</v>
      </c>
      <c r="CPQ16" s="70">
        <f t="shared" si="240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1"/>
        <v>0</v>
      </c>
      <c r="CPY16" s="70">
        <f t="shared" si="242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3"/>
        <v>3231</v>
      </c>
      <c r="CQG16" s="70">
        <f t="shared" si="244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5"/>
        <v>642</v>
      </c>
      <c r="CQO16" s="53">
        <f t="shared" si="246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7"/>
        <v>1297</v>
      </c>
      <c r="CQW16" s="53">
        <f t="shared" si="248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49"/>
        <v>2588</v>
      </c>
      <c r="CRE16" s="53">
        <f t="shared" si="250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06">SUM(CXJ16:CXO16)</f>
        <v>1335</v>
      </c>
      <c r="CXQ16" s="68">
        <f t="shared" ref="CXQ16" si="1607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08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1"/>
        <v>693</v>
      </c>
      <c r="DKG16" s="70">
        <f t="shared" si="252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3"/>
        <v>645</v>
      </c>
      <c r="DKO16" s="70">
        <f t="shared" si="254"/>
        <v>107.5</v>
      </c>
      <c r="DKP16" s="50"/>
      <c r="DKQ16" s="51"/>
      <c r="DKR16" s="51"/>
      <c r="DKS16" s="51"/>
      <c r="DKT16" s="51"/>
      <c r="DKU16" s="51"/>
      <c r="DKV16" s="66">
        <f t="shared" si="255"/>
        <v>0</v>
      </c>
      <c r="DKW16" s="70">
        <f t="shared" si="256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7"/>
        <v>969</v>
      </c>
      <c r="DLE16" s="70">
        <f t="shared" si="258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59"/>
        <v>669</v>
      </c>
      <c r="DLM16" s="70">
        <f t="shared" si="260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1"/>
        <v>1004</v>
      </c>
      <c r="DLU16" s="70">
        <f t="shared" si="262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3"/>
        <v>0</v>
      </c>
      <c r="DMC16" s="70">
        <f t="shared" si="264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5"/>
        <v>990</v>
      </c>
      <c r="DMK16" s="70">
        <f t="shared" si="266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7"/>
        <v>325</v>
      </c>
      <c r="DMS16" s="70">
        <f t="shared" si="268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69"/>
        <v>1008</v>
      </c>
      <c r="DNA16" s="70">
        <f t="shared" si="270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1"/>
        <v>984</v>
      </c>
      <c r="DNI16" s="70">
        <f t="shared" si="272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3"/>
        <v>679</v>
      </c>
      <c r="DNQ16" s="68">
        <f t="shared" si="274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5"/>
        <v>669</v>
      </c>
      <c r="DNY16" s="70">
        <f t="shared" si="276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7"/>
        <v>389</v>
      </c>
      <c r="DOG16" s="70">
        <f t="shared" si="278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79"/>
        <v>667</v>
      </c>
      <c r="DOO16" s="70">
        <f t="shared" si="280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1"/>
        <v>1342</v>
      </c>
      <c r="DOW16" s="70">
        <f t="shared" si="282"/>
        <v>223.66666666666666</v>
      </c>
      <c r="DOX16" s="50"/>
      <c r="DOY16" s="51"/>
      <c r="DOZ16" s="51"/>
      <c r="DPA16" s="51"/>
      <c r="DPB16" s="51"/>
      <c r="DPC16" s="51"/>
      <c r="DPD16" s="66">
        <f t="shared" si="283"/>
        <v>0</v>
      </c>
      <c r="DPE16" s="70">
        <f t="shared" si="284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5"/>
        <v>933</v>
      </c>
      <c r="DPM16" s="70">
        <f t="shared" si="286"/>
        <v>155.5</v>
      </c>
      <c r="DPN16" s="50"/>
      <c r="DPO16" s="51"/>
      <c r="DPP16" s="51"/>
      <c r="DPQ16" s="51"/>
      <c r="DPR16" s="51"/>
      <c r="DPS16" s="51"/>
      <c r="DPT16" s="66">
        <f t="shared" si="287"/>
        <v>0</v>
      </c>
      <c r="DPU16" s="70">
        <f t="shared" si="288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89"/>
        <v>1323</v>
      </c>
      <c r="DQC16" s="70">
        <f t="shared" si="290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1"/>
        <v>683</v>
      </c>
      <c r="DQK16" s="70">
        <f t="shared" si="292"/>
        <v>113.83333333333333</v>
      </c>
      <c r="DQL16" s="50"/>
      <c r="DQM16" s="51"/>
      <c r="DQN16" s="51"/>
      <c r="DQO16" s="51"/>
      <c r="DQP16" s="51"/>
      <c r="DQQ16" s="51"/>
      <c r="DQR16" s="66">
        <f t="shared" si="293"/>
        <v>0</v>
      </c>
      <c r="DQS16" s="70">
        <f t="shared" si="294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5"/>
        <v>693</v>
      </c>
      <c r="DRA16" s="70">
        <f t="shared" si="296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7"/>
        <v>1532</v>
      </c>
      <c r="DRI16" s="70">
        <f t="shared" si="298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299"/>
        <v>185</v>
      </c>
      <c r="DRQ16" s="70">
        <f t="shared" si="300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1"/>
        <v>691</v>
      </c>
      <c r="DRY16" s="70">
        <f t="shared" si="302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3"/>
        <v>680</v>
      </c>
      <c r="DSG16" s="70">
        <f t="shared" si="304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5"/>
        <v>663</v>
      </c>
      <c r="DSO16" s="70">
        <f t="shared" si="306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7"/>
        <v>699</v>
      </c>
      <c r="DSW16" s="70">
        <f t="shared" si="308"/>
        <v>116.5</v>
      </c>
      <c r="DSX16" s="50"/>
      <c r="DSY16" s="51"/>
      <c r="DSZ16" s="51"/>
      <c r="DTA16" s="51"/>
      <c r="DTB16" s="51"/>
      <c r="DTC16" s="51"/>
      <c r="DTD16" s="66">
        <f t="shared" si="309"/>
        <v>0</v>
      </c>
      <c r="DTE16" s="70">
        <f t="shared" si="310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1"/>
        <v>0</v>
      </c>
      <c r="DTM16" s="70">
        <f t="shared" si="312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3"/>
        <v>694</v>
      </c>
      <c r="DTU16" s="70">
        <f t="shared" si="314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5"/>
        <v>676</v>
      </c>
      <c r="DUC16" s="70">
        <f t="shared" si="316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7"/>
        <v>0</v>
      </c>
      <c r="DUK16" s="70">
        <f t="shared" si="318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19"/>
        <v>201</v>
      </c>
      <c r="DUS16" s="70">
        <f t="shared" si="320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1"/>
        <v>351</v>
      </c>
      <c r="DVA16" s="70">
        <f t="shared" si="322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3"/>
        <v>261</v>
      </c>
      <c r="DVI16" s="70">
        <f t="shared" si="324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5"/>
        <v>339</v>
      </c>
      <c r="DVQ16" s="70">
        <f t="shared" si="326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7"/>
        <v>714</v>
      </c>
      <c r="DVY16" s="70">
        <f t="shared" si="328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29"/>
        <v>690</v>
      </c>
      <c r="DWG16" s="70">
        <f t="shared" si="330"/>
        <v>115</v>
      </c>
      <c r="DWH16" s="50"/>
      <c r="DWI16" s="51"/>
      <c r="DWJ16" s="51"/>
      <c r="DWK16" s="51"/>
      <c r="DWL16" s="51"/>
      <c r="DWM16" s="51"/>
      <c r="DWN16" s="66">
        <f t="shared" si="331"/>
        <v>0</v>
      </c>
      <c r="DWO16" s="70">
        <f t="shared" si="332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3"/>
        <v>648</v>
      </c>
      <c r="DWW16" s="70">
        <f t="shared" si="334"/>
        <v>108</v>
      </c>
      <c r="DWX16" s="50"/>
      <c r="DWY16" s="51"/>
      <c r="DWZ16" s="51"/>
      <c r="DXA16" s="51"/>
      <c r="DXB16" s="51"/>
      <c r="DXC16" s="51"/>
      <c r="DXD16" s="66">
        <f t="shared" si="335"/>
        <v>0</v>
      </c>
      <c r="DXE16" s="70">
        <f t="shared" si="336"/>
        <v>0</v>
      </c>
      <c r="DXF16" s="50"/>
      <c r="DXG16" s="51"/>
      <c r="DXH16" s="51"/>
      <c r="DXI16" s="51"/>
      <c r="DXJ16" s="51"/>
      <c r="DXK16" s="51"/>
      <c r="DXL16" s="66">
        <f t="shared" si="337"/>
        <v>0</v>
      </c>
      <c r="DXM16" s="70">
        <f t="shared" si="338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39"/>
        <v>695</v>
      </c>
      <c r="DXU16" s="210">
        <f t="shared" si="340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1"/>
        <v>0</v>
      </c>
      <c r="DYD16" s="212">
        <f t="shared" si="342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3"/>
        <v>342</v>
      </c>
      <c r="DYL16" s="212">
        <f t="shared" si="344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5"/>
        <v>352</v>
      </c>
      <c r="DYT16" s="212">
        <f t="shared" si="346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7"/>
        <v>651</v>
      </c>
      <c r="DZB16" s="212">
        <f t="shared" si="348"/>
        <v>108.5</v>
      </c>
      <c r="DZC16" s="196"/>
      <c r="DZD16" s="197"/>
      <c r="DZE16" s="197"/>
      <c r="DZF16" s="197"/>
      <c r="DZG16" s="197"/>
      <c r="DZH16" s="197"/>
      <c r="DZI16" s="246">
        <f t="shared" si="349"/>
        <v>0</v>
      </c>
      <c r="DZJ16" s="212">
        <f t="shared" si="350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1"/>
        <v>313</v>
      </c>
      <c r="DZR16" s="212">
        <f t="shared" si="352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3"/>
        <v>256</v>
      </c>
      <c r="DZZ16" s="212">
        <f t="shared" si="354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5"/>
        <v>870</v>
      </c>
      <c r="EAH16" s="212">
        <f t="shared" si="356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7"/>
        <v>351</v>
      </c>
      <c r="EAP16" s="212">
        <f t="shared" si="358"/>
        <v>58.5</v>
      </c>
      <c r="EAQ16" s="196"/>
      <c r="EAR16" s="197"/>
      <c r="EAS16" s="197"/>
      <c r="EAT16" s="197"/>
      <c r="EAU16" s="197"/>
      <c r="EAV16" s="197"/>
      <c r="EAW16" s="246">
        <f t="shared" si="359"/>
        <v>0</v>
      </c>
      <c r="EAX16" s="212">
        <f t="shared" si="360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1"/>
        <v>343</v>
      </c>
      <c r="EBF16" s="212">
        <f t="shared" si="362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3"/>
        <v>683</v>
      </c>
      <c r="EBN16" s="212">
        <f t="shared" si="364"/>
        <v>113.83333333333333</v>
      </c>
      <c r="EBO16" s="196"/>
      <c r="EBP16" s="197"/>
      <c r="EBQ16" s="197"/>
      <c r="EBR16" s="197"/>
      <c r="EBS16" s="197"/>
      <c r="EBT16" s="197"/>
      <c r="EBU16" s="246">
        <f t="shared" si="365"/>
        <v>0</v>
      </c>
      <c r="EBV16" s="199">
        <f t="shared" si="366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7"/>
        <v>688</v>
      </c>
      <c r="ECD16" s="211">
        <f t="shared" si="368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69"/>
        <v>686</v>
      </c>
      <c r="ECL16" s="211">
        <f t="shared" si="370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1"/>
        <v>677</v>
      </c>
      <c r="ECT16" s="211">
        <f t="shared" si="372"/>
        <v>112.83333333333333</v>
      </c>
      <c r="ECU16" s="195"/>
      <c r="ECV16" s="49"/>
      <c r="ECW16" s="49"/>
      <c r="ECX16" s="49"/>
      <c r="ECY16" s="49"/>
      <c r="ECZ16" s="49"/>
      <c r="EDA16" s="64">
        <f t="shared" si="373"/>
        <v>0</v>
      </c>
      <c r="EDB16" s="211">
        <f t="shared" si="374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5"/>
        <v>360</v>
      </c>
      <c r="EDJ16" s="211">
        <f t="shared" si="376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7"/>
        <v>336</v>
      </c>
      <c r="EDR16" s="211">
        <f t="shared" si="378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79"/>
        <v>677</v>
      </c>
      <c r="EDZ16" s="707">
        <f t="shared" si="380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1"/>
        <v>200</v>
      </c>
      <c r="EEH16" s="211">
        <f t="shared" si="382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3"/>
        <v>859</v>
      </c>
      <c r="EEP16" s="211">
        <f t="shared" si="384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5"/>
        <v>634</v>
      </c>
      <c r="EEX16" s="211">
        <f t="shared" si="386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7"/>
        <v>1000</v>
      </c>
      <c r="EFF16" s="211">
        <f t="shared" si="388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89"/>
        <v>728</v>
      </c>
      <c r="EFN16" s="211">
        <f t="shared" si="390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1"/>
        <v>957</v>
      </c>
      <c r="EFV16" s="211">
        <f t="shared" si="392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3"/>
        <v>0</v>
      </c>
      <c r="EGD16" s="211">
        <f t="shared" si="394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5"/>
        <v>710</v>
      </c>
      <c r="EGL16" s="211">
        <f t="shared" si="396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7"/>
        <v>681</v>
      </c>
      <c r="EGT16" s="211">
        <f t="shared" si="398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399"/>
        <v>710</v>
      </c>
      <c r="EHB16" s="211">
        <f t="shared" si="400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1"/>
        <v>1757</v>
      </c>
      <c r="EHJ16" s="211">
        <f t="shared" si="402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3"/>
        <v>0</v>
      </c>
      <c r="EHR16" s="211">
        <f t="shared" si="404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5"/>
        <v>668</v>
      </c>
      <c r="EHZ16" s="211">
        <f t="shared" si="406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7"/>
        <v>0</v>
      </c>
      <c r="EIH16" s="212">
        <f t="shared" si="408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09"/>
        <v>689</v>
      </c>
      <c r="EIP16" s="212">
        <f t="shared" si="410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1"/>
        <v>1035</v>
      </c>
      <c r="EIX16" s="212">
        <f t="shared" si="412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3"/>
        <v>0</v>
      </c>
      <c r="EJF16" s="212">
        <f t="shared" si="414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5"/>
        <v>416</v>
      </c>
      <c r="EJN16" s="212">
        <f t="shared" si="416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7"/>
        <v>261</v>
      </c>
      <c r="EJV16" s="212">
        <f t="shared" si="418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19"/>
        <v>699</v>
      </c>
      <c r="EKD16" s="212">
        <f t="shared" si="420"/>
        <v>116.5</v>
      </c>
      <c r="EKE16" s="196"/>
      <c r="EKF16" s="197"/>
      <c r="EKG16" s="197"/>
      <c r="EKH16" s="197"/>
      <c r="EKI16" s="197"/>
      <c r="EKJ16" s="197"/>
      <c r="EKK16" s="810">
        <f t="shared" si="421"/>
        <v>0</v>
      </c>
      <c r="EKL16" s="212">
        <f t="shared" si="422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3"/>
        <v>684</v>
      </c>
      <c r="EKT16" s="212">
        <f t="shared" si="424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5"/>
        <v>0</v>
      </c>
      <c r="ELB16" s="212">
        <f t="shared" si="426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7"/>
        <v>607</v>
      </c>
      <c r="ELJ16" s="212">
        <f t="shared" si="428"/>
        <v>101.16666666666667</v>
      </c>
      <c r="ELK16" s="196"/>
      <c r="ELL16" s="197"/>
      <c r="ELM16" s="197"/>
      <c r="ELN16" s="197"/>
      <c r="ELO16" s="197"/>
      <c r="ELP16" s="197"/>
      <c r="ELQ16" s="810">
        <f t="shared" si="429"/>
        <v>0</v>
      </c>
      <c r="ELR16" s="212">
        <f t="shared" si="430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1"/>
        <v>677</v>
      </c>
      <c r="ELZ16" s="879">
        <f t="shared" si="432"/>
        <v>112.83333333333333</v>
      </c>
      <c r="EMA16" s="196"/>
      <c r="EMB16" s="197"/>
      <c r="EMC16" s="197"/>
      <c r="EMD16" s="197"/>
      <c r="EME16" s="197"/>
      <c r="EMF16" s="197"/>
      <c r="EMG16" s="878">
        <f t="shared" si="433"/>
        <v>0</v>
      </c>
      <c r="EMH16" s="879">
        <f t="shared" si="434"/>
        <v>0</v>
      </c>
      <c r="EMI16" s="196">
        <v>695</v>
      </c>
      <c r="EMJ16" s="197"/>
      <c r="EMK16" s="197"/>
      <c r="EML16" s="197"/>
      <c r="EMM16" s="197"/>
      <c r="EMN16" s="197"/>
      <c r="EMO16" s="878">
        <f t="shared" si="435"/>
        <v>695</v>
      </c>
      <c r="EMP16" s="879">
        <f t="shared" si="436"/>
        <v>115.83333333333333</v>
      </c>
    </row>
    <row r="17" spans="1:3734" s="8" customFormat="1" ht="15" customHeight="1" thickBot="1" x14ac:dyDescent="0.25">
      <c r="A17" s="1008" t="s">
        <v>14</v>
      </c>
      <c r="B17" s="1009"/>
      <c r="C17" s="1009"/>
      <c r="D17" s="310">
        <v>25</v>
      </c>
      <c r="E17" s="311">
        <f t="shared" ref="E17:N17" si="1609">SUM(E7:E16)</f>
        <v>0</v>
      </c>
      <c r="F17" s="311">
        <f t="shared" si="1609"/>
        <v>24310</v>
      </c>
      <c r="G17" s="311">
        <f t="shared" si="1609"/>
        <v>0</v>
      </c>
      <c r="H17" s="311">
        <f t="shared" si="1609"/>
        <v>0</v>
      </c>
      <c r="I17" s="311">
        <f t="shared" si="1609"/>
        <v>0</v>
      </c>
      <c r="J17" s="311">
        <f t="shared" si="1609"/>
        <v>0</v>
      </c>
      <c r="K17" s="311">
        <f t="shared" si="1609"/>
        <v>0</v>
      </c>
      <c r="L17" s="311">
        <f t="shared" si="1609"/>
        <v>24310</v>
      </c>
      <c r="M17" s="311">
        <f t="shared" si="1609"/>
        <v>24310</v>
      </c>
      <c r="N17" s="311">
        <f t="shared" si="1609"/>
        <v>663.83333333333337</v>
      </c>
      <c r="O17" s="159">
        <f t="shared" si="2"/>
        <v>36.620637710268639</v>
      </c>
      <c r="P17" s="313">
        <f>SUM(P10:P16)</f>
        <v>693.33333333333337</v>
      </c>
      <c r="Q17" s="159">
        <f>IF(P17=0,0,M17/P17*6)</f>
        <v>210.375</v>
      </c>
      <c r="R17" s="313">
        <f>SUM(R10:R16)</f>
        <v>221.53846153846158</v>
      </c>
      <c r="S17" s="314"/>
      <c r="T17" s="159">
        <f t="shared" si="4"/>
        <v>109.73263888888887</v>
      </c>
      <c r="U17" s="314">
        <f>U6</f>
        <v>0</v>
      </c>
      <c r="V17" s="159">
        <f t="shared" ref="V17" si="1610">IF(R17=0,0,(M17+U17)/R17)</f>
        <v>109.73263888888887</v>
      </c>
      <c r="W17" s="315">
        <f t="shared" ref="W17" si="1611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08"/>
        <v>0</v>
      </c>
      <c r="LG17" s="53">
        <f t="shared" si="509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7"/>
        <v>0</v>
      </c>
      <c r="ECD17" s="212">
        <f t="shared" si="368"/>
        <v>0</v>
      </c>
      <c r="ECE17" s="196"/>
      <c r="ECF17" s="197"/>
      <c r="ECG17" s="197"/>
      <c r="ECH17" s="197"/>
      <c r="ECI17" s="197"/>
      <c r="ECJ17" s="197"/>
      <c r="ECK17" s="246">
        <f t="shared" si="369"/>
        <v>0</v>
      </c>
      <c r="ECL17" s="212">
        <f t="shared" si="370"/>
        <v>0</v>
      </c>
      <c r="ECM17" s="196"/>
      <c r="ECN17" s="197"/>
      <c r="ECO17" s="197"/>
      <c r="ECP17" s="197"/>
      <c r="ECQ17" s="197"/>
      <c r="ECR17" s="197"/>
      <c r="ECS17" s="246">
        <f t="shared" si="371"/>
        <v>0</v>
      </c>
      <c r="ECT17" s="212">
        <f t="shared" si="372"/>
        <v>0</v>
      </c>
      <c r="ECU17" s="196"/>
      <c r="ECV17" s="197"/>
      <c r="ECW17" s="197"/>
      <c r="ECX17" s="197"/>
      <c r="ECY17" s="197"/>
      <c r="ECZ17" s="197"/>
      <c r="EDA17" s="246">
        <f t="shared" si="373"/>
        <v>0</v>
      </c>
      <c r="EDB17" s="212">
        <f t="shared" si="374"/>
        <v>0</v>
      </c>
      <c r="EDC17" s="196"/>
      <c r="EDD17" s="197"/>
      <c r="EDE17" s="197"/>
      <c r="EDF17" s="197"/>
      <c r="EDG17" s="197"/>
      <c r="EDH17" s="197"/>
      <c r="EDI17" s="246">
        <f t="shared" si="375"/>
        <v>0</v>
      </c>
      <c r="EDJ17" s="212">
        <f t="shared" si="376"/>
        <v>0</v>
      </c>
      <c r="EDK17" s="459"/>
      <c r="EDL17" s="460"/>
      <c r="EDM17" s="460"/>
      <c r="EDN17" s="460"/>
      <c r="EDO17" s="460"/>
      <c r="EDP17" s="460"/>
      <c r="EDQ17" s="246">
        <f t="shared" si="377"/>
        <v>0</v>
      </c>
      <c r="EDR17" s="212">
        <f t="shared" si="378"/>
        <v>0</v>
      </c>
      <c r="EDS17" s="708"/>
      <c r="EDT17" s="708"/>
      <c r="EDU17" s="708"/>
      <c r="EDV17" s="708"/>
      <c r="EDW17" s="708"/>
      <c r="EDX17" s="708"/>
      <c r="EDY17" s="707">
        <f t="shared" si="379"/>
        <v>0</v>
      </c>
      <c r="EDZ17" s="707">
        <f t="shared" si="380"/>
        <v>0</v>
      </c>
      <c r="EEA17" s="196"/>
      <c r="EEB17" s="197"/>
      <c r="EEC17" s="197"/>
      <c r="EED17" s="197"/>
      <c r="EEE17" s="197"/>
      <c r="EEF17" s="197"/>
      <c r="EEG17" s="246">
        <f t="shared" si="381"/>
        <v>0</v>
      </c>
      <c r="EEH17" s="212">
        <f t="shared" si="382"/>
        <v>0</v>
      </c>
      <c r="EEI17" s="196"/>
      <c r="EEJ17" s="197"/>
      <c r="EEK17" s="197"/>
      <c r="EEL17" s="197"/>
      <c r="EEM17" s="197"/>
      <c r="EEN17" s="197"/>
      <c r="EEO17" s="246">
        <f t="shared" si="383"/>
        <v>0</v>
      </c>
      <c r="EEP17" s="212">
        <f t="shared" si="384"/>
        <v>0</v>
      </c>
      <c r="EEQ17" s="196"/>
      <c r="EER17" s="197"/>
      <c r="EES17" s="197"/>
      <c r="EET17" s="197"/>
      <c r="EEU17" s="197"/>
      <c r="EEV17" s="197"/>
      <c r="EEW17" s="246">
        <f t="shared" si="385"/>
        <v>0</v>
      </c>
      <c r="EEX17" s="212">
        <f t="shared" si="386"/>
        <v>0</v>
      </c>
      <c r="EEY17" s="196"/>
      <c r="EEZ17" s="197"/>
      <c r="EFA17" s="197"/>
      <c r="EFB17" s="197"/>
      <c r="EFC17" s="197"/>
      <c r="EFD17" s="197"/>
      <c r="EFE17" s="246">
        <f t="shared" si="387"/>
        <v>0</v>
      </c>
      <c r="EFF17" s="212">
        <f t="shared" si="388"/>
        <v>0</v>
      </c>
      <c r="EFG17" s="196"/>
      <c r="EFH17" s="197"/>
      <c r="EFI17" s="197"/>
      <c r="EFJ17" s="197"/>
      <c r="EFK17" s="197"/>
      <c r="EFL17" s="197"/>
      <c r="EFM17" s="246">
        <f t="shared" si="389"/>
        <v>0</v>
      </c>
      <c r="EFN17" s="212">
        <f t="shared" si="390"/>
        <v>0</v>
      </c>
      <c r="EFO17" s="459"/>
      <c r="EFP17" s="460"/>
      <c r="EFQ17" s="460"/>
      <c r="EFR17" s="460"/>
      <c r="EFS17" s="460"/>
      <c r="EFT17" s="460"/>
      <c r="EFU17" s="246">
        <f t="shared" si="391"/>
        <v>0</v>
      </c>
      <c r="EFV17" s="212">
        <f t="shared" si="392"/>
        <v>0</v>
      </c>
      <c r="EFW17" s="196"/>
      <c r="EFX17" s="197"/>
      <c r="EFY17" s="197"/>
      <c r="EFZ17" s="197"/>
      <c r="EGA17" s="197"/>
      <c r="EGB17" s="197"/>
      <c r="EGC17" s="810">
        <f t="shared" si="393"/>
        <v>0</v>
      </c>
      <c r="EGD17" s="212">
        <f t="shared" si="394"/>
        <v>0</v>
      </c>
      <c r="EGE17" s="196"/>
      <c r="EGF17" s="197"/>
      <c r="EGG17" s="197"/>
      <c r="EGH17" s="197"/>
      <c r="EGI17" s="197"/>
      <c r="EGJ17" s="197"/>
      <c r="EGK17" s="810">
        <f t="shared" si="395"/>
        <v>0</v>
      </c>
      <c r="EGL17" s="212">
        <f t="shared" si="396"/>
        <v>0</v>
      </c>
      <c r="EGM17" s="816"/>
      <c r="EGN17" s="817"/>
      <c r="EGO17" s="817"/>
      <c r="EGP17" s="817"/>
      <c r="EGQ17" s="817"/>
      <c r="EGR17" s="817"/>
      <c r="EGS17" s="810">
        <f t="shared" si="397"/>
        <v>0</v>
      </c>
      <c r="EGT17" s="212">
        <f t="shared" si="398"/>
        <v>0</v>
      </c>
      <c r="EGU17" s="196"/>
      <c r="EGV17" s="197"/>
      <c r="EGW17" s="197"/>
      <c r="EGX17" s="197"/>
      <c r="EGY17" s="197"/>
      <c r="EGZ17" s="197"/>
      <c r="EHA17" s="810">
        <f t="shared" si="399"/>
        <v>0</v>
      </c>
      <c r="EHB17" s="212">
        <f t="shared" si="400"/>
        <v>0</v>
      </c>
      <c r="EHC17" s="459"/>
      <c r="EHD17" s="460"/>
      <c r="EHE17" s="460"/>
      <c r="EHF17" s="460"/>
      <c r="EHG17" s="460"/>
      <c r="EHH17" s="460"/>
      <c r="EHI17" s="810">
        <f t="shared" si="401"/>
        <v>0</v>
      </c>
      <c r="EHJ17" s="212">
        <f t="shared" si="402"/>
        <v>0</v>
      </c>
      <c r="EHK17" s="196"/>
      <c r="EHL17" s="197"/>
      <c r="EHM17" s="197"/>
      <c r="EHN17" s="197"/>
      <c r="EHO17" s="197"/>
      <c r="EHP17" s="197"/>
      <c r="EHQ17" s="810">
        <f t="shared" si="403"/>
        <v>0</v>
      </c>
      <c r="EHR17" s="212">
        <f t="shared" si="404"/>
        <v>0</v>
      </c>
      <c r="EHS17" s="196"/>
      <c r="EHT17" s="197"/>
      <c r="EHU17" s="197"/>
      <c r="EHV17" s="197"/>
      <c r="EHW17" s="197"/>
      <c r="EHX17" s="197"/>
      <c r="EHY17" s="810">
        <f t="shared" si="405"/>
        <v>0</v>
      </c>
      <c r="EHZ17" s="212">
        <f t="shared" si="406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</row>
    <row r="18" spans="1:3734" ht="15" customHeight="1" x14ac:dyDescent="0.2">
      <c r="A18" s="12" t="s">
        <v>25</v>
      </c>
      <c r="B18" s="12"/>
      <c r="X18" s="2"/>
      <c r="AB18" s="292"/>
      <c r="AC18" s="292"/>
    </row>
    <row r="19" spans="1:3734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34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34" ht="15" customHeight="1" x14ac:dyDescent="0.2">
      <c r="C21" s="12"/>
      <c r="X21" s="13"/>
      <c r="AA21" s="13"/>
      <c r="AB21" s="10"/>
      <c r="AC21" s="10"/>
    </row>
    <row r="22" spans="1:3734" ht="32.25" customHeight="1" x14ac:dyDescent="0.2">
      <c r="A22" s="1019" t="s">
        <v>272</v>
      </c>
      <c r="B22" s="1020"/>
      <c r="C22" s="1020"/>
      <c r="D22" s="1020"/>
      <c r="E22" s="1020"/>
      <c r="F22" s="1020"/>
      <c r="G22" s="1020"/>
      <c r="H22" s="1020"/>
      <c r="I22" s="1020"/>
      <c r="J22" s="1020"/>
      <c r="K22" s="1020"/>
      <c r="L22" s="1020"/>
      <c r="M22" s="1021"/>
      <c r="N22" s="955" t="s">
        <v>252</v>
      </c>
      <c r="O22" s="956"/>
      <c r="P22" s="972" t="s">
        <v>255</v>
      </c>
      <c r="Q22" s="973"/>
      <c r="R22" s="973"/>
      <c r="S22" s="973"/>
      <c r="T22" s="973"/>
      <c r="U22" s="992" t="s">
        <v>260</v>
      </c>
      <c r="V22" s="995" t="s">
        <v>259</v>
      </c>
      <c r="W22" s="998" t="s">
        <v>265</v>
      </c>
      <c r="X22" s="982" t="s">
        <v>262</v>
      </c>
      <c r="Y22" s="1010" t="s">
        <v>1</v>
      </c>
      <c r="Z22" s="1011"/>
      <c r="AA22" s="1011"/>
      <c r="AB22" s="1012"/>
      <c r="AC22" s="1007" t="s">
        <v>329</v>
      </c>
    </row>
    <row r="23" spans="1:3734" s="97" customFormat="1" ht="27" customHeight="1" thickBot="1" x14ac:dyDescent="0.25">
      <c r="A23" s="982" t="s">
        <v>248</v>
      </c>
      <c r="B23" s="995" t="s">
        <v>249</v>
      </c>
      <c r="C23" s="984" t="s">
        <v>250</v>
      </c>
      <c r="D23" s="982" t="s">
        <v>251</v>
      </c>
      <c r="E23" s="913" t="s">
        <v>232</v>
      </c>
      <c r="F23" s="914"/>
      <c r="G23" s="911" t="s">
        <v>233</v>
      </c>
      <c r="H23" s="912"/>
      <c r="I23" s="911" t="s">
        <v>234</v>
      </c>
      <c r="J23" s="912"/>
      <c r="K23" s="902" t="s">
        <v>235</v>
      </c>
      <c r="L23" s="903"/>
      <c r="M23" s="904"/>
      <c r="N23" s="939" t="s">
        <v>254</v>
      </c>
      <c r="O23" s="939" t="s">
        <v>253</v>
      </c>
      <c r="P23" s="937" t="s">
        <v>256</v>
      </c>
      <c r="Q23" s="937" t="s">
        <v>253</v>
      </c>
      <c r="R23" s="974" t="s">
        <v>257</v>
      </c>
      <c r="S23" s="316"/>
      <c r="T23" s="976" t="s">
        <v>258</v>
      </c>
      <c r="U23" s="993"/>
      <c r="V23" s="996"/>
      <c r="W23" s="999"/>
      <c r="X23" s="983"/>
      <c r="Y23" s="1013" t="s">
        <v>10</v>
      </c>
      <c r="Z23" s="1013" t="s">
        <v>11</v>
      </c>
      <c r="AA23" s="1013" t="s">
        <v>12</v>
      </c>
      <c r="AB23" s="1013" t="s">
        <v>18</v>
      </c>
      <c r="AC23" s="1007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34" s="97" customFormat="1" ht="45" customHeight="1" thickBot="1" x14ac:dyDescent="0.25">
      <c r="A24" s="983"/>
      <c r="B24" s="1004"/>
      <c r="C24" s="985"/>
      <c r="D24" s="983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40"/>
      <c r="O24" s="940"/>
      <c r="P24" s="938"/>
      <c r="Q24" s="938"/>
      <c r="R24" s="975"/>
      <c r="S24" s="316"/>
      <c r="T24" s="976"/>
      <c r="U24" s="994"/>
      <c r="V24" s="997"/>
      <c r="W24" s="1000"/>
      <c r="X24" s="983"/>
      <c r="Y24" s="1014"/>
      <c r="Z24" s="1015"/>
      <c r="AA24" s="1015"/>
      <c r="AB24" s="1015"/>
      <c r="AC24" s="1007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</row>
    <row r="25" spans="1:3734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2">F25+H25-J25</f>
        <v>80</v>
      </c>
      <c r="M25" s="15">
        <f>K25+L25</f>
        <v>80</v>
      </c>
      <c r="N25" s="15">
        <v>3.3333333333333335</v>
      </c>
      <c r="O25" s="276">
        <f t="shared" ref="O25:O29" si="1613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14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15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16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17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18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19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0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1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2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3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24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25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26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27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28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29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0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1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2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3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34">SUM(ABX25:ACC25)</f>
        <v>207</v>
      </c>
      <c r="ACE25" s="68">
        <f t="shared" ref="ACE25:ACE29" si="1635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36">SUM(AKF25:AKK25)</f>
        <v>0</v>
      </c>
      <c r="AKM25" s="43">
        <f t="shared" ref="AKM25" si="1637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38">SUM(AKN25:AKS25)</f>
        <v>0</v>
      </c>
      <c r="AKU25" s="43">
        <f t="shared" ref="AKU25" si="1639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0">SUM(AKV25:ALA25)</f>
        <v>99</v>
      </c>
      <c r="ALC25" s="43">
        <f t="shared" ref="ALC25" si="1641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2">SUM(ALD25:ALI25)</f>
        <v>100</v>
      </c>
      <c r="ALK25" s="43">
        <f t="shared" ref="ALK25" si="1643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44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45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46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47">SUM(CZF25:CZK25)</f>
        <v>40</v>
      </c>
      <c r="CZM25" s="68">
        <f t="shared" ref="CZM25:CZM29" si="1648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49">SUM(CZN25:CZS25)</f>
        <v>0</v>
      </c>
      <c r="CZU25" s="68">
        <f t="shared" ref="CZU25:CZU29" si="1650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1">SUM(CZV25:DAA25)</f>
        <v>30</v>
      </c>
      <c r="DAC25" s="68">
        <f t="shared" ref="DAC25:DAC29" si="1652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3">SUM(DAD25:DAI25)</f>
        <v>0</v>
      </c>
      <c r="DAK25" s="68">
        <f t="shared" ref="DAK25:DAK29" si="1654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55">SUM(DAL25:DAQ25)</f>
        <v>30</v>
      </c>
      <c r="DAS25" s="68">
        <f t="shared" ref="DAS25:DAS29" si="1656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57">SUM(DAT25:DAY25)</f>
        <v>30</v>
      </c>
      <c r="DBA25" s="68">
        <f t="shared" ref="DBA25:DBA29" si="1658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59">SUM(DBB25:DBG25)</f>
        <v>30</v>
      </c>
      <c r="DBI25" s="492">
        <f t="shared" ref="DBI25:DBI29" si="1660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1">SUM(DBJ25:DBO25)</f>
        <v>0</v>
      </c>
      <c r="DBQ25" s="68">
        <f t="shared" ref="DBQ25:DBQ29" si="1662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3">SUM(DBR25:DBW25)</f>
        <v>0</v>
      </c>
      <c r="DBY25" s="68">
        <f t="shared" ref="DBY25:DBY29" si="1664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65">SUM(DBZ25:DCE25)</f>
        <v>0</v>
      </c>
      <c r="DCG25" s="492">
        <f t="shared" ref="DCG25:DCG29" si="1666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67">SUM(DCH25:DCM25)</f>
        <v>50</v>
      </c>
      <c r="DCO25" s="68">
        <f t="shared" ref="DCO25:DCO29" si="1668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69">SUM(DCP25:DCU25)</f>
        <v>0</v>
      </c>
      <c r="DCW25" s="492">
        <f t="shared" ref="DCW25:DCW29" si="1670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1">SUM(DCX25:DDC25)</f>
        <v>0</v>
      </c>
      <c r="DDE25" s="492">
        <f t="shared" ref="DDE25:DDE29" si="1672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3">SUM(DDF25:DDK25)</f>
        <v>40</v>
      </c>
      <c r="DDM25" s="492">
        <f t="shared" ref="DDM25:DDM29" si="1674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75">SUM(DDN25:DDS25)</f>
        <v>0</v>
      </c>
      <c r="DDU25" s="68">
        <f t="shared" ref="DDU25:DDU29" si="1676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77">SUM(DDV25:DEA25)</f>
        <v>0</v>
      </c>
      <c r="DEC25" s="492">
        <f t="shared" ref="DEC25:DEC29" si="1678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79">SUM(DED25:DEI25)</f>
        <v>0</v>
      </c>
      <c r="DEK25" s="492">
        <f t="shared" ref="DEK25:DEK29" si="1680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1">SUM(DEL25:DEQ25)</f>
        <v>50</v>
      </c>
      <c r="DES25" s="68">
        <f t="shared" ref="DES25:DES29" si="1682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3">SUM(DET25:DEY25)</f>
        <v>0</v>
      </c>
      <c r="DFA25" s="492">
        <f t="shared" ref="DFA25:DFA29" si="1684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85">SUM(DFB25:DFG25)</f>
        <v>0</v>
      </c>
      <c r="DFI25" s="68">
        <f t="shared" ref="DFI25:DFI29" si="1686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87">SUM(DFJ25:DFO25)</f>
        <v>61</v>
      </c>
      <c r="DFQ25" s="68">
        <f t="shared" ref="DFQ25:DFQ29" si="1688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89">SUM(DFR25:DFW25)</f>
        <v>0</v>
      </c>
      <c r="DFY25" s="68">
        <f t="shared" ref="DFY25:DFY29" si="1690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1">SUM(DFZ25:DGE25)</f>
        <v>0</v>
      </c>
      <c r="DGG25" s="68">
        <f t="shared" ref="DGG25:DGG29" si="1692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3">SUM(DGH25:DGM25)</f>
        <v>71</v>
      </c>
      <c r="DGO25" s="68">
        <f t="shared" ref="DGO25:DGO29" si="1694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695">SUM(DGP25:DGU25)</f>
        <v>0</v>
      </c>
      <c r="DGW25" s="68">
        <f t="shared" ref="DGW25:DGW29" si="1696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697">SUM(DGX25:DHC25)</f>
        <v>0</v>
      </c>
      <c r="DHE25" s="68">
        <f t="shared" ref="DHE25:DHE29" si="1698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699">SUM(DHF25:DHK25)</f>
        <v>0</v>
      </c>
      <c r="DHM25" s="68">
        <f t="shared" ref="DHM25:DHM29" si="1700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1">SUM(DHN25:DHS25)</f>
        <v>0</v>
      </c>
      <c r="DHU25" s="68">
        <f t="shared" ref="DHU25:DHU29" si="1702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3">SUM(DHV25:DIA25)</f>
        <v>50</v>
      </c>
      <c r="DIC25" s="68">
        <f t="shared" ref="DIC25:DIC29" si="1704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05">SUM(DID25:DII25)</f>
        <v>30</v>
      </c>
      <c r="DIK25" s="184">
        <f t="shared" ref="DIK25:DIK29" si="1706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07">SUM(DIL25:DIQ25)</f>
        <v>0</v>
      </c>
      <c r="DIS25" s="184">
        <f t="shared" ref="DIS25:DIS29" si="1708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09">SUM(DIT25:DIY25)</f>
        <v>0</v>
      </c>
      <c r="DJA25" s="68">
        <f t="shared" ref="DJA25:DJA29" si="1710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1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2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3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14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15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16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17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18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19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0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1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2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3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24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25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26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27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28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29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0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1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2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3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34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35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36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37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38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39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0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1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2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3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44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45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46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47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48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49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0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1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2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3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54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55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56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57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58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59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0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1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2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3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64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65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66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67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68">SUM(EAY25:EBD25)</f>
        <v>0</v>
      </c>
      <c r="EBF25" s="211">
        <f t="shared" ref="EBF25:EBF29" si="1769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0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1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2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3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74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75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76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77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78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79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0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1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2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3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84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85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86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87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88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89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0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1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2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3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794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795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796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797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798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799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0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1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2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3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04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05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06">SUM(EMI25:EMN25)</f>
        <v>0</v>
      </c>
      <c r="EMP25" s="877">
        <f>EMO25/$EMP$5</f>
        <v>0</v>
      </c>
    </row>
    <row r="26" spans="1:3734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07">E26+G26-I26</f>
        <v>0</v>
      </c>
      <c r="L26" s="24">
        <f t="shared" si="1612"/>
        <v>2170</v>
      </c>
      <c r="M26" s="15">
        <f t="shared" ref="M26:M29" si="1808">K26+L26</f>
        <v>2170</v>
      </c>
      <c r="N26" s="444">
        <v>21.666666666666668</v>
      </c>
      <c r="O26" s="276">
        <f t="shared" si="1613"/>
        <v>100.15384615384615</v>
      </c>
      <c r="P26" s="277">
        <v>25</v>
      </c>
      <c r="Q26" s="276">
        <f t="shared" ref="Q26:Q29" si="1809">IF(P26=0,0,M26/P26*6)</f>
        <v>520.79999999999995</v>
      </c>
      <c r="R26" s="277">
        <f t="shared" ref="R26:R29" si="1810">S26/$S$3</f>
        <v>10.76923076923077</v>
      </c>
      <c r="S26" s="222">
        <v>280</v>
      </c>
      <c r="T26" s="276">
        <f t="shared" ref="T26:T29" si="1811">IF(R26=0,0,M26/R26)</f>
        <v>201.49999999999997</v>
      </c>
      <c r="U26" s="278"/>
      <c r="V26" s="276">
        <f t="shared" ref="V26:V29" si="1812">IF(R26=0,0,(M26+U26)/R26)</f>
        <v>201.49999999999997</v>
      </c>
      <c r="W26" s="279">
        <f t="shared" ref="W26:W30" si="1813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14">SUM(AF26:AK26)</f>
        <v>411</v>
      </c>
      <c r="AM26" s="43">
        <f t="shared" ref="AM26:AM29" si="1815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16">SUM(AN26:AS26)</f>
        <v>402</v>
      </c>
      <c r="AU26" s="43">
        <f t="shared" ref="AU26:AU29" si="1817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18">SUM(AV26:BA26)</f>
        <v>595</v>
      </c>
      <c r="BC26" s="43">
        <f t="shared" ref="BC26:BC29" si="1819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0">SUM(BD26:BI26)</f>
        <v>2129</v>
      </c>
      <c r="BK26" s="43">
        <f t="shared" ref="BK26:BK29" si="1821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22">SUM(BL26:BQ26)</f>
        <v>1000</v>
      </c>
      <c r="BS26" s="43">
        <f t="shared" ref="BS26:BS29" si="1823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24">SUM(BT26:BY26)</f>
        <v>1580</v>
      </c>
      <c r="CA26" s="43">
        <f t="shared" ref="CA26:CA29" si="1825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26">SUM(CB26:CG26)</f>
        <v>0</v>
      </c>
      <c r="CI26" s="43">
        <f t="shared" ref="CI26:CI29" si="1827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28">SUM(CJ26:CO26)</f>
        <v>999</v>
      </c>
      <c r="CQ26" s="43">
        <f t="shared" ref="CQ26:CQ29" si="1829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0">SUM(CR26:CW26)</f>
        <v>697</v>
      </c>
      <c r="CY26" s="43">
        <f t="shared" ref="CY26:CY29" si="1831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32">SUM(CZ26:DE26)</f>
        <v>0</v>
      </c>
      <c r="DG26" s="43">
        <f t="shared" ref="DG26:DG29" si="1833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34">SUM(DH26:DM26)</f>
        <v>598</v>
      </c>
      <c r="DO26" s="43">
        <f t="shared" ref="DO26:DO29" si="1835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36">SUM(DP26:DU26)</f>
        <v>1036</v>
      </c>
      <c r="DW26" s="43">
        <f t="shared" ref="DW26:DW29" si="1837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38">SUM(DX26:EC26)</f>
        <v>1000</v>
      </c>
      <c r="EE26" s="43">
        <f t="shared" ref="EE26:EE29" si="1839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0">SUM(EF26:EK26)</f>
        <v>201</v>
      </c>
      <c r="EM26" s="43">
        <f t="shared" ref="EM26:EM29" si="1841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42">SUM(EN26:ES26)</f>
        <v>798</v>
      </c>
      <c r="EU26" s="43">
        <f t="shared" ref="EU26:EU29" si="1843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44">SUM(EV26:FA26)</f>
        <v>798</v>
      </c>
      <c r="FC26" s="43">
        <f t="shared" ref="FC26:FC29" si="1845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46">SUM(FD26:FI26)</f>
        <v>800</v>
      </c>
      <c r="FK26" s="43">
        <f t="shared" ref="FK26:FK29" si="1847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48">SUM(FL26:FQ26)</f>
        <v>990</v>
      </c>
      <c r="FS26" s="43">
        <f t="shared" ref="FS26:FS29" si="1849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0">SUM(FT26:FY26)</f>
        <v>576</v>
      </c>
      <c r="GA26" s="43">
        <f t="shared" ref="GA26:GA29" si="1851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52">SUM(GB26:GG26)</f>
        <v>1555</v>
      </c>
      <c r="GI26" s="43">
        <f t="shared" ref="GI26:GI29" si="1853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54">SUM(GJ26:GO26)</f>
        <v>400</v>
      </c>
      <c r="GQ26" s="43">
        <f t="shared" ref="GQ26:GQ29" si="1855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56">SUM(GR26:GW26)</f>
        <v>998</v>
      </c>
      <c r="GY26" s="43">
        <f t="shared" ref="GY26:GY29" si="1857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58">SUM(GZ26:HE26)</f>
        <v>1000</v>
      </c>
      <c r="HG26" s="43">
        <f t="shared" ref="HG26:HG29" si="1859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0">SUM(HH26:HM26)</f>
        <v>702</v>
      </c>
      <c r="HO26" s="43">
        <f t="shared" ref="HO26:HO29" si="1861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62">SUM(HP26:HU26)</f>
        <v>800</v>
      </c>
      <c r="HW26" s="43">
        <f t="shared" ref="HW26:HW29" si="1863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64">SUM(HX26:IC26)</f>
        <v>1400</v>
      </c>
      <c r="IE26" s="43">
        <f t="shared" ref="IE26:IE29" si="1865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66">SUM(IF26:IK26)</f>
        <v>1000</v>
      </c>
      <c r="IM26" s="43">
        <f t="shared" ref="IM26:IM29" si="1867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68">SUM(IN26:IS26)</f>
        <v>734</v>
      </c>
      <c r="IU26" s="43">
        <f t="shared" ref="IU26:IU29" si="1869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0">SUM(IV26:JA26)</f>
        <v>1118</v>
      </c>
      <c r="JC26" s="43">
        <f t="shared" ref="JC26:JC29" si="1871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72">SUM(JD26:JI26)</f>
        <v>1546</v>
      </c>
      <c r="JK26" s="43">
        <f t="shared" ref="JK26:JK29" si="1873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74">SUM(JL26:JQ26)</f>
        <v>1996</v>
      </c>
      <c r="JS26" s="43">
        <f t="shared" ref="JS26:JS29" si="1875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76">SUM(JT26:JY26)</f>
        <v>599</v>
      </c>
      <c r="KA26" s="43">
        <f t="shared" ref="KA26:KA29" si="1877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78">SUM(KB26:KG26)</f>
        <v>799</v>
      </c>
      <c r="KI26" s="43">
        <f t="shared" ref="KI26:KI29" si="1879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0">SUM(KJ26:KO26)</f>
        <v>1000</v>
      </c>
      <c r="KQ26" s="43">
        <f t="shared" ref="KQ26:KQ29" si="1881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82">SUM(KR26:KW26)</f>
        <v>796</v>
      </c>
      <c r="KY26" s="43">
        <f t="shared" ref="KY26:KY29" si="1883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84">SUM(KZ26:LE26)</f>
        <v>800</v>
      </c>
      <c r="LG26" s="43">
        <f t="shared" ref="LG26:LG29" si="1885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86">SUM(LH26:LM26)</f>
        <v>1400</v>
      </c>
      <c r="LO26" s="68">
        <f t="shared" ref="LO26:LO29" si="1887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88">SUM(LP26:LU26)</f>
        <v>0</v>
      </c>
      <c r="LW26" s="68">
        <f t="shared" ref="LW26:LW29" si="1889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0">SUM(LX26:MC26)</f>
        <v>1486</v>
      </c>
      <c r="ME26" s="68">
        <f t="shared" ref="ME26:ME29" si="1891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892">SUM(MF26:MK26)</f>
        <v>803</v>
      </c>
      <c r="MM26" s="43">
        <f t="shared" ref="MM26:MM29" si="1893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894">SUM(MN26:MS26)</f>
        <v>599</v>
      </c>
      <c r="MU26" s="43">
        <f t="shared" ref="MU26:MU29" si="1895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896">SUM(MV26:NA26)</f>
        <v>995</v>
      </c>
      <c r="NC26" s="43">
        <f t="shared" ref="NC26:NC29" si="1897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898">SUM(ND26:NI26)</f>
        <v>970</v>
      </c>
      <c r="NK26" s="43">
        <f t="shared" ref="NK26:NK29" si="1899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0">SUM(NL26:NQ26)</f>
        <v>390</v>
      </c>
      <c r="NS26" s="43">
        <f t="shared" ref="NS26:NS29" si="1901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02">SUM(NT26:NY26)</f>
        <v>1208</v>
      </c>
      <c r="OA26" s="43">
        <f t="shared" ref="OA26:OA29" si="1903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04">SUM(OB26:OG26)</f>
        <v>698</v>
      </c>
      <c r="OI26" s="43">
        <f t="shared" ref="OI26:OI29" si="1905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06">SUM(OJ26:OO26)</f>
        <v>1402</v>
      </c>
      <c r="OQ26" s="43">
        <f t="shared" ref="OQ26:OQ29" si="1907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08">SUM(OR26:OW26)</f>
        <v>988</v>
      </c>
      <c r="OY26" s="68">
        <f t="shared" ref="OY26:OY29" si="1909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0">SUM(OZ26:PE26)</f>
        <v>809</v>
      </c>
      <c r="PG26" s="68">
        <f t="shared" ref="PG26:PG29" si="1911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12">SUM(PH26:PM26)</f>
        <v>803</v>
      </c>
      <c r="PO26" s="105">
        <f t="shared" ref="PO26:PO29" si="1913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14">SUM(PP26:PU26)</f>
        <v>1400</v>
      </c>
      <c r="PW26" s="105">
        <f t="shared" ref="PW26:PW29" si="1915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16">SUM(PX26:QC26)</f>
        <v>1000</v>
      </c>
      <c r="QE26" s="105">
        <f t="shared" ref="QE26:QE29" si="1917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18">SUM(QF26:QK26)</f>
        <v>797</v>
      </c>
      <c r="QM26" s="105">
        <f t="shared" ref="QM26:QM29" si="1919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0">SUM(QN26:QS26)</f>
        <v>1216</v>
      </c>
      <c r="QU26" s="105">
        <f t="shared" ref="QU26:QU29" si="1921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22">SUM(QV26:RA26)</f>
        <v>1223</v>
      </c>
      <c r="RC26" s="105">
        <f t="shared" ref="RC26:RC29" si="1923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24">SUM(RD26:RI26)</f>
        <v>1719</v>
      </c>
      <c r="RK26" s="105">
        <f t="shared" ref="RK26:RK29" si="1925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26">SUM(RL26:RQ26)</f>
        <v>529</v>
      </c>
      <c r="RS26" s="105">
        <f t="shared" ref="RS26:RS29" si="1927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28">SUM(RT26:RY26)</f>
        <v>793</v>
      </c>
      <c r="SA26" s="105">
        <f t="shared" ref="SA26:SA29" si="1929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0">SUM(SB26:SG26)</f>
        <v>898</v>
      </c>
      <c r="SI26" s="105">
        <f t="shared" ref="SI26:SI29" si="1931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32">SUM(SJ26:SO26)</f>
        <v>1363</v>
      </c>
      <c r="SQ26" s="105">
        <f t="shared" ref="SQ26:SQ29" si="1933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34">SUM(SR26:SW26)</f>
        <v>900</v>
      </c>
      <c r="SY26" s="105">
        <f t="shared" ref="SY26:SY29" si="1935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36">SUM(SZ26:TE26)</f>
        <v>827</v>
      </c>
      <c r="TG26" s="105">
        <f t="shared" ref="TG26:TG29" si="1937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38">SUM(TH26:TM26)</f>
        <v>876</v>
      </c>
      <c r="TO26" s="105">
        <f t="shared" ref="TO26:TO29" si="1939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0">SUM(TQ26:TV26)</f>
        <v>1000</v>
      </c>
      <c r="TX26" s="105">
        <f t="shared" ref="TX26:TX29" si="1941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42">SUM(TY26:UD26)</f>
        <v>196</v>
      </c>
      <c r="UF26" s="105">
        <f t="shared" ref="UF26:UF29" si="1943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44">SUM(UG26:UL26)</f>
        <v>1007</v>
      </c>
      <c r="UN26" s="105">
        <f t="shared" ref="UN26:UN29" si="1945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46">SUM(UO26:UT26)</f>
        <v>802</v>
      </c>
      <c r="UV26" s="68">
        <f t="shared" ref="UV26:UV29" si="1947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48">SUM(UW26:VB26)</f>
        <v>800</v>
      </c>
      <c r="VD26" s="105">
        <f t="shared" ref="VD26:VD29" si="1949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0">SUM(VE26:VJ26)</f>
        <v>1193</v>
      </c>
      <c r="VL26" s="68">
        <f t="shared" ref="VL26:VL29" si="1951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52">SUM(VN26:VS26)</f>
        <v>815</v>
      </c>
      <c r="VU26" s="105">
        <f t="shared" ref="VU26:VU29" si="1953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54">SUM(VW26:WB26)</f>
        <v>1199</v>
      </c>
      <c r="WD26" s="68">
        <f t="shared" ref="WD26:WD29" si="1955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56">SUM(WF26:WK26)</f>
        <v>1000</v>
      </c>
      <c r="WM26" s="68">
        <f t="shared" ref="WM26:WM29" si="1957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58">SUM(WO26:WT26)</f>
        <v>1205</v>
      </c>
      <c r="WV26" s="68">
        <f t="shared" ref="WV26:WV29" si="1959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0">SUM(WX26:XC26)</f>
        <v>803</v>
      </c>
      <c r="XE26" s="68">
        <f t="shared" ref="XE26:XE29" si="1961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62">SUM(XF26:XK26)</f>
        <v>800</v>
      </c>
      <c r="XM26" s="68">
        <f t="shared" ref="XM26:XM29" si="1963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64">SUM(XN26:XS26)</f>
        <v>583</v>
      </c>
      <c r="XU26" s="68">
        <f t="shared" ref="XU26:XU29" si="1965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66">SUM(XV26:YA26)</f>
        <v>1002</v>
      </c>
      <c r="YC26" s="68">
        <f t="shared" ref="YC26:YC29" si="1967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68">SUM(YE26:YJ26)</f>
        <v>1013</v>
      </c>
      <c r="YL26" s="68">
        <f t="shared" ref="YL26:YL29" si="1969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0">SUM(YN26:YS26)</f>
        <v>787</v>
      </c>
      <c r="YU26" s="68">
        <f t="shared" ref="YU26:YU29" si="1971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72">SUM(YV26:ZA26)</f>
        <v>1000</v>
      </c>
      <c r="ZC26" s="68">
        <f t="shared" ref="ZC26:ZC29" si="1973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74">SUM(ZD26:ZI26)</f>
        <v>1528</v>
      </c>
      <c r="ZK26" s="68">
        <f t="shared" ref="ZK26:ZK29" si="1975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76">SUM(ZL26:ZQ26)</f>
        <v>802</v>
      </c>
      <c r="ZS26" s="68">
        <f t="shared" ref="ZS26:ZS29" si="1977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78">SUM(ZT26:ZY26)</f>
        <v>805</v>
      </c>
      <c r="AAA26" s="68">
        <f t="shared" ref="AAA26:AAA29" si="1979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0">SUM(AAB26:AAG26)</f>
        <v>728</v>
      </c>
      <c r="AAI26" s="68">
        <f t="shared" ref="AAI26:AAI29" si="1981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82">SUM(AAJ26:AAO26)</f>
        <v>793</v>
      </c>
      <c r="AAQ26" s="68">
        <f t="shared" ref="AAQ26:AAQ29" si="1983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84">SUM(AAR26:AAW26)</f>
        <v>110</v>
      </c>
      <c r="AAY26" s="68">
        <f t="shared" ref="AAY26:AAY29" si="1985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86">SUM(AAZ26:ABE26)</f>
        <v>440</v>
      </c>
      <c r="ABG26" s="68">
        <f t="shared" ref="ABG26:ABG29" si="1987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88">SUM(ABH26:ABM26)</f>
        <v>1186</v>
      </c>
      <c r="ABO26" s="68">
        <f t="shared" ref="ABO26:ABO29" si="1989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0">SUM(ABP26:ABU26)</f>
        <v>802</v>
      </c>
      <c r="ABW26" s="68">
        <f t="shared" ref="ABW26:ABW29" si="1991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1992">SUM(ABX26:ACC26)</f>
        <v>640</v>
      </c>
      <c r="ACE26" s="68">
        <f t="shared" si="1635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1993">SUM(ACF26:ACK26)</f>
        <v>381</v>
      </c>
      <c r="ACM26" s="68">
        <f t="shared" ref="ACM26:ACM29" si="1994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1995">SUM(ACN26:ACS26)</f>
        <v>932</v>
      </c>
      <c r="ACU26" s="68">
        <f t="shared" ref="ACU26:ACU29" si="1996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1997">SUM(ACV26:ADA26)</f>
        <v>638</v>
      </c>
      <c r="ADC26" s="68">
        <f t="shared" ref="ADC26:ADC29" si="1998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1999">SUM(ADD26:ADI26)</f>
        <v>830</v>
      </c>
      <c r="ADK26" s="68">
        <f t="shared" ref="ADK26:ADK29" si="2000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1">SUM(ADL26:ADQ26)</f>
        <v>420</v>
      </c>
      <c r="ADS26" s="68">
        <f t="shared" ref="ADS26:ADS29" si="2002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03">SUM(ADT26:ADY26)</f>
        <v>660</v>
      </c>
      <c r="AEA26" s="68">
        <f t="shared" ref="AEA26:AEA29" si="2004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05">SUM(AEB26:AEG26)</f>
        <v>722</v>
      </c>
      <c r="AEI26" s="68">
        <f t="shared" ref="AEI26:AEI29" si="2006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07">SUM(AEJ26:AEO26)</f>
        <v>919</v>
      </c>
      <c r="AEQ26" s="68">
        <f t="shared" ref="AEQ26:AEQ29" si="2008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09">SUM(AER26:AEW26)</f>
        <v>1100</v>
      </c>
      <c r="AEY26" s="68">
        <f t="shared" ref="AEY26:AEY29" si="2010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1">SUM(AEZ26:AFE26)</f>
        <v>469</v>
      </c>
      <c r="AFG26" s="68">
        <f t="shared" ref="AFG26:AFG29" si="2012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13">SUM(AFH26:AFM26)</f>
        <v>330</v>
      </c>
      <c r="AFO26" s="68">
        <f t="shared" ref="AFO26:AFO29" si="2014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15">SUM(AFP26:AFU26)</f>
        <v>990</v>
      </c>
      <c r="AFW26" s="68">
        <f t="shared" ref="AFW26:AFW29" si="2016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17">SUM(AFX26:AGC26)</f>
        <v>0</v>
      </c>
      <c r="AGE26" s="68">
        <f t="shared" ref="AGE26:AGE29" si="2018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19">SUM(AGF26:AGK26)</f>
        <v>1373</v>
      </c>
      <c r="AGM26" s="68">
        <f t="shared" ref="AGM26:AGM29" si="2020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1">SUM(AGN26:AGS26)</f>
        <v>660</v>
      </c>
      <c r="AGU26" s="43">
        <f t="shared" ref="AGU26:AGU29" si="2022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23">SUM(AGV26:AHA26)</f>
        <v>0</v>
      </c>
      <c r="AHC26" s="43">
        <f t="shared" ref="AHC26:AHC29" si="2024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25">SUM(AHD26:AHI26)</f>
        <v>876</v>
      </c>
      <c r="AHK26" s="43">
        <f t="shared" ref="AHK26:AHK29" si="2026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27">SUM(AHL26:AHQ26)</f>
        <v>752</v>
      </c>
      <c r="AHS26" s="68">
        <f t="shared" ref="AHS26:AHS29" si="2028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29">SUM(AHT26:AHY26)</f>
        <v>839</v>
      </c>
      <c r="AIA26" s="68">
        <f t="shared" ref="AIA26:AIA29" si="2030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1">SUM(AIB26:AIG26)</f>
        <v>220</v>
      </c>
      <c r="AII26" s="68">
        <f t="shared" ref="AII26:AII29" si="2032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33">SUM(AIJ26:AIO26)</f>
        <v>440</v>
      </c>
      <c r="AIQ26" s="68">
        <f t="shared" ref="AIQ26:AIQ29" si="2034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35">SUM(AIR26:AIW26)</f>
        <v>440</v>
      </c>
      <c r="AIY26" s="68">
        <f t="shared" ref="AIY26:AIY29" si="2036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37">SUM(AIZ26:AJE26)</f>
        <v>440</v>
      </c>
      <c r="AJG26" s="68">
        <f t="shared" ref="AJG26:AJG29" si="2038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39">SUM(AJH26:AJM26)</f>
        <v>333</v>
      </c>
      <c r="AJO26" s="43">
        <f t="shared" ref="AJO26:AJO29" si="2040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1">SUM(AJP26:AJU26)</f>
        <v>646</v>
      </c>
      <c r="AJW26" s="43">
        <f t="shared" ref="AJW26:AJW29" si="2042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43">SUM(AJX26:AKC26)</f>
        <v>221</v>
      </c>
      <c r="AKE26" s="43">
        <f t="shared" ref="AKE26:AKE29" si="2044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45">SUM(AKF26:AKK26)</f>
        <v>565</v>
      </c>
      <c r="AKM26" s="43">
        <f t="shared" ref="AKM26:AKM29" si="2046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47">SUM(AKN26:AKS26)</f>
        <v>877</v>
      </c>
      <c r="AKU26" s="43">
        <f t="shared" ref="AKU26:AKU29" si="2048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49">SUM(AKV26:ALA26)</f>
        <v>432</v>
      </c>
      <c r="ALC26" s="43">
        <f t="shared" ref="ALC26:ALC29" si="2050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1">SUM(ALD26:ALI26)</f>
        <v>660</v>
      </c>
      <c r="ALK26" s="43">
        <f t="shared" ref="ALK26:ALK29" si="2052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53">SUM(ALL26:ALQ26)</f>
        <v>220</v>
      </c>
      <c r="ALS26" s="68">
        <f t="shared" ref="ALS26:ALS29" si="2054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55">SUM(ALT26:ALY26)</f>
        <v>220</v>
      </c>
      <c r="AMA26" s="68">
        <f t="shared" ref="AMA26:AMA29" si="2056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57">SUM(AMB26:AMG26)</f>
        <v>990</v>
      </c>
      <c r="AMI26" s="68">
        <f t="shared" ref="AMI26:AMI29" si="2058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59">SUM(AMJ26:AMO26)</f>
        <v>660</v>
      </c>
      <c r="AMQ26" s="68">
        <f t="shared" ref="AMQ26:AMQ29" si="2060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1">SUM(AMR26:AMW26)</f>
        <v>0</v>
      </c>
      <c r="AMY26" s="68">
        <f t="shared" ref="AMY26:AMY29" si="2062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63">SUM(AMZ26:ANE26)</f>
        <v>440</v>
      </c>
      <c r="ANG26" s="68">
        <f t="shared" ref="ANG26:ANG29" si="2064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65">SUM(ANH26:ANM26)</f>
        <v>835</v>
      </c>
      <c r="ANO26" s="68">
        <f t="shared" ref="ANO26:ANO29" si="2066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67">SUM(ANP26:ANU26)</f>
        <v>440</v>
      </c>
      <c r="ANW26" s="68">
        <f t="shared" ref="ANW26:ANW29" si="2068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69">SUM(ANX26:AOC26)</f>
        <v>550</v>
      </c>
      <c r="AOE26" s="68">
        <f t="shared" ref="AOE26:AOE29" si="2070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1">SUM(AOF26:AOK26)</f>
        <v>880</v>
      </c>
      <c r="AOM26" s="68">
        <f t="shared" ref="AOM26:AOM29" si="2072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73">SUM(AON26:AOS26)</f>
        <v>215</v>
      </c>
      <c r="AOU26" s="68">
        <f t="shared" ref="AOU26:AOU29" si="2074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75">SUM(AOV26:APA26)</f>
        <v>440</v>
      </c>
      <c r="APC26" s="68">
        <f t="shared" ref="APC26:APC29" si="2076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77">SUM(APD26:API26)</f>
        <v>440</v>
      </c>
      <c r="APK26" s="68">
        <f t="shared" ref="APK26:APK29" si="2078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79">SUM(APL26:APQ26)</f>
        <v>964</v>
      </c>
      <c r="APS26" s="68">
        <f t="shared" ref="APS26:APS29" si="2080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1">SUM(APT26:APY26)</f>
        <v>440</v>
      </c>
      <c r="AQA26" s="68">
        <f t="shared" ref="AQA26:AQA29" si="2082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83">SUM(AQB26:AQG26)</f>
        <v>0</v>
      </c>
      <c r="AQI26" s="68">
        <f t="shared" ref="AQI26:AQI29" si="2084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85">SUM(AQJ26:AQO26)</f>
        <v>0</v>
      </c>
      <c r="AQQ26" s="43">
        <f t="shared" ref="AQQ26:AQQ29" si="2086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87">SUM(AQR26:AQW26)</f>
        <v>199</v>
      </c>
      <c r="AQY26" s="43">
        <f t="shared" ref="AQY26:AQY29" si="2088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89">SUM(AQZ26:ARE26)</f>
        <v>443</v>
      </c>
      <c r="ARG26" s="43">
        <f t="shared" ref="ARG26:ARG29" si="2090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1">SUM(ARH26:ARM26)</f>
        <v>330</v>
      </c>
      <c r="ARO26" s="43">
        <f t="shared" ref="ARO26:ARO29" si="2092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093">SUM(ARP26:ARU26)</f>
        <v>220</v>
      </c>
      <c r="ARW26" s="43">
        <f t="shared" ref="ARW26:ARW29" si="2094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095">SUM(ARX26:ASC26)</f>
        <v>110</v>
      </c>
      <c r="ASE26" s="43">
        <f t="shared" ref="ASE26:ASE29" si="2096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097">SUM(ASF26:ASK26)</f>
        <v>660</v>
      </c>
      <c r="ASM26" s="43">
        <f t="shared" ref="ASM26:ASM29" si="2098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099">SUM(ASN26:ASS26)</f>
        <v>0</v>
      </c>
      <c r="ASU26" s="43">
        <f t="shared" ref="ASU26:ASU29" si="2100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1">SUM(ASV26:ATA26)</f>
        <v>220</v>
      </c>
      <c r="ATC26" s="43">
        <f t="shared" ref="ATC26:ATC29" si="2102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03">SUM(ATD26:ATI26)</f>
        <v>440</v>
      </c>
      <c r="ATK26" s="43">
        <f t="shared" ref="ATK26:ATK29" si="2104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05">SUM(ATL26:ATQ26)</f>
        <v>330</v>
      </c>
      <c r="ATS26" s="43">
        <f t="shared" ref="ATS26:ATS29" si="2106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07">SUM(ATT26:ATY26)</f>
        <v>245</v>
      </c>
      <c r="AUA26" s="43">
        <f t="shared" ref="AUA26:AUA29" si="2108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09">SUM(AUB26:AUG26)</f>
        <v>0</v>
      </c>
      <c r="AUI26" s="43">
        <f t="shared" ref="AUI26:AUI29" si="2110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1">SUM(AUJ26:AUO26)</f>
        <v>0</v>
      </c>
      <c r="AUQ26" s="43">
        <f t="shared" ref="AUQ26:AUQ29" si="2112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13">SUM(AUR26:AUW26)</f>
        <v>110</v>
      </c>
      <c r="AUY26" s="43">
        <f t="shared" ref="AUY26:AUY29" si="2114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15">SUM(AUZ26:AVE26)</f>
        <v>880</v>
      </c>
      <c r="AVG26" s="43">
        <f t="shared" ref="AVG26:AVG29" si="2116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17">SUM(AVH26:AVM26)</f>
        <v>0</v>
      </c>
      <c r="AVO26" s="43">
        <f t="shared" ref="AVO26:AVO29" si="2118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19">SUM(AVP26:AVU26)</f>
        <v>316</v>
      </c>
      <c r="AVW26" s="43">
        <f t="shared" ref="AVW26:AVW29" si="2120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1">SUM(AVX26:AWC26)</f>
        <v>220</v>
      </c>
      <c r="AWE26" s="43">
        <f t="shared" ref="AWE26:AWE29" si="2122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23">SUM(AWF26:AWK26)</f>
        <v>224</v>
      </c>
      <c r="AWM26" s="43">
        <f t="shared" ref="AWM26:AWM29" si="2124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25">SUM(AWN26:AWS26)</f>
        <v>392</v>
      </c>
      <c r="AWU26" s="43">
        <f t="shared" ref="AWU26:AWU29" si="2126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27">SUM(AWV26:AXA26)</f>
        <v>222</v>
      </c>
      <c r="AXC26" s="43">
        <f t="shared" ref="AXC26:AXC29" si="2128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29">SUM(AXD26:AXI26)</f>
        <v>0</v>
      </c>
      <c r="AXK26" s="43">
        <f t="shared" ref="AXK26:AXK29" si="2130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1">SUM(AXL26:AXP26)</f>
        <v>801</v>
      </c>
      <c r="AXS26" s="43">
        <f t="shared" ref="AXS26:AXS29" si="2132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33">SUM(AXT26:AXY26)</f>
        <v>500</v>
      </c>
      <c r="AYA26" s="43">
        <f t="shared" ref="AYA26:AYA29" si="2134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35">SUM(AYB26:AYG26)</f>
        <v>441</v>
      </c>
      <c r="AYI26" s="43">
        <f t="shared" ref="AYI26:AYI29" si="2136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37">SUM(AYJ26:AYO26)</f>
        <v>0</v>
      </c>
      <c r="AYQ26" s="43">
        <f t="shared" ref="AYQ26:AYQ29" si="2138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39">SUM(AYR26:AYW26)</f>
        <v>110</v>
      </c>
      <c r="AYY26" s="43">
        <f t="shared" ref="AYY26:AYY29" si="2140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1">SUM(AYZ26:AZE26)</f>
        <v>110</v>
      </c>
      <c r="AZG26" s="43">
        <f t="shared" ref="AZG26:AZG29" si="2142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43">SUM(AZH26:AZM26)</f>
        <v>110</v>
      </c>
      <c r="AZO26" s="43">
        <f t="shared" ref="AZO26:AZO29" si="2144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45">SUM(AZP26:AZU26)</f>
        <v>0</v>
      </c>
      <c r="AZW26" s="43">
        <f t="shared" ref="AZW26:AZW29" si="2146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47">SUM(AZX26:BAC26)</f>
        <v>325</v>
      </c>
      <c r="BAE26" s="43">
        <f t="shared" ref="BAE26:BAE29" si="2148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49">SUM(BAF26:BAK26)</f>
        <v>214</v>
      </c>
      <c r="BAM26" s="43">
        <f t="shared" ref="BAM26:BAM29" si="2150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1">SUM(BAN26:BAS26)</f>
        <v>206</v>
      </c>
      <c r="BAU26" s="43">
        <f t="shared" ref="BAU26:BAU29" si="2152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53">SUM(BAV26:BBA26)</f>
        <v>447</v>
      </c>
      <c r="BBC26" s="43">
        <f t="shared" ref="BBC26:BBC29" si="2154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55">SUM(BBD26:BBI26)</f>
        <v>332</v>
      </c>
      <c r="BBK26" s="43">
        <f t="shared" ref="BBK26:BBK29" si="2156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57">SUM(BBL26:BBQ26)</f>
        <v>220</v>
      </c>
      <c r="BBS26" s="43">
        <f t="shared" ref="BBS26:BBS29" si="2158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59">SUM(BBT26:BBY26)</f>
        <v>330</v>
      </c>
      <c r="BCA26" s="43">
        <f t="shared" ref="BCA26:BCA29" si="2160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1">SUM(BCB26:BCG26)</f>
        <v>543</v>
      </c>
      <c r="BCI26" s="43">
        <f t="shared" ref="BCI26:BCI29" si="2162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63">SUM(BCJ26:BCO26)</f>
        <v>0</v>
      </c>
      <c r="BCQ26" s="43">
        <f t="shared" ref="BCQ26:BCQ29" si="2164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65">SUM(BCR26:BCW26)</f>
        <v>228</v>
      </c>
      <c r="BCY26" s="43">
        <f t="shared" ref="BCY26:BCY29" si="2166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67">SUM(BCZ26:BDE26)</f>
        <v>217</v>
      </c>
      <c r="BDG26" s="43">
        <f t="shared" ref="BDG26:BDG29" si="2168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69">SUM(BDH26:BDM26)</f>
        <v>110</v>
      </c>
      <c r="BDO26" s="101">
        <f t="shared" ref="BDO26:BDO29" si="2170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1">SUM(BDP26:BDU26)</f>
        <v>330</v>
      </c>
      <c r="BDW26" s="101">
        <f t="shared" ref="BDW26:BDW29" si="2172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73">SUM(BDX26:BEC26)</f>
        <v>220</v>
      </c>
      <c r="BEE26" s="43">
        <f t="shared" ref="BEE26:BEE29" si="2174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75">SUM(BEF26:BEK26)</f>
        <v>330</v>
      </c>
      <c r="BEM26" s="43">
        <f t="shared" ref="BEM26:BEM29" si="2176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77">SUM(BEN26:BES26)</f>
        <v>0</v>
      </c>
      <c r="BEU26" s="43">
        <f t="shared" ref="BEU26:BEU29" si="2178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79">SUM(BEV26:BFA26)</f>
        <v>230</v>
      </c>
      <c r="BFC26" s="43">
        <f t="shared" ref="BFC26:BFC29" si="2180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1">SUM(BFD26:BFI26)</f>
        <v>223</v>
      </c>
      <c r="BFK26" s="43">
        <f t="shared" ref="BFK26:BFK29" si="2182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83">SUM(BFL26:BFQ26)</f>
        <v>306</v>
      </c>
      <c r="BFS26" s="43">
        <f t="shared" ref="BFS26:BFS29" si="2184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85">SUM(BFT26:BFY26)</f>
        <v>220</v>
      </c>
      <c r="BGA26" s="43">
        <f t="shared" ref="BGA26:BGA29" si="2186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87">SUM(BGB26:BGG26)</f>
        <v>0</v>
      </c>
      <c r="BGI26" s="43">
        <f t="shared" ref="BGI26:BGI29" si="2188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89">SUM(BGJ26:BGO26)</f>
        <v>160</v>
      </c>
      <c r="BGQ26" s="43">
        <f t="shared" ref="BGQ26:BGQ29" si="2190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1">SUM(BGR26:BGW26)</f>
        <v>161</v>
      </c>
      <c r="BGY26" s="43">
        <f t="shared" ref="BGY26:BGY29" si="2192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193">SUM(BGZ26:BHE26)</f>
        <v>306</v>
      </c>
      <c r="BHG26" s="43">
        <f t="shared" ref="BHG26:BHG29" si="2194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195">SUM(BHH26:BHM26)</f>
        <v>0</v>
      </c>
      <c r="BHO26" s="43">
        <f t="shared" ref="BHO26:BHO29" si="2196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197">SUM(BHP26:BHU26)</f>
        <v>242</v>
      </c>
      <c r="BHW26" s="43">
        <f t="shared" ref="BHW26:BHW29" si="2198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199">SUM(BHX26:BIC26)</f>
        <v>0</v>
      </c>
      <c r="BIE26" s="43">
        <f t="shared" ref="BIE26:BIE29" si="2200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1">SUM(BIF26:BIK26)</f>
        <v>0</v>
      </c>
      <c r="BIM26" s="43">
        <f t="shared" ref="BIM26:BIM29" si="2202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03">SUM(BIN26:BIS26)</f>
        <v>197</v>
      </c>
      <c r="BIU26" s="43">
        <f t="shared" ref="BIU26:BIU29" si="2204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05">SUM(BIV26:BJA26)</f>
        <v>220</v>
      </c>
      <c r="BJC26" s="43">
        <f t="shared" ref="BJC26:BJC29" si="2206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07">SUM(BJD26:BJI26)</f>
        <v>108</v>
      </c>
      <c r="BJK26" s="43">
        <f t="shared" ref="BJK26:BJK29" si="2208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09">SUM(BJL26:BJQ26)</f>
        <v>108</v>
      </c>
      <c r="BJS26" s="43">
        <f t="shared" ref="BJS26:BJS29" si="2210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1">SUM(BJT26:BJY26)</f>
        <v>110</v>
      </c>
      <c r="BKA26" s="43">
        <f t="shared" ref="BKA26:BKA29" si="2212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13">SUM(BKB26:BKG26)</f>
        <v>348</v>
      </c>
      <c r="BKI26" s="43">
        <f t="shared" ref="BKI26:BKI29" si="2214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15">SUM(BKJ26:BKO26)</f>
        <v>0</v>
      </c>
      <c r="BKQ26" s="43">
        <f t="shared" ref="BKQ26:BKQ29" si="2216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17">SUM(BKR26:BKW26)</f>
        <v>110</v>
      </c>
      <c r="BKY26" s="43">
        <f t="shared" ref="BKY26:BKY29" si="2218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19">SUM(BKZ26:BLE26)</f>
        <v>211</v>
      </c>
      <c r="BLG26" s="43">
        <f t="shared" ref="BLG26:BLG29" si="2220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1">SUM(BLH26:BLM26)</f>
        <v>223</v>
      </c>
      <c r="BLO26" s="68">
        <f t="shared" ref="BLO26:BLO29" si="2222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23">SUM(BLP26:BLU26)</f>
        <v>111</v>
      </c>
      <c r="BLW26" s="68">
        <f t="shared" ref="BLW26:BLW29" si="2224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25">SUM(BLX26:BMC26)</f>
        <v>220</v>
      </c>
      <c r="BME26" s="43">
        <f t="shared" ref="BME26:BME29" si="2226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27">SUM(BMF26:BMK26)</f>
        <v>110</v>
      </c>
      <c r="BMM26" s="43">
        <f t="shared" ref="BMM26:BMM29" si="2228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29">SUM(BMN26:BMS26)</f>
        <v>222</v>
      </c>
      <c r="BMU26" s="43">
        <f t="shared" ref="BMU26:BMU29" si="2230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1">SUM(BMV26:BNA26)</f>
        <v>277</v>
      </c>
      <c r="BNC26" s="43">
        <f t="shared" ref="BNC26:BNC29" si="2232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33">SUM(BND26:BNI26)</f>
        <v>230</v>
      </c>
      <c r="BNK26" s="184">
        <f t="shared" ref="BNK26:BNK29" si="2234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35">SUM(BNL26:BNQ26)</f>
        <v>220</v>
      </c>
      <c r="BNS26" s="211">
        <f t="shared" ref="BNS26:BNS29" si="2236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37">SUM(BNT26:BNY26)</f>
        <v>108</v>
      </c>
      <c r="BOA26" s="184">
        <f t="shared" ref="BOA26:BOA29" si="2238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39">SUM(BOB26:BOG26)</f>
        <v>0</v>
      </c>
      <c r="BOI26" s="68">
        <f t="shared" ref="BOI26:BOI29" si="2240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1">SUM(BOJ26:BOO26)</f>
        <v>218</v>
      </c>
      <c r="BOQ26" s="68">
        <f t="shared" ref="BOQ26:BOQ29" si="2242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43">SUM(BOR26:BOW26)</f>
        <v>199</v>
      </c>
      <c r="BOY26" s="68">
        <f t="shared" ref="BOY26:BOY29" si="2244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45">SUM(BOZ26:BPE26)</f>
        <v>331</v>
      </c>
      <c r="BPG26" s="68">
        <f t="shared" ref="BPG26:BPG29" si="2246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47">SUM(BPH26:BPM26)</f>
        <v>0</v>
      </c>
      <c r="BPO26" s="68">
        <f t="shared" ref="BPO26:BPO29" si="2248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49">SUM(BPP26:BPU26)</f>
        <v>212</v>
      </c>
      <c r="BPW26" s="68">
        <f t="shared" ref="BPW26:BPW29" si="2250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1">SUM(BPX26:BQC26)</f>
        <v>0</v>
      </c>
      <c r="BQE26" s="68">
        <f t="shared" ref="BQE26:BQE29" si="2252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53">SUM(BQF26:BQK26)</f>
        <v>220</v>
      </c>
      <c r="BQM26" s="68">
        <f t="shared" ref="BQM26:BQM29" si="2254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55">SUM(BQN26:BQS26)</f>
        <v>316</v>
      </c>
      <c r="BQU26" s="68">
        <f t="shared" ref="BQU26:BQU29" si="2256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57">SUM(BQV26:BRA26)</f>
        <v>110</v>
      </c>
      <c r="BRC26" s="68">
        <f t="shared" ref="BRC26:BRC29" si="2258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59">SUM(BRD26:BRI26)</f>
        <v>431</v>
      </c>
      <c r="BRK26" s="68">
        <f t="shared" ref="BRK26:BRK29" si="2260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1">SUM(BRL26:BRQ26)</f>
        <v>453</v>
      </c>
      <c r="BRS26" s="68">
        <f t="shared" ref="BRS26:BRS29" si="2262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63">SUM(BRT26:BRY26)</f>
        <v>330</v>
      </c>
      <c r="BSA26" s="68">
        <f t="shared" ref="BSA26:BSA29" si="2264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65">SUM(BSB26:BSG26)</f>
        <v>330</v>
      </c>
      <c r="BSI26" s="68">
        <f t="shared" ref="BSI26:BSI29" si="2266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67">SUM(BSJ26:BSO26)</f>
        <v>340</v>
      </c>
      <c r="BSQ26" s="68">
        <f t="shared" ref="BSQ26:BSQ29" si="2268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69">SUM(BSR26:BSW26)</f>
        <v>0</v>
      </c>
      <c r="BSY26" s="68">
        <f t="shared" ref="BSY26:BSY29" si="2270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1">SUM(BSZ26:BTE26)</f>
        <v>108</v>
      </c>
      <c r="BTG26" s="68">
        <f t="shared" ref="BTG26:BTG29" si="2272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73">SUM(BTH26:BTM26)</f>
        <v>200</v>
      </c>
      <c r="BTO26" s="68">
        <f t="shared" ref="BTO26:BTO29" si="2274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75">SUM(BTP26:BTU26)</f>
        <v>610</v>
      </c>
      <c r="BTW26" s="68">
        <f t="shared" ref="BTW26:BTW29" si="2276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77">SUM(BTX26:BUC26)</f>
        <v>408</v>
      </c>
      <c r="BUE26" s="68">
        <f t="shared" ref="BUE26:BUE29" si="2278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79">SUM(BUF26:BUK26)</f>
        <v>240</v>
      </c>
      <c r="BUM26" s="68">
        <f t="shared" ref="BUM26:BUM29" si="2280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1">SUM(BUN26:BUS26)</f>
        <v>220</v>
      </c>
      <c r="BUU26" s="68">
        <f t="shared" ref="BUU26:BUU29" si="2282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83">SUM(BUV26:BVA26)</f>
        <v>107</v>
      </c>
      <c r="BVC26" s="68">
        <f t="shared" ref="BVC26:BVC29" si="2284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85">SUM(BVD26:BVI26)</f>
        <v>501</v>
      </c>
      <c r="BVK26" s="68">
        <f t="shared" ref="BVK26:BVK29" si="2286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87">SUM(BVL26:BVQ26)</f>
        <v>110</v>
      </c>
      <c r="BVS26" s="68">
        <f t="shared" ref="BVS26:BVS29" si="2288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89">SUM(BVT26:BVY26)</f>
        <v>264</v>
      </c>
      <c r="BWA26" s="68">
        <f t="shared" ref="BWA26:BWA29" si="2290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1">SUM(BWB26:BWG26)</f>
        <v>0</v>
      </c>
      <c r="BWI26" s="68">
        <f t="shared" ref="BWI26:BWI29" si="2292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293">SUM(BWJ26:BWO26)</f>
        <v>344</v>
      </c>
      <c r="BWQ26" s="68">
        <f t="shared" ref="BWQ26:BWQ29" si="2294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295">SUM(BWR26:BWW26)</f>
        <v>0</v>
      </c>
      <c r="BWY26" s="68">
        <f t="shared" ref="BWY26:BWY29" si="2296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297">SUM(BWZ26:BXE26)</f>
        <v>160</v>
      </c>
      <c r="BXG26" s="68">
        <f t="shared" ref="BXG26:BXG29" si="2298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299">SUM(BXH26:BXM26)</f>
        <v>0</v>
      </c>
      <c r="BXO26" s="68">
        <f t="shared" ref="BXO26:BXO29" si="2300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1">SUM(BXP26:BXU26)</f>
        <v>311</v>
      </c>
      <c r="BXW26" s="68">
        <f t="shared" ref="BXW26:BXW29" si="2302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03">SUM(BXX26:BYC26)</f>
        <v>0</v>
      </c>
      <c r="BYE26" s="68">
        <f t="shared" ref="BYE26:BYE29" si="2304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05">SUM(BYF26:BYK26)</f>
        <v>220</v>
      </c>
      <c r="BYM26" s="68">
        <f t="shared" ref="BYM26:BYM29" si="2306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07">SUM(BYN26:BYS26)</f>
        <v>0</v>
      </c>
      <c r="BYU26" s="68">
        <f t="shared" ref="BYU26:BYU29" si="2308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09">SUM(BYV26:BZA26)</f>
        <v>295</v>
      </c>
      <c r="BZC26" s="68">
        <f t="shared" ref="BZC26:BZC29" si="2310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1">SUM(BZD26:BZI26)</f>
        <v>0</v>
      </c>
      <c r="BZK26" s="68">
        <f t="shared" ref="BZK26:BZK29" si="2312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13">SUM(BZL26:BZQ26)</f>
        <v>337</v>
      </c>
      <c r="BZS26" s="68">
        <f t="shared" ref="BZS26:BZS29" si="2314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15">SUM(BZT26:BZY26)</f>
        <v>0</v>
      </c>
      <c r="CAA26" s="68">
        <f t="shared" ref="CAA26:CAA29" si="2316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17">SUM(CAB26:CAG26)</f>
        <v>219</v>
      </c>
      <c r="CAI26" s="68">
        <f t="shared" ref="CAI26:CAI29" si="2318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19">SUM(CAJ26:CAO26)</f>
        <v>229</v>
      </c>
      <c r="CAQ26" s="68">
        <f t="shared" ref="CAQ26:CAQ29" si="2320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1">SUM(CAR26:CAW26)</f>
        <v>0</v>
      </c>
      <c r="CAY26" s="68">
        <f t="shared" ref="CAY26:CAY29" si="2322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23">SUM(CAZ26:CBE26)</f>
        <v>229</v>
      </c>
      <c r="CBG26" s="68">
        <f t="shared" ref="CBG26:CBG29" si="2324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25">SUM(CBH26:CBM26)</f>
        <v>110</v>
      </c>
      <c r="CBO26" s="68">
        <f t="shared" ref="CBO26:CBO29" si="2326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27">SUM(CBP26:CBU26)</f>
        <v>0</v>
      </c>
      <c r="CBW26" s="68">
        <f t="shared" ref="CBW26:CBW29" si="2328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29">SUM(CBX26:CCC26)</f>
        <v>100</v>
      </c>
      <c r="CCE26" s="68">
        <f t="shared" ref="CCE26:CCE29" si="2330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1">SUM(CCF26:CCK26)</f>
        <v>111</v>
      </c>
      <c r="CCM26" s="68">
        <f t="shared" ref="CCM26:CCM29" si="2332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33">SUM(CCN26:CCS26)</f>
        <v>0</v>
      </c>
      <c r="CCU26" s="68">
        <f t="shared" ref="CCU26:CCU29" si="2334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35">SUM(CCV26:CDA26)</f>
        <v>193</v>
      </c>
      <c r="CDC26" s="68">
        <f t="shared" ref="CDC26:CDC29" si="2336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37">SUM(CDD26:CDI26)</f>
        <v>0</v>
      </c>
      <c r="CDK26" s="68">
        <f t="shared" ref="CDK26:CDK29" si="2338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39">SUM(CDL26:CDQ26)</f>
        <v>170</v>
      </c>
      <c r="CDS26" s="68">
        <f t="shared" ref="CDS26:CDS29" si="2340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1">SUM(CDT26:CDY26)</f>
        <v>104</v>
      </c>
      <c r="CEA26" s="68">
        <f t="shared" ref="CEA26:CEA29" si="2342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43">SUM(CEB26:CEG26)</f>
        <v>219</v>
      </c>
      <c r="CEI26" s="184">
        <f t="shared" ref="CEI26:CEI29" si="2344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45">SUM(CEJ26:CEO26)</f>
        <v>217</v>
      </c>
      <c r="CEQ26" s="68">
        <f t="shared" ref="CEQ26:CEQ29" si="2346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47">SUM(CEX26:CFC26)</f>
        <v>0</v>
      </c>
      <c r="CFE26" s="68">
        <f t="shared" ref="CFE26:CFE29" si="2348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49">SUM(CFF26:CFK26)</f>
        <v>109</v>
      </c>
      <c r="CFM26" s="68">
        <f t="shared" ref="CFM26:CFM29" si="2350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1">SUM(CFN26:CFS26)</f>
        <v>234</v>
      </c>
      <c r="CFU26" s="68">
        <f t="shared" ref="CFU26:CFU29" si="2352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53">SUM(CFV26:CGA26)</f>
        <v>0</v>
      </c>
      <c r="CGC26" s="68">
        <f t="shared" ref="CGC26:CGC29" si="2354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55">SUM(CGD26:CGI26)</f>
        <v>113</v>
      </c>
      <c r="CGK26" s="68">
        <f t="shared" ref="CGK26:CGK29" si="2356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57">SUM(CGL26:CGQ26)</f>
        <v>100</v>
      </c>
      <c r="CGS26" s="68">
        <f t="shared" ref="CGS26:CGS29" si="2358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59">SUM(CGT26:CGY26)</f>
        <v>0</v>
      </c>
      <c r="CHA26" s="68">
        <f t="shared" ref="CHA26:CHA29" si="2360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1">SUM(CHB26:CHG26)</f>
        <v>160</v>
      </c>
      <c r="CHI26" s="68">
        <f t="shared" ref="CHI26:CHI29" si="2362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63">SUM(CHJ26:CHO26)</f>
        <v>40</v>
      </c>
      <c r="CHQ26" s="68">
        <f t="shared" ref="CHQ26:CHQ29" si="2364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65">SUM(CHR26:CHW26)</f>
        <v>364</v>
      </c>
      <c r="CHY26" s="68">
        <f t="shared" ref="CHY26:CHY29" si="2366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67">SUM(CHZ26:CIE26)</f>
        <v>0</v>
      </c>
      <c r="CIG26" s="68">
        <f t="shared" ref="CIG26:CIG29" si="2368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69">SUM(CIH26:CIM26)</f>
        <v>0</v>
      </c>
      <c r="CIO26" s="68">
        <f t="shared" ref="CIO26:CIO29" si="2370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1">SUM(CIP26:CIU26)</f>
        <v>111</v>
      </c>
      <c r="CIW26" s="68">
        <f t="shared" ref="CIW26:CIW29" si="2372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73">SUM(CIX26:CJC26)</f>
        <v>210</v>
      </c>
      <c r="CJE26" s="43">
        <f t="shared" ref="CJE26:CJE29" si="2374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75">SUM(CJF26:CJK26)</f>
        <v>0</v>
      </c>
      <c r="CJM26" s="43">
        <f t="shared" ref="CJM26:CJM29" si="2376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77">SUM(CJN26:CJS26)</f>
        <v>220</v>
      </c>
      <c r="CJU26" s="43">
        <f t="shared" ref="CJU26:CJU29" si="2378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79">SUM(CJV26:CKA26)</f>
        <v>0</v>
      </c>
      <c r="CKC26" s="43">
        <f t="shared" ref="CKC26:CKC29" si="2380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1">SUM(CKD26:CKI26)</f>
        <v>110</v>
      </c>
      <c r="CKK26" s="43">
        <f t="shared" ref="CKK26:CKK29" si="2382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83">SUM(CKL26:CKQ26)</f>
        <v>0</v>
      </c>
      <c r="CKS26" s="43">
        <f t="shared" ref="CKS26:CKS29" si="2384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85">SUM(CKT26:CKY26)</f>
        <v>0</v>
      </c>
      <c r="CLA26" s="43">
        <f t="shared" ref="CLA26:CLA29" si="2386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87">SUM(CLB26:CLG26)</f>
        <v>0</v>
      </c>
      <c r="CLI26" s="43">
        <f t="shared" ref="CLI26:CLI29" si="2388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89">SUM(CLJ26:CLO26)</f>
        <v>150</v>
      </c>
      <c r="CLQ26" s="43">
        <f t="shared" ref="CLQ26:CLQ29" si="2390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1">SUM(CLR26:CLW26)</f>
        <v>0</v>
      </c>
      <c r="CLY26" s="43">
        <f t="shared" ref="CLY26:CLY29" si="2392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393">SUM(CLZ26:CME26)</f>
        <v>120</v>
      </c>
      <c r="CMG26" s="43">
        <f t="shared" ref="CMG26:CMG29" si="2394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395">SUM(CMH26:CMM26)</f>
        <v>110</v>
      </c>
      <c r="CMO26" s="43">
        <f t="shared" ref="CMO26:CMO29" si="2396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397">SUM(CMP26:CMU26)</f>
        <v>0</v>
      </c>
      <c r="CMW26" s="43">
        <f t="shared" ref="CMW26:CMW29" si="2398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399">SUM(CMX26:CNC26)</f>
        <v>210</v>
      </c>
      <c r="CNE26" s="68">
        <f t="shared" ref="CNE26:CNE29" si="2400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1">SUM(CNF26:CNK26)</f>
        <v>0</v>
      </c>
      <c r="CNM26" s="68">
        <f t="shared" ref="CNM26:CNM29" si="2402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03">SUM(CNN26:CNS26)</f>
        <v>0</v>
      </c>
      <c r="CNU26" s="68">
        <f t="shared" ref="CNU26:CNU29" si="2404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05">SUM(CNV26:COA26)</f>
        <v>51</v>
      </c>
      <c r="COC26" s="68">
        <f t="shared" ref="COC26:COC29" si="2406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07">SUM(COD26:COI26)</f>
        <v>50</v>
      </c>
      <c r="COK26" s="68">
        <f t="shared" ref="COK26:COK29" si="2408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09">SUM(COL26:COQ26)</f>
        <v>158</v>
      </c>
      <c r="COS26" s="68">
        <f t="shared" ref="COS26:COS29" si="2410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1">SUM(COT26:COY26)</f>
        <v>0</v>
      </c>
      <c r="CPA26" s="68">
        <f t="shared" ref="CPA26:CPA29" si="2412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13">SUM(CPB26:CPG26)</f>
        <v>0</v>
      </c>
      <c r="CPI26" s="68">
        <f t="shared" ref="CPI26:CPI29" si="2414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15">SUM(CPJ26:CPO26)</f>
        <v>220</v>
      </c>
      <c r="CPQ26" s="68">
        <f t="shared" ref="CPQ26:CPQ29" si="2416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17">SUM(CPR26:CPW26)</f>
        <v>109</v>
      </c>
      <c r="CPY26" s="68">
        <f t="shared" ref="CPY26:CPY29" si="2418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19">SUM(CPZ26:CQE26)</f>
        <v>0</v>
      </c>
      <c r="CQG26" s="68">
        <f t="shared" ref="CQG26:CQG29" si="2420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1">SUM(CQH26:CQM26)</f>
        <v>0</v>
      </c>
      <c r="CQO26" s="43">
        <f t="shared" ref="CQO26:CQO29" si="2422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23">SUM(CQP26:CQU26)</f>
        <v>0</v>
      </c>
      <c r="CQW26" s="43">
        <f t="shared" ref="CQW26:CQW29" si="2424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25">SUM(CQX26:CRC26)</f>
        <v>30</v>
      </c>
      <c r="CRE26" s="43">
        <f t="shared" ref="CRE26:CRE29" si="2426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27">SUM(CRF26:CRK26)</f>
        <v>110</v>
      </c>
      <c r="CRM26" s="43">
        <f t="shared" ref="CRM26:CRM29" si="2428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29">SUM(CRN26:CRS26)</f>
        <v>0</v>
      </c>
      <c r="CRU26" s="43">
        <f t="shared" ref="CRU26:CRU29" si="2430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1">SUM(CRV26:CSA26)</f>
        <v>80</v>
      </c>
      <c r="CSC26" s="43">
        <f t="shared" ref="CSC26:CSC29" si="2432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33">SUM(CSD26:CSI26)</f>
        <v>0</v>
      </c>
      <c r="CSK26" s="43">
        <f t="shared" ref="CSK26:CSK29" si="2434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35">SUM(CSL26:CSQ26)</f>
        <v>220</v>
      </c>
      <c r="CSS26" s="43">
        <f t="shared" ref="CSS26:CSS29" si="2436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37">SUM(CST26:CSY26)</f>
        <v>0</v>
      </c>
      <c r="CTA26" s="43">
        <f t="shared" ref="CTA26:CTA29" si="2438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39">SUM(CTB26:CTG26)</f>
        <v>110</v>
      </c>
      <c r="CTI26" s="43">
        <f t="shared" ref="CTI26:CTI29" si="2440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1">SUM(CTJ26:CTO26)</f>
        <v>328</v>
      </c>
      <c r="CTQ26" s="68">
        <f t="shared" ref="CTQ26:CTQ29" si="2442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43">SUM(CTR26:CTW26)</f>
        <v>0</v>
      </c>
      <c r="CTY26" s="68">
        <f t="shared" ref="CTY26:CTY29" si="2444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45">SUM(CTZ26:CUE26)</f>
        <v>0</v>
      </c>
      <c r="CUG26" s="68">
        <f t="shared" ref="CUG26:CUG29" si="2446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47">SUM(CUH26:CUM26)</f>
        <v>302</v>
      </c>
      <c r="CUO26" s="68">
        <f t="shared" ref="CUO26:CUO29" si="2448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49">SUM(CUP26:CUU26)</f>
        <v>53</v>
      </c>
      <c r="CUW26" s="68">
        <f t="shared" ref="CUW26:CUW29" si="2450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1">SUM(CUX26:CVC26)</f>
        <v>0</v>
      </c>
      <c r="CVE26" s="68">
        <f t="shared" ref="CVE26:CVE29" si="2452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53">SUM(CVF26:CVK26)</f>
        <v>221</v>
      </c>
      <c r="CVM26" s="68">
        <f t="shared" ref="CVM26:CVM29" si="2454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55">SUM(CVN26:CVS26)</f>
        <v>0</v>
      </c>
      <c r="CVU26" s="68">
        <f t="shared" ref="CVU26:CVU29" si="2456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57">SUM(CVV26:CWA26)</f>
        <v>77</v>
      </c>
      <c r="CWC26" s="68">
        <f t="shared" ref="CWC26:CWC29" si="2458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59">SUM(CWD26:CWI26)</f>
        <v>110</v>
      </c>
      <c r="CWK26" s="68">
        <f t="shared" ref="CWK26:CWK29" si="2460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1">SUM(CWL26:CWQ26)</f>
        <v>189</v>
      </c>
      <c r="CWS26" s="68">
        <f t="shared" ref="CWS26:CWS29" si="2462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63">SUM(CWT26:CWY26)</f>
        <v>0</v>
      </c>
      <c r="CXA26" s="68">
        <f t="shared" ref="CXA26:CXA29" si="2464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65">SUM(CXB26:CXG26)</f>
        <v>131</v>
      </c>
      <c r="CXI26" s="68">
        <f t="shared" ref="CXI26:CXI29" si="2466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67">SUM(CXJ26:CXO26)</f>
        <v>0</v>
      </c>
      <c r="CXQ26" s="68">
        <f t="shared" ref="CXQ26:CXQ29" si="2468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69">SUM(CXR26:CXW26)</f>
        <v>204</v>
      </c>
      <c r="CXY26" s="68">
        <f t="shared" ref="CXY26:CXY29" si="2470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1">SUM(CXZ26:CYE26)</f>
        <v>0</v>
      </c>
      <c r="CYG26" s="68">
        <f t="shared" ref="CYG26:CYG29" si="2472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73">SUM(CYH26:CYM26)</f>
        <v>0</v>
      </c>
      <c r="CYO26" s="68">
        <f t="shared" ref="CYO26:CYO29" si="2474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75">SUM(CYP26:CYU26)</f>
        <v>221</v>
      </c>
      <c r="CYW26" s="68">
        <f t="shared" ref="CYW26:CYW29" si="2476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77">SUM(CYX26:CZC26)</f>
        <v>0</v>
      </c>
      <c r="CZE26" s="68">
        <f t="shared" ref="CZE26:CZE29" si="2478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47"/>
        <v>218</v>
      </c>
      <c r="CZM26" s="68">
        <f t="shared" si="1648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49"/>
        <v>0</v>
      </c>
      <c r="CZU26" s="68">
        <f t="shared" si="1650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1"/>
        <v>110</v>
      </c>
      <c r="DAC26" s="68">
        <f t="shared" si="1652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3"/>
        <v>100</v>
      </c>
      <c r="DAK26" s="68">
        <f t="shared" si="1654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55"/>
        <v>200</v>
      </c>
      <c r="DAS26" s="68">
        <f t="shared" si="1656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57"/>
        <v>0</v>
      </c>
      <c r="DBA26" s="68">
        <f t="shared" si="1658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59"/>
        <v>50</v>
      </c>
      <c r="DBI26" s="492">
        <f t="shared" si="1660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1"/>
        <v>234</v>
      </c>
      <c r="DBQ26" s="68">
        <f t="shared" si="1662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3"/>
        <v>200</v>
      </c>
      <c r="DBY26" s="68">
        <f t="shared" si="1664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65"/>
        <v>70</v>
      </c>
      <c r="DCG26" s="492">
        <f t="shared" si="1666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67"/>
        <v>0</v>
      </c>
      <c r="DCO26" s="68">
        <f t="shared" si="1668"/>
        <v>0</v>
      </c>
      <c r="DCP26" s="48"/>
      <c r="DCQ26" s="49"/>
      <c r="DCR26" s="49"/>
      <c r="DCS26" s="49"/>
      <c r="DCT26" s="49"/>
      <c r="DCU26" s="49"/>
      <c r="DCV26" s="491">
        <f t="shared" si="1669"/>
        <v>0</v>
      </c>
      <c r="DCW26" s="492">
        <f t="shared" si="1670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1"/>
        <v>100</v>
      </c>
      <c r="DDE26" s="492">
        <f t="shared" si="1672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3"/>
        <v>50</v>
      </c>
      <c r="DDM26" s="492">
        <f t="shared" si="1674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75"/>
        <v>320</v>
      </c>
      <c r="DDU26" s="68">
        <f t="shared" si="1676"/>
        <v>53.333333333333336</v>
      </c>
      <c r="DDV26" s="48"/>
      <c r="DDW26" s="49"/>
      <c r="DDX26" s="49"/>
      <c r="DDY26" s="49"/>
      <c r="DDZ26" s="49"/>
      <c r="DEA26" s="49"/>
      <c r="DEB26" s="491">
        <f t="shared" si="1677"/>
        <v>0</v>
      </c>
      <c r="DEC26" s="492">
        <f t="shared" si="1678"/>
        <v>0</v>
      </c>
      <c r="DED26" s="48"/>
      <c r="DEE26" s="49"/>
      <c r="DEF26" s="49"/>
      <c r="DEG26" s="49"/>
      <c r="DEH26" s="49"/>
      <c r="DEI26" s="49"/>
      <c r="DEJ26" s="491">
        <f t="shared" si="1679"/>
        <v>0</v>
      </c>
      <c r="DEK26" s="492">
        <f t="shared" si="1680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1"/>
        <v>439</v>
      </c>
      <c r="DES26" s="68">
        <f t="shared" si="1682"/>
        <v>73.166666666666671</v>
      </c>
      <c r="DET26" s="63"/>
      <c r="DEU26" s="64"/>
      <c r="DEV26" s="64"/>
      <c r="DEW26" s="64"/>
      <c r="DEX26" s="64"/>
      <c r="DEY26" s="64"/>
      <c r="DEZ26" s="491">
        <f t="shared" si="1683"/>
        <v>0</v>
      </c>
      <c r="DFA26" s="492">
        <f t="shared" si="1684"/>
        <v>0</v>
      </c>
      <c r="DFB26" s="82"/>
      <c r="DFC26" s="83"/>
      <c r="DFD26" s="83"/>
      <c r="DFE26" s="83"/>
      <c r="DFF26" s="83"/>
      <c r="DFG26" s="83"/>
      <c r="DFH26" s="64">
        <f t="shared" si="1685"/>
        <v>0</v>
      </c>
      <c r="DFI26" s="68">
        <f t="shared" si="1686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87"/>
        <v>0</v>
      </c>
      <c r="DFQ26" s="68">
        <f t="shared" si="1688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89"/>
        <v>100</v>
      </c>
      <c r="DFY26" s="68">
        <f t="shared" si="1690"/>
        <v>16.666666666666668</v>
      </c>
      <c r="DFZ26" s="48"/>
      <c r="DGA26" s="49"/>
      <c r="DGB26" s="49"/>
      <c r="DGC26" s="49"/>
      <c r="DGD26" s="49"/>
      <c r="DGE26" s="49"/>
      <c r="DGF26" s="64">
        <f t="shared" si="1691"/>
        <v>0</v>
      </c>
      <c r="DGG26" s="68">
        <f t="shared" si="1692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3"/>
        <v>150</v>
      </c>
      <c r="DGO26" s="68">
        <f t="shared" si="1694"/>
        <v>25</v>
      </c>
      <c r="DGP26" s="48"/>
      <c r="DGQ26" s="49"/>
      <c r="DGR26" s="49"/>
      <c r="DGS26" s="49"/>
      <c r="DGT26" s="49"/>
      <c r="DGU26" s="49"/>
      <c r="DGV26" s="64">
        <f t="shared" si="1695"/>
        <v>0</v>
      </c>
      <c r="DGW26" s="68">
        <f t="shared" si="1696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697"/>
        <v>153</v>
      </c>
      <c r="DHE26" s="68">
        <f t="shared" si="1698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699"/>
        <v>110</v>
      </c>
      <c r="DHM26" s="68">
        <f t="shared" si="1700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1"/>
        <v>49</v>
      </c>
      <c r="DHU26" s="68">
        <f t="shared" si="1702"/>
        <v>8.1666666666666661</v>
      </c>
      <c r="DHV26" s="48"/>
      <c r="DHW26" s="49"/>
      <c r="DHX26" s="49"/>
      <c r="DHY26" s="49"/>
      <c r="DHZ26" s="49"/>
      <c r="DIA26" s="49"/>
      <c r="DIB26" s="64">
        <f t="shared" si="1703"/>
        <v>0</v>
      </c>
      <c r="DIC26" s="68">
        <f t="shared" si="1704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05"/>
        <v>50</v>
      </c>
      <c r="DIK26" s="184">
        <f t="shared" si="1706"/>
        <v>8.3333333333333339</v>
      </c>
      <c r="DIL26" s="195"/>
      <c r="DIM26" s="49"/>
      <c r="DIN26" s="49"/>
      <c r="DIO26" s="49"/>
      <c r="DIP26" s="49"/>
      <c r="DIQ26" s="49"/>
      <c r="DIR26" s="64">
        <f t="shared" si="1707"/>
        <v>0</v>
      </c>
      <c r="DIS26" s="184">
        <f t="shared" si="1708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09"/>
        <v>109</v>
      </c>
      <c r="DJA26" s="68">
        <f t="shared" si="1710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79">SUM(DJB26:DJG26)</f>
        <v>100</v>
      </c>
      <c r="DJI26" s="68">
        <f t="shared" ref="DJI26:DJI29" si="2480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1">SUM(DJJ26:DJO26)</f>
        <v>101</v>
      </c>
      <c r="DJQ26" s="68">
        <f t="shared" ref="DJQ26:DJQ29" si="2482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83">SUM(DJR26:DJW26)</f>
        <v>0</v>
      </c>
      <c r="DJY26" s="68">
        <f t="shared" ref="DJY26:DJY29" si="2484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85">SUM(DJZ26:DKE26)</f>
        <v>100</v>
      </c>
      <c r="DKG26" s="68">
        <f t="shared" ref="DKG26:DKG29" si="2486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87">SUM(DKH26:DKM26)</f>
        <v>0</v>
      </c>
      <c r="DKO26" s="68">
        <f t="shared" ref="DKO26:DKO29" si="2488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89">SUM(DKP26:DKU26)</f>
        <v>0</v>
      </c>
      <c r="DKW26" s="184">
        <f t="shared" ref="DKW26:DKW29" si="2490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1">SUM(DKX26:DLC26)</f>
        <v>100</v>
      </c>
      <c r="DLE26" s="184">
        <f t="shared" ref="DLE26:DLE29" si="2492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493">SUM(DLF26:DLK26)</f>
        <v>150</v>
      </c>
      <c r="DLM26" s="68">
        <f t="shared" ref="DLM26:DLM29" si="2494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495">SUM(DLN26:DLS26)</f>
        <v>0</v>
      </c>
      <c r="DLU26" s="68">
        <f t="shared" ref="DLU26:DLU29" si="2496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497">SUM(DLV26:DMA26)</f>
        <v>0</v>
      </c>
      <c r="DMC26" s="68">
        <f t="shared" ref="DMC26:DMC29" si="2498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499">SUM(DMD26:DMI26)</f>
        <v>100</v>
      </c>
      <c r="DMK26" s="68">
        <f t="shared" ref="DMK26:DMK29" si="2500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1">SUM(DML26:DMQ26)</f>
        <v>51</v>
      </c>
      <c r="DMS26" s="68">
        <f t="shared" ref="DMS26:DMS29" si="2502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03">SUM(DMT26:DMY26)</f>
        <v>100</v>
      </c>
      <c r="DNA26" s="68">
        <f t="shared" ref="DNA26:DNA29" si="2504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05">SUM(DNB26:DNG26)</f>
        <v>100</v>
      </c>
      <c r="DNI26" s="68">
        <f t="shared" ref="DNI26:DNI29" si="2506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07">SUM(DNJ26:DNO26)</f>
        <v>0</v>
      </c>
      <c r="DNQ26" s="68">
        <f t="shared" ref="DNQ26:DNQ29" si="2508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09">SUM(DNR26:DNW26)</f>
        <v>0</v>
      </c>
      <c r="DNY26" s="68">
        <f t="shared" ref="DNY26:DNY29" si="2510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1">SUM(DNZ26:DOE26)</f>
        <v>100</v>
      </c>
      <c r="DOG26" s="68">
        <f t="shared" ref="DOG26:DOG29" si="2512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13">SUM(DOH26:DOM26)</f>
        <v>0</v>
      </c>
      <c r="DOO26" s="68">
        <f t="shared" ref="DOO26:DOO29" si="2514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15">SUM(DOP26:DOU26)</f>
        <v>100</v>
      </c>
      <c r="DOW26" s="68">
        <f t="shared" ref="DOW26:DOW29" si="2516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17">SUM(DOX26:DPC26)</f>
        <v>300</v>
      </c>
      <c r="DPE26" s="68">
        <f t="shared" ref="DPE26:DPE29" si="2518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19">SUM(DPF26:DPK26)</f>
        <v>0</v>
      </c>
      <c r="DPM26" s="68">
        <f t="shared" ref="DPM26:DPM29" si="2520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1">SUM(DPN26:DPS26)</f>
        <v>0</v>
      </c>
      <c r="DPU26" s="68">
        <f t="shared" ref="DPU26:DPU29" si="2522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23">SUM(DPV26:DQA26)</f>
        <v>0</v>
      </c>
      <c r="DQC26" s="68">
        <f t="shared" ref="DQC26:DQC29" si="2524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25">SUM(DQD26:DQI26)</f>
        <v>110</v>
      </c>
      <c r="DQK26" s="68">
        <f t="shared" ref="DQK26:DQK29" si="2526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27">SUM(DQL26:DQQ26)</f>
        <v>0</v>
      </c>
      <c r="DQS26" s="68">
        <f t="shared" ref="DQS26:DQS29" si="2528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29">SUM(DQT26:DQY26)</f>
        <v>0</v>
      </c>
      <c r="DRA26" s="68">
        <f t="shared" ref="DRA26:DRA29" si="2530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1">SUM(DRB26:DRG26)</f>
        <v>0</v>
      </c>
      <c r="DRI26" s="68">
        <f t="shared" ref="DRI26:DRI29" si="2532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33">SUM(DRJ26:DRO26)</f>
        <v>101</v>
      </c>
      <c r="DRQ26" s="68">
        <f t="shared" ref="DRQ26:DRQ29" si="2534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35">SUM(DRR26:DRW26)</f>
        <v>99</v>
      </c>
      <c r="DRY26" s="68">
        <f t="shared" ref="DRY26:DRY29" si="2536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37">SUM(DRZ26:DSE26)</f>
        <v>220</v>
      </c>
      <c r="DSG26" s="68">
        <f t="shared" ref="DSG26:DSG29" si="2538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39">SUM(DSH26:DSM26)</f>
        <v>0</v>
      </c>
      <c r="DSO26" s="68">
        <f t="shared" ref="DSO26:DSO29" si="2540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1">SUM(DSP26:DSU26)</f>
        <v>0</v>
      </c>
      <c r="DSW26" s="68">
        <f t="shared" ref="DSW26:DSW29" si="2542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43">SUM(DSX26:DTC26)</f>
        <v>0</v>
      </c>
      <c r="DTE26" s="68">
        <f t="shared" ref="DTE26:DTE29" si="2544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45">SUM(DTN26:DTS26)</f>
        <v>101</v>
      </c>
      <c r="DTU26" s="68">
        <f t="shared" ref="DTU26:DTU30" si="2546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47">SUM(DTV26:DUA26)</f>
        <v>0</v>
      </c>
      <c r="DUC26" s="68">
        <f t="shared" ref="DUC26:DUC30" si="2548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49">SUM(DUD26:DUI26)</f>
        <v>0</v>
      </c>
      <c r="DUK26" s="68">
        <f t="shared" ref="DUK26:DUK30" si="2550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1">SUM(DUL26:DUQ26)</f>
        <v>110</v>
      </c>
      <c r="DUS26" s="68">
        <f t="shared" ref="DUS26:DUS30" si="2552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53">SUM(DUT26:DUY26)</f>
        <v>0</v>
      </c>
      <c r="DVA26" s="68">
        <f t="shared" ref="DVA26:DVA30" si="2554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55">SUM(DVB26:DVG26)</f>
        <v>110</v>
      </c>
      <c r="DVI26" s="68">
        <f t="shared" ref="DVI26:DVI30" si="2556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57">SUM(DVJ26:DVO26)</f>
        <v>110</v>
      </c>
      <c r="DVQ26" s="68">
        <f t="shared" ref="DVQ26:DVQ29" si="2558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59">SUM(DVR26:DVW26)</f>
        <v>0</v>
      </c>
      <c r="DVY26" s="68">
        <f t="shared" ref="DVY26:DVY29" si="2560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1">SUM(DVZ26:DWE26)</f>
        <v>437</v>
      </c>
      <c r="DWG26" s="68">
        <f t="shared" ref="DWG26:DWG29" si="2562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63">SUM(DWH26:DWM26)</f>
        <v>0</v>
      </c>
      <c r="DWO26" s="68">
        <f t="shared" ref="DWO26:DWO29" si="2564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65">SUM(DWP26:DWU26)</f>
        <v>0</v>
      </c>
      <c r="DWW26" s="68">
        <f t="shared" ref="DWW26:DWW29" si="2566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67">SUM(DWX26:DXC26)</f>
        <v>0</v>
      </c>
      <c r="DXE26" s="68">
        <f t="shared" ref="DXE26:DXE29" si="2568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69">SUM(DXF26:DXK26)</f>
        <v>83</v>
      </c>
      <c r="DXM26" s="68">
        <f t="shared" ref="DXM26:DXM29" si="2570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1">SUM(DXN26:DXS26)</f>
        <v>0</v>
      </c>
      <c r="DXU26" s="184">
        <f t="shared" ref="DXU26:DXU29" si="2572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73">SUM(DXW26:DYB26)</f>
        <v>0</v>
      </c>
      <c r="DYD26" s="211">
        <f t="shared" ref="DYD26:DYD29" si="2574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75">SUM(DYE26:DYJ26)</f>
        <v>0</v>
      </c>
      <c r="DYL26" s="211">
        <f t="shared" ref="DYL26:DYL29" si="2576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77">SUM(DYM26:DYR26)</f>
        <v>100</v>
      </c>
      <c r="DYT26" s="211">
        <f t="shared" ref="DYT26:DYT29" si="2578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79">SUM(DYU26:DYZ26)</f>
        <v>95</v>
      </c>
      <c r="DZB26" s="211">
        <f t="shared" ref="DZB26:DZB29" si="2580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1">SUM(DZC26:DZH26)</f>
        <v>102</v>
      </c>
      <c r="DZJ26" s="211">
        <f t="shared" ref="DZJ26:DZJ29" si="2582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83">SUM(DZK26:DZP26)</f>
        <v>0</v>
      </c>
      <c r="DZR26" s="211">
        <f t="shared" ref="DZR26:DZR29" si="2584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85">SUM(DZS26:DZX26)</f>
        <v>151</v>
      </c>
      <c r="DZZ26" s="211">
        <f t="shared" ref="DZZ26:DZZ29" si="2586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87">SUM(EAA26:EAF26)</f>
        <v>71</v>
      </c>
      <c r="EAH26" s="211">
        <f t="shared" ref="EAH26:EAH29" si="2588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89">SUM(EAI26:EAN26)</f>
        <v>100</v>
      </c>
      <c r="EAP26" s="211">
        <f t="shared" ref="EAP26:EAP29" si="2590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1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68"/>
        <v>0</v>
      </c>
      <c r="EBF26" s="211">
        <f t="shared" si="1769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592">SUM(EBG26:EBL26)</f>
        <v>0</v>
      </c>
      <c r="EBN26" s="211">
        <f t="shared" ref="EBN26:EBN29" si="2593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594">SUM(EBO26:EBT26)</f>
        <v>0</v>
      </c>
      <c r="EBV26" s="211">
        <f t="shared" ref="EBV26:EBV29" si="2595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596">SUM(EBW26:ECB26)</f>
        <v>0</v>
      </c>
      <c r="ECD26" s="211">
        <f t="shared" ref="ECD26:ECD29" si="2597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598">SUM(ECE26:ECJ26)</f>
        <v>147</v>
      </c>
      <c r="ECL26" s="211">
        <f t="shared" ref="ECL26:ECL29" si="2599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0">SUM(ECM26:ECR26)</f>
        <v>0</v>
      </c>
      <c r="ECT26" s="211">
        <f t="shared" ref="ECT26:ECT29" si="2601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02">SUM(ECU26:ECZ26)</f>
        <v>0</v>
      </c>
      <c r="EDB26" s="211">
        <f t="shared" ref="EDB26:EDB29" si="2603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04">SUM(EDC26:EDH26)</f>
        <v>155</v>
      </c>
      <c r="EDJ26" s="211">
        <f t="shared" ref="EDJ26:EDJ29" si="2605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06">SUM(EDK26:EDP26)</f>
        <v>0</v>
      </c>
      <c r="EDR26" s="211">
        <f t="shared" ref="EDR26:EDR29" si="2607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08">SUM(EDS26:EDX26)</f>
        <v>196</v>
      </c>
      <c r="EDZ26" s="211">
        <f t="shared" ref="EDZ26:EDZ29" si="2609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0">SUM(EEA26:EEF26)</f>
        <v>0</v>
      </c>
      <c r="EEH26" s="211">
        <f t="shared" ref="EEH26:EEH29" si="2611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12">SUM(EEI26:EEN26)</f>
        <v>207</v>
      </c>
      <c r="EEP26" s="211">
        <f t="shared" ref="EEP26:EEP29" si="2613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14">SUM(EEQ26:EEV26)</f>
        <v>0</v>
      </c>
      <c r="EEX26" s="211">
        <f t="shared" ref="EEX26:EEX29" si="2615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16">SUM(EEY26:EFD26)</f>
        <v>0</v>
      </c>
      <c r="EFF26" s="707">
        <f t="shared" ref="EFF26:EFF29" si="2617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18">SUM(EFG26:EFL26)</f>
        <v>99</v>
      </c>
      <c r="EFN26" s="211">
        <f t="shared" ref="EFN26:EFN29" si="2619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0">SUM(EFO26:EFT26)</f>
        <v>0</v>
      </c>
      <c r="EFV26" s="211">
        <f t="shared" ref="EFV26:EFV29" si="2621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22">SUM(EFW26:EGB26)</f>
        <v>0</v>
      </c>
      <c r="EGD26" s="211">
        <f t="shared" ref="EGD26:EGD29" si="2623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24">SUM(EGE26:EGJ26)</f>
        <v>150</v>
      </c>
      <c r="EGL26" s="211">
        <f t="shared" ref="EGL26:EGL29" si="2625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26">SUM(EGM26:EGR26)</f>
        <v>0</v>
      </c>
      <c r="EGT26" s="211">
        <f t="shared" ref="EGT26:EGT29" si="2627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28">SUM(EGU26:EGZ26)</f>
        <v>0</v>
      </c>
      <c r="EHB26" s="211">
        <f t="shared" ref="EHB26:EHB29" si="2629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0">SUM(EHC26:EHH26)</f>
        <v>418</v>
      </c>
      <c r="EHJ26" s="211">
        <f t="shared" ref="EHJ26:EHJ29" si="2631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32">SUM(EHK26:EHP26)</f>
        <v>0</v>
      </c>
      <c r="EHR26" s="211">
        <f t="shared" ref="EHR26:EHR29" si="2633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34">SUM(EHS26:EHX26)</f>
        <v>0</v>
      </c>
      <c r="EHZ26" s="211">
        <f t="shared" ref="EHZ26:EHZ29" si="2635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36">SUM(EIA26:EIF26)</f>
        <v>0</v>
      </c>
      <c r="EIH26" s="211">
        <f t="shared" ref="EIH26:EIH29" si="2637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38">SUM(EII26:EIN26)</f>
        <v>0</v>
      </c>
      <c r="EIP26" s="211">
        <f t="shared" ref="EIP26:EIP29" si="2639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0">SUM(EIQ26:EIV26)</f>
        <v>100</v>
      </c>
      <c r="EIX26" s="211">
        <f t="shared" ref="EIX26:EIX29" si="2641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42">SUM(EIY26:EJD26)</f>
        <v>0</v>
      </c>
      <c r="EJF26" s="211">
        <f t="shared" ref="EJF26:EJF29" si="2643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44">SUM(EJG26:EJL26)</f>
        <v>0</v>
      </c>
      <c r="EJN26" s="211">
        <f t="shared" ref="EJN26:EJN29" si="2645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46">SUM(EJO26:EJT26)</f>
        <v>130</v>
      </c>
      <c r="EJV26" s="211">
        <f t="shared" ref="EJV26:EJV29" si="2647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48">SUM(EJW26:EKB26)</f>
        <v>0</v>
      </c>
      <c r="EKD26" s="211">
        <f t="shared" ref="EKD26:EKD29" si="2649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0">SUM(EKE26:EKJ26)</f>
        <v>0</v>
      </c>
      <c r="EKL26" s="211">
        <f t="shared" ref="EKL26:EKL29" si="2651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52">SUM(EKM26:EKR26)</f>
        <v>0</v>
      </c>
      <c r="EKT26" s="211">
        <f t="shared" ref="EKT26:EKT29" si="2653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54">SUM(EKU26:EKZ26)</f>
        <v>0</v>
      </c>
      <c r="ELB26" s="211">
        <f t="shared" ref="ELB26:ELB29" si="2655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56">SUM(ELC26:ELH26)</f>
        <v>0</v>
      </c>
      <c r="ELJ26" s="211">
        <f t="shared" ref="ELJ26:ELJ29" si="2657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58">SUM(ELK26:ELP26)</f>
        <v>0</v>
      </c>
      <c r="ELR26" s="211">
        <f t="shared" ref="ELR26:ELR29" si="2659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0">SUM(ELS26:ELX26)</f>
        <v>0</v>
      </c>
      <c r="ELZ26" s="873">
        <f t="shared" ref="ELZ26:ELZ29" si="2661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62">SUM(EMA26:EMF26)</f>
        <v>0</v>
      </c>
      <c r="EMH26" s="873">
        <f t="shared" ref="EMH26:EMH29" si="2663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64">SUM(EMI26:EMN26)</f>
        <v>0</v>
      </c>
      <c r="EMP26" s="873">
        <f t="shared" ref="EMP26:EMP29" si="2665">EMO26/$EMP$5</f>
        <v>0</v>
      </c>
    </row>
    <row r="27" spans="1:3734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07"/>
        <v>0</v>
      </c>
      <c r="L27" s="24">
        <f t="shared" si="1612"/>
        <v>2529</v>
      </c>
      <c r="M27" s="15">
        <f t="shared" si="1808"/>
        <v>2529</v>
      </c>
      <c r="N27" s="15">
        <v>21.5</v>
      </c>
      <c r="O27" s="276">
        <f t="shared" si="1613"/>
        <v>117.62790697674419</v>
      </c>
      <c r="P27" s="277">
        <v>0</v>
      </c>
      <c r="Q27" s="276">
        <f t="shared" si="1809"/>
        <v>0</v>
      </c>
      <c r="R27" s="277">
        <f t="shared" si="1810"/>
        <v>12.307692307692308</v>
      </c>
      <c r="S27" s="222">
        <v>320</v>
      </c>
      <c r="T27" s="276">
        <f t="shared" si="1811"/>
        <v>205.48124999999999</v>
      </c>
      <c r="U27" s="278"/>
      <c r="V27" s="276">
        <f t="shared" si="1812"/>
        <v>205.48124999999999</v>
      </c>
      <c r="W27" s="279">
        <f t="shared" si="1813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14"/>
        <v>0</v>
      </c>
      <c r="AM27" s="43">
        <f t="shared" si="1815"/>
        <v>0</v>
      </c>
      <c r="AN27" s="48">
        <v>200</v>
      </c>
      <c r="AO27" s="49"/>
      <c r="AP27" s="49"/>
      <c r="AQ27" s="49"/>
      <c r="AR27" s="49"/>
      <c r="AS27" s="49"/>
      <c r="AT27" s="42">
        <f t="shared" si="1816"/>
        <v>200</v>
      </c>
      <c r="AU27" s="43">
        <f t="shared" si="1817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18"/>
        <v>594</v>
      </c>
      <c r="BC27" s="43">
        <f t="shared" si="1819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0"/>
        <v>1202</v>
      </c>
      <c r="BK27" s="43">
        <f t="shared" si="1821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22"/>
        <v>797</v>
      </c>
      <c r="BS27" s="43">
        <f t="shared" si="1823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24"/>
        <v>1497</v>
      </c>
      <c r="CA27" s="43">
        <f t="shared" si="1825"/>
        <v>249.5</v>
      </c>
      <c r="CB27" s="48"/>
      <c r="CC27" s="49"/>
      <c r="CD27" s="49"/>
      <c r="CE27" s="49"/>
      <c r="CF27" s="49"/>
      <c r="CG27" s="49"/>
      <c r="CH27" s="42">
        <f t="shared" si="1826"/>
        <v>0</v>
      </c>
      <c r="CI27" s="43">
        <f t="shared" si="1827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28"/>
        <v>1008</v>
      </c>
      <c r="CQ27" s="43">
        <f t="shared" si="1829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0"/>
        <v>598</v>
      </c>
      <c r="CY27" s="43">
        <f t="shared" si="1831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32"/>
        <v>401</v>
      </c>
      <c r="DG27" s="43">
        <f t="shared" si="1833"/>
        <v>66.833333333333329</v>
      </c>
      <c r="DH27" s="48"/>
      <c r="DI27" s="49"/>
      <c r="DJ27" s="49"/>
      <c r="DK27" s="49"/>
      <c r="DL27" s="49"/>
      <c r="DM27" s="49"/>
      <c r="DN27" s="42">
        <f t="shared" si="1834"/>
        <v>0</v>
      </c>
      <c r="DO27" s="43">
        <f t="shared" si="1835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36"/>
        <v>1002</v>
      </c>
      <c r="DW27" s="43">
        <f t="shared" si="1837"/>
        <v>167</v>
      </c>
      <c r="DX27" s="48"/>
      <c r="DY27" s="49"/>
      <c r="DZ27" s="49"/>
      <c r="EA27" s="49"/>
      <c r="EB27" s="49">
        <v>632</v>
      </c>
      <c r="EC27" s="49"/>
      <c r="ED27" s="42">
        <f t="shared" si="1838"/>
        <v>632</v>
      </c>
      <c r="EE27" s="43">
        <f t="shared" si="1839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0"/>
        <v>595</v>
      </c>
      <c r="EM27" s="43">
        <f t="shared" si="1841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42"/>
        <v>400</v>
      </c>
      <c r="EU27" s="43">
        <f t="shared" si="1843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44"/>
        <v>802</v>
      </c>
      <c r="FC27" s="43">
        <f t="shared" si="1845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46"/>
        <v>1197</v>
      </c>
      <c r="FK27" s="43">
        <f t="shared" si="1847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48"/>
        <v>201</v>
      </c>
      <c r="FS27" s="43">
        <f t="shared" si="1849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0"/>
        <v>835</v>
      </c>
      <c r="GA27" s="43">
        <f t="shared" si="1851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52"/>
        <v>1005</v>
      </c>
      <c r="GI27" s="43">
        <f t="shared" si="1853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54"/>
        <v>200</v>
      </c>
      <c r="GQ27" s="43">
        <f t="shared" si="1855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56"/>
        <v>604</v>
      </c>
      <c r="GY27" s="43">
        <f t="shared" si="1857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58"/>
        <v>196</v>
      </c>
      <c r="HG27" s="43">
        <f t="shared" si="1859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0"/>
        <v>671</v>
      </c>
      <c r="HO27" s="43">
        <f t="shared" si="1861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62"/>
        <v>383</v>
      </c>
      <c r="HW27" s="43">
        <f t="shared" si="1863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64"/>
        <v>1598</v>
      </c>
      <c r="IE27" s="43">
        <f t="shared" si="1865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66"/>
        <v>400</v>
      </c>
      <c r="IM27" s="43">
        <f t="shared" si="1867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68"/>
        <v>617</v>
      </c>
      <c r="IU27" s="43">
        <f t="shared" si="1869"/>
        <v>102.83333333333333</v>
      </c>
      <c r="IV27" s="48"/>
      <c r="IW27" s="49"/>
      <c r="IX27" s="49"/>
      <c r="IY27" s="49"/>
      <c r="IZ27" s="49"/>
      <c r="JA27" s="49"/>
      <c r="JB27" s="42">
        <f t="shared" si="1870"/>
        <v>0</v>
      </c>
      <c r="JC27" s="43">
        <f t="shared" si="1871"/>
        <v>0</v>
      </c>
      <c r="JD27" s="48"/>
      <c r="JE27" s="49">
        <v>598</v>
      </c>
      <c r="JF27" s="49"/>
      <c r="JG27" s="49"/>
      <c r="JH27" s="49"/>
      <c r="JI27" s="49"/>
      <c r="JJ27" s="42">
        <f t="shared" si="1872"/>
        <v>598</v>
      </c>
      <c r="JK27" s="43">
        <f t="shared" si="1873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74"/>
        <v>793</v>
      </c>
      <c r="JS27" s="43">
        <f t="shared" si="1875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76"/>
        <v>806</v>
      </c>
      <c r="KA27" s="43">
        <f t="shared" si="1877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78"/>
        <v>795</v>
      </c>
      <c r="KI27" s="43">
        <f t="shared" si="1879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0"/>
        <v>1104</v>
      </c>
      <c r="KQ27" s="43">
        <f t="shared" si="1881"/>
        <v>184</v>
      </c>
      <c r="KR27" s="48"/>
      <c r="KS27" s="49"/>
      <c r="KT27" s="49"/>
      <c r="KU27" s="49">
        <v>596</v>
      </c>
      <c r="KV27" s="49"/>
      <c r="KW27" s="49"/>
      <c r="KX27" s="42">
        <f t="shared" si="1882"/>
        <v>596</v>
      </c>
      <c r="KY27" s="43">
        <f t="shared" si="1883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84"/>
        <v>1200</v>
      </c>
      <c r="LG27" s="43">
        <f t="shared" si="1885"/>
        <v>200</v>
      </c>
      <c r="LH27" s="48"/>
      <c r="LI27" s="49"/>
      <c r="LJ27" s="49"/>
      <c r="LK27" s="49"/>
      <c r="LL27" s="49"/>
      <c r="LM27" s="49">
        <v>400</v>
      </c>
      <c r="LN27" s="67">
        <f t="shared" si="1886"/>
        <v>400</v>
      </c>
      <c r="LO27" s="68">
        <f t="shared" si="1887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88"/>
        <v>435</v>
      </c>
      <c r="LW27" s="68">
        <f t="shared" si="1889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0"/>
        <v>707</v>
      </c>
      <c r="ME27" s="68">
        <f t="shared" si="1891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892"/>
        <v>822</v>
      </c>
      <c r="MM27" s="43">
        <f t="shared" si="1893"/>
        <v>137</v>
      </c>
      <c r="MN27" s="48"/>
      <c r="MO27" s="49"/>
      <c r="MP27" s="49"/>
      <c r="MQ27" s="49"/>
      <c r="MR27" s="49"/>
      <c r="MS27" s="49"/>
      <c r="MT27" s="42">
        <f t="shared" si="1894"/>
        <v>0</v>
      </c>
      <c r="MU27" s="43">
        <f t="shared" si="1895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896"/>
        <v>1408</v>
      </c>
      <c r="NC27" s="43">
        <f t="shared" si="1897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898"/>
        <v>197</v>
      </c>
      <c r="NK27" s="43">
        <f t="shared" si="1899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0"/>
        <v>512</v>
      </c>
      <c r="NS27" s="43">
        <f t="shared" si="1901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02"/>
        <v>1400</v>
      </c>
      <c r="OA27" s="43">
        <f t="shared" si="1903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04"/>
        <v>408</v>
      </c>
      <c r="OI27" s="43">
        <f t="shared" si="1905"/>
        <v>68</v>
      </c>
      <c r="OJ27" s="48">
        <v>400</v>
      </c>
      <c r="OK27" s="49"/>
      <c r="OL27" s="49"/>
      <c r="OM27" s="49"/>
      <c r="ON27" s="49"/>
      <c r="OO27" s="49"/>
      <c r="OP27" s="42">
        <f t="shared" si="1906"/>
        <v>400</v>
      </c>
      <c r="OQ27" s="43">
        <f t="shared" si="1907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08"/>
        <v>610</v>
      </c>
      <c r="OY27" s="68">
        <f t="shared" si="1909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0"/>
        <v>999</v>
      </c>
      <c r="PG27" s="68">
        <f t="shared" si="1911"/>
        <v>166.5</v>
      </c>
      <c r="PH27" s="48"/>
      <c r="PI27" s="49"/>
      <c r="PJ27" s="49"/>
      <c r="PK27" s="49"/>
      <c r="PL27" s="49"/>
      <c r="PM27" s="49"/>
      <c r="PN27" s="104">
        <f t="shared" si="1912"/>
        <v>0</v>
      </c>
      <c r="PO27" s="105">
        <f t="shared" si="1913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14"/>
        <v>705</v>
      </c>
      <c r="PW27" s="105">
        <f t="shared" si="1915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16"/>
        <v>430</v>
      </c>
      <c r="QE27" s="105">
        <f t="shared" si="1917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18"/>
        <v>412</v>
      </c>
      <c r="QM27" s="105">
        <f t="shared" si="1919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0"/>
        <v>1218</v>
      </c>
      <c r="QU27" s="105">
        <f t="shared" si="1921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22"/>
        <v>400</v>
      </c>
      <c r="RC27" s="105">
        <f t="shared" si="1923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24"/>
        <v>409</v>
      </c>
      <c r="RK27" s="105">
        <f t="shared" si="1925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26"/>
        <v>806</v>
      </c>
      <c r="RS27" s="105">
        <f t="shared" si="1927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28"/>
        <v>403</v>
      </c>
      <c r="SA27" s="105">
        <f t="shared" si="1929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0"/>
        <v>613</v>
      </c>
      <c r="SI27" s="105">
        <f t="shared" si="1931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32"/>
        <v>954</v>
      </c>
      <c r="SQ27" s="105">
        <f t="shared" si="1933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34"/>
        <v>607</v>
      </c>
      <c r="SY27" s="105">
        <f t="shared" si="1935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36"/>
        <v>600</v>
      </c>
      <c r="TG27" s="105">
        <f t="shared" si="1937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38"/>
        <v>401</v>
      </c>
      <c r="TO27" s="105">
        <f t="shared" si="1939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0"/>
        <v>301</v>
      </c>
      <c r="TX27" s="105">
        <f t="shared" si="1941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42"/>
        <v>300</v>
      </c>
      <c r="UF27" s="105">
        <f t="shared" si="1943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44"/>
        <v>378</v>
      </c>
      <c r="UN27" s="105">
        <f t="shared" si="1945"/>
        <v>63</v>
      </c>
      <c r="UO27" s="48"/>
      <c r="UP27" s="49"/>
      <c r="UQ27" s="49"/>
      <c r="UR27" s="49"/>
      <c r="US27" s="49">
        <v>602</v>
      </c>
      <c r="UT27" s="49"/>
      <c r="UU27" s="67">
        <f t="shared" si="1946"/>
        <v>602</v>
      </c>
      <c r="UV27" s="68">
        <f t="shared" si="1947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48"/>
        <v>186</v>
      </c>
      <c r="VD27" s="105">
        <f t="shared" si="1949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0"/>
        <v>400</v>
      </c>
      <c r="VL27" s="68">
        <f t="shared" si="1951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52"/>
        <v>629</v>
      </c>
      <c r="VU27" s="105">
        <f t="shared" si="1953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54"/>
        <v>300</v>
      </c>
      <c r="WD27" s="68">
        <f t="shared" si="1955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56"/>
        <v>498</v>
      </c>
      <c r="WM27" s="68">
        <f t="shared" si="1957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58"/>
        <v>599</v>
      </c>
      <c r="WV27" s="68">
        <f t="shared" si="1959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0"/>
        <v>302</v>
      </c>
      <c r="XE27" s="68">
        <f t="shared" si="1961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62"/>
        <v>599</v>
      </c>
      <c r="XM27" s="68">
        <f t="shared" si="1963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64"/>
        <v>602</v>
      </c>
      <c r="XU27" s="68">
        <f t="shared" si="1965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66"/>
        <v>393</v>
      </c>
      <c r="YC27" s="68">
        <f t="shared" si="1967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68"/>
        <v>602</v>
      </c>
      <c r="YL27" s="68">
        <f t="shared" si="1969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0"/>
        <v>499</v>
      </c>
      <c r="YU27" s="68">
        <f t="shared" si="1971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72"/>
        <v>202</v>
      </c>
      <c r="ZC27" s="68">
        <f t="shared" si="1973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74"/>
        <v>701</v>
      </c>
      <c r="ZK27" s="68">
        <f t="shared" si="1975"/>
        <v>116.83333333333333</v>
      </c>
      <c r="ZL27" s="48"/>
      <c r="ZM27" s="49"/>
      <c r="ZN27" s="49"/>
      <c r="ZO27" s="49"/>
      <c r="ZP27" s="49"/>
      <c r="ZQ27" s="49"/>
      <c r="ZR27" s="67">
        <f t="shared" si="1976"/>
        <v>0</v>
      </c>
      <c r="ZS27" s="68">
        <f t="shared" si="1977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78"/>
        <v>878</v>
      </c>
      <c r="AAA27" s="68">
        <f t="shared" si="1979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0"/>
        <v>601</v>
      </c>
      <c r="AAI27" s="68">
        <f t="shared" si="1981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82"/>
        <v>401</v>
      </c>
      <c r="AAQ27" s="68">
        <f t="shared" si="1983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84"/>
        <v>310</v>
      </c>
      <c r="AAY27" s="68">
        <f t="shared" si="1985"/>
        <v>51.666666666666664</v>
      </c>
      <c r="AAZ27" s="48"/>
      <c r="ABA27" s="49"/>
      <c r="ABB27" s="49"/>
      <c r="ABC27" s="49"/>
      <c r="ABD27" s="49"/>
      <c r="ABE27" s="49"/>
      <c r="ABF27" s="67">
        <f t="shared" si="1986"/>
        <v>0</v>
      </c>
      <c r="ABG27" s="68">
        <f t="shared" si="1987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88"/>
        <v>398</v>
      </c>
      <c r="ABO27" s="68">
        <f t="shared" si="1989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0"/>
        <v>301</v>
      </c>
      <c r="ABW27" s="68">
        <f t="shared" si="1991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1992"/>
        <v>200</v>
      </c>
      <c r="ACE27" s="68">
        <f t="shared" si="1635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1993"/>
        <v>490</v>
      </c>
      <c r="ACM27" s="68">
        <f t="shared" si="1994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1995"/>
        <v>200</v>
      </c>
      <c r="ACU27" s="68">
        <f t="shared" si="1996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1997"/>
        <v>440</v>
      </c>
      <c r="ADC27" s="68">
        <f t="shared" si="1998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1999"/>
        <v>429</v>
      </c>
      <c r="ADK27" s="68">
        <f t="shared" si="2000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1"/>
        <v>702</v>
      </c>
      <c r="ADS27" s="68">
        <f t="shared" si="2002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03"/>
        <v>399</v>
      </c>
      <c r="AEA27" s="68">
        <f t="shared" si="2004"/>
        <v>66.5</v>
      </c>
      <c r="AEB27" s="48"/>
      <c r="AEC27" s="49"/>
      <c r="AED27" s="49"/>
      <c r="AEE27" s="49"/>
      <c r="AEF27" s="49"/>
      <c r="AEG27" s="49"/>
      <c r="AEH27" s="67">
        <f t="shared" si="2005"/>
        <v>0</v>
      </c>
      <c r="AEI27" s="68">
        <f t="shared" si="2006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07"/>
        <v>202</v>
      </c>
      <c r="AEQ27" s="68">
        <f t="shared" si="2008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09"/>
        <v>189</v>
      </c>
      <c r="AEY27" s="68">
        <f t="shared" si="2010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1"/>
        <v>400</v>
      </c>
      <c r="AFG27" s="68">
        <f t="shared" si="2012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13"/>
        <v>200</v>
      </c>
      <c r="AFO27" s="68">
        <f t="shared" si="2014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15"/>
        <v>802</v>
      </c>
      <c r="AFW27" s="68">
        <f t="shared" si="2016"/>
        <v>80.2</v>
      </c>
      <c r="AFX27" s="48"/>
      <c r="AFY27" s="49"/>
      <c r="AFZ27" s="49"/>
      <c r="AGA27" s="49"/>
      <c r="AGB27" s="49"/>
      <c r="AGC27" s="49"/>
      <c r="AGD27" s="67">
        <f t="shared" si="2017"/>
        <v>0</v>
      </c>
      <c r="AGE27" s="68">
        <f t="shared" si="2018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19"/>
        <v>319</v>
      </c>
      <c r="AGM27" s="68">
        <f t="shared" si="2020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1"/>
        <v>427</v>
      </c>
      <c r="AGU27" s="43">
        <f t="shared" si="2022"/>
        <v>42.7</v>
      </c>
      <c r="AGV27" s="48"/>
      <c r="AGW27" s="49"/>
      <c r="AGX27" s="49"/>
      <c r="AGY27" s="49"/>
      <c r="AGZ27" s="49"/>
      <c r="AHA27" s="49"/>
      <c r="AHB27" s="42">
        <f t="shared" si="2023"/>
        <v>0</v>
      </c>
      <c r="AHC27" s="43">
        <f t="shared" si="2024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25"/>
        <v>530</v>
      </c>
      <c r="AHK27" s="43">
        <f t="shared" si="2026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27"/>
        <v>500</v>
      </c>
      <c r="AHS27" s="68">
        <f t="shared" si="2028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29"/>
        <v>355</v>
      </c>
      <c r="AIA27" s="68">
        <f t="shared" si="2030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1"/>
        <v>327</v>
      </c>
      <c r="AII27" s="68">
        <f t="shared" si="2032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33"/>
        <v>496</v>
      </c>
      <c r="AIQ27" s="68">
        <f t="shared" si="2034"/>
        <v>82.666666666666671</v>
      </c>
      <c r="AIR27" s="48"/>
      <c r="AIS27" s="49"/>
      <c r="AIT27" s="49"/>
      <c r="AIU27" s="49"/>
      <c r="AIV27" s="49"/>
      <c r="AIW27" s="49"/>
      <c r="AIX27" s="67">
        <f t="shared" si="2035"/>
        <v>0</v>
      </c>
      <c r="AIY27" s="68">
        <f t="shared" si="2036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37"/>
        <v>300</v>
      </c>
      <c r="AJG27" s="68">
        <f t="shared" si="2038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39"/>
        <v>100</v>
      </c>
      <c r="AJO27" s="43">
        <f t="shared" si="2040"/>
        <v>16.666666666666668</v>
      </c>
      <c r="AJP27" s="48"/>
      <c r="AJQ27" s="49"/>
      <c r="AJR27" s="49"/>
      <c r="AJS27" s="49"/>
      <c r="AJT27" s="49"/>
      <c r="AJU27" s="47"/>
      <c r="AJV27" s="47">
        <f t="shared" si="2041"/>
        <v>0</v>
      </c>
      <c r="AJW27" s="43">
        <f t="shared" si="2042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43"/>
        <v>399</v>
      </c>
      <c r="AKE27" s="43">
        <f t="shared" si="2044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45"/>
        <v>492</v>
      </c>
      <c r="AKM27" s="43">
        <f t="shared" si="2046"/>
        <v>82</v>
      </c>
      <c r="AKN27" s="82"/>
      <c r="AKO27" s="83"/>
      <c r="AKP27" s="83"/>
      <c r="AKQ27" s="83"/>
      <c r="AKR27" s="83"/>
      <c r="AKS27" s="83"/>
      <c r="AKT27" s="47">
        <f t="shared" si="2047"/>
        <v>0</v>
      </c>
      <c r="AKU27" s="43">
        <f t="shared" si="2048"/>
        <v>0</v>
      </c>
      <c r="AKV27" s="48"/>
      <c r="AKW27" s="49"/>
      <c r="AKX27" s="49"/>
      <c r="AKY27" s="49"/>
      <c r="AKZ27" s="49"/>
      <c r="ALA27" s="49"/>
      <c r="ALB27" s="47">
        <f t="shared" si="2049"/>
        <v>0</v>
      </c>
      <c r="ALC27" s="43">
        <f t="shared" si="2050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1"/>
        <v>400</v>
      </c>
      <c r="ALK27" s="43">
        <f t="shared" si="2052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53"/>
        <v>198</v>
      </c>
      <c r="ALS27" s="68">
        <f t="shared" si="2054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55"/>
        <v>100</v>
      </c>
      <c r="AMA27" s="68">
        <f t="shared" si="2056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57"/>
        <v>100</v>
      </c>
      <c r="AMI27" s="68">
        <f t="shared" si="2058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59"/>
        <v>300</v>
      </c>
      <c r="AMQ27" s="68">
        <f t="shared" si="2060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1"/>
        <v>399</v>
      </c>
      <c r="AMY27" s="68">
        <f t="shared" si="2062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63"/>
        <v>302</v>
      </c>
      <c r="ANG27" s="68">
        <f t="shared" si="2064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65"/>
        <v>200</v>
      </c>
      <c r="ANO27" s="68">
        <f t="shared" si="2066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67"/>
        <v>198</v>
      </c>
      <c r="ANW27" s="68">
        <f t="shared" si="2068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69"/>
        <v>991</v>
      </c>
      <c r="AOE27" s="68">
        <f t="shared" si="2070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1"/>
        <v>404</v>
      </c>
      <c r="AOM27" s="68">
        <f t="shared" si="2072"/>
        <v>67.333333333333329</v>
      </c>
      <c r="AON27" s="48"/>
      <c r="AOO27" s="49"/>
      <c r="AOP27" s="49"/>
      <c r="AOQ27" s="49"/>
      <c r="AOR27" s="49"/>
      <c r="AOS27" s="49"/>
      <c r="AOT27" s="67">
        <f t="shared" si="2073"/>
        <v>0</v>
      </c>
      <c r="AOU27" s="68">
        <f t="shared" si="2074"/>
        <v>0</v>
      </c>
      <c r="AOV27" s="48"/>
      <c r="AOW27" s="49"/>
      <c r="AOX27" s="49"/>
      <c r="AOY27" s="49"/>
      <c r="AOZ27" s="49"/>
      <c r="APA27" s="49"/>
      <c r="APB27" s="67">
        <f t="shared" si="2075"/>
        <v>0</v>
      </c>
      <c r="APC27" s="68">
        <f t="shared" si="2076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77"/>
        <v>420</v>
      </c>
      <c r="APK27" s="68">
        <f t="shared" si="2078"/>
        <v>70</v>
      </c>
      <c r="APL27" s="48"/>
      <c r="APM27" s="49"/>
      <c r="APN27" s="49"/>
      <c r="APO27" s="49"/>
      <c r="APP27" s="49"/>
      <c r="APQ27" s="49"/>
      <c r="APR27" s="67">
        <f t="shared" si="2079"/>
        <v>0</v>
      </c>
      <c r="APS27" s="68">
        <f t="shared" si="2080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1"/>
        <v>48</v>
      </c>
      <c r="AQA27" s="68">
        <f t="shared" si="2082"/>
        <v>8</v>
      </c>
      <c r="AQB27" s="48"/>
      <c r="AQC27" s="49"/>
      <c r="AQD27" s="49"/>
      <c r="AQE27" s="49"/>
      <c r="AQF27" s="49"/>
      <c r="AQG27" s="49"/>
      <c r="AQH27" s="67">
        <f t="shared" si="2083"/>
        <v>0</v>
      </c>
      <c r="AQI27" s="68">
        <f t="shared" si="2084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85"/>
        <v>200</v>
      </c>
      <c r="AQQ27" s="43">
        <f t="shared" si="2086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87"/>
        <v>199</v>
      </c>
      <c r="AQY27" s="43">
        <f t="shared" si="2088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89"/>
        <v>100</v>
      </c>
      <c r="ARG27" s="43">
        <f t="shared" si="2090"/>
        <v>16.666666666666668</v>
      </c>
      <c r="ARH27" s="201"/>
      <c r="ARI27" s="47"/>
      <c r="ARJ27" s="47"/>
      <c r="ARK27" s="47"/>
      <c r="ARL27" s="47"/>
      <c r="ARM27" s="47"/>
      <c r="ARN27" s="42">
        <f t="shared" si="2091"/>
        <v>0</v>
      </c>
      <c r="ARO27" s="43">
        <f t="shared" si="2092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093"/>
        <v>100</v>
      </c>
      <c r="ARW27" s="43">
        <f t="shared" si="2094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095"/>
        <v>194</v>
      </c>
      <c r="ASE27" s="43">
        <f t="shared" si="2096"/>
        <v>32.333333333333336</v>
      </c>
      <c r="ASF27" s="48"/>
      <c r="ASG27" s="49"/>
      <c r="ASH27" s="49"/>
      <c r="ASI27" s="49"/>
      <c r="ASJ27" s="49"/>
      <c r="ASK27" s="49"/>
      <c r="ASL27" s="42">
        <f t="shared" si="2097"/>
        <v>0</v>
      </c>
      <c r="ASM27" s="43">
        <f t="shared" si="2098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099"/>
        <v>300</v>
      </c>
      <c r="ASU27" s="43">
        <f t="shared" si="2100"/>
        <v>50</v>
      </c>
      <c r="ASV27" s="48"/>
      <c r="ASW27" s="49"/>
      <c r="ASX27" s="49"/>
      <c r="ASY27" s="49"/>
      <c r="ASZ27" s="49"/>
      <c r="ATA27" s="49"/>
      <c r="ATB27" s="42">
        <f t="shared" si="2101"/>
        <v>0</v>
      </c>
      <c r="ATC27" s="43">
        <f t="shared" si="2102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03"/>
        <v>300</v>
      </c>
      <c r="ATK27" s="43">
        <f t="shared" si="2104"/>
        <v>50</v>
      </c>
      <c r="ATL27" s="48"/>
      <c r="ATM27" s="49"/>
      <c r="ATN27" s="49"/>
      <c r="ATO27" s="49"/>
      <c r="ATP27" s="49"/>
      <c r="ATQ27" s="49"/>
      <c r="ATR27" s="42">
        <f t="shared" si="2105"/>
        <v>0</v>
      </c>
      <c r="ATS27" s="43">
        <f t="shared" si="2106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07"/>
        <v>304</v>
      </c>
      <c r="AUA27" s="43">
        <f t="shared" si="2108"/>
        <v>50.666666666666664</v>
      </c>
      <c r="AUB27" s="48"/>
      <c r="AUC27" s="49"/>
      <c r="AUD27" s="49"/>
      <c r="AUE27" s="49"/>
      <c r="AUF27" s="49"/>
      <c r="AUG27" s="49"/>
      <c r="AUH27" s="42">
        <f t="shared" si="2109"/>
        <v>0</v>
      </c>
      <c r="AUI27" s="43">
        <f t="shared" si="2110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1"/>
        <v>300</v>
      </c>
      <c r="AUQ27" s="43">
        <f t="shared" si="2112"/>
        <v>50</v>
      </c>
      <c r="AUR27" s="48"/>
      <c r="AUS27" s="49"/>
      <c r="AUT27" s="49"/>
      <c r="AUU27" s="49"/>
      <c r="AUV27" s="49"/>
      <c r="AUW27" s="49"/>
      <c r="AUX27" s="42">
        <f t="shared" si="2113"/>
        <v>0</v>
      </c>
      <c r="AUY27" s="43">
        <f t="shared" si="2114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15"/>
        <v>302</v>
      </c>
      <c r="AVG27" s="43">
        <f t="shared" si="2116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17"/>
        <v>395</v>
      </c>
      <c r="AVO27" s="43">
        <f t="shared" si="2118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19"/>
        <v>200</v>
      </c>
      <c r="AVW27" s="43">
        <f t="shared" si="2120"/>
        <v>33.333333333333336</v>
      </c>
      <c r="AVX27" s="48"/>
      <c r="AVY27" s="49"/>
      <c r="AVZ27" s="49"/>
      <c r="AWA27" s="49"/>
      <c r="AWB27" s="49"/>
      <c r="AWC27" s="49"/>
      <c r="AWD27" s="42">
        <f t="shared" si="2121"/>
        <v>0</v>
      </c>
      <c r="AWE27" s="43">
        <f t="shared" si="2122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23"/>
        <v>399</v>
      </c>
      <c r="AWM27" s="43">
        <f t="shared" si="2124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25"/>
        <v>402</v>
      </c>
      <c r="AWU27" s="43">
        <f t="shared" si="2126"/>
        <v>67</v>
      </c>
      <c r="AWV27" s="48"/>
      <c r="AWW27" s="49"/>
      <c r="AWX27" s="49"/>
      <c r="AWY27" s="49"/>
      <c r="AWZ27" s="49"/>
      <c r="AXA27" s="49"/>
      <c r="AXB27" s="42">
        <f t="shared" si="2127"/>
        <v>0</v>
      </c>
      <c r="AXC27" s="43">
        <f t="shared" si="2128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29"/>
        <v>304</v>
      </c>
      <c r="AXK27" s="43">
        <f t="shared" si="2130"/>
        <v>50.666666666666664</v>
      </c>
      <c r="AXL27" s="48"/>
      <c r="AXM27" s="49"/>
      <c r="AXN27" s="49"/>
      <c r="AXO27" s="49"/>
      <c r="AXP27" s="49"/>
      <c r="AXQ27" s="49"/>
      <c r="AXR27" s="42">
        <f t="shared" si="2131"/>
        <v>0</v>
      </c>
      <c r="AXS27" s="43">
        <f t="shared" si="2132"/>
        <v>0</v>
      </c>
      <c r="AXT27" s="48"/>
      <c r="AXU27" s="49"/>
      <c r="AXV27" s="49"/>
      <c r="AXW27" s="49"/>
      <c r="AXX27" s="49"/>
      <c r="AXY27" s="49"/>
      <c r="AXZ27" s="42">
        <f t="shared" si="2133"/>
        <v>0</v>
      </c>
      <c r="AYA27" s="43">
        <f t="shared" si="2134"/>
        <v>0</v>
      </c>
      <c r="AYB27" s="48"/>
      <c r="AYC27" s="49"/>
      <c r="AYD27" s="49"/>
      <c r="AYE27" s="49"/>
      <c r="AYF27" s="49"/>
      <c r="AYG27" s="49"/>
      <c r="AYH27" s="42">
        <f t="shared" si="2135"/>
        <v>0</v>
      </c>
      <c r="AYI27" s="43">
        <f t="shared" si="2136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37"/>
        <v>201</v>
      </c>
      <c r="AYQ27" s="43">
        <f t="shared" si="2138"/>
        <v>33.5</v>
      </c>
      <c r="AYR27" s="48"/>
      <c r="AYS27" s="49"/>
      <c r="AYT27" s="49"/>
      <c r="AYU27" s="49"/>
      <c r="AYV27" s="49"/>
      <c r="AYW27" s="49"/>
      <c r="AYX27" s="42">
        <f t="shared" si="2139"/>
        <v>0</v>
      </c>
      <c r="AYY27" s="43">
        <f t="shared" si="2140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1"/>
        <v>100</v>
      </c>
      <c r="AZG27" s="43">
        <f t="shared" si="2142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43"/>
        <v>200</v>
      </c>
      <c r="AZO27" s="43">
        <f t="shared" si="2144"/>
        <v>33.333333333333336</v>
      </c>
      <c r="AZP27" s="48"/>
      <c r="AZQ27" s="49"/>
      <c r="AZR27" s="49"/>
      <c r="AZS27" s="49"/>
      <c r="AZT27" s="49"/>
      <c r="AZU27" s="49"/>
      <c r="AZV27" s="42">
        <f t="shared" si="2145"/>
        <v>0</v>
      </c>
      <c r="AZW27" s="43">
        <f t="shared" si="2146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47"/>
        <v>200</v>
      </c>
      <c r="BAE27" s="43">
        <f t="shared" si="2148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49"/>
        <v>300</v>
      </c>
      <c r="BAM27" s="43">
        <f t="shared" si="2150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1"/>
        <v>111</v>
      </c>
      <c r="BAU27" s="43">
        <f t="shared" si="2152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53"/>
        <v>200</v>
      </c>
      <c r="BBC27" s="43">
        <f t="shared" si="2154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55"/>
        <v>300</v>
      </c>
      <c r="BBK27" s="43">
        <f t="shared" si="2156"/>
        <v>50</v>
      </c>
      <c r="BBL27" s="48"/>
      <c r="BBM27" s="49"/>
      <c r="BBN27" s="49"/>
      <c r="BBO27" s="49"/>
      <c r="BBP27" s="49"/>
      <c r="BBQ27" s="49"/>
      <c r="BBR27" s="42">
        <f t="shared" si="2157"/>
        <v>0</v>
      </c>
      <c r="BBS27" s="43">
        <f t="shared" si="2158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59"/>
        <v>300</v>
      </c>
      <c r="BCA27" s="43">
        <f t="shared" si="2160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1"/>
        <v>200</v>
      </c>
      <c r="BCI27" s="43">
        <f t="shared" si="2162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63"/>
        <v>287</v>
      </c>
      <c r="BCQ27" s="43">
        <f t="shared" si="2164"/>
        <v>47.833333333333336</v>
      </c>
      <c r="BCR27" s="48"/>
      <c r="BCS27" s="49"/>
      <c r="BCT27" s="49"/>
      <c r="BCU27" s="49"/>
      <c r="BCV27" s="49"/>
      <c r="BCW27" s="49"/>
      <c r="BCX27" s="42">
        <f t="shared" si="2165"/>
        <v>0</v>
      </c>
      <c r="BCY27" s="43">
        <f t="shared" si="2166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67"/>
        <v>300</v>
      </c>
      <c r="BDG27" s="43">
        <f t="shared" si="2168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69"/>
        <v>198</v>
      </c>
      <c r="BDO27" s="101">
        <f t="shared" si="2170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1"/>
        <v>103</v>
      </c>
      <c r="BDW27" s="101">
        <f t="shared" si="2172"/>
        <v>17.166666666666668</v>
      </c>
      <c r="BDX27" s="48"/>
      <c r="BDY27" s="49"/>
      <c r="BDZ27" s="49"/>
      <c r="BEA27" s="49"/>
      <c r="BEB27" s="49"/>
      <c r="BEC27" s="49"/>
      <c r="BED27" s="42">
        <f t="shared" si="2173"/>
        <v>0</v>
      </c>
      <c r="BEE27" s="43">
        <f t="shared" si="2174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75"/>
        <v>200</v>
      </c>
      <c r="BEM27" s="43">
        <f t="shared" si="2176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77"/>
        <v>100</v>
      </c>
      <c r="BEU27" s="43">
        <f t="shared" si="2178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79"/>
        <v>220</v>
      </c>
      <c r="BFC27" s="43">
        <f t="shared" si="2180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1"/>
        <v>200</v>
      </c>
      <c r="BFK27" s="43">
        <f t="shared" si="2182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83"/>
        <v>204</v>
      </c>
      <c r="BFS27" s="43">
        <f t="shared" si="2184"/>
        <v>34</v>
      </c>
      <c r="BFT27" s="48"/>
      <c r="BFU27" s="49"/>
      <c r="BFV27" s="49"/>
      <c r="BFW27" s="49"/>
      <c r="BFX27" s="49"/>
      <c r="BFY27" s="49"/>
      <c r="BFZ27" s="42">
        <f t="shared" si="2185"/>
        <v>0</v>
      </c>
      <c r="BGA27" s="43">
        <f t="shared" si="2186"/>
        <v>0</v>
      </c>
      <c r="BGB27" s="48"/>
      <c r="BGC27" s="49"/>
      <c r="BGD27" s="49"/>
      <c r="BGE27" s="49"/>
      <c r="BGF27" s="49"/>
      <c r="BGG27" s="49"/>
      <c r="BGH27" s="42">
        <f t="shared" si="2187"/>
        <v>0</v>
      </c>
      <c r="BGI27" s="43">
        <f t="shared" si="2188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89"/>
        <v>190</v>
      </c>
      <c r="BGQ27" s="43">
        <f t="shared" si="2190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1"/>
        <v>300</v>
      </c>
      <c r="BGY27" s="43">
        <f t="shared" si="2192"/>
        <v>50</v>
      </c>
      <c r="BGZ27" s="48"/>
      <c r="BHA27" s="49"/>
      <c r="BHB27" s="49"/>
      <c r="BHC27" s="49"/>
      <c r="BHD27" s="49"/>
      <c r="BHE27" s="49"/>
      <c r="BHF27" s="42">
        <f t="shared" si="2193"/>
        <v>0</v>
      </c>
      <c r="BHG27" s="43">
        <f t="shared" si="2194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195"/>
        <v>206</v>
      </c>
      <c r="BHO27" s="43">
        <f t="shared" si="2196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197"/>
        <v>296</v>
      </c>
      <c r="BHW27" s="43">
        <f t="shared" si="2198"/>
        <v>49.333333333333336</v>
      </c>
      <c r="BHX27" s="48"/>
      <c r="BHY27" s="49"/>
      <c r="BHZ27" s="49"/>
      <c r="BIA27" s="49"/>
      <c r="BIB27" s="49"/>
      <c r="BIC27" s="49"/>
      <c r="BID27" s="42">
        <f t="shared" si="2199"/>
        <v>0</v>
      </c>
      <c r="BIE27" s="43">
        <f t="shared" si="2200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1"/>
        <v>170</v>
      </c>
      <c r="BIM27" s="43">
        <f t="shared" si="2202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03"/>
        <v>400</v>
      </c>
      <c r="BIU27" s="43">
        <f t="shared" si="2204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05"/>
        <v>205</v>
      </c>
      <c r="BJC27" s="43">
        <f t="shared" si="2206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07"/>
        <v>279</v>
      </c>
      <c r="BJK27" s="43">
        <f t="shared" si="2208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09"/>
        <v>100</v>
      </c>
      <c r="BJS27" s="43">
        <f t="shared" si="2210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1"/>
        <v>221</v>
      </c>
      <c r="BKA27" s="43">
        <f t="shared" si="2212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13"/>
        <v>200</v>
      </c>
      <c r="BKI27" s="43">
        <f t="shared" si="2214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15"/>
        <v>394</v>
      </c>
      <c r="BKQ27" s="43">
        <f t="shared" si="2216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17"/>
        <v>100</v>
      </c>
      <c r="BKY27" s="43">
        <f t="shared" si="2218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19"/>
        <v>226</v>
      </c>
      <c r="BLG27" s="43">
        <f t="shared" si="2220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1"/>
        <v>299</v>
      </c>
      <c r="BLO27" s="68">
        <f t="shared" si="2222"/>
        <v>49.833333333333336</v>
      </c>
      <c r="BLP27" s="48"/>
      <c r="BLQ27" s="49"/>
      <c r="BLR27" s="49"/>
      <c r="BLS27" s="49"/>
      <c r="BLT27" s="49"/>
      <c r="BLU27" s="49"/>
      <c r="BLV27" s="67">
        <f t="shared" si="2223"/>
        <v>0</v>
      </c>
      <c r="BLW27" s="68">
        <f t="shared" si="2224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25"/>
        <v>300</v>
      </c>
      <c r="BME27" s="43">
        <f t="shared" si="2226"/>
        <v>50</v>
      </c>
      <c r="BMF27" s="48"/>
      <c r="BMG27" s="49"/>
      <c r="BMH27" s="49"/>
      <c r="BMI27" s="49"/>
      <c r="BMJ27" s="49"/>
      <c r="BMK27" s="49"/>
      <c r="BML27" s="67">
        <f t="shared" si="2227"/>
        <v>0</v>
      </c>
      <c r="BMM27" s="43">
        <f t="shared" si="2228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29"/>
        <v>320</v>
      </c>
      <c r="BMU27" s="43">
        <f t="shared" si="2230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1"/>
        <v>220</v>
      </c>
      <c r="BNC27" s="43">
        <f t="shared" si="2232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33"/>
        <v>100</v>
      </c>
      <c r="BNK27" s="184">
        <f t="shared" si="2234"/>
        <v>16.666666666666668</v>
      </c>
      <c r="BNL27" s="195"/>
      <c r="BNM27" s="49"/>
      <c r="BNN27" s="49"/>
      <c r="BNO27" s="49"/>
      <c r="BNP27" s="49"/>
      <c r="BNQ27" s="49"/>
      <c r="BNR27" s="67">
        <f t="shared" si="2235"/>
        <v>0</v>
      </c>
      <c r="BNS27" s="211">
        <f t="shared" si="2236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37"/>
        <v>100</v>
      </c>
      <c r="BOA27" s="184">
        <f t="shared" si="2238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39"/>
        <v>322</v>
      </c>
      <c r="BOI27" s="68">
        <f t="shared" si="2240"/>
        <v>53.666666666666664</v>
      </c>
      <c r="BOJ27" s="48"/>
      <c r="BOK27" s="49"/>
      <c r="BOL27" s="49"/>
      <c r="BOM27" s="49"/>
      <c r="BON27" s="49"/>
      <c r="BOO27" s="49"/>
      <c r="BOP27" s="67">
        <f t="shared" si="2241"/>
        <v>0</v>
      </c>
      <c r="BOQ27" s="68">
        <f t="shared" si="2242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43"/>
        <v>260</v>
      </c>
      <c r="BOY27" s="68">
        <f t="shared" si="2244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45"/>
        <v>400</v>
      </c>
      <c r="BPG27" s="68">
        <f t="shared" si="2246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47"/>
        <v>100</v>
      </c>
      <c r="BPO27" s="68">
        <f t="shared" si="2248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49"/>
        <v>200</v>
      </c>
      <c r="BPW27" s="68">
        <f t="shared" si="2250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1"/>
        <v>200</v>
      </c>
      <c r="BQE27" s="68">
        <f t="shared" si="2252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53"/>
        <v>200</v>
      </c>
      <c r="BQM27" s="68">
        <f t="shared" si="2254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55"/>
        <v>200</v>
      </c>
      <c r="BQU27" s="68">
        <f t="shared" si="2256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57"/>
        <v>158</v>
      </c>
      <c r="BRC27" s="68">
        <f t="shared" si="2258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59"/>
        <v>278</v>
      </c>
      <c r="BRK27" s="68">
        <f t="shared" si="2260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1"/>
        <v>481</v>
      </c>
      <c r="BRS27" s="68">
        <f t="shared" si="2262"/>
        <v>80.166666666666671</v>
      </c>
      <c r="BRT27" s="48"/>
      <c r="BRU27" s="49"/>
      <c r="BRV27" s="49"/>
      <c r="BRW27" s="49"/>
      <c r="BRX27" s="49"/>
      <c r="BRY27" s="49"/>
      <c r="BRZ27" s="67">
        <f t="shared" si="2263"/>
        <v>0</v>
      </c>
      <c r="BSA27" s="68">
        <f t="shared" si="2264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65"/>
        <v>100</v>
      </c>
      <c r="BSI27" s="68">
        <f t="shared" si="2266"/>
        <v>16.666666666666668</v>
      </c>
      <c r="BSJ27" s="48"/>
      <c r="BSK27" s="49"/>
      <c r="BSL27" s="49"/>
      <c r="BSM27" s="49"/>
      <c r="BSN27" s="49"/>
      <c r="BSO27" s="49"/>
      <c r="BSP27" s="67">
        <f t="shared" si="2267"/>
        <v>0</v>
      </c>
      <c r="BSQ27" s="68">
        <f t="shared" si="2268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69"/>
        <v>200</v>
      </c>
      <c r="BSY27" s="68">
        <f t="shared" si="2270"/>
        <v>33.333333333333336</v>
      </c>
      <c r="BSZ27" s="48"/>
      <c r="BTA27" s="49"/>
      <c r="BTB27" s="49"/>
      <c r="BTC27" s="49"/>
      <c r="BTD27" s="49"/>
      <c r="BTE27" s="49"/>
      <c r="BTF27" s="67">
        <f t="shared" si="2271"/>
        <v>0</v>
      </c>
      <c r="BTG27" s="68">
        <f t="shared" si="2272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73"/>
        <v>160</v>
      </c>
      <c r="BTO27" s="68">
        <f t="shared" si="2274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75"/>
        <v>402</v>
      </c>
      <c r="BTW27" s="68">
        <f t="shared" si="2276"/>
        <v>67</v>
      </c>
      <c r="BTX27" s="48"/>
      <c r="BTY27" s="49"/>
      <c r="BTZ27" s="49"/>
      <c r="BUA27" s="49"/>
      <c r="BUB27" s="49"/>
      <c r="BUC27" s="49"/>
      <c r="BUD27" s="67">
        <f t="shared" si="2277"/>
        <v>0</v>
      </c>
      <c r="BUE27" s="68">
        <f t="shared" si="2278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79"/>
        <v>100</v>
      </c>
      <c r="BUM27" s="68">
        <f t="shared" si="2280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1"/>
        <v>100</v>
      </c>
      <c r="BUU27" s="68">
        <f t="shared" si="2282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83"/>
        <v>109</v>
      </c>
      <c r="BVC27" s="68">
        <f t="shared" si="2284"/>
        <v>18.166666666666668</v>
      </c>
      <c r="BVD27" s="48"/>
      <c r="BVE27" s="49"/>
      <c r="BVF27" s="49"/>
      <c r="BVG27" s="49"/>
      <c r="BVH27" s="49"/>
      <c r="BVI27" s="49"/>
      <c r="BVJ27" s="67">
        <f t="shared" si="2285"/>
        <v>0</v>
      </c>
      <c r="BVK27" s="68">
        <f t="shared" si="2286"/>
        <v>0</v>
      </c>
      <c r="BVL27" s="48"/>
      <c r="BVM27" s="49"/>
      <c r="BVN27" s="49"/>
      <c r="BVO27" s="49"/>
      <c r="BVP27" s="49"/>
      <c r="BVQ27" s="49"/>
      <c r="BVR27" s="67">
        <f t="shared" si="2287"/>
        <v>0</v>
      </c>
      <c r="BVS27" s="68">
        <f t="shared" si="2288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89"/>
        <v>100</v>
      </c>
      <c r="BWA27" s="68">
        <f t="shared" si="2290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1"/>
        <v>200</v>
      </c>
      <c r="BWI27" s="68">
        <f t="shared" si="2292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293"/>
        <v>20</v>
      </c>
      <c r="BWQ27" s="68">
        <f t="shared" si="2294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295"/>
        <v>202</v>
      </c>
      <c r="BWY27" s="68">
        <f t="shared" si="2296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297"/>
        <v>160</v>
      </c>
      <c r="BXG27" s="68">
        <f t="shared" si="2298"/>
        <v>26.666666666666668</v>
      </c>
      <c r="BXH27" s="48"/>
      <c r="BXI27" s="49"/>
      <c r="BXJ27" s="49"/>
      <c r="BXK27" s="49"/>
      <c r="BXL27" s="49"/>
      <c r="BXM27" s="49"/>
      <c r="BXN27" s="67">
        <f t="shared" si="2299"/>
        <v>0</v>
      </c>
      <c r="BXO27" s="68">
        <f t="shared" si="2300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1"/>
        <v>220</v>
      </c>
      <c r="BXW27" s="68">
        <f t="shared" si="2302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03"/>
        <v>110</v>
      </c>
      <c r="BYE27" s="68">
        <f t="shared" si="2304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05"/>
        <v>200</v>
      </c>
      <c r="BYM27" s="68">
        <f t="shared" si="2306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07"/>
        <v>19</v>
      </c>
      <c r="BYU27" s="68">
        <f t="shared" si="2308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09"/>
        <v>110</v>
      </c>
      <c r="BZC27" s="68">
        <f t="shared" si="2310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1"/>
        <v>200</v>
      </c>
      <c r="BZK27" s="68">
        <f t="shared" si="2312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13"/>
        <v>220</v>
      </c>
      <c r="BZS27" s="68">
        <f t="shared" si="2314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15"/>
        <v>110</v>
      </c>
      <c r="CAA27" s="68">
        <f t="shared" si="2316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17"/>
        <v>220</v>
      </c>
      <c r="CAI27" s="68">
        <f t="shared" si="2318"/>
        <v>36.666666666666664</v>
      </c>
      <c r="CAJ27" s="48"/>
      <c r="CAK27" s="49"/>
      <c r="CAL27" s="49"/>
      <c r="CAM27" s="49"/>
      <c r="CAN27" s="49"/>
      <c r="CAO27" s="49"/>
      <c r="CAP27" s="67">
        <f t="shared" si="2319"/>
        <v>0</v>
      </c>
      <c r="CAQ27" s="68">
        <f t="shared" si="2320"/>
        <v>0</v>
      </c>
      <c r="CAR27" s="201"/>
      <c r="CAS27" s="47"/>
      <c r="CAT27" s="47"/>
      <c r="CAU27" s="47"/>
      <c r="CAV27" s="47"/>
      <c r="CAW27" s="47"/>
      <c r="CAX27" s="67">
        <f t="shared" si="2321"/>
        <v>0</v>
      </c>
      <c r="CAY27" s="68">
        <f t="shared" si="2322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23"/>
        <v>226</v>
      </c>
      <c r="CBG27" s="68">
        <f t="shared" si="2324"/>
        <v>37.666666666666664</v>
      </c>
      <c r="CBH27" s="48"/>
      <c r="CBI27" s="49"/>
      <c r="CBJ27" s="49"/>
      <c r="CBK27" s="49"/>
      <c r="CBL27" s="49"/>
      <c r="CBM27" s="49"/>
      <c r="CBN27" s="67">
        <f t="shared" si="2325"/>
        <v>0</v>
      </c>
      <c r="CBO27" s="68">
        <f t="shared" si="2326"/>
        <v>0</v>
      </c>
      <c r="CBP27" s="48"/>
      <c r="CBQ27" s="49"/>
      <c r="CBR27" s="49"/>
      <c r="CBS27" s="49"/>
      <c r="CBT27" s="49"/>
      <c r="CBU27" s="49"/>
      <c r="CBV27" s="67">
        <f t="shared" si="2327"/>
        <v>0</v>
      </c>
      <c r="CBW27" s="68">
        <f t="shared" si="2328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29"/>
        <v>112</v>
      </c>
      <c r="CCE27" s="68">
        <f t="shared" si="2330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1"/>
        <v>109</v>
      </c>
      <c r="CCM27" s="68">
        <f t="shared" si="2332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33"/>
        <v>91</v>
      </c>
      <c r="CCU27" s="68">
        <f t="shared" si="2334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35"/>
        <v>270</v>
      </c>
      <c r="CDC27" s="68">
        <f t="shared" si="2336"/>
        <v>45</v>
      </c>
      <c r="CDD27" s="201"/>
      <c r="CDE27" s="47"/>
      <c r="CDF27" s="47"/>
      <c r="CDG27" s="47"/>
      <c r="CDH27" s="47"/>
      <c r="CDI27" s="47"/>
      <c r="CDJ27" s="67">
        <f t="shared" si="2337"/>
        <v>0</v>
      </c>
      <c r="CDK27" s="68">
        <f t="shared" si="2338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39"/>
        <v>221</v>
      </c>
      <c r="CDS27" s="68">
        <f t="shared" si="2340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1"/>
        <v>76</v>
      </c>
      <c r="CEA27" s="68">
        <f t="shared" si="2342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43"/>
        <v>220</v>
      </c>
      <c r="CEI27" s="184">
        <f t="shared" si="2344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45"/>
        <v>112</v>
      </c>
      <c r="CEQ27" s="68">
        <f t="shared" si="2346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47"/>
        <v>110</v>
      </c>
      <c r="CFE27" s="68">
        <f t="shared" si="2348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49"/>
        <v>324</v>
      </c>
      <c r="CFM27" s="68">
        <f t="shared" si="2350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1"/>
        <v>0</v>
      </c>
      <c r="CFU27" s="68">
        <f t="shared" si="2352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53"/>
        <v>61</v>
      </c>
      <c r="CGC27" s="68">
        <f t="shared" si="2354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55"/>
        <v>110</v>
      </c>
      <c r="CGK27" s="68">
        <f t="shared" si="2356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57"/>
        <v>150</v>
      </c>
      <c r="CGS27" s="68">
        <f t="shared" si="2358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59"/>
        <v>108</v>
      </c>
      <c r="CHA27" s="68">
        <f t="shared" si="2360"/>
        <v>18</v>
      </c>
      <c r="CHB27" s="48"/>
      <c r="CHC27" s="49"/>
      <c r="CHD27" s="49"/>
      <c r="CHE27" s="49"/>
      <c r="CHF27" s="49"/>
      <c r="CHG27" s="49"/>
      <c r="CHH27" s="64">
        <f t="shared" si="2361"/>
        <v>0</v>
      </c>
      <c r="CHI27" s="68">
        <f t="shared" si="2362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63"/>
        <v>0</v>
      </c>
      <c r="CHQ27" s="68">
        <f t="shared" si="2364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65"/>
        <v>302</v>
      </c>
      <c r="CHY27" s="68">
        <f t="shared" si="2366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67"/>
        <v>0</v>
      </c>
      <c r="CIG27" s="68">
        <f t="shared" si="2368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69"/>
        <v>322</v>
      </c>
      <c r="CIO27" s="68">
        <f t="shared" si="2370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1"/>
        <v>110</v>
      </c>
      <c r="CIW27" s="68">
        <f t="shared" si="2372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73"/>
        <v>435</v>
      </c>
      <c r="CJE27" s="43">
        <f t="shared" si="2374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75"/>
        <v>360</v>
      </c>
      <c r="CJM27" s="43">
        <f t="shared" si="2376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77"/>
        <v>110</v>
      </c>
      <c r="CJU27" s="43">
        <f t="shared" si="2378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79"/>
        <v>42</v>
      </c>
      <c r="CKC27" s="43">
        <f t="shared" si="2380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1"/>
        <v>221</v>
      </c>
      <c r="CKK27" s="43">
        <f t="shared" si="2382"/>
        <v>44.2</v>
      </c>
      <c r="CKL27" s="48"/>
      <c r="CKM27" s="49"/>
      <c r="CKN27" s="49"/>
      <c r="CKO27" s="49"/>
      <c r="CKP27" s="49"/>
      <c r="CKQ27" s="49"/>
      <c r="CKR27" s="127">
        <f t="shared" si="2383"/>
        <v>0</v>
      </c>
      <c r="CKS27" s="43">
        <f t="shared" si="2384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85"/>
        <v>0</v>
      </c>
      <c r="CLA27" s="43">
        <f t="shared" si="2386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87"/>
        <v>260</v>
      </c>
      <c r="CLI27" s="43">
        <f t="shared" si="2388"/>
        <v>43.333333333333336</v>
      </c>
      <c r="CLJ27" s="48"/>
      <c r="CLK27" s="49"/>
      <c r="CLL27" s="49"/>
      <c r="CLM27" s="49"/>
      <c r="CLN27" s="49"/>
      <c r="CLO27" s="49"/>
      <c r="CLP27" s="127">
        <f t="shared" si="2389"/>
        <v>0</v>
      </c>
      <c r="CLQ27" s="43">
        <f t="shared" si="2390"/>
        <v>0</v>
      </c>
      <c r="CLR27" s="48"/>
      <c r="CLS27" s="49"/>
      <c r="CLT27" s="49"/>
      <c r="CLU27" s="49"/>
      <c r="CLV27" s="49"/>
      <c r="CLW27" s="49"/>
      <c r="CLX27" s="127">
        <f t="shared" si="2391"/>
        <v>0</v>
      </c>
      <c r="CLY27" s="43">
        <f t="shared" si="2392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393"/>
        <v>100</v>
      </c>
      <c r="CMG27" s="43">
        <f t="shared" si="2394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395"/>
        <v>210</v>
      </c>
      <c r="CMO27" s="43">
        <f t="shared" si="2396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397"/>
        <v>110</v>
      </c>
      <c r="CMW27" s="43">
        <f t="shared" si="2398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399"/>
        <v>110</v>
      </c>
      <c r="CNE27" s="68">
        <f t="shared" si="2400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1"/>
        <v>0</v>
      </c>
      <c r="CNM27" s="68">
        <f t="shared" si="2402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03"/>
        <v>267</v>
      </c>
      <c r="CNU27" s="68">
        <f t="shared" si="2404"/>
        <v>44.5</v>
      </c>
      <c r="CNV27" s="48"/>
      <c r="CNW27" s="49"/>
      <c r="CNX27" s="49"/>
      <c r="CNY27" s="49"/>
      <c r="CNZ27" s="49"/>
      <c r="COA27" s="49"/>
      <c r="COB27" s="64">
        <f t="shared" si="2405"/>
        <v>0</v>
      </c>
      <c r="COC27" s="68">
        <f t="shared" si="2406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07"/>
        <v>0</v>
      </c>
      <c r="COK27" s="68">
        <f t="shared" si="2408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09"/>
        <v>151</v>
      </c>
      <c r="COS27" s="68">
        <f t="shared" si="2410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1"/>
        <v>80</v>
      </c>
      <c r="CPA27" s="68">
        <f t="shared" si="2412"/>
        <v>13.333333333333334</v>
      </c>
      <c r="CPB27" s="48"/>
      <c r="CPC27" s="49"/>
      <c r="CPD27" s="49"/>
      <c r="CPE27" s="49"/>
      <c r="CPF27" s="49"/>
      <c r="CPG27" s="49"/>
      <c r="CPH27" s="64">
        <f t="shared" si="2413"/>
        <v>0</v>
      </c>
      <c r="CPI27" s="68">
        <f t="shared" si="2414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15"/>
        <v>220</v>
      </c>
      <c r="CPQ27" s="68">
        <f t="shared" si="2416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17"/>
        <v>110</v>
      </c>
      <c r="CPY27" s="68">
        <f t="shared" si="2418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19"/>
        <v>110</v>
      </c>
      <c r="CQG27" s="68">
        <f t="shared" si="2420"/>
        <v>18.333333333333332</v>
      </c>
      <c r="CQH27" s="48"/>
      <c r="CQI27" s="49"/>
      <c r="CQJ27" s="49"/>
      <c r="CQK27" s="49"/>
      <c r="CQL27" s="49"/>
      <c r="CQM27" s="49"/>
      <c r="CQN27" s="127">
        <f t="shared" si="2421"/>
        <v>0</v>
      </c>
      <c r="CQO27" s="43">
        <f t="shared" si="2422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23"/>
        <v>110</v>
      </c>
      <c r="CQW27" s="43">
        <f t="shared" si="2424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25"/>
        <v>100</v>
      </c>
      <c r="CRE27" s="43">
        <f t="shared" si="2426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27"/>
        <v>79</v>
      </c>
      <c r="CRM27" s="43">
        <f t="shared" si="2428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29"/>
        <v>221</v>
      </c>
      <c r="CRU27" s="43">
        <f t="shared" si="2430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1"/>
        <v>220</v>
      </c>
      <c r="CSC27" s="43">
        <f t="shared" si="2432"/>
        <v>36.666666666666664</v>
      </c>
      <c r="CSD27" s="48"/>
      <c r="CSE27" s="49"/>
      <c r="CSF27" s="49"/>
      <c r="CSG27" s="49"/>
      <c r="CSH27" s="49"/>
      <c r="CSI27" s="49"/>
      <c r="CSJ27" s="127">
        <f t="shared" si="2433"/>
        <v>0</v>
      </c>
      <c r="CSK27" s="43">
        <f t="shared" si="2434"/>
        <v>0</v>
      </c>
      <c r="CSL27" s="48"/>
      <c r="CSM27" s="49"/>
      <c r="CSN27" s="49"/>
      <c r="CSO27" s="49"/>
      <c r="CSP27" s="49"/>
      <c r="CSQ27" s="49"/>
      <c r="CSR27" s="127">
        <f t="shared" si="2435"/>
        <v>0</v>
      </c>
      <c r="CSS27" s="43">
        <f t="shared" si="2436"/>
        <v>0</v>
      </c>
      <c r="CST27" s="48"/>
      <c r="CSU27" s="49"/>
      <c r="CSV27" s="49"/>
      <c r="CSW27" s="49"/>
      <c r="CSX27" s="49"/>
      <c r="CSY27" s="49"/>
      <c r="CSZ27" s="127">
        <f t="shared" si="2437"/>
        <v>0</v>
      </c>
      <c r="CTA27" s="43">
        <f t="shared" si="2438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39"/>
        <v>220</v>
      </c>
      <c r="CTI27" s="43">
        <f t="shared" si="2440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1"/>
        <v>110</v>
      </c>
      <c r="CTQ27" s="68">
        <f t="shared" si="2442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43"/>
        <v>0</v>
      </c>
      <c r="CTY27" s="68">
        <f t="shared" si="2444"/>
        <v>0</v>
      </c>
      <c r="CTZ27" s="48"/>
      <c r="CUA27" s="49"/>
      <c r="CUB27" s="49"/>
      <c r="CUC27" s="49"/>
      <c r="CUD27" s="49"/>
      <c r="CUE27" s="49"/>
      <c r="CUF27" s="64">
        <f t="shared" si="2445"/>
        <v>0</v>
      </c>
      <c r="CUG27" s="68">
        <f t="shared" si="2446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47"/>
        <v>229</v>
      </c>
      <c r="CUO27" s="68">
        <f t="shared" si="2448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49"/>
        <v>0</v>
      </c>
      <c r="CUW27" s="68">
        <f t="shared" si="2450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1"/>
        <v>221</v>
      </c>
      <c r="CVE27" s="68">
        <f t="shared" si="2452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53"/>
        <v>110</v>
      </c>
      <c r="CVM27" s="68">
        <f t="shared" si="2454"/>
        <v>18.333333333333332</v>
      </c>
      <c r="CVN27" s="48"/>
      <c r="CVO27" s="49"/>
      <c r="CVP27" s="49"/>
      <c r="CVQ27" s="49"/>
      <c r="CVR27" s="49"/>
      <c r="CVS27" s="49"/>
      <c r="CVT27" s="64">
        <f t="shared" si="2455"/>
        <v>0</v>
      </c>
      <c r="CVU27" s="68">
        <f t="shared" si="2456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57"/>
        <v>110</v>
      </c>
      <c r="CWC27" s="68">
        <f t="shared" si="2458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59"/>
        <v>110</v>
      </c>
      <c r="CWK27" s="68">
        <f t="shared" si="2460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1"/>
        <v>110</v>
      </c>
      <c r="CWS27" s="68">
        <f t="shared" si="2462"/>
        <v>18.333333333333332</v>
      </c>
      <c r="CWT27" s="48"/>
      <c r="CWU27" s="49"/>
      <c r="CWV27" s="49"/>
      <c r="CWW27" s="49"/>
      <c r="CWX27" s="49"/>
      <c r="CWY27" s="49"/>
      <c r="CWZ27" s="64">
        <f t="shared" si="2463"/>
        <v>0</v>
      </c>
      <c r="CXA27" s="68">
        <f t="shared" si="2464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65"/>
        <v>100</v>
      </c>
      <c r="CXI27" s="68">
        <f t="shared" si="2466"/>
        <v>16.666666666666668</v>
      </c>
      <c r="CXJ27" s="48"/>
      <c r="CXK27" s="49"/>
      <c r="CXL27" s="49"/>
      <c r="CXM27" s="49"/>
      <c r="CXN27" s="49"/>
      <c r="CXO27" s="49"/>
      <c r="CXP27" s="64">
        <f t="shared" si="2467"/>
        <v>0</v>
      </c>
      <c r="CXQ27" s="68">
        <f t="shared" si="2468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69"/>
        <v>220</v>
      </c>
      <c r="CXY27" s="68">
        <f t="shared" si="2470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1"/>
        <v>380</v>
      </c>
      <c r="CYG27" s="68">
        <f t="shared" si="2472"/>
        <v>63.333333333333336</v>
      </c>
      <c r="CYH27" s="48"/>
      <c r="CYI27" s="49"/>
      <c r="CYJ27" s="49"/>
      <c r="CYK27" s="49"/>
      <c r="CYL27" s="49"/>
      <c r="CYM27" s="49"/>
      <c r="CYN27" s="64">
        <f t="shared" si="2473"/>
        <v>0</v>
      </c>
      <c r="CYO27" s="68">
        <f t="shared" si="2474"/>
        <v>0</v>
      </c>
      <c r="CYP27" s="48"/>
      <c r="CYQ27" s="49"/>
      <c r="CYR27" s="49"/>
      <c r="CYS27" s="49"/>
      <c r="CYT27" s="49"/>
      <c r="CYU27" s="49"/>
      <c r="CYV27" s="64">
        <f t="shared" si="2475"/>
        <v>0</v>
      </c>
      <c r="CYW27" s="68">
        <f t="shared" si="2476"/>
        <v>0</v>
      </c>
      <c r="CYX27" s="48"/>
      <c r="CYY27" s="49"/>
      <c r="CYZ27" s="49"/>
      <c r="CZA27" s="49"/>
      <c r="CZB27" s="49"/>
      <c r="CZC27" s="49"/>
      <c r="CZD27" s="64">
        <f t="shared" si="2477"/>
        <v>0</v>
      </c>
      <c r="CZE27" s="68">
        <f t="shared" si="2478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47"/>
        <v>419</v>
      </c>
      <c r="CZM27" s="68">
        <f t="shared" si="1648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49"/>
        <v>0</v>
      </c>
      <c r="CZU27" s="68">
        <f t="shared" si="1650"/>
        <v>0</v>
      </c>
      <c r="CZV27" s="48"/>
      <c r="CZW27" s="49"/>
      <c r="CZX27" s="49"/>
      <c r="CZY27" s="49"/>
      <c r="CZZ27" s="49"/>
      <c r="DAA27" s="49"/>
      <c r="DAB27" s="64">
        <f t="shared" si="1651"/>
        <v>0</v>
      </c>
      <c r="DAC27" s="68">
        <f t="shared" si="1652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3"/>
        <v>100</v>
      </c>
      <c r="DAK27" s="68">
        <f t="shared" si="1654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55"/>
        <v>200</v>
      </c>
      <c r="DAS27" s="68">
        <f t="shared" si="1656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57"/>
        <v>0</v>
      </c>
      <c r="DBA27" s="68">
        <f t="shared" si="1658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59"/>
        <v>100</v>
      </c>
      <c r="DBI27" s="492">
        <f t="shared" si="1660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1"/>
        <v>199</v>
      </c>
      <c r="DBQ27" s="68">
        <f t="shared" si="1662"/>
        <v>33.166666666666664</v>
      </c>
      <c r="DBR27" s="48"/>
      <c r="DBS27" s="49"/>
      <c r="DBT27" s="49"/>
      <c r="DBU27" s="49"/>
      <c r="DBV27" s="49"/>
      <c r="DBW27" s="49"/>
      <c r="DBX27" s="64">
        <f t="shared" si="1663"/>
        <v>0</v>
      </c>
      <c r="DBY27" s="68">
        <f t="shared" si="1664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65"/>
        <v>241</v>
      </c>
      <c r="DCG27" s="492">
        <f t="shared" si="1666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67"/>
        <v>0</v>
      </c>
      <c r="DCO27" s="68">
        <f t="shared" si="1668"/>
        <v>0</v>
      </c>
      <c r="DCP27" s="48"/>
      <c r="DCQ27" s="49"/>
      <c r="DCR27" s="49"/>
      <c r="DCS27" s="49"/>
      <c r="DCT27" s="49"/>
      <c r="DCU27" s="49"/>
      <c r="DCV27" s="491">
        <f t="shared" si="1669"/>
        <v>0</v>
      </c>
      <c r="DCW27" s="492">
        <f t="shared" si="1670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1"/>
        <v>50</v>
      </c>
      <c r="DDE27" s="492">
        <f t="shared" si="1672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3"/>
        <v>110</v>
      </c>
      <c r="DDM27" s="492">
        <f t="shared" si="1674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75"/>
        <v>222</v>
      </c>
      <c r="DDU27" s="68">
        <f t="shared" si="1676"/>
        <v>37</v>
      </c>
      <c r="DDV27" s="48"/>
      <c r="DDW27" s="49"/>
      <c r="DDX27" s="49"/>
      <c r="DDY27" s="49"/>
      <c r="DDZ27" s="49"/>
      <c r="DEA27" s="49"/>
      <c r="DEB27" s="491">
        <f t="shared" si="1677"/>
        <v>0</v>
      </c>
      <c r="DEC27" s="492">
        <f t="shared" si="1678"/>
        <v>0</v>
      </c>
      <c r="DED27" s="48"/>
      <c r="DEE27" s="49"/>
      <c r="DEF27" s="49"/>
      <c r="DEG27" s="49"/>
      <c r="DEH27" s="49"/>
      <c r="DEI27" s="49"/>
      <c r="DEJ27" s="491">
        <f t="shared" si="1679"/>
        <v>0</v>
      </c>
      <c r="DEK27" s="492">
        <f t="shared" si="1680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1"/>
        <v>222</v>
      </c>
      <c r="DES27" s="68">
        <f t="shared" si="1682"/>
        <v>37</v>
      </c>
      <c r="DET27" s="63"/>
      <c r="DEU27" s="64"/>
      <c r="DEV27" s="64"/>
      <c r="DEW27" s="64"/>
      <c r="DEX27" s="64"/>
      <c r="DEY27" s="64"/>
      <c r="DEZ27" s="491">
        <f t="shared" si="1683"/>
        <v>0</v>
      </c>
      <c r="DFA27" s="492">
        <f t="shared" si="1684"/>
        <v>0</v>
      </c>
      <c r="DFB27" s="82"/>
      <c r="DFC27" s="83"/>
      <c r="DFD27" s="83"/>
      <c r="DFE27" s="83"/>
      <c r="DFF27" s="83"/>
      <c r="DFG27" s="83"/>
      <c r="DFH27" s="64">
        <f t="shared" si="1685"/>
        <v>0</v>
      </c>
      <c r="DFI27" s="68">
        <f t="shared" si="1686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87"/>
        <v>0</v>
      </c>
      <c r="DFQ27" s="68">
        <f t="shared" si="1688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89"/>
        <v>0</v>
      </c>
      <c r="DFY27" s="68">
        <f t="shared" si="1690"/>
        <v>0</v>
      </c>
      <c r="DFZ27" s="48"/>
      <c r="DGA27" s="49"/>
      <c r="DGB27" s="49"/>
      <c r="DGC27" s="49"/>
      <c r="DGD27" s="49"/>
      <c r="DGE27" s="49"/>
      <c r="DGF27" s="64">
        <f t="shared" si="1691"/>
        <v>0</v>
      </c>
      <c r="DGG27" s="68">
        <f t="shared" si="1692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3"/>
        <v>0</v>
      </c>
      <c r="DGO27" s="68">
        <f t="shared" si="1694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695"/>
        <v>50</v>
      </c>
      <c r="DGW27" s="68">
        <f t="shared" si="1696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697"/>
        <v>100</v>
      </c>
      <c r="DHE27" s="68">
        <f t="shared" si="1698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699"/>
        <v>190</v>
      </c>
      <c r="DHM27" s="68">
        <f t="shared" si="1700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1"/>
        <v>0</v>
      </c>
      <c r="DHU27" s="68">
        <f t="shared" si="1702"/>
        <v>0</v>
      </c>
      <c r="DHV27" s="48"/>
      <c r="DHW27" s="49"/>
      <c r="DHX27" s="49"/>
      <c r="DHY27" s="49"/>
      <c r="DHZ27" s="49"/>
      <c r="DIA27" s="49"/>
      <c r="DIB27" s="64">
        <f t="shared" si="1703"/>
        <v>0</v>
      </c>
      <c r="DIC27" s="68">
        <f t="shared" si="1704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05"/>
        <v>150</v>
      </c>
      <c r="DIK27" s="184">
        <f t="shared" si="1706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07"/>
        <v>105</v>
      </c>
      <c r="DIS27" s="184">
        <f t="shared" si="1708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09"/>
        <v>110</v>
      </c>
      <c r="DJA27" s="68">
        <f t="shared" si="1710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79"/>
        <v>51</v>
      </c>
      <c r="DJI27" s="68">
        <f t="shared" si="2480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1"/>
        <v>210</v>
      </c>
      <c r="DJQ27" s="68">
        <f t="shared" si="2482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83"/>
        <v>0</v>
      </c>
      <c r="DJY27" s="68">
        <f t="shared" si="2484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85"/>
        <v>110</v>
      </c>
      <c r="DKG27" s="68">
        <f t="shared" si="2486"/>
        <v>18.333333333333332</v>
      </c>
      <c r="DKH27" s="48"/>
      <c r="DKI27" s="49"/>
      <c r="DKJ27" s="49"/>
      <c r="DKK27" s="49"/>
      <c r="DKL27" s="49"/>
      <c r="DKM27" s="49"/>
      <c r="DKN27" s="64">
        <f t="shared" si="2487"/>
        <v>0</v>
      </c>
      <c r="DKO27" s="68">
        <f t="shared" si="2488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89"/>
        <v>50</v>
      </c>
      <c r="DKW27" s="184">
        <f t="shared" si="2490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1"/>
        <v>130</v>
      </c>
      <c r="DLE27" s="184">
        <f t="shared" si="2492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493"/>
        <v>0</v>
      </c>
      <c r="DLM27" s="68">
        <f t="shared" si="2494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495"/>
        <v>176</v>
      </c>
      <c r="DLU27" s="68">
        <f t="shared" si="2496"/>
        <v>29.333333333333332</v>
      </c>
      <c r="DLV27" s="48"/>
      <c r="DLW27" s="49"/>
      <c r="DLX27" s="49"/>
      <c r="DLY27" s="49"/>
      <c r="DLZ27" s="49"/>
      <c r="DMA27" s="49"/>
      <c r="DMB27" s="64">
        <f t="shared" si="2497"/>
        <v>0</v>
      </c>
      <c r="DMC27" s="68">
        <f t="shared" si="2498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499"/>
        <v>0</v>
      </c>
      <c r="DMK27" s="68">
        <f t="shared" si="2500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1"/>
        <v>101</v>
      </c>
      <c r="DMS27" s="68">
        <f t="shared" si="2502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03"/>
        <v>100</v>
      </c>
      <c r="DNA27" s="68">
        <f t="shared" si="2504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05"/>
        <v>0</v>
      </c>
      <c r="DNI27" s="68">
        <f t="shared" si="2506"/>
        <v>0</v>
      </c>
      <c r="DNJ27" s="48"/>
      <c r="DNK27" s="49"/>
      <c r="DNL27" s="49"/>
      <c r="DNM27" s="49"/>
      <c r="DNN27" s="49"/>
      <c r="DNO27" s="49"/>
      <c r="DNP27" s="64">
        <f t="shared" si="2507"/>
        <v>0</v>
      </c>
      <c r="DNQ27" s="68">
        <f t="shared" si="2508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09"/>
        <v>303</v>
      </c>
      <c r="DNY27" s="68">
        <f t="shared" si="2510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1"/>
        <v>0</v>
      </c>
      <c r="DOG27" s="68">
        <f t="shared" si="2512"/>
        <v>0</v>
      </c>
      <c r="DOH27" s="48"/>
      <c r="DOI27" s="49"/>
      <c r="DOJ27" s="49"/>
      <c r="DOK27" s="49"/>
      <c r="DOL27" s="49"/>
      <c r="DOM27" s="49"/>
      <c r="DON27" s="64">
        <f t="shared" si="2513"/>
        <v>0</v>
      </c>
      <c r="DOO27" s="68">
        <f t="shared" si="2514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15"/>
        <v>100</v>
      </c>
      <c r="DOW27" s="68">
        <f t="shared" si="2516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17"/>
        <v>0</v>
      </c>
      <c r="DPE27" s="68">
        <f t="shared" si="2518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19"/>
        <v>0</v>
      </c>
      <c r="DPM27" s="68">
        <f t="shared" si="2520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1"/>
        <v>110</v>
      </c>
      <c r="DPU27" s="68">
        <f t="shared" si="2522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23"/>
        <v>100</v>
      </c>
      <c r="DQC27" s="68">
        <f t="shared" si="2524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25"/>
        <v>110</v>
      </c>
      <c r="DQK27" s="68">
        <f t="shared" si="2526"/>
        <v>18.333333333333332</v>
      </c>
      <c r="DQL27" s="48"/>
      <c r="DQM27" s="49"/>
      <c r="DQN27" s="49"/>
      <c r="DQO27" s="49"/>
      <c r="DQP27" s="49"/>
      <c r="DQQ27" s="49"/>
      <c r="DQR27" s="64">
        <f t="shared" si="2527"/>
        <v>0</v>
      </c>
      <c r="DQS27" s="68">
        <f t="shared" si="2528"/>
        <v>0</v>
      </c>
      <c r="DQT27" s="48"/>
      <c r="DQU27" s="49"/>
      <c r="DQV27" s="49"/>
      <c r="DQW27" s="49"/>
      <c r="DQX27" s="49"/>
      <c r="DQY27" s="49"/>
      <c r="DQZ27" s="64">
        <f t="shared" si="2529"/>
        <v>0</v>
      </c>
      <c r="DRA27" s="68">
        <f t="shared" si="2530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1"/>
        <v>100</v>
      </c>
      <c r="DRI27" s="68">
        <f t="shared" si="2532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33"/>
        <v>0</v>
      </c>
      <c r="DRQ27" s="68">
        <f t="shared" si="2534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35"/>
        <v>100</v>
      </c>
      <c r="DRY27" s="68">
        <f t="shared" si="2536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37"/>
        <v>219</v>
      </c>
      <c r="DSG27" s="68">
        <f t="shared" si="2538"/>
        <v>36.5</v>
      </c>
      <c r="DSH27" s="48"/>
      <c r="DSI27" s="49"/>
      <c r="DSJ27" s="49"/>
      <c r="DSK27" s="49"/>
      <c r="DSL27" s="49"/>
      <c r="DSM27" s="49"/>
      <c r="DSN27" s="64">
        <f t="shared" si="2539"/>
        <v>0</v>
      </c>
      <c r="DSO27" s="68">
        <f t="shared" si="2540"/>
        <v>0</v>
      </c>
      <c r="DSP27" s="48"/>
      <c r="DSQ27" s="49"/>
      <c r="DSR27" s="49"/>
      <c r="DSS27" s="49"/>
      <c r="DST27" s="49"/>
      <c r="DSU27" s="49"/>
      <c r="DSV27" s="64">
        <f t="shared" si="2541"/>
        <v>0</v>
      </c>
      <c r="DSW27" s="68">
        <f t="shared" si="2542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43"/>
        <v>0</v>
      </c>
      <c r="DTE27" s="68">
        <f t="shared" si="2544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45"/>
        <v>0</v>
      </c>
      <c r="DTU27" s="68">
        <f t="shared" si="2546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47"/>
        <v>100</v>
      </c>
      <c r="DUC27" s="68">
        <f t="shared" si="2548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49"/>
        <v>0</v>
      </c>
      <c r="DUK27" s="68">
        <f t="shared" si="2550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1"/>
        <v>0</v>
      </c>
      <c r="DUS27" s="68">
        <f t="shared" si="2552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53"/>
        <v>235</v>
      </c>
      <c r="DVA27" s="68">
        <f t="shared" si="2554"/>
        <v>39.166666666666664</v>
      </c>
      <c r="DVB27" s="48"/>
      <c r="DVC27" s="49"/>
      <c r="DVD27" s="49"/>
      <c r="DVE27" s="49"/>
      <c r="DVF27" s="49"/>
      <c r="DVG27" s="49"/>
      <c r="DVH27" s="64">
        <f t="shared" si="2555"/>
        <v>0</v>
      </c>
      <c r="DVI27" s="68">
        <f t="shared" si="2556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57"/>
        <v>113</v>
      </c>
      <c r="DVQ27" s="68">
        <f t="shared" si="2558"/>
        <v>18.833333333333332</v>
      </c>
      <c r="DVR27" s="201"/>
      <c r="DVS27" s="47"/>
      <c r="DVT27" s="47"/>
      <c r="DVU27" s="47"/>
      <c r="DVV27" s="47"/>
      <c r="DVW27" s="47"/>
      <c r="DVX27" s="64">
        <f t="shared" si="2559"/>
        <v>0</v>
      </c>
      <c r="DVY27" s="68">
        <f t="shared" si="2560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1"/>
        <v>207</v>
      </c>
      <c r="DWG27" s="68">
        <f t="shared" si="2562"/>
        <v>34.5</v>
      </c>
      <c r="DWH27" s="48"/>
      <c r="DWI27" s="49"/>
      <c r="DWJ27" s="49"/>
      <c r="DWK27" s="49"/>
      <c r="DWL27" s="49"/>
      <c r="DWM27" s="49"/>
      <c r="DWN27" s="64">
        <f t="shared" si="2563"/>
        <v>0</v>
      </c>
      <c r="DWO27" s="68">
        <f t="shared" si="2564"/>
        <v>0</v>
      </c>
      <c r="DWP27" s="48"/>
      <c r="DWQ27" s="49"/>
      <c r="DWR27" s="49"/>
      <c r="DWS27" s="49"/>
      <c r="DWT27" s="49"/>
      <c r="DWU27" s="49"/>
      <c r="DWV27" s="64">
        <f t="shared" si="2565"/>
        <v>0</v>
      </c>
      <c r="DWW27" s="68">
        <f t="shared" si="2566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67"/>
        <v>209</v>
      </c>
      <c r="DXE27" s="68">
        <f t="shared" si="2568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69"/>
        <v>83</v>
      </c>
      <c r="DXM27" s="68">
        <f t="shared" si="2570"/>
        <v>13.833333333333334</v>
      </c>
      <c r="DXN27" s="48"/>
      <c r="DXO27" s="49"/>
      <c r="DXP27" s="49"/>
      <c r="DXQ27" s="49"/>
      <c r="DXR27" s="49"/>
      <c r="DXS27" s="49"/>
      <c r="DXT27" s="64">
        <f t="shared" si="2571"/>
        <v>0</v>
      </c>
      <c r="DXU27" s="184">
        <f t="shared" si="2572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73"/>
        <v>0</v>
      </c>
      <c r="DYD27" s="211">
        <f t="shared" si="2574"/>
        <v>0</v>
      </c>
      <c r="DYE27" s="195"/>
      <c r="DYF27" s="49"/>
      <c r="DYG27" s="49"/>
      <c r="DYH27" s="49"/>
      <c r="DYI27" s="49"/>
      <c r="DYJ27" s="49"/>
      <c r="DYK27" s="64">
        <f t="shared" si="2575"/>
        <v>0</v>
      </c>
      <c r="DYL27" s="211">
        <f t="shared" si="2576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77"/>
        <v>105</v>
      </c>
      <c r="DYT27" s="211">
        <f t="shared" si="2578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79"/>
        <v>104</v>
      </c>
      <c r="DZB27" s="211">
        <f t="shared" si="2580"/>
        <v>17.333333333333332</v>
      </c>
      <c r="DZC27" s="195"/>
      <c r="DZD27" s="49"/>
      <c r="DZE27" s="49"/>
      <c r="DZF27" s="49"/>
      <c r="DZG27" s="49"/>
      <c r="DZH27" s="49"/>
      <c r="DZI27" s="64">
        <f t="shared" si="2581"/>
        <v>0</v>
      </c>
      <c r="DZJ27" s="211">
        <f t="shared" si="2582"/>
        <v>0</v>
      </c>
      <c r="DZK27" s="195"/>
      <c r="DZL27" s="49"/>
      <c r="DZM27" s="49"/>
      <c r="DZN27" s="49"/>
      <c r="DZO27" s="49"/>
      <c r="DZP27" s="49"/>
      <c r="DZQ27" s="64">
        <f t="shared" si="2583"/>
        <v>0</v>
      </c>
      <c r="DZR27" s="211">
        <f t="shared" si="2584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85"/>
        <v>140</v>
      </c>
      <c r="DZZ27" s="211">
        <f t="shared" si="2586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87"/>
        <v>53</v>
      </c>
      <c r="EAH27" s="211">
        <f t="shared" si="2588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89"/>
        <v>141</v>
      </c>
      <c r="EAP27" s="211">
        <f t="shared" si="2590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1"/>
        <v>17.166666666666668</v>
      </c>
      <c r="EAY27" s="195"/>
      <c r="EAZ27" s="49"/>
      <c r="EBA27" s="49"/>
      <c r="EBB27" s="49"/>
      <c r="EBC27" s="49"/>
      <c r="EBD27" s="49"/>
      <c r="EBE27" s="64">
        <f t="shared" si="1768"/>
        <v>0</v>
      </c>
      <c r="EBF27" s="211">
        <f t="shared" si="1769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592"/>
        <v>112</v>
      </c>
      <c r="EBN27" s="211">
        <f t="shared" si="2593"/>
        <v>18.666666666666668</v>
      </c>
      <c r="EBO27" s="195"/>
      <c r="EBP27" s="49"/>
      <c r="EBQ27" s="49"/>
      <c r="EBR27" s="49"/>
      <c r="EBS27" s="49"/>
      <c r="EBT27" s="49"/>
      <c r="EBU27" s="64">
        <f t="shared" si="2594"/>
        <v>0</v>
      </c>
      <c r="EBV27" s="211">
        <f t="shared" si="2595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596"/>
        <v>197</v>
      </c>
      <c r="ECD27" s="211">
        <f t="shared" si="2597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598"/>
        <v>151</v>
      </c>
      <c r="ECL27" s="211">
        <f t="shared" si="2599"/>
        <v>25.166666666666668</v>
      </c>
      <c r="ECM27" s="195"/>
      <c r="ECN27" s="49"/>
      <c r="ECO27" s="49"/>
      <c r="ECP27" s="49"/>
      <c r="ECQ27" s="49"/>
      <c r="ECR27" s="49"/>
      <c r="ECS27" s="64">
        <f t="shared" si="2600"/>
        <v>0</v>
      </c>
      <c r="ECT27" s="211">
        <f t="shared" si="2601"/>
        <v>0</v>
      </c>
      <c r="ECU27" s="195"/>
      <c r="ECV27" s="49"/>
      <c r="ECW27" s="49"/>
      <c r="ECX27" s="49"/>
      <c r="ECY27" s="49"/>
      <c r="ECZ27" s="49"/>
      <c r="EDA27" s="64">
        <f t="shared" si="2602"/>
        <v>0</v>
      </c>
      <c r="EDB27" s="211">
        <f t="shared" si="2603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04"/>
        <v>149</v>
      </c>
      <c r="EDJ27" s="211">
        <f t="shared" si="2605"/>
        <v>24.833333333333332</v>
      </c>
      <c r="EDK27" s="458"/>
      <c r="EDL27" s="83"/>
      <c r="EDM27" s="83"/>
      <c r="EDN27" s="83"/>
      <c r="EDO27" s="83"/>
      <c r="EDP27" s="83"/>
      <c r="EDQ27" s="64">
        <f t="shared" si="2606"/>
        <v>0</v>
      </c>
      <c r="EDR27" s="211">
        <f t="shared" si="2607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08"/>
        <v>201</v>
      </c>
      <c r="EDZ27" s="211">
        <f t="shared" si="2609"/>
        <v>33.5</v>
      </c>
      <c r="EEA27" s="195"/>
      <c r="EEB27" s="49"/>
      <c r="EEC27" s="49"/>
      <c r="EED27" s="49"/>
      <c r="EEE27" s="49"/>
      <c r="EEF27" s="49"/>
      <c r="EEG27" s="64">
        <f t="shared" si="2610"/>
        <v>0</v>
      </c>
      <c r="EEH27" s="211">
        <f t="shared" si="2611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12"/>
        <v>101</v>
      </c>
      <c r="EEP27" s="211">
        <f t="shared" si="2613"/>
        <v>16.833333333333332</v>
      </c>
      <c r="EEQ27" s="195"/>
      <c r="EER27" s="49"/>
      <c r="EES27" s="49"/>
      <c r="EET27" s="49"/>
      <c r="EEU27" s="49"/>
      <c r="EEV27" s="49"/>
      <c r="EEW27" s="64">
        <f t="shared" si="2614"/>
        <v>0</v>
      </c>
      <c r="EEX27" s="211">
        <f t="shared" si="2615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16"/>
        <v>113</v>
      </c>
      <c r="EFF27" s="707">
        <f t="shared" si="2617"/>
        <v>18.833333333333332</v>
      </c>
      <c r="EFG27" s="195"/>
      <c r="EFH27" s="49"/>
      <c r="EFI27" s="49"/>
      <c r="EFJ27" s="49"/>
      <c r="EFK27" s="49"/>
      <c r="EFL27" s="49"/>
      <c r="EFM27" s="64">
        <f t="shared" si="2618"/>
        <v>0</v>
      </c>
      <c r="EFN27" s="211">
        <f t="shared" si="2619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0"/>
        <v>111</v>
      </c>
      <c r="EFV27" s="211">
        <f t="shared" si="2621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22"/>
        <v>152</v>
      </c>
      <c r="EGD27" s="211">
        <f t="shared" si="2623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24"/>
        <v>0</v>
      </c>
      <c r="EGL27" s="211">
        <f t="shared" si="2625"/>
        <v>0</v>
      </c>
      <c r="EGM27" s="814"/>
      <c r="EGN27" s="815"/>
      <c r="EGO27" s="815"/>
      <c r="EGP27" s="815"/>
      <c r="EGQ27" s="815"/>
      <c r="EGR27" s="815"/>
      <c r="EGS27" s="808">
        <f t="shared" si="2626"/>
        <v>0</v>
      </c>
      <c r="EGT27" s="211">
        <f t="shared" si="2627"/>
        <v>0</v>
      </c>
      <c r="EGU27" s="195"/>
      <c r="EGV27" s="49"/>
      <c r="EGW27" s="49"/>
      <c r="EGX27" s="49"/>
      <c r="EGY27" s="49"/>
      <c r="EGZ27" s="49"/>
      <c r="EHA27" s="808">
        <f t="shared" si="2628"/>
        <v>0</v>
      </c>
      <c r="EHB27" s="211">
        <f t="shared" si="2629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0"/>
        <v>200</v>
      </c>
      <c r="EHJ27" s="211">
        <f t="shared" si="2631"/>
        <v>33.333333333333336</v>
      </c>
      <c r="EHK27" s="195"/>
      <c r="EHL27" s="49"/>
      <c r="EHM27" s="49"/>
      <c r="EHN27" s="49"/>
      <c r="EHO27" s="49"/>
      <c r="EHP27" s="49"/>
      <c r="EHQ27" s="808">
        <f t="shared" si="2632"/>
        <v>0</v>
      </c>
      <c r="EHR27" s="211">
        <f t="shared" si="2633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34"/>
        <v>98</v>
      </c>
      <c r="EHZ27" s="211">
        <f t="shared" si="2635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36"/>
        <v>220</v>
      </c>
      <c r="EIH27" s="211">
        <f t="shared" si="2637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38"/>
        <v>0</v>
      </c>
      <c r="EIP27" s="211">
        <f t="shared" si="2639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0"/>
        <v>100</v>
      </c>
      <c r="EIX27" s="211">
        <f t="shared" si="2641"/>
        <v>16.666666666666668</v>
      </c>
      <c r="EIY27" s="195"/>
      <c r="EIZ27" s="49"/>
      <c r="EJA27" s="49"/>
      <c r="EJB27" s="49"/>
      <c r="EJC27" s="49"/>
      <c r="EJD27" s="49"/>
      <c r="EJE27" s="808">
        <f t="shared" si="2642"/>
        <v>0</v>
      </c>
      <c r="EJF27" s="211">
        <f t="shared" si="2643"/>
        <v>0</v>
      </c>
      <c r="EJG27" s="195"/>
      <c r="EJH27" s="49"/>
      <c r="EJI27" s="49"/>
      <c r="EJJ27" s="49"/>
      <c r="EJK27" s="49"/>
      <c r="EJL27" s="49"/>
      <c r="EJM27" s="808">
        <f t="shared" si="2644"/>
        <v>0</v>
      </c>
      <c r="EJN27" s="211">
        <f t="shared" si="2645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46"/>
        <v>129</v>
      </c>
      <c r="EJV27" s="211">
        <f t="shared" si="2647"/>
        <v>21.5</v>
      </c>
      <c r="EJW27" s="195"/>
      <c r="EJX27" s="49"/>
      <c r="EJY27" s="49"/>
      <c r="EJZ27" s="49"/>
      <c r="EKA27" s="49"/>
      <c r="EKB27" s="49"/>
      <c r="EKC27" s="808">
        <f t="shared" si="2648"/>
        <v>0</v>
      </c>
      <c r="EKD27" s="211">
        <f t="shared" si="2649"/>
        <v>0</v>
      </c>
      <c r="EKE27" s="195"/>
      <c r="EKF27" s="49"/>
      <c r="EKG27" s="49"/>
      <c r="EKH27" s="49"/>
      <c r="EKI27" s="49"/>
      <c r="EKJ27" s="49"/>
      <c r="EKK27" s="808">
        <f t="shared" si="2650"/>
        <v>0</v>
      </c>
      <c r="EKL27" s="211">
        <f t="shared" si="2651"/>
        <v>0</v>
      </c>
      <c r="EKM27" s="458"/>
      <c r="EKN27" s="83"/>
      <c r="EKO27" s="83"/>
      <c r="EKP27" s="83"/>
      <c r="EKQ27" s="83"/>
      <c r="EKR27" s="83"/>
      <c r="EKS27" s="808">
        <f t="shared" si="2652"/>
        <v>0</v>
      </c>
      <c r="EKT27" s="211">
        <f t="shared" si="2653"/>
        <v>0</v>
      </c>
      <c r="EKU27" s="195"/>
      <c r="EKV27" s="49"/>
      <c r="EKW27" s="49"/>
      <c r="EKX27" s="49"/>
      <c r="EKY27" s="49"/>
      <c r="EKZ27" s="49"/>
      <c r="ELA27" s="808">
        <f t="shared" si="2654"/>
        <v>0</v>
      </c>
      <c r="ELB27" s="211">
        <f t="shared" si="2655"/>
        <v>0</v>
      </c>
      <c r="ELC27" s="195"/>
      <c r="ELD27" s="49"/>
      <c r="ELE27" s="49"/>
      <c r="ELF27" s="49"/>
      <c r="ELG27" s="49"/>
      <c r="ELH27" s="49"/>
      <c r="ELI27" s="808">
        <f t="shared" si="2656"/>
        <v>0</v>
      </c>
      <c r="ELJ27" s="211">
        <f t="shared" si="2657"/>
        <v>0</v>
      </c>
      <c r="ELK27" s="195"/>
      <c r="ELL27" s="49"/>
      <c r="ELM27" s="49"/>
      <c r="ELN27" s="49"/>
      <c r="ELO27" s="49"/>
      <c r="ELP27" s="49"/>
      <c r="ELQ27" s="808">
        <f t="shared" si="2658"/>
        <v>0</v>
      </c>
      <c r="ELR27" s="211">
        <f t="shared" si="2659"/>
        <v>0</v>
      </c>
      <c r="ELS27" s="195"/>
      <c r="ELT27" s="49"/>
      <c r="ELU27" s="49"/>
      <c r="ELV27" s="49"/>
      <c r="ELW27" s="49"/>
      <c r="ELX27" s="49"/>
      <c r="ELY27" s="872">
        <f t="shared" si="2660"/>
        <v>0</v>
      </c>
      <c r="ELZ27" s="873">
        <f t="shared" si="2661"/>
        <v>0</v>
      </c>
      <c r="EMA27" s="195"/>
      <c r="EMB27" s="49"/>
      <c r="EMC27" s="49"/>
      <c r="EMD27" s="49"/>
      <c r="EME27" s="49"/>
      <c r="EMF27" s="49"/>
      <c r="EMG27" s="872">
        <f t="shared" si="2662"/>
        <v>0</v>
      </c>
      <c r="EMH27" s="873">
        <f t="shared" si="2663"/>
        <v>0</v>
      </c>
      <c r="EMI27" s="195"/>
      <c r="EMJ27" s="49"/>
      <c r="EMK27" s="49"/>
      <c r="EML27" s="49"/>
      <c r="EMM27" s="49"/>
      <c r="EMN27" s="49"/>
      <c r="EMO27" s="872">
        <f t="shared" si="2664"/>
        <v>0</v>
      </c>
      <c r="EMP27" s="873">
        <f t="shared" si="2665"/>
        <v>0</v>
      </c>
    </row>
    <row r="28" spans="1:3734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07"/>
        <v>0</v>
      </c>
      <c r="L28" s="24">
        <f t="shared" si="1612"/>
        <v>96</v>
      </c>
      <c r="M28" s="15">
        <f t="shared" si="1808"/>
        <v>96</v>
      </c>
      <c r="N28" s="15">
        <v>5</v>
      </c>
      <c r="O28" s="276">
        <f t="shared" si="1613"/>
        <v>19.2</v>
      </c>
      <c r="P28" s="277">
        <v>0</v>
      </c>
      <c r="Q28" s="276">
        <f t="shared" si="1809"/>
        <v>0</v>
      </c>
      <c r="R28" s="277">
        <f t="shared" si="1810"/>
        <v>1.5384615384615385</v>
      </c>
      <c r="S28" s="222">
        <v>40</v>
      </c>
      <c r="T28" s="276">
        <f t="shared" si="1811"/>
        <v>62.4</v>
      </c>
      <c r="U28" s="278"/>
      <c r="V28" s="276">
        <f t="shared" si="1812"/>
        <v>62.4</v>
      </c>
      <c r="W28" s="279">
        <f t="shared" si="1813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14"/>
        <v>781</v>
      </c>
      <c r="AM28" s="43">
        <f t="shared" si="1815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16"/>
        <v>98</v>
      </c>
      <c r="AU28" s="43">
        <f t="shared" si="1817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18"/>
        <v>918</v>
      </c>
      <c r="BC28" s="43">
        <f t="shared" si="1819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0"/>
        <v>399</v>
      </c>
      <c r="BK28" s="43">
        <f t="shared" si="1821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22"/>
        <v>1197</v>
      </c>
      <c r="BS28" s="43">
        <f t="shared" si="1823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24"/>
        <v>1393</v>
      </c>
      <c r="CA28" s="43">
        <f t="shared" si="1825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26"/>
        <v>598</v>
      </c>
      <c r="CI28" s="43">
        <f t="shared" si="1827"/>
        <v>99.666666666666671</v>
      </c>
      <c r="CJ28" s="48"/>
      <c r="CK28" s="49"/>
      <c r="CL28" s="49"/>
      <c r="CM28" s="49"/>
      <c r="CN28" s="49"/>
      <c r="CO28" s="49"/>
      <c r="CP28" s="42">
        <f t="shared" si="1828"/>
        <v>0</v>
      </c>
      <c r="CQ28" s="43">
        <f t="shared" si="1829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0"/>
        <v>198</v>
      </c>
      <c r="CY28" s="43">
        <f t="shared" si="1831"/>
        <v>33</v>
      </c>
      <c r="CZ28" s="48">
        <v>603</v>
      </c>
      <c r="DA28" s="49"/>
      <c r="DB28" s="49"/>
      <c r="DC28" s="49"/>
      <c r="DD28" s="49"/>
      <c r="DE28" s="49"/>
      <c r="DF28" s="42">
        <f t="shared" si="1832"/>
        <v>603</v>
      </c>
      <c r="DG28" s="43">
        <f t="shared" si="1833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34"/>
        <v>212</v>
      </c>
      <c r="DO28" s="43">
        <f t="shared" si="1835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36"/>
        <v>789</v>
      </c>
      <c r="DW28" s="43">
        <f t="shared" si="1837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38"/>
        <v>603</v>
      </c>
      <c r="EE28" s="43">
        <f t="shared" si="1839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0"/>
        <v>796</v>
      </c>
      <c r="EM28" s="43">
        <f t="shared" si="1841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42"/>
        <v>601</v>
      </c>
      <c r="EU28" s="43">
        <f t="shared" si="1843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44"/>
        <v>204</v>
      </c>
      <c r="FC28" s="43">
        <f t="shared" si="1845"/>
        <v>34</v>
      </c>
      <c r="FD28" s="48"/>
      <c r="FE28" s="49"/>
      <c r="FF28" s="49">
        <v>597</v>
      </c>
      <c r="FG28" s="49"/>
      <c r="FH28" s="49"/>
      <c r="FI28" s="49"/>
      <c r="FJ28" s="42">
        <f t="shared" si="1846"/>
        <v>597</v>
      </c>
      <c r="FK28" s="43">
        <f t="shared" si="1847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48"/>
        <v>506</v>
      </c>
      <c r="FS28" s="43">
        <f t="shared" si="1849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0"/>
        <v>400</v>
      </c>
      <c r="GA28" s="43">
        <f t="shared" si="1851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52"/>
        <v>808</v>
      </c>
      <c r="GI28" s="43">
        <f t="shared" si="1853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54"/>
        <v>357</v>
      </c>
      <c r="GQ28" s="43">
        <f t="shared" si="1855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56"/>
        <v>405</v>
      </c>
      <c r="GY28" s="43">
        <f t="shared" si="1857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58"/>
        <v>577</v>
      </c>
      <c r="HG28" s="43">
        <f t="shared" si="1859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0"/>
        <v>248</v>
      </c>
      <c r="HO28" s="43">
        <f t="shared" si="1861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62"/>
        <v>495</v>
      </c>
      <c r="HW28" s="43">
        <f t="shared" si="1863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64"/>
        <v>379</v>
      </c>
      <c r="IE28" s="43">
        <f t="shared" si="1865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66"/>
        <v>998</v>
      </c>
      <c r="IM28" s="43">
        <f t="shared" si="1867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68"/>
        <v>163</v>
      </c>
      <c r="IU28" s="43">
        <f t="shared" si="1869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0"/>
        <v>196</v>
      </c>
      <c r="JC28" s="43">
        <f t="shared" si="1871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72"/>
        <v>1131</v>
      </c>
      <c r="JK28" s="43">
        <f t="shared" si="1873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74"/>
        <v>404</v>
      </c>
      <c r="JS28" s="43">
        <f t="shared" si="1875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76"/>
        <v>499</v>
      </c>
      <c r="KA28" s="43">
        <f t="shared" si="1877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78"/>
        <v>192</v>
      </c>
      <c r="KI28" s="43">
        <f t="shared" si="1879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0"/>
        <v>719</v>
      </c>
      <c r="KQ28" s="43">
        <f t="shared" si="1881"/>
        <v>119.83333333333333</v>
      </c>
      <c r="KR28" s="48"/>
      <c r="KS28" s="49"/>
      <c r="KT28" s="49"/>
      <c r="KU28" s="49"/>
      <c r="KV28" s="49"/>
      <c r="KW28" s="49"/>
      <c r="KX28" s="42">
        <f t="shared" si="1882"/>
        <v>0</v>
      </c>
      <c r="KY28" s="43">
        <f t="shared" si="1883"/>
        <v>0</v>
      </c>
      <c r="KZ28" s="48"/>
      <c r="LA28" s="49"/>
      <c r="LB28" s="49">
        <v>394</v>
      </c>
      <c r="LC28" s="49"/>
      <c r="LD28" s="49"/>
      <c r="LE28" s="49"/>
      <c r="LF28" s="42">
        <f t="shared" si="1884"/>
        <v>394</v>
      </c>
      <c r="LG28" s="43">
        <f t="shared" si="1885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86"/>
        <v>899</v>
      </c>
      <c r="LO28" s="68">
        <f t="shared" si="1887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88"/>
        <v>92</v>
      </c>
      <c r="LW28" s="68">
        <f t="shared" si="1889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0"/>
        <v>207</v>
      </c>
      <c r="ME28" s="68">
        <f t="shared" si="1891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892"/>
        <v>490</v>
      </c>
      <c r="MM28" s="43">
        <f t="shared" si="1893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894"/>
        <v>232</v>
      </c>
      <c r="MU28" s="43">
        <f t="shared" si="1895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896"/>
        <v>199</v>
      </c>
      <c r="NC28" s="43">
        <f t="shared" si="1897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898"/>
        <v>288</v>
      </c>
      <c r="NK28" s="43">
        <f t="shared" si="1899"/>
        <v>48</v>
      </c>
      <c r="NL28" s="48"/>
      <c r="NM28" s="49"/>
      <c r="NN28" s="49"/>
      <c r="NO28" s="49"/>
      <c r="NP28" s="49">
        <v>400</v>
      </c>
      <c r="NQ28" s="49"/>
      <c r="NR28" s="42">
        <f t="shared" si="1900"/>
        <v>400</v>
      </c>
      <c r="NS28" s="43">
        <f t="shared" si="1901"/>
        <v>66.666666666666671</v>
      </c>
      <c r="NT28" s="48"/>
      <c r="NU28" s="49"/>
      <c r="NV28" s="49"/>
      <c r="NW28" s="49"/>
      <c r="NX28" s="49"/>
      <c r="NY28" s="49"/>
      <c r="NZ28" s="42">
        <f t="shared" si="1902"/>
        <v>0</v>
      </c>
      <c r="OA28" s="43">
        <f t="shared" si="1903"/>
        <v>0</v>
      </c>
      <c r="OB28" s="48"/>
      <c r="OC28" s="49"/>
      <c r="OD28" s="49"/>
      <c r="OE28" s="49"/>
      <c r="OF28" s="49">
        <v>99</v>
      </c>
      <c r="OG28" s="49"/>
      <c r="OH28" s="42">
        <f t="shared" si="1904"/>
        <v>99</v>
      </c>
      <c r="OI28" s="43">
        <f t="shared" si="1905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06"/>
        <v>401</v>
      </c>
      <c r="OQ28" s="43">
        <f t="shared" si="1907"/>
        <v>66.833333333333329</v>
      </c>
      <c r="OR28" s="48"/>
      <c r="OS28" s="49"/>
      <c r="OT28" s="49"/>
      <c r="OU28" s="49"/>
      <c r="OV28" s="49"/>
      <c r="OW28" s="49"/>
      <c r="OX28" s="67">
        <f t="shared" si="1908"/>
        <v>0</v>
      </c>
      <c r="OY28" s="68">
        <f t="shared" si="1909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0"/>
        <v>732</v>
      </c>
      <c r="PG28" s="68">
        <f t="shared" si="1911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12"/>
        <v>735</v>
      </c>
      <c r="PO28" s="105">
        <f t="shared" si="1913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14"/>
        <v>189</v>
      </c>
      <c r="PW28" s="105">
        <f t="shared" si="1915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16"/>
        <v>193</v>
      </c>
      <c r="QE28" s="105">
        <f t="shared" si="1917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18"/>
        <v>400</v>
      </c>
      <c r="QM28" s="105">
        <f t="shared" si="1919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0"/>
        <v>693</v>
      </c>
      <c r="QU28" s="105">
        <f t="shared" si="1921"/>
        <v>115.5</v>
      </c>
      <c r="QV28" s="106"/>
      <c r="QW28" s="107"/>
      <c r="QX28" s="107"/>
      <c r="QY28" s="107"/>
      <c r="QZ28" s="107"/>
      <c r="RA28" s="107"/>
      <c r="RB28" s="104">
        <f t="shared" si="1922"/>
        <v>0</v>
      </c>
      <c r="RC28" s="105">
        <f t="shared" si="1923"/>
        <v>0</v>
      </c>
      <c r="RD28" s="106"/>
      <c r="RE28" s="107"/>
      <c r="RF28" s="107"/>
      <c r="RG28" s="107"/>
      <c r="RH28" s="107"/>
      <c r="RI28" s="107"/>
      <c r="RJ28" s="104">
        <f t="shared" si="1924"/>
        <v>0</v>
      </c>
      <c r="RK28" s="105">
        <f t="shared" si="1925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26"/>
        <v>94</v>
      </c>
      <c r="RS28" s="105">
        <f t="shared" si="1927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28"/>
        <v>395</v>
      </c>
      <c r="SA28" s="105">
        <f t="shared" si="1929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0"/>
        <v>188</v>
      </c>
      <c r="SI28" s="105">
        <f t="shared" si="1931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32"/>
        <v>422</v>
      </c>
      <c r="SQ28" s="105">
        <f t="shared" si="1933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34"/>
        <v>138</v>
      </c>
      <c r="SY28" s="105">
        <f t="shared" si="1935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36"/>
        <v>412</v>
      </c>
      <c r="TG28" s="105">
        <f t="shared" si="1937"/>
        <v>68.666666666666671</v>
      </c>
      <c r="TH28" s="106"/>
      <c r="TI28" s="107"/>
      <c r="TJ28" s="107"/>
      <c r="TK28" s="107"/>
      <c r="TL28" s="107"/>
      <c r="TM28" s="107"/>
      <c r="TN28" s="104">
        <f t="shared" si="1938"/>
        <v>0</v>
      </c>
      <c r="TO28" s="105">
        <f t="shared" si="1939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0"/>
        <v>299</v>
      </c>
      <c r="TX28" s="105">
        <f t="shared" si="1941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42"/>
        <v>194</v>
      </c>
      <c r="UF28" s="105">
        <f t="shared" si="1943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44"/>
        <v>198</v>
      </c>
      <c r="UN28" s="105">
        <f t="shared" si="1945"/>
        <v>33</v>
      </c>
      <c r="UO28" s="48"/>
      <c r="UP28" s="49"/>
      <c r="UQ28" s="49"/>
      <c r="UR28" s="49">
        <v>189</v>
      </c>
      <c r="US28" s="49"/>
      <c r="UT28" s="49"/>
      <c r="UU28" s="67">
        <f t="shared" si="1946"/>
        <v>189</v>
      </c>
      <c r="UV28" s="68">
        <f t="shared" si="1947"/>
        <v>31.5</v>
      </c>
      <c r="UW28" s="106"/>
      <c r="UX28" s="107"/>
      <c r="UY28" s="107"/>
      <c r="UZ28" s="107"/>
      <c r="VA28" s="107"/>
      <c r="VB28" s="107"/>
      <c r="VC28" s="104">
        <f t="shared" si="1948"/>
        <v>0</v>
      </c>
      <c r="VD28" s="105">
        <f t="shared" si="1949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0"/>
        <v>304</v>
      </c>
      <c r="VL28" s="68">
        <f t="shared" si="1951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52"/>
        <v>98</v>
      </c>
      <c r="VU28" s="105">
        <f t="shared" si="1953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54"/>
        <v>395</v>
      </c>
      <c r="WD28" s="68">
        <f t="shared" si="1955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56"/>
        <v>400</v>
      </c>
      <c r="WM28" s="68">
        <f t="shared" si="1957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58"/>
        <v>407</v>
      </c>
      <c r="WV28" s="68">
        <f t="shared" si="1959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0"/>
        <v>213</v>
      </c>
      <c r="XE28" s="68">
        <f t="shared" si="1961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62"/>
        <v>196</v>
      </c>
      <c r="XM28" s="68">
        <f t="shared" si="1963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64"/>
        <v>170</v>
      </c>
      <c r="XU28" s="68">
        <f t="shared" si="1965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66"/>
        <v>196</v>
      </c>
      <c r="YC28" s="68">
        <f t="shared" si="1967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68"/>
        <v>432</v>
      </c>
      <c r="YL28" s="68">
        <f t="shared" si="1969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0"/>
        <v>206</v>
      </c>
      <c r="YU28" s="68">
        <f t="shared" si="1971"/>
        <v>34.333333333333336</v>
      </c>
      <c r="YV28" s="48"/>
      <c r="YW28" s="49"/>
      <c r="YX28" s="49"/>
      <c r="YY28" s="49"/>
      <c r="YZ28" s="49"/>
      <c r="ZA28" s="49"/>
      <c r="ZB28" s="67">
        <f t="shared" si="1972"/>
        <v>0</v>
      </c>
      <c r="ZC28" s="68">
        <f t="shared" si="1973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74"/>
        <v>835</v>
      </c>
      <c r="ZK28" s="68">
        <f t="shared" si="1975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76"/>
        <v>401</v>
      </c>
      <c r="ZS28" s="68">
        <f t="shared" si="1977"/>
        <v>66.833333333333329</v>
      </c>
      <c r="ZT28" s="48"/>
      <c r="ZU28" s="49"/>
      <c r="ZV28" s="49"/>
      <c r="ZW28" s="49"/>
      <c r="ZX28" s="49"/>
      <c r="ZY28" s="49"/>
      <c r="ZZ28" s="67">
        <f t="shared" si="1978"/>
        <v>0</v>
      </c>
      <c r="AAA28" s="68">
        <f t="shared" si="1979"/>
        <v>0</v>
      </c>
      <c r="AAB28" s="48"/>
      <c r="AAC28" s="49"/>
      <c r="AAD28" s="49"/>
      <c r="AAE28" s="49"/>
      <c r="AAF28" s="49"/>
      <c r="AAG28" s="49"/>
      <c r="AAH28" s="67">
        <f t="shared" si="1980"/>
        <v>0</v>
      </c>
      <c r="AAI28" s="68">
        <f t="shared" si="1981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82"/>
        <v>201</v>
      </c>
      <c r="AAQ28" s="68">
        <f t="shared" si="1983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84"/>
        <v>459</v>
      </c>
      <c r="AAY28" s="68">
        <f t="shared" si="1985"/>
        <v>76.5</v>
      </c>
      <c r="AAZ28" s="48"/>
      <c r="ABA28" s="49"/>
      <c r="ABB28" s="49"/>
      <c r="ABC28" s="49"/>
      <c r="ABD28" s="49"/>
      <c r="ABE28" s="49"/>
      <c r="ABF28" s="67">
        <f t="shared" si="1986"/>
        <v>0</v>
      </c>
      <c r="ABG28" s="68">
        <f t="shared" si="1987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88"/>
        <v>110</v>
      </c>
      <c r="ABO28" s="68">
        <f t="shared" si="1989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0"/>
        <v>191</v>
      </c>
      <c r="ABW28" s="68">
        <f t="shared" si="1991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1992"/>
        <v>294</v>
      </c>
      <c r="ACE28" s="68">
        <f t="shared" si="1635"/>
        <v>49</v>
      </c>
      <c r="ACF28" s="48"/>
      <c r="ACG28" s="49"/>
      <c r="ACH28" s="49"/>
      <c r="ACI28" s="49"/>
      <c r="ACJ28" s="49"/>
      <c r="ACK28" s="49"/>
      <c r="ACL28" s="67">
        <f t="shared" si="1993"/>
        <v>0</v>
      </c>
      <c r="ACM28" s="68">
        <f t="shared" si="1994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1995"/>
        <v>259</v>
      </c>
      <c r="ACU28" s="68">
        <f t="shared" si="1996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1997"/>
        <v>110</v>
      </c>
      <c r="ADC28" s="68">
        <f t="shared" si="1998"/>
        <v>18.333333333333332</v>
      </c>
      <c r="ADD28" s="48"/>
      <c r="ADE28" s="49"/>
      <c r="ADF28" s="49"/>
      <c r="ADG28" s="49"/>
      <c r="ADH28" s="49"/>
      <c r="ADI28" s="49"/>
      <c r="ADJ28" s="67">
        <f t="shared" si="1999"/>
        <v>0</v>
      </c>
      <c r="ADK28" s="68">
        <f t="shared" si="2000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1"/>
        <v>345</v>
      </c>
      <c r="ADS28" s="68">
        <f t="shared" si="2002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03"/>
        <v>289</v>
      </c>
      <c r="AEA28" s="68">
        <f t="shared" si="2004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05"/>
        <v>223</v>
      </c>
      <c r="AEI28" s="68">
        <f t="shared" si="2006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07"/>
        <v>339</v>
      </c>
      <c r="AEQ28" s="68">
        <f t="shared" si="2008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09"/>
        <v>100</v>
      </c>
      <c r="AEY28" s="68">
        <f t="shared" si="2010"/>
        <v>10</v>
      </c>
      <c r="AEZ28" s="48"/>
      <c r="AFA28" s="49"/>
      <c r="AFB28" s="49"/>
      <c r="AFC28" s="49"/>
      <c r="AFD28" s="49"/>
      <c r="AFE28" s="49"/>
      <c r="AFF28" s="67">
        <f t="shared" si="2011"/>
        <v>0</v>
      </c>
      <c r="AFG28" s="68">
        <f t="shared" si="2012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13"/>
        <v>147</v>
      </c>
      <c r="AFO28" s="68">
        <f t="shared" si="2014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15"/>
        <v>264</v>
      </c>
      <c r="AFW28" s="68">
        <f t="shared" si="2016"/>
        <v>26.4</v>
      </c>
      <c r="AFX28" s="48"/>
      <c r="AFY28" s="49"/>
      <c r="AFZ28" s="49"/>
      <c r="AGA28" s="49"/>
      <c r="AGB28" s="49"/>
      <c r="AGC28" s="49"/>
      <c r="AGD28" s="67">
        <f t="shared" si="2017"/>
        <v>0</v>
      </c>
      <c r="AGE28" s="68">
        <f t="shared" si="2018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19"/>
        <v>228</v>
      </c>
      <c r="AGM28" s="68">
        <f t="shared" si="2020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1"/>
        <v>220</v>
      </c>
      <c r="AGU28" s="43">
        <f t="shared" si="2022"/>
        <v>22</v>
      </c>
      <c r="AGV28" s="48"/>
      <c r="AGW28" s="49"/>
      <c r="AGX28" s="49"/>
      <c r="AGY28" s="49"/>
      <c r="AGZ28" s="49"/>
      <c r="AHA28" s="49"/>
      <c r="AHB28" s="42">
        <f t="shared" si="2023"/>
        <v>0</v>
      </c>
      <c r="AHC28" s="43">
        <f t="shared" si="2024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25"/>
        <v>217</v>
      </c>
      <c r="AHK28" s="43">
        <f t="shared" si="2026"/>
        <v>21.7</v>
      </c>
      <c r="AHL28" s="48"/>
      <c r="AHM28" s="49"/>
      <c r="AHN28" s="49"/>
      <c r="AHO28" s="49"/>
      <c r="AHP28" s="49"/>
      <c r="AHQ28" s="49"/>
      <c r="AHR28" s="67">
        <f t="shared" si="2027"/>
        <v>0</v>
      </c>
      <c r="AHS28" s="68">
        <f t="shared" si="2028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29"/>
        <v>111</v>
      </c>
      <c r="AIA28" s="68">
        <f t="shared" si="2030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1"/>
        <v>100</v>
      </c>
      <c r="AII28" s="68">
        <f t="shared" si="2032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33"/>
        <v>109</v>
      </c>
      <c r="AIQ28" s="68">
        <f t="shared" si="2034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35"/>
        <v>237</v>
      </c>
      <c r="AIY28" s="68">
        <f t="shared" si="2036"/>
        <v>39.5</v>
      </c>
      <c r="AIZ28" s="48"/>
      <c r="AJA28" s="49"/>
      <c r="AJB28" s="49"/>
      <c r="AJC28" s="49"/>
      <c r="AJD28" s="49"/>
      <c r="AJE28" s="49"/>
      <c r="AJF28" s="67">
        <f t="shared" si="2037"/>
        <v>0</v>
      </c>
      <c r="AJG28" s="68">
        <f t="shared" si="2038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39"/>
        <v>114</v>
      </c>
      <c r="AJO28" s="43">
        <f t="shared" si="2040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1"/>
        <v>215</v>
      </c>
      <c r="AJW28" s="43">
        <f t="shared" si="2042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43"/>
        <v>343</v>
      </c>
      <c r="AKE28" s="43">
        <f t="shared" si="2044"/>
        <v>57.166666666666664</v>
      </c>
      <c r="AKF28" s="48"/>
      <c r="AKG28" s="49"/>
      <c r="AKH28" s="49"/>
      <c r="AKI28" s="49"/>
      <c r="AKJ28" s="49"/>
      <c r="AKK28" s="49"/>
      <c r="AKL28" s="47">
        <f t="shared" si="2045"/>
        <v>0</v>
      </c>
      <c r="AKM28" s="43">
        <f t="shared" si="2046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47"/>
        <v>210</v>
      </c>
      <c r="AKU28" s="43">
        <f t="shared" si="2048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49"/>
        <v>222</v>
      </c>
      <c r="ALC28" s="43">
        <f t="shared" si="2050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1"/>
        <v>447</v>
      </c>
      <c r="ALK28" s="43">
        <f t="shared" si="2052"/>
        <v>74.5</v>
      </c>
      <c r="ALL28" s="48"/>
      <c r="ALM28" s="49"/>
      <c r="ALN28" s="49"/>
      <c r="ALO28" s="49"/>
      <c r="ALP28" s="49"/>
      <c r="ALQ28" s="49"/>
      <c r="ALR28" s="67">
        <f t="shared" si="2053"/>
        <v>0</v>
      </c>
      <c r="ALS28" s="68">
        <f t="shared" si="2054"/>
        <v>0</v>
      </c>
      <c r="ALT28" s="48"/>
      <c r="ALU28" s="49"/>
      <c r="ALV28" s="49"/>
      <c r="ALW28" s="49"/>
      <c r="ALX28" s="49"/>
      <c r="ALY28" s="49"/>
      <c r="ALZ28" s="67">
        <f t="shared" si="2055"/>
        <v>0</v>
      </c>
      <c r="AMA28" s="68">
        <f t="shared" si="2056"/>
        <v>0</v>
      </c>
      <c r="AMB28" s="48"/>
      <c r="AMC28" s="49"/>
      <c r="AMD28" s="49"/>
      <c r="AME28" s="49"/>
      <c r="AMF28" s="49"/>
      <c r="AMG28" s="49"/>
      <c r="AMH28" s="67">
        <f t="shared" si="2057"/>
        <v>0</v>
      </c>
      <c r="AMI28" s="68">
        <f t="shared" si="2058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59"/>
        <v>186</v>
      </c>
      <c r="AMQ28" s="68">
        <f t="shared" si="2060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1"/>
        <v>325</v>
      </c>
      <c r="AMY28" s="68">
        <f t="shared" si="2062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63"/>
        <v>110</v>
      </c>
      <c r="ANG28" s="68">
        <f t="shared" si="2064"/>
        <v>18.333333333333332</v>
      </c>
      <c r="ANH28" s="48"/>
      <c r="ANI28" s="49"/>
      <c r="ANJ28" s="49"/>
      <c r="ANK28" s="49"/>
      <c r="ANL28" s="49"/>
      <c r="ANM28" s="49"/>
      <c r="ANN28" s="67">
        <f t="shared" si="2065"/>
        <v>0</v>
      </c>
      <c r="ANO28" s="68">
        <f t="shared" si="2066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67"/>
        <v>220</v>
      </c>
      <c r="ANW28" s="68">
        <f t="shared" si="2068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69"/>
        <v>96</v>
      </c>
      <c r="AOE28" s="68">
        <f t="shared" si="2070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1"/>
        <v>110</v>
      </c>
      <c r="AOM28" s="68">
        <f t="shared" si="2072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73"/>
        <v>111</v>
      </c>
      <c r="AOU28" s="68">
        <f t="shared" si="2074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75"/>
        <v>221</v>
      </c>
      <c r="APC28" s="68">
        <f t="shared" si="2076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77"/>
        <v>197</v>
      </c>
      <c r="APK28" s="68">
        <f t="shared" si="2078"/>
        <v>32.833333333333336</v>
      </c>
      <c r="APL28" s="48"/>
      <c r="APM28" s="49"/>
      <c r="APN28" s="49"/>
      <c r="APO28" s="49"/>
      <c r="APP28" s="49"/>
      <c r="APQ28" s="49"/>
      <c r="APR28" s="67">
        <f t="shared" si="2079"/>
        <v>0</v>
      </c>
      <c r="APS28" s="68">
        <f t="shared" si="2080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1"/>
        <v>110</v>
      </c>
      <c r="AQA28" s="68">
        <f t="shared" si="2082"/>
        <v>18.333333333333332</v>
      </c>
      <c r="AQB28" s="48"/>
      <c r="AQC28" s="49"/>
      <c r="AQD28" s="49"/>
      <c r="AQE28" s="49"/>
      <c r="AQF28" s="49"/>
      <c r="AQG28" s="49"/>
      <c r="AQH28" s="67">
        <f t="shared" si="2083"/>
        <v>0</v>
      </c>
      <c r="AQI28" s="68">
        <f t="shared" si="2084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85"/>
        <v>110</v>
      </c>
      <c r="AQQ28" s="43">
        <f t="shared" si="2086"/>
        <v>18.333333333333332</v>
      </c>
      <c r="AQR28" s="48"/>
      <c r="AQS28" s="49"/>
      <c r="AQT28" s="49"/>
      <c r="AQU28" s="49"/>
      <c r="AQV28" s="49"/>
      <c r="AQW28" s="49"/>
      <c r="AQX28" s="42">
        <f t="shared" si="2087"/>
        <v>0</v>
      </c>
      <c r="AQY28" s="43">
        <f t="shared" si="2088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89"/>
        <v>110</v>
      </c>
      <c r="ARG28" s="43">
        <f t="shared" si="2090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1"/>
        <v>113</v>
      </c>
      <c r="ARO28" s="43">
        <f t="shared" si="2092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093"/>
        <v>113</v>
      </c>
      <c r="ARW28" s="43">
        <f t="shared" si="2094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095"/>
        <v>107</v>
      </c>
      <c r="ASE28" s="43">
        <f t="shared" si="2096"/>
        <v>17.833333333333332</v>
      </c>
      <c r="ASF28" s="48"/>
      <c r="ASG28" s="49"/>
      <c r="ASH28" s="49"/>
      <c r="ASI28" s="49"/>
      <c r="ASJ28" s="49"/>
      <c r="ASK28" s="49"/>
      <c r="ASL28" s="42">
        <f t="shared" si="2097"/>
        <v>0</v>
      </c>
      <c r="ASM28" s="43">
        <f t="shared" si="2098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099"/>
        <v>110</v>
      </c>
      <c r="ASU28" s="43">
        <f t="shared" si="2100"/>
        <v>18.333333333333332</v>
      </c>
      <c r="ASV28" s="48"/>
      <c r="ASW28" s="49"/>
      <c r="ASX28" s="49"/>
      <c r="ASY28" s="49"/>
      <c r="ASZ28" s="49"/>
      <c r="ATA28" s="49"/>
      <c r="ATB28" s="42">
        <f t="shared" si="2101"/>
        <v>0</v>
      </c>
      <c r="ATC28" s="43">
        <f t="shared" si="2102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03"/>
        <v>110</v>
      </c>
      <c r="ATK28" s="43">
        <f t="shared" si="2104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05"/>
        <v>224</v>
      </c>
      <c r="ATS28" s="43">
        <f t="shared" si="2106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07"/>
        <v>108</v>
      </c>
      <c r="AUA28" s="43">
        <f t="shared" si="2108"/>
        <v>18</v>
      </c>
      <c r="AUB28" s="48"/>
      <c r="AUC28" s="49"/>
      <c r="AUD28" s="49"/>
      <c r="AUE28" s="49"/>
      <c r="AUF28" s="49"/>
      <c r="AUG28" s="49"/>
      <c r="AUH28" s="42">
        <f t="shared" si="2109"/>
        <v>0</v>
      </c>
      <c r="AUI28" s="43">
        <f t="shared" si="2110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1"/>
        <v>111</v>
      </c>
      <c r="AUQ28" s="43">
        <f t="shared" si="2112"/>
        <v>18.5</v>
      </c>
      <c r="AUR28" s="48"/>
      <c r="AUS28" s="49"/>
      <c r="AUT28" s="49"/>
      <c r="AUU28" s="49"/>
      <c r="AUV28" s="49"/>
      <c r="AUW28" s="49"/>
      <c r="AUX28" s="42">
        <f t="shared" si="2113"/>
        <v>0</v>
      </c>
      <c r="AUY28" s="43">
        <f t="shared" si="2114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15"/>
        <v>312</v>
      </c>
      <c r="AVG28" s="43">
        <f t="shared" si="2116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17"/>
        <v>203</v>
      </c>
      <c r="AVO28" s="43">
        <f t="shared" si="2118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19"/>
        <v>110</v>
      </c>
      <c r="AVW28" s="43">
        <f t="shared" si="2120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1"/>
        <v>328</v>
      </c>
      <c r="AWE28" s="43">
        <f t="shared" si="2122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23"/>
        <v>110</v>
      </c>
      <c r="AWM28" s="43">
        <f t="shared" si="2124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25"/>
        <v>228</v>
      </c>
      <c r="AWU28" s="43">
        <f t="shared" si="2126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27"/>
        <v>215</v>
      </c>
      <c r="AXC28" s="43">
        <f t="shared" si="2128"/>
        <v>35.833333333333336</v>
      </c>
      <c r="AXD28" s="48"/>
      <c r="AXE28" s="49"/>
      <c r="AXF28" s="49"/>
      <c r="AXG28" s="49"/>
      <c r="AXH28" s="49"/>
      <c r="AXI28" s="49"/>
      <c r="AXJ28" s="42">
        <f t="shared" si="2129"/>
        <v>0</v>
      </c>
      <c r="AXK28" s="43">
        <f t="shared" si="2130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1"/>
        <v>203</v>
      </c>
      <c r="AXS28" s="43">
        <f t="shared" si="2132"/>
        <v>33.833333333333336</v>
      </c>
      <c r="AXT28" s="48"/>
      <c r="AXU28" s="49"/>
      <c r="AXV28" s="49"/>
      <c r="AXW28" s="49"/>
      <c r="AXX28" s="49"/>
      <c r="AXY28" s="49"/>
      <c r="AXZ28" s="42">
        <f t="shared" si="2133"/>
        <v>0</v>
      </c>
      <c r="AYA28" s="43">
        <f t="shared" si="2134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35"/>
        <v>111</v>
      </c>
      <c r="AYI28" s="43">
        <f t="shared" si="2136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37"/>
        <v>37</v>
      </c>
      <c r="AYQ28" s="43">
        <f t="shared" si="2138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39"/>
        <v>104</v>
      </c>
      <c r="AYY28" s="43">
        <f t="shared" si="2140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1"/>
        <v>110</v>
      </c>
      <c r="AZG28" s="43">
        <f t="shared" si="2142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43"/>
        <v>211</v>
      </c>
      <c r="AZO28" s="43">
        <f t="shared" si="2144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45"/>
        <v>109</v>
      </c>
      <c r="AZW28" s="43">
        <f t="shared" si="2146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47"/>
        <v>81</v>
      </c>
      <c r="BAE28" s="43">
        <f t="shared" si="2148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49"/>
        <v>210</v>
      </c>
      <c r="BAM28" s="43">
        <f t="shared" si="2150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1"/>
        <v>110</v>
      </c>
      <c r="BAU28" s="43">
        <f t="shared" si="2152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53"/>
        <v>136</v>
      </c>
      <c r="BBC28" s="43">
        <f t="shared" si="2154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55"/>
        <v>331</v>
      </c>
      <c r="BBK28" s="43">
        <f t="shared" si="2156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57"/>
        <v>110</v>
      </c>
      <c r="BBS28" s="43">
        <f t="shared" si="2158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59"/>
        <v>123</v>
      </c>
      <c r="BCA28" s="43">
        <f t="shared" si="2160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1"/>
        <v>307</v>
      </c>
      <c r="BCI28" s="43">
        <f t="shared" si="2162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63"/>
        <v>109</v>
      </c>
      <c r="BCQ28" s="43">
        <f t="shared" si="2164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65"/>
        <v>220</v>
      </c>
      <c r="BCY28" s="43">
        <f t="shared" si="2166"/>
        <v>36.666666666666664</v>
      </c>
      <c r="BCZ28" s="48"/>
      <c r="BDA28" s="49"/>
      <c r="BDB28" s="49"/>
      <c r="BDC28" s="49"/>
      <c r="BDD28" s="49"/>
      <c r="BDE28" s="49"/>
      <c r="BDF28" s="42">
        <f t="shared" si="2167"/>
        <v>0</v>
      </c>
      <c r="BDG28" s="43">
        <f t="shared" si="2168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69"/>
        <v>220</v>
      </c>
      <c r="BDO28" s="101">
        <f t="shared" si="2170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1"/>
        <v>220</v>
      </c>
      <c r="BDW28" s="101">
        <f t="shared" si="2172"/>
        <v>36.666666666666664</v>
      </c>
      <c r="BDX28" s="48"/>
      <c r="BDY28" s="49"/>
      <c r="BDZ28" s="49"/>
      <c r="BEA28" s="49"/>
      <c r="BEB28" s="49"/>
      <c r="BEC28" s="49"/>
      <c r="BED28" s="42">
        <f t="shared" si="2173"/>
        <v>0</v>
      </c>
      <c r="BEE28" s="43">
        <f t="shared" si="2174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75"/>
        <v>97</v>
      </c>
      <c r="BEM28" s="43">
        <f t="shared" si="2176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77"/>
        <v>248</v>
      </c>
      <c r="BEU28" s="43">
        <f t="shared" si="2178"/>
        <v>41.333333333333336</v>
      </c>
      <c r="BEV28" s="48"/>
      <c r="BEW28" s="49"/>
      <c r="BEX28" s="49"/>
      <c r="BEY28" s="49"/>
      <c r="BEZ28" s="49"/>
      <c r="BFA28" s="49"/>
      <c r="BFB28" s="42">
        <f t="shared" si="2179"/>
        <v>0</v>
      </c>
      <c r="BFC28" s="43">
        <f t="shared" si="2180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1"/>
        <v>110</v>
      </c>
      <c r="BFK28" s="43">
        <f t="shared" si="2182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83"/>
        <v>218</v>
      </c>
      <c r="BFS28" s="43">
        <f t="shared" si="2184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85"/>
        <v>110</v>
      </c>
      <c r="BGA28" s="43">
        <f t="shared" si="2186"/>
        <v>18.333333333333332</v>
      </c>
      <c r="BGB28" s="48"/>
      <c r="BGC28" s="49"/>
      <c r="BGD28" s="49"/>
      <c r="BGE28" s="49"/>
      <c r="BGF28" s="49"/>
      <c r="BGG28" s="49"/>
      <c r="BGH28" s="42">
        <f t="shared" si="2187"/>
        <v>0</v>
      </c>
      <c r="BGI28" s="43">
        <f t="shared" si="2188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89"/>
        <v>110</v>
      </c>
      <c r="BGQ28" s="43">
        <f t="shared" si="2190"/>
        <v>18.333333333333332</v>
      </c>
      <c r="BGR28" s="48"/>
      <c r="BGS28" s="49"/>
      <c r="BGT28" s="49"/>
      <c r="BGU28" s="49"/>
      <c r="BGV28" s="49"/>
      <c r="BGW28" s="49"/>
      <c r="BGX28" s="42">
        <f t="shared" si="2191"/>
        <v>0</v>
      </c>
      <c r="BGY28" s="43">
        <f t="shared" si="2192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193"/>
        <v>100</v>
      </c>
      <c r="BHG28" s="43">
        <f t="shared" si="2194"/>
        <v>16.666666666666668</v>
      </c>
      <c r="BHH28" s="48"/>
      <c r="BHI28" s="49"/>
      <c r="BHJ28" s="49"/>
      <c r="BHK28" s="49"/>
      <c r="BHL28" s="49"/>
      <c r="BHM28" s="49"/>
      <c r="BHN28" s="42">
        <f t="shared" si="2195"/>
        <v>0</v>
      </c>
      <c r="BHO28" s="43">
        <f t="shared" si="2196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197"/>
        <v>111</v>
      </c>
      <c r="BHW28" s="43">
        <f t="shared" si="2198"/>
        <v>18.5</v>
      </c>
      <c r="BHX28" s="48"/>
      <c r="BHY28" s="49"/>
      <c r="BHZ28" s="49"/>
      <c r="BIA28" s="49"/>
      <c r="BIB28" s="49"/>
      <c r="BIC28" s="49"/>
      <c r="BID28" s="42">
        <f t="shared" si="2199"/>
        <v>0</v>
      </c>
      <c r="BIE28" s="43">
        <f t="shared" si="2200"/>
        <v>0</v>
      </c>
      <c r="BIF28" s="48"/>
      <c r="BIG28" s="49"/>
      <c r="BIH28" s="49"/>
      <c r="BII28" s="49"/>
      <c r="BIJ28" s="49"/>
      <c r="BIK28" s="49"/>
      <c r="BIL28" s="42">
        <f t="shared" si="2201"/>
        <v>0</v>
      </c>
      <c r="BIM28" s="43">
        <f t="shared" si="2202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03"/>
        <v>110</v>
      </c>
      <c r="BIU28" s="43">
        <f t="shared" si="2204"/>
        <v>18.333333333333332</v>
      </c>
      <c r="BIV28" s="48"/>
      <c r="BIW28" s="49"/>
      <c r="BIX28" s="49"/>
      <c r="BIY28" s="49"/>
      <c r="BIZ28" s="49"/>
      <c r="BJA28" s="49"/>
      <c r="BJB28" s="42">
        <f t="shared" si="2205"/>
        <v>0</v>
      </c>
      <c r="BJC28" s="43">
        <f t="shared" si="2206"/>
        <v>0</v>
      </c>
      <c r="BJD28" s="48"/>
      <c r="BJE28" s="49"/>
      <c r="BJF28" s="49"/>
      <c r="BJG28" s="49"/>
      <c r="BJH28" s="49"/>
      <c r="BJI28" s="49"/>
      <c r="BJJ28" s="42">
        <f t="shared" si="2207"/>
        <v>0</v>
      </c>
      <c r="BJK28" s="43">
        <f t="shared" si="2208"/>
        <v>0</v>
      </c>
      <c r="BJL28" s="48"/>
      <c r="BJM28" s="49"/>
      <c r="BJN28" s="49"/>
      <c r="BJO28" s="49"/>
      <c r="BJP28" s="49"/>
      <c r="BJQ28" s="49"/>
      <c r="BJR28" s="42">
        <f t="shared" si="2209"/>
        <v>0</v>
      </c>
      <c r="BJS28" s="43">
        <f t="shared" si="2210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1"/>
        <v>112</v>
      </c>
      <c r="BKA28" s="43">
        <f t="shared" si="2212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13"/>
        <v>160</v>
      </c>
      <c r="BKI28" s="43">
        <f t="shared" si="2214"/>
        <v>26.666666666666668</v>
      </c>
      <c r="BKJ28" s="48"/>
      <c r="BKK28" s="49"/>
      <c r="BKL28" s="49"/>
      <c r="BKM28" s="49"/>
      <c r="BKN28" s="49"/>
      <c r="BKO28" s="49"/>
      <c r="BKP28" s="67">
        <f t="shared" si="2215"/>
        <v>0</v>
      </c>
      <c r="BKQ28" s="43">
        <f t="shared" si="2216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17"/>
        <v>110</v>
      </c>
      <c r="BKY28" s="43">
        <f t="shared" si="2218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19"/>
        <v>100</v>
      </c>
      <c r="BLG28" s="43">
        <f t="shared" si="2220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1"/>
        <v>224</v>
      </c>
      <c r="BLO28" s="68">
        <f t="shared" si="2222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23"/>
        <v>190</v>
      </c>
      <c r="BLW28" s="68">
        <f t="shared" si="2224"/>
        <v>31.666666666666668</v>
      </c>
      <c r="BLX28" s="48"/>
      <c r="BLY28" s="49"/>
      <c r="BLZ28" s="49"/>
      <c r="BMA28" s="49"/>
      <c r="BMB28" s="49"/>
      <c r="BMC28" s="49"/>
      <c r="BMD28" s="67">
        <f t="shared" si="2225"/>
        <v>0</v>
      </c>
      <c r="BME28" s="43">
        <f t="shared" si="2226"/>
        <v>0</v>
      </c>
      <c r="BMF28" s="48"/>
      <c r="BMG28" s="49"/>
      <c r="BMH28" s="49"/>
      <c r="BMI28" s="49"/>
      <c r="BMJ28" s="49"/>
      <c r="BMK28" s="49"/>
      <c r="BML28" s="67">
        <f t="shared" si="2227"/>
        <v>0</v>
      </c>
      <c r="BMM28" s="43">
        <f t="shared" si="2228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29"/>
        <v>219</v>
      </c>
      <c r="BMU28" s="43">
        <f t="shared" si="2230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1"/>
        <v>51</v>
      </c>
      <c r="BNC28" s="43">
        <f t="shared" si="2232"/>
        <v>8.5</v>
      </c>
      <c r="BND28" s="48"/>
      <c r="BNE28" s="49"/>
      <c r="BNF28" s="49"/>
      <c r="BNG28" s="49"/>
      <c r="BNH28" s="49"/>
      <c r="BNI28" s="49"/>
      <c r="BNJ28" s="67">
        <f t="shared" si="2233"/>
        <v>0</v>
      </c>
      <c r="BNK28" s="184">
        <f t="shared" si="2234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35"/>
        <v>110</v>
      </c>
      <c r="BNS28" s="211">
        <f t="shared" si="2236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37"/>
        <v>48</v>
      </c>
      <c r="BOA28" s="184">
        <f t="shared" si="2238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39"/>
        <v>99</v>
      </c>
      <c r="BOI28" s="68">
        <f t="shared" si="2240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1"/>
        <v>106</v>
      </c>
      <c r="BOQ28" s="68">
        <f t="shared" si="2242"/>
        <v>17.666666666666668</v>
      </c>
      <c r="BOR28" s="48"/>
      <c r="BOS28" s="49"/>
      <c r="BOT28" s="49"/>
      <c r="BOU28" s="49"/>
      <c r="BOV28" s="49"/>
      <c r="BOW28" s="49"/>
      <c r="BOX28" s="67">
        <f t="shared" si="2243"/>
        <v>0</v>
      </c>
      <c r="BOY28" s="68">
        <f t="shared" si="2244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45"/>
        <v>220</v>
      </c>
      <c r="BPG28" s="68">
        <f t="shared" si="2246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47"/>
        <v>80</v>
      </c>
      <c r="BPO28" s="68">
        <f t="shared" si="2248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49"/>
        <v>65</v>
      </c>
      <c r="BPW28" s="68">
        <f t="shared" si="2250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1"/>
        <v>110</v>
      </c>
      <c r="BQE28" s="68">
        <f t="shared" si="2252"/>
        <v>18.333333333333332</v>
      </c>
      <c r="BQF28" s="48"/>
      <c r="BQG28" s="49"/>
      <c r="BQH28" s="49"/>
      <c r="BQI28" s="49"/>
      <c r="BQJ28" s="49"/>
      <c r="BQK28" s="49"/>
      <c r="BQL28" s="67">
        <f t="shared" si="2253"/>
        <v>0</v>
      </c>
      <c r="BQM28" s="68">
        <f t="shared" si="2254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55"/>
        <v>110</v>
      </c>
      <c r="BQU28" s="68">
        <f t="shared" si="2256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57"/>
        <v>111</v>
      </c>
      <c r="BRC28" s="68">
        <f t="shared" si="2258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59"/>
        <v>111</v>
      </c>
      <c r="BRK28" s="68">
        <f t="shared" si="2260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1"/>
        <v>150</v>
      </c>
      <c r="BRS28" s="68">
        <f t="shared" si="2262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63"/>
        <v>230</v>
      </c>
      <c r="BSA28" s="68">
        <f t="shared" si="2264"/>
        <v>38.333333333333336</v>
      </c>
      <c r="BSB28" s="48"/>
      <c r="BSC28" s="49"/>
      <c r="BSD28" s="49"/>
      <c r="BSE28" s="49"/>
      <c r="BSF28" s="49"/>
      <c r="BSG28" s="49"/>
      <c r="BSH28" s="67">
        <f t="shared" si="2265"/>
        <v>0</v>
      </c>
      <c r="BSI28" s="68">
        <f t="shared" si="2266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67"/>
        <v>100</v>
      </c>
      <c r="BSQ28" s="68">
        <f t="shared" si="2268"/>
        <v>16.666666666666668</v>
      </c>
      <c r="BSR28" s="48"/>
      <c r="BSS28" s="49"/>
      <c r="BST28" s="49"/>
      <c r="BSU28" s="49"/>
      <c r="BSV28" s="49"/>
      <c r="BSW28" s="49"/>
      <c r="BSX28" s="67">
        <f t="shared" si="2269"/>
        <v>0</v>
      </c>
      <c r="BSY28" s="68">
        <f t="shared" si="2270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1"/>
        <v>190</v>
      </c>
      <c r="BTG28" s="68">
        <f t="shared" si="2272"/>
        <v>31.666666666666668</v>
      </c>
      <c r="BTH28" s="48"/>
      <c r="BTI28" s="49"/>
      <c r="BTJ28" s="49"/>
      <c r="BTK28" s="49"/>
      <c r="BTL28" s="49"/>
      <c r="BTM28" s="49"/>
      <c r="BTN28" s="67">
        <f t="shared" si="2273"/>
        <v>0</v>
      </c>
      <c r="BTO28" s="68">
        <f t="shared" si="2274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75"/>
        <v>220</v>
      </c>
      <c r="BTW28" s="68">
        <f t="shared" si="2276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77"/>
        <v>110</v>
      </c>
      <c r="BUE28" s="68">
        <f t="shared" si="2278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79"/>
        <v>107</v>
      </c>
      <c r="BUM28" s="68">
        <f t="shared" si="2280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1"/>
        <v>116</v>
      </c>
      <c r="BUU28" s="68">
        <f t="shared" si="2282"/>
        <v>19.333333333333332</v>
      </c>
      <c r="BUV28" s="48"/>
      <c r="BUW28" s="49"/>
      <c r="BUX28" s="49"/>
      <c r="BUY28" s="49"/>
      <c r="BUZ28" s="49"/>
      <c r="BVA28" s="49"/>
      <c r="BVB28" s="67">
        <f t="shared" si="2283"/>
        <v>0</v>
      </c>
      <c r="BVC28" s="68">
        <f t="shared" si="2284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85"/>
        <v>109</v>
      </c>
      <c r="BVK28" s="68">
        <f t="shared" si="2286"/>
        <v>18.166666666666668</v>
      </c>
      <c r="BVL28" s="48"/>
      <c r="BVM28" s="49"/>
      <c r="BVN28" s="49"/>
      <c r="BVO28" s="49"/>
      <c r="BVP28" s="49"/>
      <c r="BVQ28" s="49"/>
      <c r="BVR28" s="67">
        <f t="shared" si="2287"/>
        <v>0</v>
      </c>
      <c r="BVS28" s="68">
        <f t="shared" si="2288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89"/>
        <v>30</v>
      </c>
      <c r="BWA28" s="68">
        <f t="shared" si="2290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1"/>
        <v>80</v>
      </c>
      <c r="BWI28" s="68">
        <f t="shared" si="2292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293"/>
        <v>10</v>
      </c>
      <c r="BWQ28" s="68">
        <f t="shared" si="2294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295"/>
        <v>111</v>
      </c>
      <c r="BWY28" s="68">
        <f t="shared" si="2296"/>
        <v>18.5</v>
      </c>
      <c r="BWZ28" s="48"/>
      <c r="BXA28" s="49"/>
      <c r="BXB28" s="49"/>
      <c r="BXC28" s="49"/>
      <c r="BXD28" s="49"/>
      <c r="BXE28" s="49"/>
      <c r="BXF28" s="67">
        <f t="shared" si="2297"/>
        <v>0</v>
      </c>
      <c r="BXG28" s="68">
        <f t="shared" si="2298"/>
        <v>0</v>
      </c>
      <c r="BXH28" s="48"/>
      <c r="BXI28" s="49"/>
      <c r="BXJ28" s="49"/>
      <c r="BXK28" s="49"/>
      <c r="BXL28" s="49"/>
      <c r="BXM28" s="49"/>
      <c r="BXN28" s="67">
        <f t="shared" si="2299"/>
        <v>0</v>
      </c>
      <c r="BXO28" s="68">
        <f t="shared" si="2300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1"/>
        <v>105</v>
      </c>
      <c r="BXW28" s="68">
        <f t="shared" si="2302"/>
        <v>17.5</v>
      </c>
      <c r="BXX28" s="48"/>
      <c r="BXY28" s="49"/>
      <c r="BXZ28" s="49"/>
      <c r="BYA28" s="49"/>
      <c r="BYB28" s="49"/>
      <c r="BYC28" s="49"/>
      <c r="BYD28" s="67">
        <f t="shared" si="2303"/>
        <v>0</v>
      </c>
      <c r="BYE28" s="68">
        <f t="shared" si="2304"/>
        <v>0</v>
      </c>
      <c r="BYF28" s="48"/>
      <c r="BYG28" s="49"/>
      <c r="BYH28" s="49"/>
      <c r="BYI28" s="49"/>
      <c r="BYJ28" s="49"/>
      <c r="BYK28" s="49"/>
      <c r="BYL28" s="67">
        <f t="shared" si="2305"/>
        <v>0</v>
      </c>
      <c r="BYM28" s="68">
        <f t="shared" si="2306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07"/>
        <v>217</v>
      </c>
      <c r="BYU28" s="68">
        <f t="shared" si="2308"/>
        <v>36.166666666666664</v>
      </c>
      <c r="BYV28" s="48"/>
      <c r="BYW28" s="49"/>
      <c r="BYX28" s="49"/>
      <c r="BYY28" s="49"/>
      <c r="BYZ28" s="49"/>
      <c r="BZA28" s="49"/>
      <c r="BZB28" s="67">
        <f t="shared" si="2309"/>
        <v>0</v>
      </c>
      <c r="BZC28" s="68">
        <f t="shared" si="2310"/>
        <v>0</v>
      </c>
      <c r="BZD28" s="48"/>
      <c r="BZE28" s="49"/>
      <c r="BZF28" s="49"/>
      <c r="BZG28" s="49"/>
      <c r="BZH28" s="49"/>
      <c r="BZI28" s="49"/>
      <c r="BZJ28" s="67">
        <f t="shared" si="2311"/>
        <v>0</v>
      </c>
      <c r="BZK28" s="68">
        <f t="shared" si="2312"/>
        <v>0</v>
      </c>
      <c r="BZL28" s="48"/>
      <c r="BZM28" s="49"/>
      <c r="BZN28" s="49"/>
      <c r="BZO28" s="49"/>
      <c r="BZP28" s="49"/>
      <c r="BZQ28" s="49"/>
      <c r="BZR28" s="67">
        <f t="shared" si="2313"/>
        <v>0</v>
      </c>
      <c r="BZS28" s="68">
        <f t="shared" si="2314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15"/>
        <v>39</v>
      </c>
      <c r="CAA28" s="68">
        <f t="shared" si="2316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17"/>
        <v>80</v>
      </c>
      <c r="CAI28" s="68">
        <f t="shared" si="2318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19"/>
        <v>50</v>
      </c>
      <c r="CAQ28" s="68">
        <f t="shared" si="2320"/>
        <v>8.3333333333333339</v>
      </c>
      <c r="CAR28" s="201"/>
      <c r="CAS28" s="47"/>
      <c r="CAT28" s="47"/>
      <c r="CAU28" s="47"/>
      <c r="CAV28" s="47"/>
      <c r="CAW28" s="47"/>
      <c r="CAX28" s="67">
        <f t="shared" si="2321"/>
        <v>0</v>
      </c>
      <c r="CAY28" s="68">
        <f t="shared" si="2322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23"/>
        <v>40</v>
      </c>
      <c r="CBG28" s="68">
        <f t="shared" si="2324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25"/>
        <v>38</v>
      </c>
      <c r="CBO28" s="68">
        <f t="shared" si="2326"/>
        <v>6.333333333333333</v>
      </c>
      <c r="CBP28" s="48"/>
      <c r="CBQ28" s="49"/>
      <c r="CBR28" s="49"/>
      <c r="CBS28" s="49"/>
      <c r="CBT28" s="49"/>
      <c r="CBU28" s="49"/>
      <c r="CBV28" s="67">
        <f t="shared" si="2327"/>
        <v>0</v>
      </c>
      <c r="CBW28" s="68">
        <f t="shared" si="2328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29"/>
        <v>50</v>
      </c>
      <c r="CCE28" s="68">
        <f t="shared" si="2330"/>
        <v>8.3333333333333339</v>
      </c>
      <c r="CCF28" s="48"/>
      <c r="CCG28" s="49"/>
      <c r="CCH28" s="49"/>
      <c r="CCI28" s="49"/>
      <c r="CCJ28" s="49"/>
      <c r="CCK28" s="49"/>
      <c r="CCL28" s="67">
        <f t="shared" si="2331"/>
        <v>0</v>
      </c>
      <c r="CCM28" s="68">
        <f t="shared" si="2332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33"/>
        <v>44</v>
      </c>
      <c r="CCU28" s="68">
        <f t="shared" si="2334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35"/>
        <v>20</v>
      </c>
      <c r="CDC28" s="68">
        <f t="shared" si="2336"/>
        <v>3.3333333333333335</v>
      </c>
      <c r="CDD28" s="201"/>
      <c r="CDE28" s="47"/>
      <c r="CDF28" s="47"/>
      <c r="CDG28" s="47"/>
      <c r="CDH28" s="47"/>
      <c r="CDI28" s="47"/>
      <c r="CDJ28" s="67">
        <f t="shared" si="2337"/>
        <v>0</v>
      </c>
      <c r="CDK28" s="68">
        <f t="shared" si="2338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39"/>
        <v>41</v>
      </c>
      <c r="CDS28" s="68">
        <f t="shared" si="2340"/>
        <v>6.833333333333333</v>
      </c>
      <c r="CDT28" s="48"/>
      <c r="CDU28" s="49"/>
      <c r="CDV28" s="49"/>
      <c r="CDW28" s="49"/>
      <c r="CDX28" s="49"/>
      <c r="CDY28" s="49"/>
      <c r="CDZ28" s="67">
        <f t="shared" si="2341"/>
        <v>0</v>
      </c>
      <c r="CEA28" s="68">
        <f t="shared" si="2342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43"/>
        <v>40</v>
      </c>
      <c r="CEI28" s="184">
        <f t="shared" si="2344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45"/>
        <v>30</v>
      </c>
      <c r="CEQ28" s="68">
        <f t="shared" si="2346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47"/>
        <v>0</v>
      </c>
      <c r="CFE28" s="68">
        <f t="shared" si="2348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49"/>
        <v>73</v>
      </c>
      <c r="CFM28" s="68">
        <f t="shared" si="2350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1"/>
        <v>380</v>
      </c>
      <c r="CFU28" s="68">
        <f t="shared" si="2352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53"/>
        <v>40</v>
      </c>
      <c r="CGC28" s="68">
        <f t="shared" si="2354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55"/>
        <v>0</v>
      </c>
      <c r="CGK28" s="68">
        <f t="shared" si="2356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57"/>
        <v>408</v>
      </c>
      <c r="CGS28" s="68">
        <f t="shared" si="2358"/>
        <v>68</v>
      </c>
      <c r="CGT28" s="48"/>
      <c r="CGU28" s="49"/>
      <c r="CGV28" s="49"/>
      <c r="CGW28" s="49"/>
      <c r="CGX28" s="49"/>
      <c r="CGY28" s="49"/>
      <c r="CGZ28" s="64">
        <f t="shared" si="2359"/>
        <v>0</v>
      </c>
      <c r="CHA28" s="68">
        <f t="shared" si="2360"/>
        <v>0</v>
      </c>
      <c r="CHB28" s="48"/>
      <c r="CHC28" s="49"/>
      <c r="CHD28" s="49"/>
      <c r="CHE28" s="49"/>
      <c r="CHF28" s="49"/>
      <c r="CHG28" s="49"/>
      <c r="CHH28" s="64">
        <f t="shared" si="2361"/>
        <v>0</v>
      </c>
      <c r="CHI28" s="68">
        <f t="shared" si="2362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63"/>
        <v>17</v>
      </c>
      <c r="CHQ28" s="68">
        <f t="shared" si="2364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65"/>
        <v>0</v>
      </c>
      <c r="CHY28" s="68">
        <f t="shared" si="2366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67"/>
        <v>39</v>
      </c>
      <c r="CIG28" s="68">
        <f t="shared" si="2368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69"/>
        <v>0</v>
      </c>
      <c r="CIO28" s="68">
        <f t="shared" si="2370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1"/>
        <v>52</v>
      </c>
      <c r="CIW28" s="68">
        <f t="shared" si="2372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73"/>
        <v>40</v>
      </c>
      <c r="CJE28" s="43">
        <f t="shared" si="2374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75"/>
        <v>0</v>
      </c>
      <c r="CJM28" s="43">
        <f t="shared" si="2376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77"/>
        <v>0</v>
      </c>
      <c r="CJU28" s="43">
        <f t="shared" si="2378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79"/>
        <v>0</v>
      </c>
      <c r="CKC28" s="43">
        <f t="shared" si="2380"/>
        <v>0</v>
      </c>
      <c r="CKD28" s="48"/>
      <c r="CKE28" s="49"/>
      <c r="CKF28" s="49"/>
      <c r="CKG28" s="49"/>
      <c r="CKH28" s="49"/>
      <c r="CKI28" s="49"/>
      <c r="CKJ28" s="127">
        <f t="shared" si="2381"/>
        <v>0</v>
      </c>
      <c r="CKK28" s="43">
        <f t="shared" si="2382"/>
        <v>0</v>
      </c>
      <c r="CKL28" s="48"/>
      <c r="CKM28" s="49"/>
      <c r="CKN28" s="49"/>
      <c r="CKO28" s="49"/>
      <c r="CKP28" s="49"/>
      <c r="CKQ28" s="49"/>
      <c r="CKR28" s="127">
        <f t="shared" si="2383"/>
        <v>0</v>
      </c>
      <c r="CKS28" s="43">
        <f t="shared" si="2384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85"/>
        <v>50</v>
      </c>
      <c r="CLA28" s="43">
        <f t="shared" si="2386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87"/>
        <v>21</v>
      </c>
      <c r="CLI28" s="43">
        <f t="shared" si="2388"/>
        <v>3.5</v>
      </c>
      <c r="CLJ28" s="48"/>
      <c r="CLK28" s="49"/>
      <c r="CLL28" s="49"/>
      <c r="CLM28" s="49"/>
      <c r="CLN28" s="49"/>
      <c r="CLO28" s="49"/>
      <c r="CLP28" s="127">
        <f t="shared" si="2389"/>
        <v>0</v>
      </c>
      <c r="CLQ28" s="43">
        <f t="shared" si="2390"/>
        <v>0</v>
      </c>
      <c r="CLR28" s="48"/>
      <c r="CLS28" s="49"/>
      <c r="CLT28" s="49"/>
      <c r="CLU28" s="49"/>
      <c r="CLV28" s="49"/>
      <c r="CLW28" s="49"/>
      <c r="CLX28" s="127">
        <f t="shared" si="2391"/>
        <v>0</v>
      </c>
      <c r="CLY28" s="43">
        <f t="shared" si="2392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393"/>
        <v>0</v>
      </c>
      <c r="CMG28" s="43">
        <f t="shared" si="2394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395"/>
        <v>0</v>
      </c>
      <c r="CMO28" s="43">
        <f t="shared" si="2396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397"/>
        <v>0</v>
      </c>
      <c r="CMW28" s="43">
        <f t="shared" si="2398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399"/>
        <v>30</v>
      </c>
      <c r="CNE28" s="68">
        <f t="shared" si="2400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1"/>
        <v>0</v>
      </c>
      <c r="CNM28" s="68">
        <f t="shared" si="2402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03"/>
        <v>0</v>
      </c>
      <c r="CNU28" s="68">
        <f t="shared" si="2404"/>
        <v>0</v>
      </c>
      <c r="CNV28" s="48"/>
      <c r="CNW28" s="49"/>
      <c r="CNX28" s="49"/>
      <c r="CNY28" s="49"/>
      <c r="CNZ28" s="49"/>
      <c r="COA28" s="49"/>
      <c r="COB28" s="64">
        <f t="shared" si="2405"/>
        <v>0</v>
      </c>
      <c r="COC28" s="68">
        <f t="shared" si="2406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07"/>
        <v>30</v>
      </c>
      <c r="COK28" s="68">
        <f t="shared" si="2408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09"/>
        <v>50</v>
      </c>
      <c r="COS28" s="68">
        <f t="shared" si="2410"/>
        <v>8.3333333333333339</v>
      </c>
      <c r="COT28" s="48"/>
      <c r="COU28" s="49"/>
      <c r="COV28" s="49"/>
      <c r="COW28" s="49"/>
      <c r="COX28" s="49"/>
      <c r="COY28" s="49"/>
      <c r="COZ28" s="64">
        <f t="shared" si="2411"/>
        <v>0</v>
      </c>
      <c r="CPA28" s="68">
        <f t="shared" si="2412"/>
        <v>0</v>
      </c>
      <c r="CPB28" s="48"/>
      <c r="CPC28" s="49"/>
      <c r="CPD28" s="49"/>
      <c r="CPE28" s="49"/>
      <c r="CPF28" s="49"/>
      <c r="CPG28" s="49"/>
      <c r="CPH28" s="64">
        <f t="shared" si="2413"/>
        <v>0</v>
      </c>
      <c r="CPI28" s="68">
        <f t="shared" si="2414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15"/>
        <v>0</v>
      </c>
      <c r="CPQ28" s="68">
        <f t="shared" si="2416"/>
        <v>0</v>
      </c>
      <c r="CPR28" s="82"/>
      <c r="CPS28" s="83"/>
      <c r="CPT28" s="83"/>
      <c r="CPU28" s="83"/>
      <c r="CPV28" s="83"/>
      <c r="CPW28" s="83"/>
      <c r="CPX28" s="64">
        <f t="shared" si="2417"/>
        <v>0</v>
      </c>
      <c r="CPY28" s="68">
        <f t="shared" si="2418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19"/>
        <v>0</v>
      </c>
      <c r="CQG28" s="68">
        <f t="shared" si="2420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1"/>
        <v>40</v>
      </c>
      <c r="CQO28" s="43">
        <f t="shared" si="2422"/>
        <v>6.666666666666667</v>
      </c>
      <c r="CQP28" s="48"/>
      <c r="CQQ28" s="49"/>
      <c r="CQR28" s="49"/>
      <c r="CQS28" s="49"/>
      <c r="CQT28" s="49"/>
      <c r="CQU28" s="49"/>
      <c r="CQV28" s="127">
        <f t="shared" si="2423"/>
        <v>0</v>
      </c>
      <c r="CQW28" s="43">
        <f t="shared" si="2424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25"/>
        <v>0</v>
      </c>
      <c r="CRE28" s="43">
        <f t="shared" si="2426"/>
        <v>0</v>
      </c>
      <c r="CRF28" s="48"/>
      <c r="CRG28" s="49"/>
      <c r="CRH28" s="49"/>
      <c r="CRI28" s="49"/>
      <c r="CRJ28" s="49"/>
      <c r="CRK28" s="49"/>
      <c r="CRL28" s="127">
        <f t="shared" si="2427"/>
        <v>0</v>
      </c>
      <c r="CRM28" s="43">
        <f t="shared" si="2428"/>
        <v>0</v>
      </c>
      <c r="CRN28" s="48"/>
      <c r="CRO28" s="49"/>
      <c r="CRP28" s="49"/>
      <c r="CRQ28" s="49"/>
      <c r="CRR28" s="49"/>
      <c r="CRS28" s="49"/>
      <c r="CRT28" s="127">
        <f t="shared" si="2429"/>
        <v>0</v>
      </c>
      <c r="CRU28" s="43">
        <f t="shared" si="2430"/>
        <v>0</v>
      </c>
      <c r="CRV28" s="239"/>
      <c r="CRW28" s="1"/>
      <c r="CRX28" s="1"/>
      <c r="CRY28" s="1"/>
      <c r="CRZ28" s="1"/>
      <c r="CSA28" s="1"/>
      <c r="CSB28" s="127">
        <f t="shared" si="2431"/>
        <v>0</v>
      </c>
      <c r="CSC28" s="43">
        <f t="shared" si="2432"/>
        <v>0</v>
      </c>
      <c r="CSD28" s="48"/>
      <c r="CSE28" s="49"/>
      <c r="CSF28" s="49"/>
      <c r="CSG28" s="49"/>
      <c r="CSH28" s="49"/>
      <c r="CSI28" s="49"/>
      <c r="CSJ28" s="127">
        <f t="shared" si="2433"/>
        <v>0</v>
      </c>
      <c r="CSK28" s="43">
        <f t="shared" si="2434"/>
        <v>0</v>
      </c>
      <c r="CSL28" s="48"/>
      <c r="CSM28" s="49"/>
      <c r="CSN28" s="49"/>
      <c r="CSO28" s="49"/>
      <c r="CSP28" s="49"/>
      <c r="CSQ28" s="49"/>
      <c r="CSR28" s="127">
        <f t="shared" si="2435"/>
        <v>0</v>
      </c>
      <c r="CSS28" s="43">
        <f t="shared" si="2436"/>
        <v>0</v>
      </c>
      <c r="CST28" s="48"/>
      <c r="CSU28" s="49"/>
      <c r="CSV28" s="49"/>
      <c r="CSW28" s="49"/>
      <c r="CSX28" s="49"/>
      <c r="CSY28" s="49"/>
      <c r="CSZ28" s="127">
        <f t="shared" si="2437"/>
        <v>0</v>
      </c>
      <c r="CTA28" s="43">
        <f t="shared" si="2438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39"/>
        <v>0</v>
      </c>
      <c r="CTI28" s="43">
        <f t="shared" si="2440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1"/>
        <v>0</v>
      </c>
      <c r="CTQ28" s="68">
        <f t="shared" si="2442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43"/>
        <v>0</v>
      </c>
      <c r="CTY28" s="68">
        <f t="shared" si="2444"/>
        <v>0</v>
      </c>
      <c r="CTZ28" s="48"/>
      <c r="CUA28" s="49"/>
      <c r="CUB28" s="49"/>
      <c r="CUC28" s="49"/>
      <c r="CUD28" s="49"/>
      <c r="CUE28" s="49"/>
      <c r="CUF28" s="64">
        <f t="shared" si="2445"/>
        <v>0</v>
      </c>
      <c r="CUG28" s="68">
        <f t="shared" si="2446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47"/>
        <v>30</v>
      </c>
      <c r="CUO28" s="68">
        <f t="shared" si="2448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49"/>
        <v>0</v>
      </c>
      <c r="CUW28" s="68">
        <f t="shared" si="2450"/>
        <v>0</v>
      </c>
      <c r="CUX28" s="48"/>
      <c r="CUY28" s="49"/>
      <c r="CUZ28" s="49"/>
      <c r="CVA28" s="49"/>
      <c r="CVB28" s="49"/>
      <c r="CVC28" s="49"/>
      <c r="CVD28" s="64">
        <f t="shared" si="2451"/>
        <v>0</v>
      </c>
      <c r="CVE28" s="68">
        <f t="shared" si="2452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53"/>
        <v>0</v>
      </c>
      <c r="CVM28" s="68">
        <f t="shared" si="2454"/>
        <v>0</v>
      </c>
      <c r="CVN28" s="48"/>
      <c r="CVO28" s="49"/>
      <c r="CVP28" s="49"/>
      <c r="CVQ28" s="49"/>
      <c r="CVR28" s="49"/>
      <c r="CVS28" s="49"/>
      <c r="CVT28" s="64">
        <f t="shared" si="2455"/>
        <v>0</v>
      </c>
      <c r="CVU28" s="68">
        <f t="shared" si="2456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57"/>
        <v>0</v>
      </c>
      <c r="CWC28" s="68">
        <f t="shared" si="2458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59"/>
        <v>29</v>
      </c>
      <c r="CWK28" s="68">
        <f t="shared" si="2460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1"/>
        <v>0</v>
      </c>
      <c r="CWS28" s="68">
        <f t="shared" si="2462"/>
        <v>0</v>
      </c>
      <c r="CWT28" s="48"/>
      <c r="CWU28" s="49"/>
      <c r="CWV28" s="49"/>
      <c r="CWW28" s="49"/>
      <c r="CWX28" s="49"/>
      <c r="CWY28" s="49"/>
      <c r="CWZ28" s="64">
        <f t="shared" si="2463"/>
        <v>0</v>
      </c>
      <c r="CXA28" s="68">
        <f t="shared" si="2464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65"/>
        <v>20</v>
      </c>
      <c r="CXI28" s="68">
        <f t="shared" si="2466"/>
        <v>3.3333333333333335</v>
      </c>
      <c r="CXJ28" s="48"/>
      <c r="CXK28" s="49"/>
      <c r="CXL28" s="49"/>
      <c r="CXM28" s="49"/>
      <c r="CXN28" s="49"/>
      <c r="CXO28" s="49"/>
      <c r="CXP28" s="64">
        <f t="shared" si="2467"/>
        <v>0</v>
      </c>
      <c r="CXQ28" s="68">
        <f t="shared" si="2468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69"/>
        <v>30</v>
      </c>
      <c r="CXY28" s="68">
        <f t="shared" si="2470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1"/>
        <v>40</v>
      </c>
      <c r="CYG28" s="68">
        <f t="shared" si="2472"/>
        <v>6.666666666666667</v>
      </c>
      <c r="CYH28" s="48"/>
      <c r="CYI28" s="49"/>
      <c r="CYJ28" s="49"/>
      <c r="CYK28" s="49"/>
      <c r="CYL28" s="49"/>
      <c r="CYM28" s="49"/>
      <c r="CYN28" s="64">
        <f t="shared" si="2473"/>
        <v>0</v>
      </c>
      <c r="CYO28" s="68">
        <f t="shared" si="2474"/>
        <v>0</v>
      </c>
      <c r="CYP28" s="48"/>
      <c r="CYQ28" s="49"/>
      <c r="CYR28" s="49"/>
      <c r="CYS28" s="49"/>
      <c r="CYT28" s="49"/>
      <c r="CYU28" s="49"/>
      <c r="CYV28" s="64">
        <f t="shared" si="2475"/>
        <v>0</v>
      </c>
      <c r="CYW28" s="68">
        <f t="shared" si="2476"/>
        <v>0</v>
      </c>
      <c r="CYX28" s="48"/>
      <c r="CYY28" s="49"/>
      <c r="CYZ28" s="49"/>
      <c r="CZA28" s="49"/>
      <c r="CZB28" s="49"/>
      <c r="CZC28" s="49"/>
      <c r="CZD28" s="64">
        <f t="shared" si="2477"/>
        <v>0</v>
      </c>
      <c r="CZE28" s="68">
        <f t="shared" si="2478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47"/>
        <v>30</v>
      </c>
      <c r="CZM28" s="68">
        <f t="shared" si="1648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49"/>
        <v>50</v>
      </c>
      <c r="CZU28" s="68">
        <f t="shared" si="1650"/>
        <v>8.3333333333333339</v>
      </c>
      <c r="CZV28" s="48"/>
      <c r="CZW28" s="49"/>
      <c r="CZX28" s="49"/>
      <c r="CZY28" s="49"/>
      <c r="CZZ28" s="49"/>
      <c r="DAA28" s="49"/>
      <c r="DAB28" s="64">
        <f t="shared" si="1651"/>
        <v>0</v>
      </c>
      <c r="DAC28" s="68">
        <f t="shared" si="1652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3"/>
        <v>20</v>
      </c>
      <c r="DAK28" s="68">
        <f t="shared" si="1654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55"/>
        <v>20</v>
      </c>
      <c r="DAS28" s="68">
        <f t="shared" si="1656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57"/>
        <v>30</v>
      </c>
      <c r="DBA28" s="68">
        <f t="shared" si="1658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59"/>
        <v>0</v>
      </c>
      <c r="DBI28" s="492">
        <f t="shared" si="1660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1"/>
        <v>0</v>
      </c>
      <c r="DBQ28" s="68">
        <f t="shared" si="1662"/>
        <v>0</v>
      </c>
      <c r="DBR28" s="48"/>
      <c r="DBS28" s="49"/>
      <c r="DBT28" s="49"/>
      <c r="DBU28" s="49"/>
      <c r="DBV28" s="49"/>
      <c r="DBW28" s="49"/>
      <c r="DBX28" s="64">
        <f t="shared" si="1663"/>
        <v>0</v>
      </c>
      <c r="DBY28" s="68">
        <f t="shared" si="1664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65"/>
        <v>17</v>
      </c>
      <c r="DCG28" s="492">
        <f t="shared" si="1666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67"/>
        <v>50</v>
      </c>
      <c r="DCO28" s="68">
        <f t="shared" si="1668"/>
        <v>8.3333333333333339</v>
      </c>
      <c r="DCP28" s="48"/>
      <c r="DCQ28" s="49"/>
      <c r="DCR28" s="49"/>
      <c r="DCS28" s="49"/>
      <c r="DCT28" s="49"/>
      <c r="DCU28" s="49"/>
      <c r="DCV28" s="491">
        <f t="shared" si="1669"/>
        <v>0</v>
      </c>
      <c r="DCW28" s="492">
        <f t="shared" si="1670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1"/>
        <v>40</v>
      </c>
      <c r="DDE28" s="492">
        <f t="shared" si="1672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3"/>
        <v>0</v>
      </c>
      <c r="DDM28" s="492">
        <f t="shared" si="1674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75"/>
        <v>0</v>
      </c>
      <c r="DDU28" s="68">
        <f t="shared" si="1676"/>
        <v>0</v>
      </c>
      <c r="DDV28" s="48"/>
      <c r="DDW28" s="49"/>
      <c r="DDX28" s="49"/>
      <c r="DDY28" s="49"/>
      <c r="DDZ28" s="49"/>
      <c r="DEA28" s="49"/>
      <c r="DEB28" s="491">
        <f t="shared" si="1677"/>
        <v>0</v>
      </c>
      <c r="DEC28" s="492">
        <f t="shared" si="1678"/>
        <v>0</v>
      </c>
      <c r="DED28" s="48"/>
      <c r="DEE28" s="49"/>
      <c r="DEF28" s="49"/>
      <c r="DEG28" s="49"/>
      <c r="DEH28" s="49"/>
      <c r="DEI28" s="49"/>
      <c r="DEJ28" s="491">
        <f t="shared" si="1679"/>
        <v>0</v>
      </c>
      <c r="DEK28" s="492">
        <f t="shared" si="1680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1"/>
        <v>0</v>
      </c>
      <c r="DES28" s="68">
        <f t="shared" si="1682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3"/>
        <v>30</v>
      </c>
      <c r="DFA28" s="492">
        <f t="shared" si="1684"/>
        <v>5</v>
      </c>
      <c r="DFB28" s="82"/>
      <c r="DFC28" s="83"/>
      <c r="DFD28" s="83"/>
      <c r="DFE28" s="83"/>
      <c r="DFF28" s="83"/>
      <c r="DFG28" s="83"/>
      <c r="DFH28" s="64">
        <f t="shared" si="1685"/>
        <v>0</v>
      </c>
      <c r="DFI28" s="68">
        <f t="shared" si="1686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87"/>
        <v>30</v>
      </c>
      <c r="DFQ28" s="68">
        <f t="shared" si="1688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89"/>
        <v>20</v>
      </c>
      <c r="DFY28" s="68">
        <f t="shared" si="1690"/>
        <v>3.3333333333333335</v>
      </c>
      <c r="DFZ28" s="48"/>
      <c r="DGA28" s="49"/>
      <c r="DGB28" s="49"/>
      <c r="DGC28" s="49"/>
      <c r="DGD28" s="49"/>
      <c r="DGE28" s="49"/>
      <c r="DGF28" s="64">
        <f t="shared" si="1691"/>
        <v>0</v>
      </c>
      <c r="DGG28" s="68">
        <f t="shared" si="1692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3"/>
        <v>40</v>
      </c>
      <c r="DGO28" s="68">
        <f t="shared" si="1694"/>
        <v>6.666666666666667</v>
      </c>
      <c r="DGP28" s="48"/>
      <c r="DGQ28" s="49"/>
      <c r="DGR28" s="49"/>
      <c r="DGS28" s="49"/>
      <c r="DGT28" s="49"/>
      <c r="DGU28" s="49"/>
      <c r="DGV28" s="64">
        <f t="shared" si="1695"/>
        <v>0</v>
      </c>
      <c r="DGW28" s="68">
        <f t="shared" si="1696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697"/>
        <v>0</v>
      </c>
      <c r="DHE28" s="68">
        <f t="shared" si="1698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699"/>
        <v>100</v>
      </c>
      <c r="DHM28" s="68">
        <f t="shared" si="1700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1"/>
        <v>50</v>
      </c>
      <c r="DHU28" s="68">
        <f t="shared" si="1702"/>
        <v>8.3333333333333339</v>
      </c>
      <c r="DHV28" s="48"/>
      <c r="DHW28" s="49"/>
      <c r="DHX28" s="49"/>
      <c r="DHY28" s="49"/>
      <c r="DHZ28" s="49"/>
      <c r="DIA28" s="49"/>
      <c r="DIB28" s="64">
        <f t="shared" si="1703"/>
        <v>0</v>
      </c>
      <c r="DIC28" s="68">
        <f t="shared" si="1704"/>
        <v>0</v>
      </c>
      <c r="DID28" s="48"/>
      <c r="DIE28" s="49"/>
      <c r="DIF28" s="49"/>
      <c r="DIG28" s="49"/>
      <c r="DIH28" s="49"/>
      <c r="DII28" s="49"/>
      <c r="DIJ28" s="64">
        <f t="shared" si="1705"/>
        <v>0</v>
      </c>
      <c r="DIK28" s="184">
        <f t="shared" si="1706"/>
        <v>0</v>
      </c>
      <c r="DIL28" s="195"/>
      <c r="DIM28" s="49"/>
      <c r="DIN28" s="49"/>
      <c r="DIO28" s="49"/>
      <c r="DIP28" s="49"/>
      <c r="DIQ28" s="49"/>
      <c r="DIR28" s="64">
        <f t="shared" si="1707"/>
        <v>0</v>
      </c>
      <c r="DIS28" s="184">
        <f t="shared" si="1708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09"/>
        <v>0</v>
      </c>
      <c r="DJA28" s="68">
        <f t="shared" si="1710"/>
        <v>0</v>
      </c>
      <c r="DJB28" s="48"/>
      <c r="DJC28" s="49"/>
      <c r="DJD28" s="49"/>
      <c r="DJE28" s="49"/>
      <c r="DJF28" s="49"/>
      <c r="DJG28" s="49"/>
      <c r="DJH28" s="64">
        <f t="shared" si="2479"/>
        <v>0</v>
      </c>
      <c r="DJI28" s="68">
        <f t="shared" si="2480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1"/>
        <v>0</v>
      </c>
      <c r="DJQ28" s="68">
        <f t="shared" si="2482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83"/>
        <v>0</v>
      </c>
      <c r="DJY28" s="68">
        <f t="shared" si="2484"/>
        <v>0</v>
      </c>
      <c r="DJZ28" s="48"/>
      <c r="DKA28" s="49"/>
      <c r="DKB28" s="49"/>
      <c r="DKC28" s="49"/>
      <c r="DKD28" s="49"/>
      <c r="DKE28" s="49"/>
      <c r="DKF28" s="64">
        <f t="shared" si="2485"/>
        <v>0</v>
      </c>
      <c r="DKG28" s="68">
        <f t="shared" si="2486"/>
        <v>0</v>
      </c>
      <c r="DKH28" s="48"/>
      <c r="DKI28" s="49"/>
      <c r="DKJ28" s="49"/>
      <c r="DKK28" s="49"/>
      <c r="DKL28" s="49"/>
      <c r="DKM28" s="49"/>
      <c r="DKN28" s="64">
        <f t="shared" si="2487"/>
        <v>0</v>
      </c>
      <c r="DKO28" s="68">
        <f t="shared" si="2488"/>
        <v>0</v>
      </c>
      <c r="DKP28" s="48"/>
      <c r="DKQ28" s="49"/>
      <c r="DKR28" s="49"/>
      <c r="DKS28" s="49"/>
      <c r="DKT28" s="49"/>
      <c r="DKU28" s="49"/>
      <c r="DKV28" s="64">
        <f t="shared" si="2489"/>
        <v>0</v>
      </c>
      <c r="DKW28" s="184">
        <f t="shared" si="2490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1"/>
        <v>20</v>
      </c>
      <c r="DLE28" s="184">
        <f t="shared" si="2492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493"/>
        <v>50</v>
      </c>
      <c r="DLM28" s="68">
        <f t="shared" si="2494"/>
        <v>8.3333333333333339</v>
      </c>
      <c r="DLN28" s="48"/>
      <c r="DLO28" s="49"/>
      <c r="DLP28" s="49"/>
      <c r="DLQ28" s="49"/>
      <c r="DLR28" s="49"/>
      <c r="DLS28" s="49"/>
      <c r="DLT28" s="64">
        <f t="shared" si="2495"/>
        <v>0</v>
      </c>
      <c r="DLU28" s="68">
        <f t="shared" si="2496"/>
        <v>0</v>
      </c>
      <c r="DLV28" s="48"/>
      <c r="DLW28" s="49"/>
      <c r="DLX28" s="49"/>
      <c r="DLY28" s="49"/>
      <c r="DLZ28" s="49"/>
      <c r="DMA28" s="49"/>
      <c r="DMB28" s="64">
        <f t="shared" si="2497"/>
        <v>0</v>
      </c>
      <c r="DMC28" s="68">
        <f t="shared" si="2498"/>
        <v>0</v>
      </c>
      <c r="DMD28" s="48"/>
      <c r="DME28" s="49"/>
      <c r="DMF28" s="49"/>
      <c r="DMG28" s="49"/>
      <c r="DMH28" s="49"/>
      <c r="DMI28" s="49"/>
      <c r="DMJ28" s="64">
        <f t="shared" si="2499"/>
        <v>0</v>
      </c>
      <c r="DMK28" s="68">
        <f t="shared" si="2500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1"/>
        <v>50</v>
      </c>
      <c r="DMS28" s="68">
        <f t="shared" si="2502"/>
        <v>8.3333333333333339</v>
      </c>
      <c r="DMT28" s="48"/>
      <c r="DMU28" s="49"/>
      <c r="DMV28" s="49"/>
      <c r="DMW28" s="49"/>
      <c r="DMX28" s="49"/>
      <c r="DMY28" s="49"/>
      <c r="DMZ28" s="64">
        <f t="shared" si="2503"/>
        <v>0</v>
      </c>
      <c r="DNA28" s="68">
        <f t="shared" si="2504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05"/>
        <v>50</v>
      </c>
      <c r="DNI28" s="68">
        <f t="shared" si="2506"/>
        <v>8.3333333333333339</v>
      </c>
      <c r="DNJ28" s="48"/>
      <c r="DNK28" s="49"/>
      <c r="DNL28" s="49"/>
      <c r="DNM28" s="49"/>
      <c r="DNN28" s="49"/>
      <c r="DNO28" s="49"/>
      <c r="DNP28" s="64">
        <f t="shared" si="2507"/>
        <v>0</v>
      </c>
      <c r="DNQ28" s="68">
        <f t="shared" si="2508"/>
        <v>0</v>
      </c>
      <c r="DNR28" s="48"/>
      <c r="DNS28" s="49"/>
      <c r="DNT28" s="49"/>
      <c r="DNU28" s="49"/>
      <c r="DNV28" s="49"/>
      <c r="DNW28" s="49"/>
      <c r="DNX28" s="64">
        <f t="shared" si="2509"/>
        <v>0</v>
      </c>
      <c r="DNY28" s="68">
        <f t="shared" si="2510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1"/>
        <v>0</v>
      </c>
      <c r="DOG28" s="68">
        <f t="shared" si="2512"/>
        <v>0</v>
      </c>
      <c r="DOH28" s="48"/>
      <c r="DOI28" s="49"/>
      <c r="DOJ28" s="49"/>
      <c r="DOK28" s="49"/>
      <c r="DOL28" s="49"/>
      <c r="DOM28" s="49"/>
      <c r="DON28" s="64">
        <f t="shared" si="2513"/>
        <v>0</v>
      </c>
      <c r="DOO28" s="68">
        <f t="shared" si="2514"/>
        <v>0</v>
      </c>
      <c r="DOP28" s="48"/>
      <c r="DOQ28" s="49"/>
      <c r="DOR28" s="49"/>
      <c r="DOS28" s="49"/>
      <c r="DOT28" s="49"/>
      <c r="DOU28" s="49"/>
      <c r="DOV28" s="64">
        <f t="shared" si="2515"/>
        <v>0</v>
      </c>
      <c r="DOW28" s="68">
        <f t="shared" si="2516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17"/>
        <v>50</v>
      </c>
      <c r="DPE28" s="68">
        <f t="shared" si="2518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19"/>
        <v>0</v>
      </c>
      <c r="DPM28" s="68">
        <f t="shared" si="2520"/>
        <v>0</v>
      </c>
      <c r="DPN28" s="48"/>
      <c r="DPO28" s="49"/>
      <c r="DPP28" s="49"/>
      <c r="DPQ28" s="49"/>
      <c r="DPR28" s="49"/>
      <c r="DPS28" s="49"/>
      <c r="DPT28" s="64">
        <f t="shared" si="2521"/>
        <v>0</v>
      </c>
      <c r="DPU28" s="68">
        <f t="shared" si="2522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23"/>
        <v>20</v>
      </c>
      <c r="DQC28" s="68">
        <f t="shared" si="2524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25"/>
        <v>30</v>
      </c>
      <c r="DQK28" s="68">
        <f t="shared" si="2526"/>
        <v>5</v>
      </c>
      <c r="DQL28" s="48"/>
      <c r="DQM28" s="49"/>
      <c r="DQN28" s="49"/>
      <c r="DQO28" s="49"/>
      <c r="DQP28" s="49"/>
      <c r="DQQ28" s="49"/>
      <c r="DQR28" s="64">
        <f t="shared" si="2527"/>
        <v>0</v>
      </c>
      <c r="DQS28" s="68">
        <f t="shared" si="2528"/>
        <v>0</v>
      </c>
      <c r="DQT28" s="48"/>
      <c r="DQU28" s="49"/>
      <c r="DQV28" s="49"/>
      <c r="DQW28" s="49"/>
      <c r="DQX28" s="49"/>
      <c r="DQY28" s="49"/>
      <c r="DQZ28" s="64">
        <f t="shared" si="2529"/>
        <v>0</v>
      </c>
      <c r="DRA28" s="68">
        <f t="shared" si="2530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1"/>
        <v>30</v>
      </c>
      <c r="DRI28" s="68">
        <f t="shared" si="2532"/>
        <v>5</v>
      </c>
      <c r="DRJ28" s="48"/>
      <c r="DRK28" s="49"/>
      <c r="DRL28" s="49"/>
      <c r="DRM28" s="49"/>
      <c r="DRN28" s="49"/>
      <c r="DRO28" s="49"/>
      <c r="DRP28" s="64">
        <f t="shared" si="2533"/>
        <v>0</v>
      </c>
      <c r="DRQ28" s="68">
        <f t="shared" si="2534"/>
        <v>0</v>
      </c>
      <c r="DRR28" s="48"/>
      <c r="DRS28" s="49"/>
      <c r="DRT28" s="49"/>
      <c r="DRU28" s="49"/>
      <c r="DRV28" s="49"/>
      <c r="DRW28" s="49"/>
      <c r="DRX28" s="64">
        <f t="shared" si="2535"/>
        <v>0</v>
      </c>
      <c r="DRY28" s="68">
        <f t="shared" si="2536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37"/>
        <v>50</v>
      </c>
      <c r="DSG28" s="68">
        <f t="shared" si="2538"/>
        <v>8.3333333333333339</v>
      </c>
      <c r="DSH28" s="48"/>
      <c r="DSI28" s="49"/>
      <c r="DSJ28" s="49"/>
      <c r="DSK28" s="49"/>
      <c r="DSL28" s="49"/>
      <c r="DSM28" s="49"/>
      <c r="DSN28" s="64">
        <f t="shared" si="2539"/>
        <v>0</v>
      </c>
      <c r="DSO28" s="68">
        <f t="shared" si="2540"/>
        <v>0</v>
      </c>
      <c r="DSP28" s="48"/>
      <c r="DSQ28" s="49"/>
      <c r="DSR28" s="49"/>
      <c r="DSS28" s="49"/>
      <c r="DST28" s="49"/>
      <c r="DSU28" s="49"/>
      <c r="DSV28" s="64">
        <f t="shared" si="2541"/>
        <v>0</v>
      </c>
      <c r="DSW28" s="68">
        <f t="shared" si="2542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43"/>
        <v>30</v>
      </c>
      <c r="DTE28" s="68">
        <f t="shared" si="2544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45"/>
        <v>40</v>
      </c>
      <c r="DTU28" s="68">
        <f t="shared" si="2546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47"/>
        <v>0</v>
      </c>
      <c r="DUC28" s="68">
        <f t="shared" si="2548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49"/>
        <v>0</v>
      </c>
      <c r="DUK28" s="68">
        <f t="shared" si="2550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1"/>
        <v>51</v>
      </c>
      <c r="DUS28" s="68">
        <f t="shared" si="2552"/>
        <v>8.5</v>
      </c>
      <c r="DUT28" s="48"/>
      <c r="DUU28" s="49"/>
      <c r="DUV28" s="49"/>
      <c r="DUW28" s="49"/>
      <c r="DUX28" s="49"/>
      <c r="DUY28" s="49"/>
      <c r="DUZ28" s="64">
        <f t="shared" si="2553"/>
        <v>0</v>
      </c>
      <c r="DVA28" s="68">
        <f t="shared" si="2554"/>
        <v>0</v>
      </c>
      <c r="DVB28" s="48"/>
      <c r="DVC28" s="49"/>
      <c r="DVD28" s="49"/>
      <c r="DVE28" s="49"/>
      <c r="DVF28" s="49"/>
      <c r="DVG28" s="49"/>
      <c r="DVH28" s="64">
        <f t="shared" si="2555"/>
        <v>0</v>
      </c>
      <c r="DVI28" s="68">
        <f t="shared" si="2556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57"/>
        <v>52</v>
      </c>
      <c r="DVQ28" s="68">
        <f t="shared" si="2558"/>
        <v>8.6666666666666661</v>
      </c>
      <c r="DVR28" s="201"/>
      <c r="DVS28" s="47"/>
      <c r="DVT28" s="47"/>
      <c r="DVU28" s="47"/>
      <c r="DVV28" s="47"/>
      <c r="DVW28" s="47"/>
      <c r="DVX28" s="64">
        <f t="shared" si="2559"/>
        <v>0</v>
      </c>
      <c r="DVY28" s="68">
        <f t="shared" si="2560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1"/>
        <v>49</v>
      </c>
      <c r="DWG28" s="68">
        <f t="shared" si="2562"/>
        <v>8.1666666666666661</v>
      </c>
      <c r="DWH28" s="48"/>
      <c r="DWI28" s="49"/>
      <c r="DWJ28" s="49"/>
      <c r="DWK28" s="49"/>
      <c r="DWL28" s="49"/>
      <c r="DWM28" s="49"/>
      <c r="DWN28" s="64">
        <f t="shared" si="2563"/>
        <v>0</v>
      </c>
      <c r="DWO28" s="68">
        <f t="shared" si="2564"/>
        <v>0</v>
      </c>
      <c r="DWP28" s="48"/>
      <c r="DWQ28" s="49"/>
      <c r="DWR28" s="49"/>
      <c r="DWS28" s="49"/>
      <c r="DWT28" s="49"/>
      <c r="DWU28" s="49"/>
      <c r="DWV28" s="64">
        <f t="shared" si="2565"/>
        <v>0</v>
      </c>
      <c r="DWW28" s="68">
        <f t="shared" si="2566"/>
        <v>0</v>
      </c>
      <c r="DWX28" s="48"/>
      <c r="DWY28" s="49"/>
      <c r="DWZ28" s="49"/>
      <c r="DXA28" s="49"/>
      <c r="DXB28" s="49"/>
      <c r="DXC28" s="49"/>
      <c r="DXD28" s="64">
        <f t="shared" si="2567"/>
        <v>0</v>
      </c>
      <c r="DXE28" s="68">
        <f t="shared" si="2568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69"/>
        <v>40</v>
      </c>
      <c r="DXM28" s="68">
        <f t="shared" si="2570"/>
        <v>6.666666666666667</v>
      </c>
      <c r="DXN28" s="48"/>
      <c r="DXO28" s="49"/>
      <c r="DXP28" s="49"/>
      <c r="DXQ28" s="49"/>
      <c r="DXR28" s="49"/>
      <c r="DXS28" s="49"/>
      <c r="DXT28" s="64">
        <f t="shared" si="2571"/>
        <v>0</v>
      </c>
      <c r="DXU28" s="184">
        <f t="shared" si="2572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73"/>
        <v>0</v>
      </c>
      <c r="DYD28" s="211">
        <f t="shared" si="2574"/>
        <v>0</v>
      </c>
      <c r="DYE28" s="195"/>
      <c r="DYF28" s="49"/>
      <c r="DYG28" s="49"/>
      <c r="DYH28" s="49"/>
      <c r="DYI28" s="49"/>
      <c r="DYJ28" s="49"/>
      <c r="DYK28" s="64">
        <f t="shared" si="2575"/>
        <v>0</v>
      </c>
      <c r="DYL28" s="211">
        <f t="shared" si="2576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77"/>
        <v>30</v>
      </c>
      <c r="DYT28" s="211">
        <f t="shared" si="2578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79"/>
        <v>0</v>
      </c>
      <c r="DZB28" s="211">
        <f t="shared" si="2580"/>
        <v>0</v>
      </c>
      <c r="DZC28" s="195"/>
      <c r="DZD28" s="49"/>
      <c r="DZE28" s="49"/>
      <c r="DZF28" s="49"/>
      <c r="DZG28" s="49"/>
      <c r="DZH28" s="49"/>
      <c r="DZI28" s="64">
        <f t="shared" si="2581"/>
        <v>0</v>
      </c>
      <c r="DZJ28" s="211">
        <f t="shared" si="2582"/>
        <v>0</v>
      </c>
      <c r="DZK28" s="195"/>
      <c r="DZL28" s="49"/>
      <c r="DZM28" s="49"/>
      <c r="DZN28" s="49"/>
      <c r="DZO28" s="49"/>
      <c r="DZP28" s="49"/>
      <c r="DZQ28" s="64">
        <f t="shared" si="2583"/>
        <v>0</v>
      </c>
      <c r="DZR28" s="211">
        <f t="shared" si="2584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85"/>
        <v>30</v>
      </c>
      <c r="DZZ28" s="211">
        <f t="shared" si="2586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87"/>
        <v>0</v>
      </c>
      <c r="EAH28" s="211">
        <f t="shared" si="2588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89"/>
        <v>0</v>
      </c>
      <c r="EAP28" s="211">
        <f t="shared" si="2590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1"/>
        <v>3.3333333333333335</v>
      </c>
      <c r="EAY28" s="195"/>
      <c r="EAZ28" s="49"/>
      <c r="EBA28" s="49"/>
      <c r="EBB28" s="49"/>
      <c r="EBC28" s="49"/>
      <c r="EBD28" s="49"/>
      <c r="EBE28" s="64">
        <f t="shared" si="1768"/>
        <v>0</v>
      </c>
      <c r="EBF28" s="211">
        <f t="shared" si="1769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592"/>
        <v>0</v>
      </c>
      <c r="EBN28" s="211">
        <f t="shared" si="2593"/>
        <v>0</v>
      </c>
      <c r="EBO28" s="195"/>
      <c r="EBP28" s="49"/>
      <c r="EBQ28" s="49"/>
      <c r="EBR28" s="49"/>
      <c r="EBS28" s="49"/>
      <c r="EBT28" s="49"/>
      <c r="EBU28" s="64">
        <f t="shared" si="2594"/>
        <v>0</v>
      </c>
      <c r="EBV28" s="211">
        <f t="shared" si="2595"/>
        <v>0</v>
      </c>
      <c r="EBW28" s="195"/>
      <c r="EBX28" s="49"/>
      <c r="EBY28" s="49"/>
      <c r="EBZ28" s="49"/>
      <c r="ECA28" s="49"/>
      <c r="ECB28" s="49"/>
      <c r="ECC28" s="64">
        <f t="shared" si="2596"/>
        <v>0</v>
      </c>
      <c r="ECD28" s="211">
        <f t="shared" si="2597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598"/>
        <v>49</v>
      </c>
      <c r="ECL28" s="211">
        <f t="shared" si="2599"/>
        <v>8.1666666666666661</v>
      </c>
      <c r="ECM28" s="195"/>
      <c r="ECN28" s="49"/>
      <c r="ECO28" s="49"/>
      <c r="ECP28" s="49"/>
      <c r="ECQ28" s="49"/>
      <c r="ECR28" s="49"/>
      <c r="ECS28" s="64">
        <f t="shared" si="2600"/>
        <v>0</v>
      </c>
      <c r="ECT28" s="211">
        <f t="shared" si="2601"/>
        <v>0</v>
      </c>
      <c r="ECU28" s="195"/>
      <c r="ECV28" s="49"/>
      <c r="ECW28" s="49"/>
      <c r="ECX28" s="49"/>
      <c r="ECY28" s="49"/>
      <c r="ECZ28" s="49"/>
      <c r="EDA28" s="64">
        <f t="shared" si="2602"/>
        <v>0</v>
      </c>
      <c r="EDB28" s="211">
        <f t="shared" si="2603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04"/>
        <v>0</v>
      </c>
      <c r="EDJ28" s="211">
        <f t="shared" si="2605"/>
        <v>0</v>
      </c>
      <c r="EDK28" s="458"/>
      <c r="EDL28" s="83"/>
      <c r="EDM28" s="83"/>
      <c r="EDN28" s="83"/>
      <c r="EDO28" s="83"/>
      <c r="EDP28" s="83"/>
      <c r="EDQ28" s="64">
        <f t="shared" si="2606"/>
        <v>0</v>
      </c>
      <c r="EDR28" s="211">
        <f t="shared" si="2607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08"/>
        <v>50</v>
      </c>
      <c r="EDZ28" s="211">
        <f t="shared" si="2609"/>
        <v>8.3333333333333339</v>
      </c>
      <c r="EEA28" s="195"/>
      <c r="EEB28" s="49"/>
      <c r="EEC28" s="49"/>
      <c r="EED28" s="49"/>
      <c r="EEE28" s="49"/>
      <c r="EEF28" s="49"/>
      <c r="EEG28" s="64">
        <f t="shared" si="2610"/>
        <v>0</v>
      </c>
      <c r="EEH28" s="211">
        <f t="shared" si="2611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12"/>
        <v>0</v>
      </c>
      <c r="EEP28" s="211">
        <f t="shared" si="2613"/>
        <v>0</v>
      </c>
      <c r="EEQ28" s="195"/>
      <c r="EER28" s="49"/>
      <c r="EES28" s="49"/>
      <c r="EET28" s="49"/>
      <c r="EEU28" s="49"/>
      <c r="EEV28" s="49"/>
      <c r="EEW28" s="64">
        <f t="shared" si="2614"/>
        <v>0</v>
      </c>
      <c r="EEX28" s="211">
        <f t="shared" si="2615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16"/>
        <v>30</v>
      </c>
      <c r="EFF28" s="707">
        <f t="shared" si="2617"/>
        <v>5</v>
      </c>
      <c r="EFG28" s="195"/>
      <c r="EFH28" s="49"/>
      <c r="EFI28" s="49"/>
      <c r="EFJ28" s="49"/>
      <c r="EFK28" s="49"/>
      <c r="EFL28" s="49"/>
      <c r="EFM28" s="64">
        <f t="shared" si="2618"/>
        <v>0</v>
      </c>
      <c r="EFN28" s="211">
        <f t="shared" si="2619"/>
        <v>0</v>
      </c>
      <c r="EFO28" s="458"/>
      <c r="EFP28" s="83"/>
      <c r="EFQ28" s="83"/>
      <c r="EFR28" s="83"/>
      <c r="EFS28" s="83"/>
      <c r="EFT28" s="83"/>
      <c r="EFU28" s="64">
        <f t="shared" si="2620"/>
        <v>0</v>
      </c>
      <c r="EFV28" s="211">
        <f t="shared" si="2621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22"/>
        <v>50</v>
      </c>
      <c r="EGD28" s="211">
        <f t="shared" si="2623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24"/>
        <v>0</v>
      </c>
      <c r="EGL28" s="211">
        <f t="shared" si="2625"/>
        <v>0</v>
      </c>
      <c r="EGM28" s="814"/>
      <c r="EGN28" s="815"/>
      <c r="EGO28" s="815"/>
      <c r="EGP28" s="815"/>
      <c r="EGQ28" s="815"/>
      <c r="EGR28" s="815"/>
      <c r="EGS28" s="808">
        <f t="shared" si="2626"/>
        <v>0</v>
      </c>
      <c r="EGT28" s="211">
        <f t="shared" si="2627"/>
        <v>0</v>
      </c>
      <c r="EGU28" s="195"/>
      <c r="EGV28" s="49"/>
      <c r="EGW28" s="49"/>
      <c r="EGX28" s="49"/>
      <c r="EGY28" s="49"/>
      <c r="EGZ28" s="49"/>
      <c r="EHA28" s="808">
        <f t="shared" si="2628"/>
        <v>0</v>
      </c>
      <c r="EHB28" s="211">
        <f t="shared" si="2629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0"/>
        <v>50</v>
      </c>
      <c r="EHJ28" s="211">
        <f t="shared" si="2631"/>
        <v>8.3333333333333339</v>
      </c>
      <c r="EHK28" s="195"/>
      <c r="EHL28" s="49"/>
      <c r="EHM28" s="49"/>
      <c r="EHN28" s="49"/>
      <c r="EHO28" s="49"/>
      <c r="EHP28" s="49"/>
      <c r="EHQ28" s="808">
        <f t="shared" si="2632"/>
        <v>0</v>
      </c>
      <c r="EHR28" s="211">
        <f t="shared" si="2633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34"/>
        <v>28</v>
      </c>
      <c r="EHZ28" s="211">
        <f t="shared" si="2635"/>
        <v>4.666666666666667</v>
      </c>
      <c r="EIA28" s="195"/>
      <c r="EIB28" s="49"/>
      <c r="EIC28" s="49"/>
      <c r="EID28" s="49"/>
      <c r="EIE28" s="49"/>
      <c r="EIF28" s="49"/>
      <c r="EIG28" s="808">
        <f t="shared" si="2636"/>
        <v>0</v>
      </c>
      <c r="EIH28" s="211">
        <f t="shared" si="2637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38"/>
        <v>51</v>
      </c>
      <c r="EIP28" s="211">
        <f t="shared" si="2639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0"/>
        <v>80</v>
      </c>
      <c r="EIX28" s="211">
        <f t="shared" si="2641"/>
        <v>13.333333333333334</v>
      </c>
      <c r="EIY28" s="195"/>
      <c r="EIZ28" s="49"/>
      <c r="EJA28" s="49"/>
      <c r="EJB28" s="49"/>
      <c r="EJC28" s="49"/>
      <c r="EJD28" s="49"/>
      <c r="EJE28" s="808">
        <f t="shared" si="2642"/>
        <v>0</v>
      </c>
      <c r="EJF28" s="211">
        <f t="shared" si="2643"/>
        <v>0</v>
      </c>
      <c r="EJG28" s="195"/>
      <c r="EJH28" s="49"/>
      <c r="EJI28" s="49"/>
      <c r="EJJ28" s="49"/>
      <c r="EJK28" s="49"/>
      <c r="EJL28" s="49"/>
      <c r="EJM28" s="808">
        <f t="shared" si="2644"/>
        <v>0</v>
      </c>
      <c r="EJN28" s="211">
        <f t="shared" si="2645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46"/>
        <v>30</v>
      </c>
      <c r="EJV28" s="211">
        <f t="shared" si="2647"/>
        <v>5</v>
      </c>
      <c r="EJW28" s="195"/>
      <c r="EJX28" s="49"/>
      <c r="EJY28" s="49"/>
      <c r="EJZ28" s="49"/>
      <c r="EKA28" s="49"/>
      <c r="EKB28" s="49"/>
      <c r="EKC28" s="808">
        <f t="shared" si="2648"/>
        <v>0</v>
      </c>
      <c r="EKD28" s="211">
        <f t="shared" si="2649"/>
        <v>0</v>
      </c>
      <c r="EKE28" s="195"/>
      <c r="EKF28" s="49"/>
      <c r="EKG28" s="49"/>
      <c r="EKH28" s="49"/>
      <c r="EKI28" s="49"/>
      <c r="EKJ28" s="49"/>
      <c r="EKK28" s="808">
        <f t="shared" si="2650"/>
        <v>0</v>
      </c>
      <c r="EKL28" s="211">
        <f t="shared" si="2651"/>
        <v>0</v>
      </c>
      <c r="EKM28" s="458"/>
      <c r="EKN28" s="83"/>
      <c r="EKO28" s="83"/>
      <c r="EKP28" s="83"/>
      <c r="EKQ28" s="83"/>
      <c r="EKR28" s="83"/>
      <c r="EKS28" s="808">
        <f t="shared" si="2652"/>
        <v>0</v>
      </c>
      <c r="EKT28" s="211">
        <f t="shared" si="2653"/>
        <v>0</v>
      </c>
      <c r="EKU28" s="195"/>
      <c r="EKV28" s="49"/>
      <c r="EKW28" s="49"/>
      <c r="EKX28" s="49"/>
      <c r="EKY28" s="49"/>
      <c r="EKZ28" s="49"/>
      <c r="ELA28" s="808">
        <f t="shared" si="2654"/>
        <v>0</v>
      </c>
      <c r="ELB28" s="211">
        <f t="shared" si="2655"/>
        <v>0</v>
      </c>
      <c r="ELC28" s="195"/>
      <c r="ELD28" s="49"/>
      <c r="ELE28" s="49"/>
      <c r="ELF28" s="49"/>
      <c r="ELG28" s="49"/>
      <c r="ELH28" s="49"/>
      <c r="ELI28" s="808">
        <f t="shared" si="2656"/>
        <v>0</v>
      </c>
      <c r="ELJ28" s="211">
        <f t="shared" si="2657"/>
        <v>0</v>
      </c>
      <c r="ELK28" s="195"/>
      <c r="ELL28" s="49"/>
      <c r="ELM28" s="49"/>
      <c r="ELN28" s="49"/>
      <c r="ELO28" s="49"/>
      <c r="ELP28" s="49"/>
      <c r="ELQ28" s="808">
        <f t="shared" si="2658"/>
        <v>0</v>
      </c>
      <c r="ELR28" s="211">
        <f t="shared" si="2659"/>
        <v>0</v>
      </c>
      <c r="ELS28" s="195"/>
      <c r="ELT28" s="49"/>
      <c r="ELU28" s="49"/>
      <c r="ELV28" s="49"/>
      <c r="ELW28" s="49"/>
      <c r="ELX28" s="49"/>
      <c r="ELY28" s="872">
        <f t="shared" si="2660"/>
        <v>0</v>
      </c>
      <c r="ELZ28" s="873">
        <f t="shared" si="2661"/>
        <v>0</v>
      </c>
      <c r="EMA28" s="195"/>
      <c r="EMB28" s="49"/>
      <c r="EMC28" s="49"/>
      <c r="EMD28" s="49"/>
      <c r="EME28" s="49"/>
      <c r="EMF28" s="49"/>
      <c r="EMG28" s="872">
        <f t="shared" si="2662"/>
        <v>0</v>
      </c>
      <c r="EMH28" s="873">
        <f t="shared" si="2663"/>
        <v>0</v>
      </c>
      <c r="EMI28" s="195"/>
      <c r="EMJ28" s="49"/>
      <c r="EMK28" s="49"/>
      <c r="EML28" s="49"/>
      <c r="EMM28" s="49"/>
      <c r="EMN28" s="49"/>
      <c r="EMO28" s="872">
        <f t="shared" si="2664"/>
        <v>0</v>
      </c>
      <c r="EMP28" s="873">
        <f t="shared" si="2665"/>
        <v>0</v>
      </c>
    </row>
    <row r="29" spans="1:3734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07"/>
        <v>0</v>
      </c>
      <c r="L29" s="24">
        <f t="shared" si="1612"/>
        <v>55</v>
      </c>
      <c r="M29" s="15">
        <f t="shared" si="1808"/>
        <v>55</v>
      </c>
      <c r="N29" s="15">
        <v>5</v>
      </c>
      <c r="O29" s="276">
        <f t="shared" si="1613"/>
        <v>11</v>
      </c>
      <c r="P29" s="277">
        <v>0</v>
      </c>
      <c r="Q29" s="276">
        <f t="shared" si="1809"/>
        <v>0</v>
      </c>
      <c r="R29" s="277">
        <f t="shared" si="1810"/>
        <v>4.615384615384615</v>
      </c>
      <c r="S29" s="222">
        <v>120</v>
      </c>
      <c r="T29" s="276">
        <f t="shared" si="1811"/>
        <v>11.916666666666668</v>
      </c>
      <c r="U29" s="278"/>
      <c r="V29" s="276">
        <f t="shared" si="1812"/>
        <v>11.916666666666668</v>
      </c>
      <c r="W29" s="279">
        <f t="shared" si="1813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14"/>
        <v>0</v>
      </c>
      <c r="AM29" s="53">
        <f t="shared" si="1815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16"/>
        <v>664</v>
      </c>
      <c r="AU29" s="53">
        <f t="shared" si="1817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18"/>
        <v>128</v>
      </c>
      <c r="BC29" s="53">
        <f t="shared" si="1819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0"/>
        <v>215</v>
      </c>
      <c r="BK29" s="53">
        <f t="shared" si="1821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22"/>
        <v>400</v>
      </c>
      <c r="BS29" s="53">
        <f t="shared" si="1823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24"/>
        <v>400</v>
      </c>
      <c r="CA29" s="53">
        <f t="shared" si="1825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26"/>
        <v>200</v>
      </c>
      <c r="CI29" s="53">
        <f t="shared" si="1827"/>
        <v>33.333333333333336</v>
      </c>
      <c r="CJ29" s="50"/>
      <c r="CK29" s="51"/>
      <c r="CL29" s="51"/>
      <c r="CM29" s="51"/>
      <c r="CN29" s="51"/>
      <c r="CO29" s="51"/>
      <c r="CP29" s="52">
        <f t="shared" si="1828"/>
        <v>0</v>
      </c>
      <c r="CQ29" s="53">
        <f t="shared" si="1829"/>
        <v>0</v>
      </c>
      <c r="CR29" s="50"/>
      <c r="CS29" s="51"/>
      <c r="CT29" s="51">
        <v>300</v>
      </c>
      <c r="CU29" s="51"/>
      <c r="CV29" s="51"/>
      <c r="CW29" s="51"/>
      <c r="CX29" s="52">
        <f t="shared" si="1830"/>
        <v>300</v>
      </c>
      <c r="CY29" s="53">
        <f t="shared" si="1831"/>
        <v>50</v>
      </c>
      <c r="CZ29" s="50"/>
      <c r="DA29" s="51"/>
      <c r="DB29" s="51">
        <v>200</v>
      </c>
      <c r="DC29" s="51"/>
      <c r="DD29" s="51"/>
      <c r="DE29" s="51"/>
      <c r="DF29" s="52">
        <f t="shared" si="1832"/>
        <v>200</v>
      </c>
      <c r="DG29" s="53">
        <f t="shared" si="1833"/>
        <v>33.333333333333336</v>
      </c>
      <c r="DH29" s="50"/>
      <c r="DI29" s="51"/>
      <c r="DJ29" s="51"/>
      <c r="DK29" s="51"/>
      <c r="DL29" s="51"/>
      <c r="DM29" s="51"/>
      <c r="DN29" s="52">
        <f t="shared" si="1834"/>
        <v>0</v>
      </c>
      <c r="DO29" s="53">
        <f t="shared" si="1835"/>
        <v>0</v>
      </c>
      <c r="DP29" s="50"/>
      <c r="DQ29" s="51">
        <v>199</v>
      </c>
      <c r="DR29" s="51"/>
      <c r="DS29" s="51"/>
      <c r="DT29" s="51"/>
      <c r="DU29" s="51"/>
      <c r="DV29" s="52">
        <f t="shared" si="1836"/>
        <v>199</v>
      </c>
      <c r="DW29" s="53">
        <f t="shared" si="1837"/>
        <v>33.166666666666664</v>
      </c>
      <c r="DX29" s="50"/>
      <c r="DY29" s="51"/>
      <c r="DZ29" s="51"/>
      <c r="EA29" s="51"/>
      <c r="EB29" s="51"/>
      <c r="EC29" s="51"/>
      <c r="ED29" s="52">
        <f t="shared" si="1838"/>
        <v>0</v>
      </c>
      <c r="EE29" s="53">
        <f t="shared" si="1839"/>
        <v>0</v>
      </c>
      <c r="EF29" s="50">
        <v>399</v>
      </c>
      <c r="EG29" s="51"/>
      <c r="EH29" s="51"/>
      <c r="EI29" s="51"/>
      <c r="EJ29" s="51"/>
      <c r="EK29" s="51"/>
      <c r="EL29" s="52">
        <f t="shared" si="1840"/>
        <v>399</v>
      </c>
      <c r="EM29" s="53">
        <f t="shared" si="1841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42"/>
        <v>400</v>
      </c>
      <c r="EU29" s="53">
        <f t="shared" si="1843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44"/>
        <v>195</v>
      </c>
      <c r="FC29" s="53">
        <f t="shared" si="1845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46"/>
        <v>408</v>
      </c>
      <c r="FK29" s="53">
        <f t="shared" si="1847"/>
        <v>68</v>
      </c>
      <c r="FL29" s="50"/>
      <c r="FM29" s="51"/>
      <c r="FN29" s="51"/>
      <c r="FO29" s="51"/>
      <c r="FP29" s="51"/>
      <c r="FQ29" s="51"/>
      <c r="FR29" s="52">
        <f t="shared" si="1848"/>
        <v>0</v>
      </c>
      <c r="FS29" s="53">
        <f t="shared" si="1849"/>
        <v>0</v>
      </c>
      <c r="FT29" s="50"/>
      <c r="FU29" s="51"/>
      <c r="FV29" s="51">
        <v>400</v>
      </c>
      <c r="FW29" s="51"/>
      <c r="FX29" s="51"/>
      <c r="FY29" s="51"/>
      <c r="FZ29" s="42">
        <f t="shared" si="1850"/>
        <v>400</v>
      </c>
      <c r="GA29" s="43">
        <f t="shared" si="1851"/>
        <v>66.666666666666671</v>
      </c>
      <c r="GB29" s="50"/>
      <c r="GC29" s="51"/>
      <c r="GD29" s="51"/>
      <c r="GE29" s="51"/>
      <c r="GF29" s="51"/>
      <c r="GG29" s="51"/>
      <c r="GH29" s="52">
        <f t="shared" si="1852"/>
        <v>0</v>
      </c>
      <c r="GI29" s="53">
        <f t="shared" si="1853"/>
        <v>0</v>
      </c>
      <c r="GJ29" s="50">
        <v>436</v>
      </c>
      <c r="GK29" s="51"/>
      <c r="GL29" s="51"/>
      <c r="GM29" s="51"/>
      <c r="GN29" s="51"/>
      <c r="GO29" s="51"/>
      <c r="GP29" s="52">
        <f t="shared" si="1854"/>
        <v>436</v>
      </c>
      <c r="GQ29" s="53">
        <f t="shared" si="1855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56"/>
        <v>200</v>
      </c>
      <c r="GY29" s="53">
        <f t="shared" si="1857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58"/>
        <v>200</v>
      </c>
      <c r="HG29" s="53">
        <f t="shared" si="1859"/>
        <v>33.333333333333336</v>
      </c>
      <c r="HH29" s="50"/>
      <c r="HI29" s="51"/>
      <c r="HJ29" s="51"/>
      <c r="HK29" s="51"/>
      <c r="HL29" s="51"/>
      <c r="HM29" s="51"/>
      <c r="HN29" s="52">
        <f t="shared" si="1860"/>
        <v>0</v>
      </c>
      <c r="HO29" s="53">
        <f t="shared" si="1861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62"/>
        <v>423</v>
      </c>
      <c r="HW29" s="53">
        <f t="shared" si="1863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64"/>
        <v>100</v>
      </c>
      <c r="IE29" s="53">
        <f t="shared" si="1865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66"/>
        <v>395</v>
      </c>
      <c r="IM29" s="53">
        <f t="shared" si="1867"/>
        <v>65.833333333333329</v>
      </c>
      <c r="IN29" s="84"/>
      <c r="IO29" s="85"/>
      <c r="IP29" s="85"/>
      <c r="IQ29" s="85"/>
      <c r="IR29" s="85"/>
      <c r="IS29" s="85"/>
      <c r="IT29" s="52">
        <f t="shared" si="1868"/>
        <v>0</v>
      </c>
      <c r="IU29" s="53">
        <f t="shared" si="1869"/>
        <v>0</v>
      </c>
      <c r="IV29" s="50"/>
      <c r="IW29" s="51"/>
      <c r="IX29" s="51"/>
      <c r="IY29" s="51">
        <v>398</v>
      </c>
      <c r="IZ29" s="51"/>
      <c r="JA29" s="51"/>
      <c r="JB29" s="52">
        <f t="shared" si="1870"/>
        <v>398</v>
      </c>
      <c r="JC29" s="53">
        <f t="shared" si="1871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72"/>
        <v>299</v>
      </c>
      <c r="JK29" s="53">
        <f t="shared" si="1873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74"/>
        <v>99</v>
      </c>
      <c r="JS29" s="53">
        <f t="shared" si="1875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76"/>
        <v>300</v>
      </c>
      <c r="KA29" s="53">
        <f t="shared" si="1877"/>
        <v>50</v>
      </c>
      <c r="KB29" s="50"/>
      <c r="KC29" s="51"/>
      <c r="KD29" s="51"/>
      <c r="KE29" s="51"/>
      <c r="KF29" s="51"/>
      <c r="KG29" s="51">
        <v>400</v>
      </c>
      <c r="KH29" s="52">
        <f t="shared" si="1878"/>
        <v>400</v>
      </c>
      <c r="KI29" s="53">
        <f t="shared" si="1879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0"/>
        <v>100</v>
      </c>
      <c r="KQ29" s="53">
        <f t="shared" si="1881"/>
        <v>16.666666666666668</v>
      </c>
      <c r="KR29" s="50"/>
      <c r="KS29" s="51"/>
      <c r="KT29" s="51"/>
      <c r="KU29" s="51"/>
      <c r="KV29" s="51"/>
      <c r="KW29" s="51"/>
      <c r="KX29" s="52">
        <f t="shared" si="1882"/>
        <v>0</v>
      </c>
      <c r="KY29" s="53">
        <f t="shared" si="1883"/>
        <v>0</v>
      </c>
      <c r="KZ29" s="50"/>
      <c r="LA29" s="51"/>
      <c r="LB29" s="51"/>
      <c r="LC29" s="51"/>
      <c r="LD29" s="51"/>
      <c r="LE29" s="51"/>
      <c r="LF29" s="52">
        <f t="shared" si="1884"/>
        <v>0</v>
      </c>
      <c r="LG29" s="53">
        <f t="shared" si="1885"/>
        <v>0</v>
      </c>
      <c r="LH29" s="50"/>
      <c r="LI29" s="51">
        <v>200</v>
      </c>
      <c r="LJ29" s="51"/>
      <c r="LK29" s="51"/>
      <c r="LL29" s="51"/>
      <c r="LM29" s="51"/>
      <c r="LN29" s="69">
        <f t="shared" si="1886"/>
        <v>200</v>
      </c>
      <c r="LO29" s="70">
        <f t="shared" si="1887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88"/>
        <v>440</v>
      </c>
      <c r="LW29" s="70">
        <f t="shared" si="1889"/>
        <v>73.333333333333329</v>
      </c>
      <c r="LX29" s="50"/>
      <c r="LY29" s="51"/>
      <c r="LZ29" s="51"/>
      <c r="MA29" s="51"/>
      <c r="MB29" s="51"/>
      <c r="MC29" s="51"/>
      <c r="MD29" s="69">
        <f t="shared" si="1890"/>
        <v>0</v>
      </c>
      <c r="ME29" s="70">
        <f t="shared" si="1891"/>
        <v>0</v>
      </c>
      <c r="MF29" s="50"/>
      <c r="MG29" s="51"/>
      <c r="MH29" s="51"/>
      <c r="MI29" s="51"/>
      <c r="MJ29" s="51"/>
      <c r="MK29" s="51">
        <v>223</v>
      </c>
      <c r="ML29" s="52">
        <f t="shared" si="1892"/>
        <v>223</v>
      </c>
      <c r="MM29" s="53">
        <f t="shared" si="1893"/>
        <v>37.166666666666664</v>
      </c>
      <c r="MN29" s="50"/>
      <c r="MO29" s="51"/>
      <c r="MP29" s="51"/>
      <c r="MQ29" s="51"/>
      <c r="MR29" s="51"/>
      <c r="MS29" s="51"/>
      <c r="MT29" s="52">
        <f t="shared" si="1894"/>
        <v>0</v>
      </c>
      <c r="MU29" s="53">
        <f t="shared" si="1895"/>
        <v>0</v>
      </c>
      <c r="MV29" s="50"/>
      <c r="MW29" s="51">
        <v>214</v>
      </c>
      <c r="MX29" s="51"/>
      <c r="MY29" s="51"/>
      <c r="MZ29" s="51"/>
      <c r="NA29" s="51"/>
      <c r="NB29" s="52">
        <f t="shared" si="1896"/>
        <v>214</v>
      </c>
      <c r="NC29" s="53">
        <f t="shared" si="1897"/>
        <v>35.666666666666664</v>
      </c>
      <c r="ND29" s="50"/>
      <c r="NE29" s="51"/>
      <c r="NF29" s="51"/>
      <c r="NG29" s="51"/>
      <c r="NH29" s="51"/>
      <c r="NI29" s="51"/>
      <c r="NJ29" s="52">
        <f t="shared" si="1898"/>
        <v>0</v>
      </c>
      <c r="NK29" s="53">
        <f t="shared" si="1899"/>
        <v>0</v>
      </c>
      <c r="NL29" s="50"/>
      <c r="NM29" s="51"/>
      <c r="NN29" s="51"/>
      <c r="NO29" s="51"/>
      <c r="NP29" s="51"/>
      <c r="NQ29" s="51"/>
      <c r="NR29" s="52">
        <f t="shared" si="1900"/>
        <v>0</v>
      </c>
      <c r="NS29" s="53">
        <f t="shared" si="1901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02"/>
        <v>716</v>
      </c>
      <c r="OA29" s="53">
        <f t="shared" si="1903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04"/>
        <v>199</v>
      </c>
      <c r="OI29" s="53">
        <f t="shared" si="1905"/>
        <v>33.166666666666664</v>
      </c>
      <c r="OJ29" s="50"/>
      <c r="OK29" s="51"/>
      <c r="OL29" s="51"/>
      <c r="OM29" s="51"/>
      <c r="ON29" s="51"/>
      <c r="OO29" s="51"/>
      <c r="OP29" s="52">
        <f t="shared" si="1906"/>
        <v>0</v>
      </c>
      <c r="OQ29" s="53">
        <f t="shared" si="1907"/>
        <v>0</v>
      </c>
      <c r="OR29" s="50"/>
      <c r="OS29" s="51"/>
      <c r="OT29" s="51"/>
      <c r="OU29" s="51"/>
      <c r="OV29" s="51"/>
      <c r="OW29" s="51"/>
      <c r="OX29" s="69">
        <f t="shared" si="1908"/>
        <v>0</v>
      </c>
      <c r="OY29" s="70">
        <f t="shared" si="1909"/>
        <v>0</v>
      </c>
      <c r="OZ29" s="50"/>
      <c r="PA29" s="51"/>
      <c r="PB29" s="51"/>
      <c r="PC29" s="51"/>
      <c r="PD29" s="51"/>
      <c r="PE29" s="51"/>
      <c r="PF29" s="69">
        <f t="shared" si="1910"/>
        <v>0</v>
      </c>
      <c r="PG29" s="70">
        <f t="shared" si="1911"/>
        <v>0</v>
      </c>
      <c r="PH29" s="50"/>
      <c r="PI29" s="51">
        <v>228</v>
      </c>
      <c r="PJ29" s="51"/>
      <c r="PK29" s="51"/>
      <c r="PL29" s="51"/>
      <c r="PM29" s="51"/>
      <c r="PN29" s="104">
        <f t="shared" si="1912"/>
        <v>228</v>
      </c>
      <c r="PO29" s="105">
        <f t="shared" si="1913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14"/>
        <v>200</v>
      </c>
      <c r="PW29" s="111">
        <f t="shared" si="1915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16"/>
        <v>103</v>
      </c>
      <c r="QE29" s="111">
        <f t="shared" si="1917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18"/>
        <v>200</v>
      </c>
      <c r="QM29" s="111">
        <f t="shared" si="1919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0"/>
        <v>202</v>
      </c>
      <c r="QU29" s="111">
        <f t="shared" si="1921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22"/>
        <v>198</v>
      </c>
      <c r="RC29" s="111">
        <f t="shared" si="1923"/>
        <v>33</v>
      </c>
      <c r="RD29" s="108"/>
      <c r="RE29" s="109"/>
      <c r="RF29" s="109"/>
      <c r="RG29" s="109"/>
      <c r="RH29" s="109"/>
      <c r="RI29" s="109"/>
      <c r="RJ29" s="110">
        <f t="shared" si="1924"/>
        <v>0</v>
      </c>
      <c r="RK29" s="111">
        <f t="shared" si="1925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26"/>
        <v>114</v>
      </c>
      <c r="RS29" s="111">
        <f t="shared" si="1927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28"/>
        <v>195</v>
      </c>
      <c r="SA29" s="111">
        <f t="shared" si="1929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0"/>
        <v>100</v>
      </c>
      <c r="SI29" s="111">
        <f t="shared" si="1931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32"/>
        <v>200</v>
      </c>
      <c r="SQ29" s="111">
        <f t="shared" si="1933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34"/>
        <v>200</v>
      </c>
      <c r="SY29" s="111">
        <f t="shared" si="1935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36"/>
        <v>181</v>
      </c>
      <c r="TG29" s="111">
        <f t="shared" si="1937"/>
        <v>30.166666666666668</v>
      </c>
      <c r="TH29" s="108"/>
      <c r="TI29" s="109"/>
      <c r="TJ29" s="109"/>
      <c r="TK29" s="109"/>
      <c r="TL29" s="109"/>
      <c r="TM29" s="109"/>
      <c r="TN29" s="110">
        <f t="shared" si="1938"/>
        <v>0</v>
      </c>
      <c r="TO29" s="111">
        <f t="shared" si="1939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0"/>
        <v>0</v>
      </c>
      <c r="TX29" s="111">
        <f t="shared" si="1941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42"/>
        <v>200</v>
      </c>
      <c r="UF29" s="111">
        <f t="shared" si="1943"/>
        <v>33.333333333333336</v>
      </c>
      <c r="UG29" s="108"/>
      <c r="UH29" s="109"/>
      <c r="UI29" s="109"/>
      <c r="UJ29" s="109"/>
      <c r="UK29" s="109"/>
      <c r="UL29" s="109"/>
      <c r="UM29" s="110">
        <f t="shared" si="1944"/>
        <v>0</v>
      </c>
      <c r="UN29" s="111">
        <f t="shared" si="1945"/>
        <v>0</v>
      </c>
      <c r="UO29" s="50"/>
      <c r="UP29" s="51"/>
      <c r="UQ29" s="51"/>
      <c r="UR29" s="51">
        <v>200</v>
      </c>
      <c r="US29" s="51"/>
      <c r="UT29" s="51"/>
      <c r="UU29" s="69">
        <f t="shared" si="1946"/>
        <v>200</v>
      </c>
      <c r="UV29" s="70">
        <f t="shared" si="1947"/>
        <v>33.333333333333336</v>
      </c>
      <c r="UW29" s="108"/>
      <c r="UX29" s="109"/>
      <c r="UY29" s="109"/>
      <c r="UZ29" s="109"/>
      <c r="VA29" s="109"/>
      <c r="VB29" s="109"/>
      <c r="VC29" s="110">
        <f t="shared" si="1948"/>
        <v>0</v>
      </c>
      <c r="VD29" s="111">
        <f t="shared" si="1949"/>
        <v>0</v>
      </c>
      <c r="VE29" s="65">
        <v>266</v>
      </c>
      <c r="VF29" s="66"/>
      <c r="VG29" s="66"/>
      <c r="VH29" s="66"/>
      <c r="VI29" s="66"/>
      <c r="VJ29" s="66"/>
      <c r="VK29" s="69">
        <f t="shared" si="1950"/>
        <v>266</v>
      </c>
      <c r="VL29" s="70">
        <f t="shared" si="1951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52"/>
        <v>0</v>
      </c>
      <c r="VU29" s="111">
        <f t="shared" si="1953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54"/>
        <v>246</v>
      </c>
      <c r="WD29" s="70">
        <f t="shared" si="1955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56"/>
        <v>199</v>
      </c>
      <c r="WM29" s="70">
        <f t="shared" si="1957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58"/>
        <v>196</v>
      </c>
      <c r="WV29" s="70">
        <f t="shared" si="1959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0"/>
        <v>200</v>
      </c>
      <c r="XE29" s="70">
        <f t="shared" si="1961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62"/>
        <v>97</v>
      </c>
      <c r="XM29" s="70">
        <f t="shared" si="1963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64"/>
        <v>100</v>
      </c>
      <c r="XU29" s="70">
        <f t="shared" si="1965"/>
        <v>16.666666666666668</v>
      </c>
      <c r="XV29" s="50"/>
      <c r="XW29" s="51"/>
      <c r="XX29" s="51"/>
      <c r="XY29" s="51"/>
      <c r="XZ29" s="51"/>
      <c r="YA29" s="51"/>
      <c r="YB29" s="69">
        <f t="shared" si="1966"/>
        <v>0</v>
      </c>
      <c r="YC29" s="70">
        <f t="shared" si="1967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68"/>
        <v>100</v>
      </c>
      <c r="YL29" s="70">
        <f t="shared" si="1969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0"/>
        <v>200</v>
      </c>
      <c r="YU29" s="70">
        <f t="shared" si="1971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72"/>
        <v>100</v>
      </c>
      <c r="ZC29" s="70">
        <f t="shared" si="1973"/>
        <v>16.666666666666668</v>
      </c>
      <c r="ZD29" s="50"/>
      <c r="ZE29" s="51"/>
      <c r="ZF29" s="51"/>
      <c r="ZG29" s="51"/>
      <c r="ZH29" s="51"/>
      <c r="ZI29" s="51"/>
      <c r="ZJ29" s="69">
        <f t="shared" si="1974"/>
        <v>0</v>
      </c>
      <c r="ZK29" s="70">
        <f t="shared" si="1975"/>
        <v>0</v>
      </c>
      <c r="ZL29" s="50"/>
      <c r="ZM29" s="51"/>
      <c r="ZN29" s="51"/>
      <c r="ZO29" s="51"/>
      <c r="ZP29" s="51">
        <v>228</v>
      </c>
      <c r="ZQ29" s="51"/>
      <c r="ZR29" s="69">
        <f t="shared" si="1976"/>
        <v>228</v>
      </c>
      <c r="ZS29" s="70">
        <f t="shared" si="1977"/>
        <v>38</v>
      </c>
      <c r="ZT29" s="50"/>
      <c r="ZU29" s="51"/>
      <c r="ZV29" s="51"/>
      <c r="ZW29" s="51"/>
      <c r="ZX29" s="51"/>
      <c r="ZY29" s="51"/>
      <c r="ZZ29" s="69">
        <f t="shared" si="1978"/>
        <v>0</v>
      </c>
      <c r="AAA29" s="70">
        <f t="shared" si="1979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0"/>
        <v>295</v>
      </c>
      <c r="AAI29" s="70">
        <f t="shared" si="1981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82"/>
        <v>204</v>
      </c>
      <c r="AAQ29" s="70">
        <f t="shared" si="1983"/>
        <v>34</v>
      </c>
      <c r="AAR29" s="50"/>
      <c r="AAS29" s="51"/>
      <c r="AAT29" s="51"/>
      <c r="AAU29" s="51"/>
      <c r="AAV29" s="51"/>
      <c r="AAW29" s="51"/>
      <c r="AAX29" s="69">
        <f t="shared" si="1984"/>
        <v>0</v>
      </c>
      <c r="AAY29" s="70">
        <f t="shared" si="1985"/>
        <v>0</v>
      </c>
      <c r="AAZ29" s="50"/>
      <c r="ABA29" s="51"/>
      <c r="ABB29" s="51"/>
      <c r="ABC29" s="51"/>
      <c r="ABD29" s="51"/>
      <c r="ABE29" s="51"/>
      <c r="ABF29" s="69">
        <f t="shared" si="1986"/>
        <v>0</v>
      </c>
      <c r="ABG29" s="70">
        <f t="shared" si="1987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88"/>
        <v>220</v>
      </c>
      <c r="ABO29" s="70">
        <f t="shared" si="1989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0"/>
        <v>78</v>
      </c>
      <c r="ABW29" s="70">
        <f t="shared" si="1991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1992"/>
        <v>220</v>
      </c>
      <c r="ACE29" s="70">
        <f t="shared" si="1635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1993"/>
        <v>220</v>
      </c>
      <c r="ACM29" s="70">
        <f t="shared" si="1994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1995"/>
        <v>104</v>
      </c>
      <c r="ACU29" s="70">
        <f t="shared" si="1996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1997"/>
        <v>110</v>
      </c>
      <c r="ADC29" s="70">
        <f t="shared" si="1998"/>
        <v>18.333333333333332</v>
      </c>
      <c r="ADD29" s="50"/>
      <c r="ADE29" s="51"/>
      <c r="ADF29" s="51"/>
      <c r="ADG29" s="51"/>
      <c r="ADH29" s="51"/>
      <c r="ADI29" s="51"/>
      <c r="ADJ29" s="69">
        <f t="shared" si="1999"/>
        <v>0</v>
      </c>
      <c r="ADK29" s="70">
        <f t="shared" si="2000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1"/>
        <v>220</v>
      </c>
      <c r="ADS29" s="70">
        <f t="shared" si="2002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03"/>
        <v>110</v>
      </c>
      <c r="AEA29" s="70">
        <f t="shared" si="2004"/>
        <v>18.333333333333332</v>
      </c>
      <c r="AEB29" s="50"/>
      <c r="AEC29" s="51"/>
      <c r="AED29" s="51"/>
      <c r="AEE29" s="51"/>
      <c r="AEF29" s="51"/>
      <c r="AEG29" s="51"/>
      <c r="AEH29" s="69">
        <f t="shared" si="2005"/>
        <v>0</v>
      </c>
      <c r="AEI29" s="70">
        <f t="shared" si="2006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07"/>
        <v>110</v>
      </c>
      <c r="AEQ29" s="70">
        <f t="shared" si="2008"/>
        <v>18.333333333333332</v>
      </c>
      <c r="AER29" s="50"/>
      <c r="AES29" s="51"/>
      <c r="AET29" s="51"/>
      <c r="AEU29" s="51"/>
      <c r="AEV29" s="51"/>
      <c r="AEW29" s="51"/>
      <c r="AEX29" s="67">
        <f t="shared" si="2009"/>
        <v>0</v>
      </c>
      <c r="AEY29" s="68">
        <f t="shared" si="2010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1"/>
        <v>110</v>
      </c>
      <c r="AFG29" s="70">
        <f t="shared" si="2012"/>
        <v>11</v>
      </c>
      <c r="AFH29" s="50"/>
      <c r="AFI29" s="51"/>
      <c r="AFJ29" s="51"/>
      <c r="AFK29" s="51"/>
      <c r="AFL29" s="51"/>
      <c r="AFM29" s="51"/>
      <c r="AFN29" s="69">
        <f t="shared" si="2013"/>
        <v>0</v>
      </c>
      <c r="AFO29" s="70">
        <f t="shared" si="2014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15"/>
        <v>110</v>
      </c>
      <c r="AFW29" s="70">
        <f t="shared" si="2016"/>
        <v>11</v>
      </c>
      <c r="AFX29" s="50"/>
      <c r="AFY29" s="51"/>
      <c r="AFZ29" s="51"/>
      <c r="AGA29" s="51"/>
      <c r="AGB29" s="51"/>
      <c r="AGC29" s="51"/>
      <c r="AGD29" s="69">
        <f t="shared" si="2017"/>
        <v>0</v>
      </c>
      <c r="AGE29" s="70">
        <f t="shared" si="2018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19"/>
        <v>110</v>
      </c>
      <c r="AGM29" s="70">
        <f t="shared" si="2020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1"/>
        <v>110</v>
      </c>
      <c r="AGU29" s="53">
        <f t="shared" si="2022"/>
        <v>11</v>
      </c>
      <c r="AGV29" s="50"/>
      <c r="AGW29" s="51"/>
      <c r="AGX29" s="51"/>
      <c r="AGY29" s="51"/>
      <c r="AGZ29" s="51"/>
      <c r="AHA29" s="51"/>
      <c r="AHB29" s="52">
        <f t="shared" si="2023"/>
        <v>0</v>
      </c>
      <c r="AHC29" s="53">
        <f t="shared" si="2024"/>
        <v>0</v>
      </c>
      <c r="AHD29" s="50"/>
      <c r="AHE29" s="51"/>
      <c r="AHF29" s="51"/>
      <c r="AHG29" s="51"/>
      <c r="AHH29" s="51"/>
      <c r="AHI29" s="51"/>
      <c r="AHJ29" s="52">
        <f t="shared" si="2025"/>
        <v>0</v>
      </c>
      <c r="AHK29" s="53">
        <f t="shared" si="2026"/>
        <v>0</v>
      </c>
      <c r="AHL29" s="50"/>
      <c r="AHM29" s="51"/>
      <c r="AHN29" s="51"/>
      <c r="AHO29" s="51"/>
      <c r="AHP29" s="51"/>
      <c r="AHQ29" s="51"/>
      <c r="AHR29" s="69">
        <f t="shared" si="2027"/>
        <v>0</v>
      </c>
      <c r="AHS29" s="70">
        <f t="shared" si="2028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29"/>
        <v>117</v>
      </c>
      <c r="AIA29" s="70">
        <f t="shared" si="2030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1"/>
        <v>113</v>
      </c>
      <c r="AII29" s="70">
        <f t="shared" si="2032"/>
        <v>18.833333333333332</v>
      </c>
      <c r="AIJ29" s="50"/>
      <c r="AIK29" s="51"/>
      <c r="AIL29" s="51"/>
      <c r="AIM29" s="51"/>
      <c r="AIN29" s="51"/>
      <c r="AIO29" s="51"/>
      <c r="AIP29" s="69">
        <f t="shared" si="2033"/>
        <v>0</v>
      </c>
      <c r="AIQ29" s="70">
        <f t="shared" si="2034"/>
        <v>0</v>
      </c>
      <c r="AIR29" s="50"/>
      <c r="AIS29" s="51"/>
      <c r="AIT29" s="51"/>
      <c r="AIU29" s="51"/>
      <c r="AIV29" s="51"/>
      <c r="AIW29" s="51"/>
      <c r="AIX29" s="69">
        <f t="shared" si="2035"/>
        <v>0</v>
      </c>
      <c r="AIY29" s="70">
        <f t="shared" si="2036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37"/>
        <v>110</v>
      </c>
      <c r="AJG29" s="70">
        <f t="shared" si="2038"/>
        <v>18.333333333333332</v>
      </c>
      <c r="AJH29" s="50"/>
      <c r="AJI29" s="51"/>
      <c r="AJJ29" s="51"/>
      <c r="AJK29" s="51"/>
      <c r="AJL29" s="51"/>
      <c r="AJM29" s="51"/>
      <c r="AJN29" s="47">
        <f t="shared" si="2039"/>
        <v>0</v>
      </c>
      <c r="AJO29" s="43">
        <f t="shared" si="2040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1"/>
        <v>100</v>
      </c>
      <c r="AJW29" s="53">
        <f t="shared" si="2042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43"/>
        <v>109</v>
      </c>
      <c r="AKE29" s="53">
        <f t="shared" si="2044"/>
        <v>18.166666666666668</v>
      </c>
      <c r="AKF29" s="50"/>
      <c r="AKG29" s="51"/>
      <c r="AKH29" s="51"/>
      <c r="AKI29" s="51"/>
      <c r="AKJ29" s="51"/>
      <c r="AKK29" s="51"/>
      <c r="AKL29" s="47">
        <f t="shared" si="2045"/>
        <v>0</v>
      </c>
      <c r="AKM29" s="43">
        <f t="shared" si="2046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47"/>
        <v>110</v>
      </c>
      <c r="AKU29" s="53">
        <f t="shared" si="2048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49"/>
        <v>110</v>
      </c>
      <c r="ALC29" s="53">
        <f t="shared" si="2050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1"/>
        <v>110</v>
      </c>
      <c r="ALK29" s="53">
        <f t="shared" si="2052"/>
        <v>18.333333333333332</v>
      </c>
      <c r="ALL29" s="50"/>
      <c r="ALM29" s="51"/>
      <c r="ALN29" s="51"/>
      <c r="ALO29" s="51"/>
      <c r="ALP29" s="51"/>
      <c r="ALQ29" s="51"/>
      <c r="ALR29" s="69">
        <f t="shared" si="2053"/>
        <v>0</v>
      </c>
      <c r="ALS29" s="70">
        <f t="shared" si="2054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55"/>
        <v>220</v>
      </c>
      <c r="AMA29" s="70">
        <f t="shared" si="2056"/>
        <v>36.666666666666664</v>
      </c>
      <c r="AMB29" s="50"/>
      <c r="AMC29" s="51"/>
      <c r="AMD29" s="51"/>
      <c r="AME29" s="51"/>
      <c r="AMF29" s="51"/>
      <c r="AMG29" s="51"/>
      <c r="AMH29" s="69">
        <f t="shared" si="2057"/>
        <v>0</v>
      </c>
      <c r="AMI29" s="70">
        <f t="shared" si="2058"/>
        <v>0</v>
      </c>
      <c r="AMJ29" s="50"/>
      <c r="AMK29" s="51"/>
      <c r="AML29" s="51"/>
      <c r="AMM29" s="51"/>
      <c r="AMN29" s="51"/>
      <c r="AMO29" s="51"/>
      <c r="AMP29" s="69">
        <f t="shared" si="2059"/>
        <v>0</v>
      </c>
      <c r="AMQ29" s="70">
        <f t="shared" si="2060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1"/>
        <v>110</v>
      </c>
      <c r="AMY29" s="70">
        <f t="shared" si="2062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63"/>
        <v>110</v>
      </c>
      <c r="ANG29" s="70">
        <f t="shared" si="2064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65"/>
        <v>103</v>
      </c>
      <c r="ANO29" s="70">
        <f t="shared" si="2066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67"/>
        <v>99</v>
      </c>
      <c r="ANW29" s="70">
        <f t="shared" si="2068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69"/>
        <v>110</v>
      </c>
      <c r="AOE29" s="70">
        <f t="shared" si="2070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1"/>
        <v>110</v>
      </c>
      <c r="AOM29" s="70">
        <f t="shared" si="2072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73"/>
        <v>108</v>
      </c>
      <c r="AOU29" s="70">
        <f t="shared" si="2074"/>
        <v>18</v>
      </c>
      <c r="AOV29" s="50"/>
      <c r="AOW29" s="51"/>
      <c r="AOX29" s="51"/>
      <c r="AOY29" s="51"/>
      <c r="AOZ29" s="51"/>
      <c r="APA29" s="51"/>
      <c r="APB29" s="69">
        <f t="shared" si="2075"/>
        <v>0</v>
      </c>
      <c r="APC29" s="70">
        <f t="shared" si="2076"/>
        <v>0</v>
      </c>
      <c r="APD29" s="50"/>
      <c r="APE29" s="51"/>
      <c r="APF29" s="51"/>
      <c r="APG29" s="51"/>
      <c r="APH29" s="51"/>
      <c r="API29" s="51"/>
      <c r="APJ29" s="69">
        <f t="shared" si="2077"/>
        <v>0</v>
      </c>
      <c r="APK29" s="70">
        <f t="shared" si="2078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79"/>
        <v>110</v>
      </c>
      <c r="APS29" s="70">
        <f t="shared" si="2080"/>
        <v>18.333333333333332</v>
      </c>
      <c r="APT29" s="50"/>
      <c r="APU29" s="51"/>
      <c r="APV29" s="51"/>
      <c r="APW29" s="51"/>
      <c r="APX29" s="51"/>
      <c r="APY29" s="51"/>
      <c r="APZ29" s="69">
        <f t="shared" si="2081"/>
        <v>0</v>
      </c>
      <c r="AQA29" s="70">
        <f t="shared" si="2082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83"/>
        <v>110</v>
      </c>
      <c r="AQI29" s="70">
        <f t="shared" si="2084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85"/>
        <v>94</v>
      </c>
      <c r="AQQ29" s="53">
        <f t="shared" si="2086"/>
        <v>15.666666666666666</v>
      </c>
      <c r="AQR29" s="50"/>
      <c r="AQS29" s="51"/>
      <c r="AQT29" s="51"/>
      <c r="AQU29" s="51"/>
      <c r="AQV29" s="51"/>
      <c r="AQW29" s="51"/>
      <c r="AQX29" s="52">
        <f t="shared" si="2087"/>
        <v>0</v>
      </c>
      <c r="AQY29" s="53">
        <f t="shared" si="2088"/>
        <v>0</v>
      </c>
      <c r="AQZ29" s="50"/>
      <c r="ARA29" s="51"/>
      <c r="ARB29" s="51"/>
      <c r="ARC29" s="51"/>
      <c r="ARD29" s="51"/>
      <c r="ARE29" s="51"/>
      <c r="ARF29" s="52">
        <f t="shared" si="2089"/>
        <v>0</v>
      </c>
      <c r="ARG29" s="53">
        <f t="shared" si="2090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1"/>
        <v>99</v>
      </c>
      <c r="ARO29" s="53">
        <f t="shared" si="2092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093"/>
        <v>110</v>
      </c>
      <c r="ARW29" s="53">
        <f t="shared" si="2094"/>
        <v>18.333333333333332</v>
      </c>
      <c r="ARX29" s="50"/>
      <c r="ARY29" s="51"/>
      <c r="ARZ29" s="51"/>
      <c r="ASA29" s="51"/>
      <c r="ASB29" s="51"/>
      <c r="ASC29" s="51"/>
      <c r="ASD29" s="52">
        <f t="shared" si="2095"/>
        <v>0</v>
      </c>
      <c r="ASE29" s="53">
        <f t="shared" si="2096"/>
        <v>0</v>
      </c>
      <c r="ASF29" s="50"/>
      <c r="ASG29" s="51"/>
      <c r="ASH29" s="51"/>
      <c r="ASI29" s="51"/>
      <c r="ASJ29" s="51"/>
      <c r="ASK29" s="51"/>
      <c r="ASL29" s="52">
        <f t="shared" si="2097"/>
        <v>0</v>
      </c>
      <c r="ASM29" s="53">
        <f t="shared" si="2098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099"/>
        <v>109</v>
      </c>
      <c r="ASU29" s="53">
        <f t="shared" si="2100"/>
        <v>18.166666666666668</v>
      </c>
      <c r="ASV29" s="50"/>
      <c r="ASW29" s="51"/>
      <c r="ASX29" s="51"/>
      <c r="ASY29" s="51"/>
      <c r="ASZ29" s="51"/>
      <c r="ATA29" s="51"/>
      <c r="ATB29" s="52">
        <f t="shared" si="2101"/>
        <v>0</v>
      </c>
      <c r="ATC29" s="53">
        <f t="shared" si="2102"/>
        <v>0</v>
      </c>
      <c r="ATD29" s="50"/>
      <c r="ATE29" s="51"/>
      <c r="ATF29" s="51"/>
      <c r="ATG29" s="51"/>
      <c r="ATH29" s="51"/>
      <c r="ATI29" s="51"/>
      <c r="ATJ29" s="52">
        <f t="shared" si="2103"/>
        <v>0</v>
      </c>
      <c r="ATK29" s="53">
        <f t="shared" si="2104"/>
        <v>0</v>
      </c>
      <c r="ATL29" s="50"/>
      <c r="ATM29" s="51"/>
      <c r="ATN29" s="51"/>
      <c r="ATO29" s="51"/>
      <c r="ATP29" s="51"/>
      <c r="ATQ29" s="51"/>
      <c r="ATR29" s="52">
        <f t="shared" si="2105"/>
        <v>0</v>
      </c>
      <c r="ATS29" s="53">
        <f t="shared" si="2106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07"/>
        <v>110</v>
      </c>
      <c r="AUA29" s="53">
        <f t="shared" si="2108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09"/>
        <v>110</v>
      </c>
      <c r="AUI29" s="53">
        <f t="shared" si="2110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1"/>
        <v>110</v>
      </c>
      <c r="AUQ29" s="53">
        <f t="shared" si="2112"/>
        <v>18.333333333333332</v>
      </c>
      <c r="AUR29" s="50"/>
      <c r="AUS29" s="51"/>
      <c r="AUT29" s="51"/>
      <c r="AUU29" s="51"/>
      <c r="AUV29" s="51"/>
      <c r="AUW29" s="51"/>
      <c r="AUX29" s="52">
        <f t="shared" si="2113"/>
        <v>0</v>
      </c>
      <c r="AUY29" s="53">
        <f t="shared" si="2114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15"/>
        <v>130</v>
      </c>
      <c r="AVG29" s="53">
        <f t="shared" si="2116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17"/>
        <v>110</v>
      </c>
      <c r="AVO29" s="53">
        <f t="shared" si="2118"/>
        <v>18.333333333333332</v>
      </c>
      <c r="AVP29" s="50"/>
      <c r="AVQ29" s="51"/>
      <c r="AVR29" s="51"/>
      <c r="AVS29" s="51"/>
      <c r="AVT29" s="51"/>
      <c r="AVU29" s="51"/>
      <c r="AVV29" s="52">
        <f t="shared" si="2119"/>
        <v>0</v>
      </c>
      <c r="AVW29" s="53">
        <f t="shared" si="2120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1"/>
        <v>110</v>
      </c>
      <c r="AWE29" s="53">
        <f t="shared" si="2122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23"/>
        <v>110</v>
      </c>
      <c r="AWM29" s="53">
        <f t="shared" si="2124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25"/>
        <v>109</v>
      </c>
      <c r="AWU29" s="53">
        <f t="shared" si="2126"/>
        <v>18.166666666666668</v>
      </c>
      <c r="AWV29" s="50"/>
      <c r="AWW29" s="51"/>
      <c r="AWX29" s="51"/>
      <c r="AWY29" s="51"/>
      <c r="AWZ29" s="51"/>
      <c r="AXA29" s="51"/>
      <c r="AXB29" s="52">
        <f t="shared" si="2127"/>
        <v>0</v>
      </c>
      <c r="AXC29" s="53">
        <f t="shared" si="2128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29"/>
        <v>110</v>
      </c>
      <c r="AXK29" s="53">
        <f t="shared" si="2130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1"/>
        <v>110</v>
      </c>
      <c r="AXS29" s="53">
        <f t="shared" si="2132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33"/>
        <v>110</v>
      </c>
      <c r="AYA29" s="43">
        <f t="shared" si="2134"/>
        <v>18.333333333333332</v>
      </c>
      <c r="AYB29" s="50"/>
      <c r="AYC29" s="51"/>
      <c r="AYD29" s="51"/>
      <c r="AYE29" s="51"/>
      <c r="AYF29" s="51"/>
      <c r="AYG29" s="51"/>
      <c r="AYH29" s="52">
        <f t="shared" si="2135"/>
        <v>0</v>
      </c>
      <c r="AYI29" s="53">
        <f t="shared" si="2136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37"/>
        <v>96</v>
      </c>
      <c r="AYQ29" s="53">
        <f t="shared" si="2138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39"/>
        <v>100</v>
      </c>
      <c r="AYY29" s="53">
        <f t="shared" si="2140"/>
        <v>16.666666666666668</v>
      </c>
      <c r="AYZ29" s="50"/>
      <c r="AZA29" s="51"/>
      <c r="AZB29" s="51"/>
      <c r="AZC29" s="51"/>
      <c r="AZD29" s="51"/>
      <c r="AZE29" s="51"/>
      <c r="AZF29" s="52">
        <f t="shared" si="2141"/>
        <v>0</v>
      </c>
      <c r="AZG29" s="53">
        <f t="shared" si="2142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43"/>
        <v>109</v>
      </c>
      <c r="AZO29" s="53">
        <f t="shared" si="2144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45"/>
        <v>110</v>
      </c>
      <c r="AZW29" s="53">
        <f t="shared" si="2146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47"/>
        <v>110</v>
      </c>
      <c r="BAE29" s="53">
        <f t="shared" si="2148"/>
        <v>18.333333333333332</v>
      </c>
      <c r="BAF29" s="50"/>
      <c r="BAG29" s="51"/>
      <c r="BAH29" s="51"/>
      <c r="BAI29" s="51"/>
      <c r="BAJ29" s="51"/>
      <c r="BAK29" s="51"/>
      <c r="BAL29" s="52">
        <f t="shared" si="2149"/>
        <v>0</v>
      </c>
      <c r="BAM29" s="53">
        <f t="shared" si="2150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1"/>
        <v>110</v>
      </c>
      <c r="BAU29" s="53">
        <f t="shared" si="2152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53"/>
        <v>110</v>
      </c>
      <c r="BBC29" s="53">
        <f t="shared" si="2154"/>
        <v>18.333333333333332</v>
      </c>
      <c r="BBD29" s="50"/>
      <c r="BBE29" s="51"/>
      <c r="BBF29" s="51"/>
      <c r="BBG29" s="51"/>
      <c r="BBH29" s="51"/>
      <c r="BBI29" s="51"/>
      <c r="BBJ29" s="52">
        <f t="shared" si="2155"/>
        <v>0</v>
      </c>
      <c r="BBK29" s="53">
        <f t="shared" si="2156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57"/>
        <v>110</v>
      </c>
      <c r="BBS29" s="53">
        <f t="shared" si="2158"/>
        <v>18.333333333333332</v>
      </c>
      <c r="BBT29" s="50"/>
      <c r="BBU29" s="51"/>
      <c r="BBV29" s="51"/>
      <c r="BBW29" s="51"/>
      <c r="BBX29" s="51"/>
      <c r="BBY29" s="51"/>
      <c r="BBZ29" s="52">
        <f t="shared" si="2159"/>
        <v>0</v>
      </c>
      <c r="BCA29" s="53">
        <f t="shared" si="2160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1"/>
        <v>110</v>
      </c>
      <c r="BCI29" s="53">
        <f t="shared" si="2162"/>
        <v>18.333333333333332</v>
      </c>
      <c r="BCJ29" s="50"/>
      <c r="BCK29" s="51"/>
      <c r="BCL29" s="51"/>
      <c r="BCM29" s="51"/>
      <c r="BCN29" s="51"/>
      <c r="BCO29" s="51"/>
      <c r="BCP29" s="52">
        <f t="shared" si="2163"/>
        <v>0</v>
      </c>
      <c r="BCQ29" s="53">
        <f t="shared" si="2164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65"/>
        <v>110</v>
      </c>
      <c r="BCY29" s="53">
        <f t="shared" si="2166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67"/>
        <v>110</v>
      </c>
      <c r="BDG29" s="53">
        <f t="shared" si="2168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69"/>
        <v>108</v>
      </c>
      <c r="BDO29" s="102">
        <f t="shared" si="2170"/>
        <v>18</v>
      </c>
      <c r="BDP29" s="196"/>
      <c r="BDQ29" s="197"/>
      <c r="BDR29" s="197"/>
      <c r="BDS29" s="197"/>
      <c r="BDT29" s="197"/>
      <c r="BDU29" s="197"/>
      <c r="BDV29" s="215">
        <f t="shared" si="2171"/>
        <v>0</v>
      </c>
      <c r="BDW29" s="220">
        <f t="shared" si="2172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73"/>
        <v>110</v>
      </c>
      <c r="BEE29" s="53">
        <f t="shared" si="2174"/>
        <v>18.333333333333332</v>
      </c>
      <c r="BEF29" s="50"/>
      <c r="BEG29" s="51"/>
      <c r="BEH29" s="51"/>
      <c r="BEI29" s="51"/>
      <c r="BEJ29" s="51"/>
      <c r="BEK29" s="51"/>
      <c r="BEL29" s="42">
        <f t="shared" si="2175"/>
        <v>0</v>
      </c>
      <c r="BEM29" s="43">
        <f t="shared" si="2176"/>
        <v>0</v>
      </c>
      <c r="BEN29" s="50"/>
      <c r="BEO29" s="51"/>
      <c r="BEP29" s="51"/>
      <c r="BEQ29" s="51"/>
      <c r="BER29" s="51"/>
      <c r="BES29" s="51"/>
      <c r="BET29" s="52">
        <f t="shared" si="2177"/>
        <v>0</v>
      </c>
      <c r="BEU29" s="53">
        <f t="shared" si="2178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79"/>
        <v>99</v>
      </c>
      <c r="BFC29" s="53">
        <f t="shared" si="2180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1"/>
        <v>110</v>
      </c>
      <c r="BFK29" s="43">
        <f t="shared" si="2182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83"/>
        <v>220</v>
      </c>
      <c r="BFS29" s="53">
        <f t="shared" si="2184"/>
        <v>36.666666666666664</v>
      </c>
      <c r="BFT29" s="50"/>
      <c r="BFU29" s="51"/>
      <c r="BFV29" s="51"/>
      <c r="BFW29" s="51"/>
      <c r="BFX29" s="51"/>
      <c r="BFY29" s="51"/>
      <c r="BFZ29" s="52">
        <f t="shared" si="2185"/>
        <v>0</v>
      </c>
      <c r="BGA29" s="53">
        <f t="shared" si="2186"/>
        <v>0</v>
      </c>
      <c r="BGB29" s="50"/>
      <c r="BGC29" s="51"/>
      <c r="BGD29" s="51"/>
      <c r="BGE29" s="51"/>
      <c r="BGF29" s="51"/>
      <c r="BGG29" s="51"/>
      <c r="BGH29" s="52">
        <f t="shared" si="2187"/>
        <v>0</v>
      </c>
      <c r="BGI29" s="53">
        <f t="shared" si="2188"/>
        <v>0</v>
      </c>
      <c r="BGJ29" s="50"/>
      <c r="BGK29" s="51"/>
      <c r="BGL29" s="51"/>
      <c r="BGM29" s="51"/>
      <c r="BGN29" s="51"/>
      <c r="BGO29" s="51"/>
      <c r="BGP29" s="52">
        <f t="shared" si="2189"/>
        <v>0</v>
      </c>
      <c r="BGQ29" s="53">
        <f t="shared" si="2190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1"/>
        <v>109</v>
      </c>
      <c r="BGY29" s="53">
        <f t="shared" si="2192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193"/>
        <v>40</v>
      </c>
      <c r="BHG29" s="53">
        <f t="shared" si="2194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195"/>
        <v>122</v>
      </c>
      <c r="BHO29" s="53">
        <f t="shared" si="2196"/>
        <v>20.333333333333332</v>
      </c>
      <c r="BHP29" s="50"/>
      <c r="BHQ29" s="51"/>
      <c r="BHR29" s="51"/>
      <c r="BHS29" s="51"/>
      <c r="BHT29" s="51"/>
      <c r="BHU29" s="51"/>
      <c r="BHV29" s="52">
        <f t="shared" si="2197"/>
        <v>0</v>
      </c>
      <c r="BHW29" s="53">
        <f t="shared" si="2198"/>
        <v>0</v>
      </c>
      <c r="BHX29" s="50"/>
      <c r="BHY29" s="51"/>
      <c r="BHZ29" s="51"/>
      <c r="BIA29" s="51"/>
      <c r="BIB29" s="51"/>
      <c r="BIC29" s="51"/>
      <c r="BID29" s="42">
        <f t="shared" si="2199"/>
        <v>0</v>
      </c>
      <c r="BIE29" s="43">
        <f t="shared" si="2200"/>
        <v>0</v>
      </c>
      <c r="BIF29" s="50"/>
      <c r="BIG29" s="51"/>
      <c r="BIH29" s="51"/>
      <c r="BII29" s="51"/>
      <c r="BIJ29" s="51"/>
      <c r="BIK29" s="51"/>
      <c r="BIL29" s="52">
        <f t="shared" si="2201"/>
        <v>0</v>
      </c>
      <c r="BIM29" s="53">
        <f t="shared" si="2202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03"/>
        <v>100</v>
      </c>
      <c r="BIU29" s="53">
        <f t="shared" si="2204"/>
        <v>16.666666666666668</v>
      </c>
      <c r="BIV29" s="50"/>
      <c r="BIW29" s="51"/>
      <c r="BIX29" s="51"/>
      <c r="BIY29" s="51"/>
      <c r="BIZ29" s="51"/>
      <c r="BJA29" s="51"/>
      <c r="BJB29" s="52">
        <f t="shared" si="2205"/>
        <v>0</v>
      </c>
      <c r="BJC29" s="53">
        <f t="shared" si="2206"/>
        <v>0</v>
      </c>
      <c r="BJD29" s="50"/>
      <c r="BJE29" s="51"/>
      <c r="BJF29" s="51"/>
      <c r="BJG29" s="51"/>
      <c r="BJH29" s="51"/>
      <c r="BJI29" s="51"/>
      <c r="BJJ29" s="52">
        <f t="shared" si="2207"/>
        <v>0</v>
      </c>
      <c r="BJK29" s="53">
        <f t="shared" si="2208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09"/>
        <v>50</v>
      </c>
      <c r="BJS29" s="53">
        <f t="shared" si="2210"/>
        <v>8.3333333333333339</v>
      </c>
      <c r="BJT29" s="50"/>
      <c r="BJU29" s="51"/>
      <c r="BJV29" s="51"/>
      <c r="BJW29" s="51"/>
      <c r="BJX29" s="51"/>
      <c r="BJY29" s="51"/>
      <c r="BJZ29" s="69">
        <f t="shared" si="2211"/>
        <v>0</v>
      </c>
      <c r="BKA29" s="53">
        <f t="shared" si="2212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13"/>
        <v>86</v>
      </c>
      <c r="BKI29" s="53">
        <f t="shared" si="2214"/>
        <v>14.333333333333334</v>
      </c>
      <c r="BKJ29" s="50"/>
      <c r="BKK29" s="51"/>
      <c r="BKL29" s="51"/>
      <c r="BKM29" s="51"/>
      <c r="BKN29" s="51"/>
      <c r="BKO29" s="51"/>
      <c r="BKP29" s="69">
        <f t="shared" si="2215"/>
        <v>0</v>
      </c>
      <c r="BKQ29" s="53">
        <f t="shared" si="2216"/>
        <v>0</v>
      </c>
      <c r="BKR29" s="50"/>
      <c r="BKS29" s="51"/>
      <c r="BKT29" s="51"/>
      <c r="BKU29" s="51"/>
      <c r="BKV29" s="51"/>
      <c r="BKW29" s="51"/>
      <c r="BKX29" s="67">
        <f t="shared" si="2217"/>
        <v>0</v>
      </c>
      <c r="BKY29" s="43">
        <f t="shared" si="2218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19"/>
        <v>57</v>
      </c>
      <c r="BLG29" s="53">
        <f t="shared" si="2220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1"/>
        <v>100</v>
      </c>
      <c r="BLO29" s="70">
        <f t="shared" si="2222"/>
        <v>16.666666666666668</v>
      </c>
      <c r="BLP29" s="50"/>
      <c r="BLQ29" s="51"/>
      <c r="BLR29" s="51"/>
      <c r="BLS29" s="51"/>
      <c r="BLT29" s="51"/>
      <c r="BLU29" s="51"/>
      <c r="BLV29" s="69">
        <f t="shared" si="2223"/>
        <v>0</v>
      </c>
      <c r="BLW29" s="70">
        <f t="shared" si="2224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25"/>
        <v>153</v>
      </c>
      <c r="BME29" s="53">
        <f t="shared" si="2226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27"/>
        <v>108</v>
      </c>
      <c r="BMM29" s="53">
        <f t="shared" si="2228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29"/>
        <v>90</v>
      </c>
      <c r="BMU29" s="53">
        <f t="shared" si="2230"/>
        <v>15</v>
      </c>
      <c r="BMV29" s="50"/>
      <c r="BMW29" s="51"/>
      <c r="BMX29" s="51"/>
      <c r="BMY29" s="51"/>
      <c r="BMZ29" s="51"/>
      <c r="BNA29" s="51"/>
      <c r="BNB29" s="67">
        <f t="shared" si="2231"/>
        <v>0</v>
      </c>
      <c r="BNC29" s="43">
        <f t="shared" si="2232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33"/>
        <v>79</v>
      </c>
      <c r="BNK29" s="210">
        <f t="shared" si="2234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35"/>
        <v>44</v>
      </c>
      <c r="BNS29" s="212">
        <f t="shared" si="2236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37"/>
        <v>191</v>
      </c>
      <c r="BOA29" s="199">
        <f t="shared" si="2238"/>
        <v>31.833333333333332</v>
      </c>
      <c r="BOB29" s="50"/>
      <c r="BOC29" s="51"/>
      <c r="BOD29" s="51"/>
      <c r="BOE29" s="51"/>
      <c r="BOF29" s="51"/>
      <c r="BOG29" s="51"/>
      <c r="BOH29" s="69">
        <f t="shared" si="2239"/>
        <v>0</v>
      </c>
      <c r="BOI29" s="70">
        <f t="shared" si="2240"/>
        <v>0</v>
      </c>
      <c r="BOJ29" s="50"/>
      <c r="BOK29" s="51"/>
      <c r="BOL29" s="51"/>
      <c r="BOM29" s="51"/>
      <c r="BON29" s="51"/>
      <c r="BOO29" s="51"/>
      <c r="BOP29" s="69">
        <f t="shared" si="2241"/>
        <v>0</v>
      </c>
      <c r="BOQ29" s="70">
        <f t="shared" si="2242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43"/>
        <v>45</v>
      </c>
      <c r="BOY29" s="70">
        <f t="shared" si="2244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45"/>
        <v>100</v>
      </c>
      <c r="BPG29" s="70">
        <f t="shared" si="2246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47"/>
        <v>40</v>
      </c>
      <c r="BPO29" s="70">
        <f t="shared" si="2248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49"/>
        <v>106</v>
      </c>
      <c r="BPW29" s="70">
        <f t="shared" si="2250"/>
        <v>17.666666666666668</v>
      </c>
      <c r="BPX29" s="50"/>
      <c r="BPY29" s="51"/>
      <c r="BPZ29" s="51"/>
      <c r="BQA29" s="51"/>
      <c r="BQB29" s="51"/>
      <c r="BQC29" s="51"/>
      <c r="BQD29" s="69">
        <f t="shared" si="2251"/>
        <v>0</v>
      </c>
      <c r="BQE29" s="70">
        <f t="shared" si="2252"/>
        <v>0</v>
      </c>
      <c r="BQF29" s="50"/>
      <c r="BQG29" s="51"/>
      <c r="BQH29" s="51"/>
      <c r="BQI29" s="51"/>
      <c r="BQJ29" s="51"/>
      <c r="BQK29" s="51"/>
      <c r="BQL29" s="69">
        <f t="shared" si="2253"/>
        <v>0</v>
      </c>
      <c r="BQM29" s="70">
        <f t="shared" si="2254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55"/>
        <v>152</v>
      </c>
      <c r="BQU29" s="70">
        <f t="shared" si="2256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57"/>
        <v>36</v>
      </c>
      <c r="BRC29" s="70">
        <f t="shared" si="2258"/>
        <v>6</v>
      </c>
      <c r="BRD29" s="50"/>
      <c r="BRE29" s="51"/>
      <c r="BRF29" s="51"/>
      <c r="BRG29" s="51"/>
      <c r="BRH29" s="51"/>
      <c r="BRI29" s="51"/>
      <c r="BRJ29" s="69">
        <f t="shared" si="2259"/>
        <v>0</v>
      </c>
      <c r="BRK29" s="70">
        <f t="shared" si="2260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1"/>
        <v>180</v>
      </c>
      <c r="BRS29" s="70">
        <f t="shared" si="2262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63"/>
        <v>110</v>
      </c>
      <c r="BSA29" s="70">
        <f t="shared" si="2264"/>
        <v>18.333333333333332</v>
      </c>
      <c r="BSB29" s="50"/>
      <c r="BSC29" s="51"/>
      <c r="BSD29" s="51"/>
      <c r="BSE29" s="51"/>
      <c r="BSF29" s="51"/>
      <c r="BSG29" s="51"/>
      <c r="BSH29" s="69">
        <f t="shared" si="2265"/>
        <v>0</v>
      </c>
      <c r="BSI29" s="70">
        <f t="shared" si="2266"/>
        <v>0</v>
      </c>
      <c r="BSJ29" s="50"/>
      <c r="BSK29" s="51"/>
      <c r="BSL29" s="51"/>
      <c r="BSM29" s="51"/>
      <c r="BSN29" s="51"/>
      <c r="BSO29" s="51"/>
      <c r="BSP29" s="67">
        <f t="shared" si="2267"/>
        <v>0</v>
      </c>
      <c r="BSQ29" s="68">
        <f t="shared" si="2268"/>
        <v>0</v>
      </c>
      <c r="BSR29" s="50"/>
      <c r="BSS29" s="51"/>
      <c r="BST29" s="51"/>
      <c r="BSU29" s="51"/>
      <c r="BSV29" s="51"/>
      <c r="BSW29" s="51"/>
      <c r="BSX29" s="69">
        <f t="shared" si="2269"/>
        <v>0</v>
      </c>
      <c r="BSY29" s="70">
        <f t="shared" si="2270"/>
        <v>0</v>
      </c>
      <c r="BSZ29" s="50"/>
      <c r="BTA29" s="51"/>
      <c r="BTB29" s="51"/>
      <c r="BTC29" s="51"/>
      <c r="BTD29" s="51"/>
      <c r="BTE29" s="51"/>
      <c r="BTF29" s="69">
        <f t="shared" si="2271"/>
        <v>0</v>
      </c>
      <c r="BTG29" s="70">
        <f t="shared" si="2272"/>
        <v>0</v>
      </c>
      <c r="BTH29" s="50"/>
      <c r="BTI29" s="51"/>
      <c r="BTJ29" s="51"/>
      <c r="BTK29" s="51"/>
      <c r="BTL29" s="51"/>
      <c r="BTM29" s="51"/>
      <c r="BTN29" s="69">
        <f t="shared" si="2273"/>
        <v>0</v>
      </c>
      <c r="BTO29" s="70">
        <f t="shared" si="2274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75"/>
        <v>40</v>
      </c>
      <c r="BTW29" s="70">
        <f t="shared" si="2276"/>
        <v>6.666666666666667</v>
      </c>
      <c r="BTX29" s="50"/>
      <c r="BTY29" s="51"/>
      <c r="BTZ29" s="51"/>
      <c r="BUA29" s="51"/>
      <c r="BUB29" s="51"/>
      <c r="BUC29" s="51"/>
      <c r="BUD29" s="69">
        <f t="shared" si="2277"/>
        <v>0</v>
      </c>
      <c r="BUE29" s="70">
        <f t="shared" si="2278"/>
        <v>0</v>
      </c>
      <c r="BUF29" s="50"/>
      <c r="BUG29" s="51"/>
      <c r="BUH29" s="51"/>
      <c r="BUI29" s="51"/>
      <c r="BUJ29" s="51"/>
      <c r="BUK29" s="51"/>
      <c r="BUL29" s="69">
        <f t="shared" si="2279"/>
        <v>0</v>
      </c>
      <c r="BUM29" s="70">
        <f t="shared" si="2280"/>
        <v>0</v>
      </c>
      <c r="BUN29" s="50"/>
      <c r="BUO29" s="51"/>
      <c r="BUP29" s="51"/>
      <c r="BUQ29" s="51"/>
      <c r="BUR29" s="51"/>
      <c r="BUS29" s="51"/>
      <c r="BUT29" s="69">
        <f t="shared" si="2281"/>
        <v>0</v>
      </c>
      <c r="BUU29" s="70">
        <f t="shared" si="2282"/>
        <v>0</v>
      </c>
      <c r="BUV29" s="50"/>
      <c r="BUW29" s="51"/>
      <c r="BUX29" s="51"/>
      <c r="BUY29" s="51"/>
      <c r="BUZ29" s="51"/>
      <c r="BVA29" s="51"/>
      <c r="BVB29" s="69">
        <f t="shared" si="2283"/>
        <v>0</v>
      </c>
      <c r="BVC29" s="70">
        <f t="shared" si="2284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85"/>
        <v>40</v>
      </c>
      <c r="BVK29" s="70">
        <f t="shared" si="2286"/>
        <v>6.666666666666667</v>
      </c>
      <c r="BVL29" s="50"/>
      <c r="BVM29" s="51"/>
      <c r="BVN29" s="51"/>
      <c r="BVO29" s="51"/>
      <c r="BVP29" s="51"/>
      <c r="BVQ29" s="51"/>
      <c r="BVR29" s="69">
        <f t="shared" si="2287"/>
        <v>0</v>
      </c>
      <c r="BVS29" s="70">
        <f t="shared" si="2288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89"/>
        <v>40</v>
      </c>
      <c r="BWA29" s="70">
        <f t="shared" si="2290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1"/>
        <v>40</v>
      </c>
      <c r="BWI29" s="70">
        <f t="shared" si="2292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293"/>
        <v>100</v>
      </c>
      <c r="BWQ29" s="70">
        <f t="shared" si="2294"/>
        <v>16.666666666666668</v>
      </c>
      <c r="BWR29" s="50"/>
      <c r="BWS29" s="51"/>
      <c r="BWT29" s="51"/>
      <c r="BWU29" s="51"/>
      <c r="BWV29" s="51"/>
      <c r="BWW29" s="51"/>
      <c r="BWX29" s="69">
        <f t="shared" si="2295"/>
        <v>0</v>
      </c>
      <c r="BWY29" s="70">
        <f t="shared" si="2296"/>
        <v>0</v>
      </c>
      <c r="BWZ29" s="50"/>
      <c r="BXA29" s="51"/>
      <c r="BXB29" s="51"/>
      <c r="BXC29" s="51"/>
      <c r="BXD29" s="51"/>
      <c r="BXE29" s="51"/>
      <c r="BXF29" s="69">
        <f t="shared" si="2297"/>
        <v>0</v>
      </c>
      <c r="BXG29" s="70">
        <f t="shared" si="2298"/>
        <v>0</v>
      </c>
      <c r="BXH29" s="50"/>
      <c r="BXI29" s="51"/>
      <c r="BXJ29" s="51"/>
      <c r="BXK29" s="51"/>
      <c r="BXL29" s="51"/>
      <c r="BXM29" s="51"/>
      <c r="BXN29" s="69">
        <f t="shared" si="2299"/>
        <v>0</v>
      </c>
      <c r="BXO29" s="70">
        <f t="shared" si="2300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1"/>
        <v>82</v>
      </c>
      <c r="BXW29" s="70">
        <f t="shared" si="2302"/>
        <v>13.666666666666666</v>
      </c>
      <c r="BXX29" s="50"/>
      <c r="BXY29" s="51"/>
      <c r="BXZ29" s="51"/>
      <c r="BYA29" s="51"/>
      <c r="BYB29" s="51"/>
      <c r="BYC29" s="51"/>
      <c r="BYD29" s="69">
        <f t="shared" si="2303"/>
        <v>0</v>
      </c>
      <c r="BYE29" s="70">
        <f t="shared" si="2304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05"/>
        <v>40</v>
      </c>
      <c r="BYM29" s="70">
        <f t="shared" si="2306"/>
        <v>6.666666666666667</v>
      </c>
      <c r="BYN29" s="50"/>
      <c r="BYO29" s="51"/>
      <c r="BYP29" s="51"/>
      <c r="BYQ29" s="51"/>
      <c r="BYR29" s="51"/>
      <c r="BYS29" s="51"/>
      <c r="BYT29" s="69">
        <f t="shared" si="2307"/>
        <v>0</v>
      </c>
      <c r="BYU29" s="70">
        <f t="shared" si="2308"/>
        <v>0</v>
      </c>
      <c r="BYV29" s="50"/>
      <c r="BYW29" s="51"/>
      <c r="BYX29" s="51"/>
      <c r="BYY29" s="51"/>
      <c r="BYZ29" s="51"/>
      <c r="BZA29" s="51"/>
      <c r="BZB29" s="69">
        <f t="shared" si="2309"/>
        <v>0</v>
      </c>
      <c r="BZC29" s="70">
        <f t="shared" si="2310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1"/>
        <v>81</v>
      </c>
      <c r="BZK29" s="70">
        <f t="shared" si="2312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13"/>
        <v>40</v>
      </c>
      <c r="BZS29" s="70">
        <f t="shared" si="2314"/>
        <v>6.666666666666667</v>
      </c>
      <c r="BZT29" s="50"/>
      <c r="BZU29" s="51"/>
      <c r="BZV29" s="51"/>
      <c r="BZW29" s="51"/>
      <c r="BZX29" s="51"/>
      <c r="BZY29" s="51"/>
      <c r="BZZ29" s="69">
        <f t="shared" si="2315"/>
        <v>0</v>
      </c>
      <c r="CAA29" s="70">
        <f t="shared" si="2316"/>
        <v>0</v>
      </c>
      <c r="CAB29" s="50"/>
      <c r="CAC29" s="51"/>
      <c r="CAD29" s="51"/>
      <c r="CAE29" s="51"/>
      <c r="CAF29" s="51"/>
      <c r="CAG29" s="51"/>
      <c r="CAH29" s="69">
        <f t="shared" si="2317"/>
        <v>0</v>
      </c>
      <c r="CAI29" s="70">
        <f t="shared" si="2318"/>
        <v>0</v>
      </c>
      <c r="CAJ29" s="50"/>
      <c r="CAK29" s="51"/>
      <c r="CAL29" s="51"/>
      <c r="CAM29" s="51"/>
      <c r="CAN29" s="51"/>
      <c r="CAO29" s="51"/>
      <c r="CAP29" s="69">
        <f t="shared" si="2319"/>
        <v>0</v>
      </c>
      <c r="CAQ29" s="70">
        <f t="shared" si="2320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1"/>
        <v>42</v>
      </c>
      <c r="CAY29" s="70">
        <f t="shared" si="2322"/>
        <v>7</v>
      </c>
      <c r="CAZ29" s="50"/>
      <c r="CBA29" s="51"/>
      <c r="CBB29" s="51"/>
      <c r="CBC29" s="51"/>
      <c r="CBD29" s="51"/>
      <c r="CBE29" s="51"/>
      <c r="CBF29" s="69">
        <f t="shared" si="2323"/>
        <v>0</v>
      </c>
      <c r="CBG29" s="70">
        <f t="shared" si="2324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25"/>
        <v>49</v>
      </c>
      <c r="CBO29" s="70">
        <f t="shared" si="2326"/>
        <v>8.1666666666666661</v>
      </c>
      <c r="CBP29" s="50"/>
      <c r="CBQ29" s="51"/>
      <c r="CBR29" s="51"/>
      <c r="CBS29" s="51"/>
      <c r="CBT29" s="51"/>
      <c r="CBU29" s="51"/>
      <c r="CBV29" s="69">
        <f t="shared" si="2327"/>
        <v>0</v>
      </c>
      <c r="CBW29" s="70">
        <f t="shared" si="2328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29"/>
        <v>50</v>
      </c>
      <c r="CCE29" s="70">
        <f t="shared" si="2330"/>
        <v>8.3333333333333339</v>
      </c>
      <c r="CCF29" s="50"/>
      <c r="CCG29" s="51"/>
      <c r="CCH29" s="51"/>
      <c r="CCI29" s="51"/>
      <c r="CCJ29" s="51"/>
      <c r="CCK29" s="51"/>
      <c r="CCL29" s="69">
        <f t="shared" si="2331"/>
        <v>0</v>
      </c>
      <c r="CCM29" s="70">
        <f t="shared" si="2332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33"/>
        <v>40</v>
      </c>
      <c r="CCU29" s="70">
        <f t="shared" si="2334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35"/>
        <v>50</v>
      </c>
      <c r="CDC29" s="70">
        <f t="shared" si="2336"/>
        <v>8.3333333333333339</v>
      </c>
      <c r="CDD29" s="209"/>
      <c r="CDE29" s="200"/>
      <c r="CDF29" s="200"/>
      <c r="CDG29" s="200"/>
      <c r="CDH29" s="200"/>
      <c r="CDI29" s="200"/>
      <c r="CDJ29" s="69">
        <f t="shared" si="2337"/>
        <v>0</v>
      </c>
      <c r="CDK29" s="70">
        <f t="shared" si="2338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39"/>
        <v>41</v>
      </c>
      <c r="CDS29" s="70">
        <f t="shared" si="2340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1"/>
        <v>40</v>
      </c>
      <c r="CEA29" s="70">
        <f t="shared" si="2342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43"/>
        <v>40</v>
      </c>
      <c r="CEI29" s="210">
        <f t="shared" si="2344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45"/>
        <v>19</v>
      </c>
      <c r="CEQ29" s="68">
        <f t="shared" si="2346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47"/>
        <v>0</v>
      </c>
      <c r="CFE29" s="70">
        <f t="shared" si="2348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49"/>
        <v>0</v>
      </c>
      <c r="CFM29" s="70">
        <f t="shared" si="2350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1"/>
        <v>60</v>
      </c>
      <c r="CFU29" s="70">
        <f t="shared" si="2352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53"/>
        <v>0</v>
      </c>
      <c r="CGC29" s="70">
        <f t="shared" si="2354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55"/>
        <v>0</v>
      </c>
      <c r="CGK29" s="70">
        <f t="shared" si="2356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57"/>
        <v>0</v>
      </c>
      <c r="CGS29" s="70">
        <f t="shared" si="2358"/>
        <v>0</v>
      </c>
      <c r="CGT29" s="50"/>
      <c r="CGU29" s="51"/>
      <c r="CGV29" s="51"/>
      <c r="CGW29" s="51"/>
      <c r="CGX29" s="51"/>
      <c r="CGY29" s="51"/>
      <c r="CGZ29" s="66">
        <f t="shared" si="2359"/>
        <v>0</v>
      </c>
      <c r="CHA29" s="70">
        <f t="shared" si="2360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1"/>
        <v>30</v>
      </c>
      <c r="CHI29" s="70">
        <f t="shared" si="2362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63"/>
        <v>51</v>
      </c>
      <c r="CHQ29" s="70">
        <f t="shared" si="2364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65"/>
        <v>0</v>
      </c>
      <c r="CHY29" s="70">
        <f t="shared" si="2366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67"/>
        <v>0</v>
      </c>
      <c r="CIG29" s="70">
        <f t="shared" si="2368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69"/>
        <v>20</v>
      </c>
      <c r="CIO29" s="70">
        <f t="shared" si="2370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1"/>
        <v>40</v>
      </c>
      <c r="CIW29" s="70">
        <f t="shared" si="2372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73"/>
        <v>0</v>
      </c>
      <c r="CJE29" s="53">
        <f t="shared" si="2374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75"/>
        <v>48</v>
      </c>
      <c r="CJM29" s="53">
        <f t="shared" si="2376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77"/>
        <v>40</v>
      </c>
      <c r="CJU29" s="53">
        <f t="shared" si="2378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79"/>
        <v>0</v>
      </c>
      <c r="CKC29" s="53">
        <f t="shared" si="2380"/>
        <v>0</v>
      </c>
      <c r="CKD29" s="50"/>
      <c r="CKE29" s="51"/>
      <c r="CKF29" s="51"/>
      <c r="CKG29" s="51"/>
      <c r="CKH29" s="51"/>
      <c r="CKI29" s="51"/>
      <c r="CKJ29" s="128">
        <f t="shared" si="2381"/>
        <v>0</v>
      </c>
      <c r="CKK29" s="53">
        <f t="shared" si="2382"/>
        <v>0</v>
      </c>
      <c r="CKL29" s="50"/>
      <c r="CKM29" s="51"/>
      <c r="CKN29" s="51"/>
      <c r="CKO29" s="51"/>
      <c r="CKP29" s="51"/>
      <c r="CKQ29" s="51"/>
      <c r="CKR29" s="128">
        <f t="shared" si="2383"/>
        <v>0</v>
      </c>
      <c r="CKS29" s="53">
        <f t="shared" si="2384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85"/>
        <v>50</v>
      </c>
      <c r="CLA29" s="53">
        <f t="shared" si="2386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87"/>
        <v>50</v>
      </c>
      <c r="CLI29" s="53">
        <f t="shared" si="2388"/>
        <v>8.3333333333333339</v>
      </c>
      <c r="CLJ29" s="50"/>
      <c r="CLK29" s="51"/>
      <c r="CLL29" s="51"/>
      <c r="CLM29" s="51"/>
      <c r="CLN29" s="51"/>
      <c r="CLO29" s="51"/>
      <c r="CLP29" s="128">
        <f t="shared" si="2389"/>
        <v>0</v>
      </c>
      <c r="CLQ29" s="53">
        <f t="shared" si="2390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1"/>
        <v>50</v>
      </c>
      <c r="CLY29" s="53">
        <f t="shared" si="2392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393"/>
        <v>27</v>
      </c>
      <c r="CMG29" s="53">
        <f t="shared" si="2394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395"/>
        <v>41</v>
      </c>
      <c r="CMO29" s="53">
        <f t="shared" si="2396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397"/>
        <v>0</v>
      </c>
      <c r="CMW29" s="53">
        <f t="shared" si="2398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399"/>
        <v>30</v>
      </c>
      <c r="CNE29" s="70">
        <f t="shared" si="2400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1"/>
        <v>0</v>
      </c>
      <c r="CNM29" s="70">
        <f t="shared" si="2402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03"/>
        <v>30</v>
      </c>
      <c r="CNU29" s="70">
        <f t="shared" si="2404"/>
        <v>5</v>
      </c>
      <c r="CNV29" s="50"/>
      <c r="CNW29" s="51"/>
      <c r="CNX29" s="51"/>
      <c r="CNY29" s="51"/>
      <c r="CNZ29" s="51"/>
      <c r="COA29" s="51"/>
      <c r="COB29" s="66">
        <f t="shared" si="2405"/>
        <v>0</v>
      </c>
      <c r="COC29" s="70">
        <f t="shared" si="2406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07"/>
        <v>30</v>
      </c>
      <c r="COK29" s="70">
        <f t="shared" si="2408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09"/>
        <v>50</v>
      </c>
      <c r="COS29" s="70">
        <f t="shared" si="2410"/>
        <v>8.3333333333333339</v>
      </c>
      <c r="COT29" s="50"/>
      <c r="COU29" s="51"/>
      <c r="COV29" s="51"/>
      <c r="COW29" s="51"/>
      <c r="COX29" s="51"/>
      <c r="COY29" s="51"/>
      <c r="COZ29" s="66">
        <f t="shared" si="2411"/>
        <v>0</v>
      </c>
      <c r="CPA29" s="70">
        <f t="shared" si="2412"/>
        <v>0</v>
      </c>
      <c r="CPB29" s="50"/>
      <c r="CPC29" s="51"/>
      <c r="CPD29" s="51"/>
      <c r="CPE29" s="51"/>
      <c r="CPF29" s="51"/>
      <c r="CPG29" s="51"/>
      <c r="CPH29" s="66">
        <f t="shared" si="2413"/>
        <v>0</v>
      </c>
      <c r="CPI29" s="70">
        <f t="shared" si="2414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15"/>
        <v>0</v>
      </c>
      <c r="CPQ29" s="70">
        <f t="shared" si="2416"/>
        <v>0</v>
      </c>
      <c r="CPR29" s="84"/>
      <c r="CPS29" s="85"/>
      <c r="CPT29" s="85"/>
      <c r="CPU29" s="85"/>
      <c r="CPV29" s="85"/>
      <c r="CPW29" s="85"/>
      <c r="CPX29" s="66">
        <f t="shared" si="2417"/>
        <v>0</v>
      </c>
      <c r="CPY29" s="70">
        <f t="shared" si="2418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19"/>
        <v>0</v>
      </c>
      <c r="CQG29" s="70">
        <f t="shared" si="2420"/>
        <v>0</v>
      </c>
      <c r="CQH29" s="50"/>
      <c r="CQI29" s="51"/>
      <c r="CQJ29" s="51"/>
      <c r="CQK29" s="51"/>
      <c r="CQL29" s="51"/>
      <c r="CQM29" s="51"/>
      <c r="CQN29" s="128">
        <f t="shared" si="2421"/>
        <v>0</v>
      </c>
      <c r="CQO29" s="53">
        <f t="shared" si="2422"/>
        <v>0</v>
      </c>
      <c r="CQP29" s="50"/>
      <c r="CQQ29" s="51"/>
      <c r="CQR29" s="51"/>
      <c r="CQS29" s="51"/>
      <c r="CQT29" s="51"/>
      <c r="CQU29" s="51"/>
      <c r="CQV29" s="128">
        <f t="shared" si="2423"/>
        <v>0</v>
      </c>
      <c r="CQW29" s="53">
        <f t="shared" si="2424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25"/>
        <v>20</v>
      </c>
      <c r="CRE29" s="53">
        <f t="shared" si="2426"/>
        <v>3.3333333333333335</v>
      </c>
      <c r="CRF29" s="50"/>
      <c r="CRG29" s="51"/>
      <c r="CRH29" s="51"/>
      <c r="CRI29" s="51"/>
      <c r="CRJ29" s="51"/>
      <c r="CRK29" s="51"/>
      <c r="CRL29" s="128">
        <f t="shared" si="2427"/>
        <v>0</v>
      </c>
      <c r="CRM29" s="53">
        <f t="shared" si="2428"/>
        <v>0</v>
      </c>
      <c r="CRN29" s="50"/>
      <c r="CRO29" s="51"/>
      <c r="CRP29" s="51"/>
      <c r="CRQ29" s="51"/>
      <c r="CRR29" s="51"/>
      <c r="CRS29" s="51"/>
      <c r="CRT29" s="128">
        <f t="shared" si="2429"/>
        <v>0</v>
      </c>
      <c r="CRU29" s="53">
        <f t="shared" si="2430"/>
        <v>0</v>
      </c>
      <c r="CRV29" s="240"/>
      <c r="CRW29" s="241"/>
      <c r="CRX29" s="241"/>
      <c r="CRY29" s="241"/>
      <c r="CRZ29" s="241"/>
      <c r="CSA29" s="241"/>
      <c r="CSB29" s="128">
        <f t="shared" si="2431"/>
        <v>0</v>
      </c>
      <c r="CSC29" s="53">
        <f t="shared" si="2432"/>
        <v>0</v>
      </c>
      <c r="CSD29" s="50"/>
      <c r="CSE29" s="51"/>
      <c r="CSF29" s="51"/>
      <c r="CSG29" s="51"/>
      <c r="CSH29" s="51"/>
      <c r="CSI29" s="51"/>
      <c r="CSJ29" s="128">
        <f t="shared" si="2433"/>
        <v>0</v>
      </c>
      <c r="CSK29" s="53">
        <f t="shared" si="2434"/>
        <v>0</v>
      </c>
      <c r="CSL29" s="50"/>
      <c r="CSM29" s="51"/>
      <c r="CSN29" s="51"/>
      <c r="CSO29" s="51"/>
      <c r="CSP29" s="51"/>
      <c r="CSQ29" s="51"/>
      <c r="CSR29" s="128">
        <f t="shared" si="2435"/>
        <v>0</v>
      </c>
      <c r="CSS29" s="53">
        <f t="shared" si="2436"/>
        <v>0</v>
      </c>
      <c r="CST29" s="50"/>
      <c r="CSU29" s="51"/>
      <c r="CSV29" s="51"/>
      <c r="CSW29" s="51"/>
      <c r="CSX29" s="51"/>
      <c r="CSY29" s="51"/>
      <c r="CSZ29" s="128">
        <f t="shared" si="2437"/>
        <v>0</v>
      </c>
      <c r="CTA29" s="53">
        <f t="shared" si="2438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39"/>
        <v>20</v>
      </c>
      <c r="CTI29" s="53">
        <f t="shared" si="2440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1"/>
        <v>30</v>
      </c>
      <c r="CTQ29" s="70">
        <f t="shared" si="2442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43"/>
        <v>0</v>
      </c>
      <c r="CTY29" s="70">
        <f t="shared" si="2444"/>
        <v>0</v>
      </c>
      <c r="CTZ29" s="50"/>
      <c r="CUA29" s="51"/>
      <c r="CUB29" s="51"/>
      <c r="CUC29" s="51"/>
      <c r="CUD29" s="51"/>
      <c r="CUE29" s="51"/>
      <c r="CUF29" s="66">
        <f t="shared" si="2445"/>
        <v>0</v>
      </c>
      <c r="CUG29" s="70">
        <f t="shared" si="2446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47"/>
        <v>0</v>
      </c>
      <c r="CUO29" s="70">
        <f t="shared" si="2448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49"/>
        <v>50</v>
      </c>
      <c r="CUW29" s="70">
        <f t="shared" si="2450"/>
        <v>8.3333333333333339</v>
      </c>
      <c r="CUX29" s="50"/>
      <c r="CUY29" s="51"/>
      <c r="CUZ29" s="51"/>
      <c r="CVA29" s="51"/>
      <c r="CVB29" s="51"/>
      <c r="CVC29" s="51"/>
      <c r="CVD29" s="66">
        <f t="shared" si="2451"/>
        <v>0</v>
      </c>
      <c r="CVE29" s="70">
        <f t="shared" si="2452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53"/>
        <v>30</v>
      </c>
      <c r="CVM29" s="70">
        <f t="shared" si="2454"/>
        <v>5</v>
      </c>
      <c r="CVN29" s="50"/>
      <c r="CVO29" s="51"/>
      <c r="CVP29" s="51"/>
      <c r="CVQ29" s="51"/>
      <c r="CVR29" s="51"/>
      <c r="CVS29" s="51"/>
      <c r="CVT29" s="66">
        <f t="shared" si="2455"/>
        <v>0</v>
      </c>
      <c r="CVU29" s="70">
        <f t="shared" si="2456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57"/>
        <v>20</v>
      </c>
      <c r="CWC29" s="70">
        <f t="shared" si="2458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59"/>
        <v>0</v>
      </c>
      <c r="CWK29" s="70">
        <f t="shared" si="2460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1"/>
        <v>0</v>
      </c>
      <c r="CWS29" s="70">
        <f t="shared" si="2462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63"/>
        <v>20</v>
      </c>
      <c r="CXA29" s="70">
        <f t="shared" si="2464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65"/>
        <v>20</v>
      </c>
      <c r="CXI29" s="70">
        <f t="shared" si="2466"/>
        <v>3.3333333333333335</v>
      </c>
      <c r="CXJ29" s="50"/>
      <c r="CXK29" s="51"/>
      <c r="CXL29" s="51"/>
      <c r="CXM29" s="51"/>
      <c r="CXN29" s="51"/>
      <c r="CXO29" s="51"/>
      <c r="CXP29" s="66">
        <f t="shared" si="2467"/>
        <v>0</v>
      </c>
      <c r="CXQ29" s="70">
        <f t="shared" si="2468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69"/>
        <v>100</v>
      </c>
      <c r="CXY29" s="70">
        <f t="shared" si="2470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1"/>
        <v>0</v>
      </c>
      <c r="CYG29" s="70">
        <f t="shared" si="2472"/>
        <v>0</v>
      </c>
      <c r="CYH29" s="50"/>
      <c r="CYI29" s="51"/>
      <c r="CYJ29" s="51"/>
      <c r="CYK29" s="51"/>
      <c r="CYL29" s="51"/>
      <c r="CYM29" s="51"/>
      <c r="CYN29" s="66">
        <f t="shared" si="2473"/>
        <v>0</v>
      </c>
      <c r="CYO29" s="70">
        <f t="shared" si="2474"/>
        <v>0</v>
      </c>
      <c r="CYP29" s="50"/>
      <c r="CYQ29" s="51"/>
      <c r="CYR29" s="51"/>
      <c r="CYS29" s="51"/>
      <c r="CYT29" s="51"/>
      <c r="CYU29" s="51"/>
      <c r="CYV29" s="66">
        <f t="shared" si="2475"/>
        <v>0</v>
      </c>
      <c r="CYW29" s="70">
        <f t="shared" si="2476"/>
        <v>0</v>
      </c>
      <c r="CYX29" s="50"/>
      <c r="CYY29" s="51"/>
      <c r="CYZ29" s="51"/>
      <c r="CZA29" s="51"/>
      <c r="CZB29" s="51"/>
      <c r="CZC29" s="51"/>
      <c r="CZD29" s="66">
        <f t="shared" si="2477"/>
        <v>0</v>
      </c>
      <c r="CZE29" s="70">
        <f t="shared" si="2478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47"/>
        <v>30</v>
      </c>
      <c r="CZM29" s="70">
        <f t="shared" si="1648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49"/>
        <v>31</v>
      </c>
      <c r="CZU29" s="70">
        <f t="shared" si="1650"/>
        <v>5.166666666666667</v>
      </c>
      <c r="CZV29" s="50"/>
      <c r="CZW29" s="51"/>
      <c r="CZX29" s="51"/>
      <c r="CZY29" s="51"/>
      <c r="CZZ29" s="51"/>
      <c r="DAA29" s="51"/>
      <c r="DAB29" s="66">
        <f t="shared" si="1651"/>
        <v>0</v>
      </c>
      <c r="DAC29" s="70">
        <f t="shared" si="1652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3"/>
        <v>0</v>
      </c>
      <c r="DAK29" s="70">
        <f t="shared" si="1654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55"/>
        <v>0</v>
      </c>
      <c r="DAS29" s="70">
        <f t="shared" si="1656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57"/>
        <v>30</v>
      </c>
      <c r="DBA29" s="70">
        <f t="shared" si="1658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59"/>
        <v>20</v>
      </c>
      <c r="DBI29" s="494">
        <f t="shared" si="1660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1"/>
        <v>0</v>
      </c>
      <c r="DBQ29" s="70">
        <f t="shared" si="1662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3"/>
        <v>30</v>
      </c>
      <c r="DBY29" s="70">
        <f t="shared" si="1664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65"/>
        <v>0</v>
      </c>
      <c r="DCG29" s="494">
        <f t="shared" si="1666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67"/>
        <v>0</v>
      </c>
      <c r="DCO29" s="70">
        <f t="shared" si="1668"/>
        <v>0</v>
      </c>
      <c r="DCP29" s="50"/>
      <c r="DCQ29" s="51"/>
      <c r="DCR29" s="51"/>
      <c r="DCS29" s="51"/>
      <c r="DCT29" s="51"/>
      <c r="DCU29" s="51"/>
      <c r="DCV29" s="493">
        <f t="shared" si="1669"/>
        <v>0</v>
      </c>
      <c r="DCW29" s="494">
        <f t="shared" si="1670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1"/>
        <v>50</v>
      </c>
      <c r="DDE29" s="494">
        <f t="shared" si="1672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3"/>
        <v>0</v>
      </c>
      <c r="DDM29" s="494">
        <f t="shared" si="1674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75"/>
        <v>0</v>
      </c>
      <c r="DDU29" s="70">
        <f t="shared" si="1676"/>
        <v>0</v>
      </c>
      <c r="DDV29" s="50"/>
      <c r="DDW29" s="51"/>
      <c r="DDX29" s="51"/>
      <c r="DDY29" s="51"/>
      <c r="DDZ29" s="51"/>
      <c r="DEA29" s="51"/>
      <c r="DEB29" s="493">
        <f t="shared" si="1677"/>
        <v>0</v>
      </c>
      <c r="DEC29" s="494">
        <f t="shared" si="1678"/>
        <v>0</v>
      </c>
      <c r="DED29" s="50"/>
      <c r="DEE29" s="51"/>
      <c r="DEF29" s="51"/>
      <c r="DEG29" s="51"/>
      <c r="DEH29" s="51"/>
      <c r="DEI29" s="51"/>
      <c r="DEJ29" s="493">
        <f t="shared" si="1679"/>
        <v>0</v>
      </c>
      <c r="DEK29" s="494">
        <f t="shared" si="1680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1"/>
        <v>0</v>
      </c>
      <c r="DES29" s="70">
        <f t="shared" si="1682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3"/>
        <v>49</v>
      </c>
      <c r="DFA29" s="494">
        <f t="shared" si="1684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85"/>
        <v>30</v>
      </c>
      <c r="DFI29" s="70">
        <f t="shared" si="1686"/>
        <v>5</v>
      </c>
      <c r="DFJ29" s="50"/>
      <c r="DFK29" s="51"/>
      <c r="DFL29" s="51"/>
      <c r="DFM29" s="51"/>
      <c r="DFN29" s="51"/>
      <c r="DFO29" s="51"/>
      <c r="DFP29" s="66">
        <f t="shared" si="1687"/>
        <v>0</v>
      </c>
      <c r="DFQ29" s="70">
        <f t="shared" si="1688"/>
        <v>0</v>
      </c>
      <c r="DFR29" s="50"/>
      <c r="DFS29" s="51"/>
      <c r="DFT29" s="51"/>
      <c r="DFU29" s="51"/>
      <c r="DFV29" s="51"/>
      <c r="DFW29" s="51"/>
      <c r="DFX29" s="66">
        <f t="shared" si="1689"/>
        <v>0</v>
      </c>
      <c r="DFY29" s="70">
        <f t="shared" si="1690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1"/>
        <v>20</v>
      </c>
      <c r="DGG29" s="70">
        <f t="shared" si="1692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3"/>
        <v>50</v>
      </c>
      <c r="DGO29" s="70">
        <f t="shared" si="1694"/>
        <v>8.3333333333333339</v>
      </c>
      <c r="DGP29" s="50"/>
      <c r="DGQ29" s="51"/>
      <c r="DGR29" s="51"/>
      <c r="DGS29" s="51"/>
      <c r="DGT29" s="51"/>
      <c r="DGU29" s="51"/>
      <c r="DGV29" s="66">
        <f t="shared" si="1695"/>
        <v>0</v>
      </c>
      <c r="DGW29" s="70">
        <f t="shared" si="1696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697"/>
        <v>51</v>
      </c>
      <c r="DHE29" s="70">
        <f t="shared" si="1698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699"/>
        <v>0</v>
      </c>
      <c r="DHM29" s="70">
        <f t="shared" si="1700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1"/>
        <v>50</v>
      </c>
      <c r="DHU29" s="70">
        <f t="shared" si="1702"/>
        <v>8.3333333333333339</v>
      </c>
      <c r="DHV29" s="50"/>
      <c r="DHW29" s="51"/>
      <c r="DHX29" s="51"/>
      <c r="DHY29" s="51"/>
      <c r="DHZ29" s="51"/>
      <c r="DIA29" s="51"/>
      <c r="DIB29" s="66">
        <f t="shared" si="1703"/>
        <v>0</v>
      </c>
      <c r="DIC29" s="70">
        <f t="shared" si="1704"/>
        <v>0</v>
      </c>
      <c r="DID29" s="50"/>
      <c r="DIE29" s="51"/>
      <c r="DIF29" s="51"/>
      <c r="DIG29" s="51"/>
      <c r="DIH29" s="51"/>
      <c r="DII29" s="51"/>
      <c r="DIJ29" s="66">
        <f t="shared" si="1705"/>
        <v>0</v>
      </c>
      <c r="DIK29" s="210">
        <f t="shared" si="1706"/>
        <v>0</v>
      </c>
      <c r="DIL29" s="196"/>
      <c r="DIM29" s="197"/>
      <c r="DIN29" s="197"/>
      <c r="DIO29" s="197"/>
      <c r="DIP29" s="197"/>
      <c r="DIQ29" s="197"/>
      <c r="DIR29" s="246">
        <f t="shared" si="1707"/>
        <v>0</v>
      </c>
      <c r="DIS29" s="199">
        <f t="shared" si="1708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09"/>
        <v>0</v>
      </c>
      <c r="DJA29" s="70">
        <f t="shared" si="1710"/>
        <v>0</v>
      </c>
      <c r="DJB29" s="50"/>
      <c r="DJC29" s="51"/>
      <c r="DJD29" s="51"/>
      <c r="DJE29" s="51"/>
      <c r="DJF29" s="51"/>
      <c r="DJG29" s="51"/>
      <c r="DJH29" s="66">
        <f t="shared" si="2479"/>
        <v>0</v>
      </c>
      <c r="DJI29" s="70">
        <f t="shared" si="2480"/>
        <v>0</v>
      </c>
      <c r="DJJ29" s="50"/>
      <c r="DJK29" s="51"/>
      <c r="DJL29" s="51"/>
      <c r="DJM29" s="51"/>
      <c r="DJN29" s="51"/>
      <c r="DJO29" s="51"/>
      <c r="DJP29" s="66">
        <f t="shared" si="2481"/>
        <v>0</v>
      </c>
      <c r="DJQ29" s="70">
        <f t="shared" si="2482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83"/>
        <v>20</v>
      </c>
      <c r="DJY29" s="70">
        <f t="shared" si="2484"/>
        <v>3.3333333333333335</v>
      </c>
      <c r="DJZ29" s="50"/>
      <c r="DKA29" s="51"/>
      <c r="DKB29" s="51"/>
      <c r="DKC29" s="51"/>
      <c r="DKD29" s="51"/>
      <c r="DKE29" s="51"/>
      <c r="DKF29" s="66">
        <f t="shared" si="2485"/>
        <v>0</v>
      </c>
      <c r="DKG29" s="70">
        <f t="shared" si="2486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87"/>
        <v>50</v>
      </c>
      <c r="DKO29" s="70">
        <f t="shared" si="2488"/>
        <v>8.3333333333333339</v>
      </c>
      <c r="DKP29" s="50"/>
      <c r="DKQ29" s="51"/>
      <c r="DKR29" s="51"/>
      <c r="DKS29" s="51"/>
      <c r="DKT29" s="51"/>
      <c r="DKU29" s="51"/>
      <c r="DKV29" s="66">
        <f t="shared" si="2489"/>
        <v>0</v>
      </c>
      <c r="DKW29" s="210">
        <f t="shared" si="2490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1"/>
        <v>20</v>
      </c>
      <c r="DLE29" s="199">
        <f t="shared" si="2492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493"/>
        <v>0</v>
      </c>
      <c r="DLM29" s="70">
        <f t="shared" si="2494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495"/>
        <v>50</v>
      </c>
      <c r="DLU29" s="70">
        <f t="shared" si="2496"/>
        <v>8.3333333333333339</v>
      </c>
      <c r="DLV29" s="50"/>
      <c r="DLW29" s="51"/>
      <c r="DLX29" s="51"/>
      <c r="DLY29" s="51"/>
      <c r="DLZ29" s="51"/>
      <c r="DMA29" s="51"/>
      <c r="DMB29" s="66">
        <f t="shared" si="2497"/>
        <v>0</v>
      </c>
      <c r="DMC29" s="70">
        <f t="shared" si="2498"/>
        <v>0</v>
      </c>
      <c r="DMD29" s="50"/>
      <c r="DME29" s="51"/>
      <c r="DMF29" s="51"/>
      <c r="DMG29" s="51"/>
      <c r="DMH29" s="51"/>
      <c r="DMI29" s="51"/>
      <c r="DMJ29" s="66">
        <f t="shared" si="2499"/>
        <v>0</v>
      </c>
      <c r="DMK29" s="70">
        <f t="shared" si="2500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1"/>
        <v>50</v>
      </c>
      <c r="DMS29" s="70">
        <f t="shared" si="2502"/>
        <v>8.3333333333333339</v>
      </c>
      <c r="DMT29" s="50"/>
      <c r="DMU29" s="51"/>
      <c r="DMV29" s="51"/>
      <c r="DMW29" s="51"/>
      <c r="DMX29" s="51"/>
      <c r="DMY29" s="51"/>
      <c r="DMZ29" s="66">
        <f t="shared" si="2503"/>
        <v>0</v>
      </c>
      <c r="DNA29" s="70">
        <f t="shared" si="2504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05"/>
        <v>30</v>
      </c>
      <c r="DNI29" s="70">
        <f t="shared" si="2506"/>
        <v>5</v>
      </c>
      <c r="DNJ29" s="50"/>
      <c r="DNK29" s="51"/>
      <c r="DNL29" s="51"/>
      <c r="DNM29" s="51"/>
      <c r="DNN29" s="51"/>
      <c r="DNO29" s="51"/>
      <c r="DNP29" s="66">
        <f t="shared" si="2507"/>
        <v>0</v>
      </c>
      <c r="DNQ29" s="70">
        <f t="shared" si="2508"/>
        <v>0</v>
      </c>
      <c r="DNR29" s="50"/>
      <c r="DNS29" s="51"/>
      <c r="DNT29" s="51"/>
      <c r="DNU29" s="51"/>
      <c r="DNV29" s="51"/>
      <c r="DNW29" s="51"/>
      <c r="DNX29" s="66">
        <f t="shared" si="2509"/>
        <v>0</v>
      </c>
      <c r="DNY29" s="70">
        <f t="shared" si="2510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1"/>
        <v>50</v>
      </c>
      <c r="DOG29" s="70">
        <f t="shared" si="2512"/>
        <v>8.3333333333333339</v>
      </c>
      <c r="DOH29" s="50"/>
      <c r="DOI29" s="51"/>
      <c r="DOJ29" s="51"/>
      <c r="DOK29" s="51"/>
      <c r="DOL29" s="51"/>
      <c r="DOM29" s="51"/>
      <c r="DON29" s="66">
        <f t="shared" si="2513"/>
        <v>0</v>
      </c>
      <c r="DOO29" s="70">
        <f t="shared" si="2514"/>
        <v>0</v>
      </c>
      <c r="DOP29" s="50"/>
      <c r="DOQ29" s="51"/>
      <c r="DOR29" s="51"/>
      <c r="DOS29" s="51"/>
      <c r="DOT29" s="51"/>
      <c r="DOU29" s="51"/>
      <c r="DOV29" s="66">
        <f t="shared" si="2515"/>
        <v>0</v>
      </c>
      <c r="DOW29" s="70">
        <f t="shared" si="2516"/>
        <v>0</v>
      </c>
      <c r="DOX29" s="50"/>
      <c r="DOY29" s="51"/>
      <c r="DOZ29" s="51"/>
      <c r="DPA29" s="51"/>
      <c r="DPB29" s="51"/>
      <c r="DPC29" s="51"/>
      <c r="DPD29" s="66">
        <f t="shared" si="2517"/>
        <v>0</v>
      </c>
      <c r="DPE29" s="70">
        <f t="shared" si="2518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19"/>
        <v>50</v>
      </c>
      <c r="DPM29" s="70">
        <f t="shared" si="2520"/>
        <v>8.3333333333333339</v>
      </c>
      <c r="DPN29" s="50"/>
      <c r="DPO29" s="51"/>
      <c r="DPP29" s="51"/>
      <c r="DPQ29" s="51"/>
      <c r="DPR29" s="51"/>
      <c r="DPS29" s="51"/>
      <c r="DPT29" s="66">
        <f t="shared" si="2521"/>
        <v>0</v>
      </c>
      <c r="DPU29" s="70">
        <f t="shared" si="2522"/>
        <v>0</v>
      </c>
      <c r="DPV29" s="50"/>
      <c r="DPW29" s="51"/>
      <c r="DPX29" s="51"/>
      <c r="DPY29" s="51"/>
      <c r="DPZ29" s="51"/>
      <c r="DQA29" s="51"/>
      <c r="DQB29" s="66">
        <f t="shared" si="2523"/>
        <v>0</v>
      </c>
      <c r="DQC29" s="70">
        <f t="shared" si="2524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25"/>
        <v>30</v>
      </c>
      <c r="DQK29" s="70">
        <f t="shared" si="2526"/>
        <v>5</v>
      </c>
      <c r="DQL29" s="50"/>
      <c r="DQM29" s="51"/>
      <c r="DQN29" s="51"/>
      <c r="DQO29" s="51"/>
      <c r="DQP29" s="51"/>
      <c r="DQQ29" s="51"/>
      <c r="DQR29" s="66">
        <f t="shared" si="2527"/>
        <v>0</v>
      </c>
      <c r="DQS29" s="70">
        <f t="shared" si="2528"/>
        <v>0</v>
      </c>
      <c r="DQT29" s="50"/>
      <c r="DQU29" s="51"/>
      <c r="DQV29" s="51"/>
      <c r="DQW29" s="51"/>
      <c r="DQX29" s="51"/>
      <c r="DQY29" s="51"/>
      <c r="DQZ29" s="66">
        <f t="shared" si="2529"/>
        <v>0</v>
      </c>
      <c r="DRA29" s="70">
        <f t="shared" si="2530"/>
        <v>0</v>
      </c>
      <c r="DRB29" s="50"/>
      <c r="DRC29" s="51"/>
      <c r="DRD29" s="51"/>
      <c r="DRE29" s="51"/>
      <c r="DRF29" s="51"/>
      <c r="DRG29" s="51"/>
      <c r="DRH29" s="66">
        <f t="shared" si="2531"/>
        <v>0</v>
      </c>
      <c r="DRI29" s="70">
        <f t="shared" si="2532"/>
        <v>0</v>
      </c>
      <c r="DRJ29" s="50"/>
      <c r="DRK29" s="51"/>
      <c r="DRL29" s="51"/>
      <c r="DRM29" s="51"/>
      <c r="DRN29" s="51"/>
      <c r="DRO29" s="51"/>
      <c r="DRP29" s="66">
        <f t="shared" si="2533"/>
        <v>0</v>
      </c>
      <c r="DRQ29" s="70">
        <f t="shared" si="2534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35"/>
        <v>20</v>
      </c>
      <c r="DRY29" s="70">
        <f t="shared" si="2536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37"/>
        <v>50</v>
      </c>
      <c r="DSG29" s="70">
        <f t="shared" si="2538"/>
        <v>8.3333333333333339</v>
      </c>
      <c r="DSH29" s="50"/>
      <c r="DSI29" s="51"/>
      <c r="DSJ29" s="51"/>
      <c r="DSK29" s="51"/>
      <c r="DSL29" s="51"/>
      <c r="DSM29" s="51"/>
      <c r="DSN29" s="66">
        <f t="shared" si="2539"/>
        <v>0</v>
      </c>
      <c r="DSO29" s="70">
        <f t="shared" si="2540"/>
        <v>0</v>
      </c>
      <c r="DSP29" s="50"/>
      <c r="DSQ29" s="51"/>
      <c r="DSR29" s="51"/>
      <c r="DSS29" s="51"/>
      <c r="DST29" s="51"/>
      <c r="DSU29" s="51"/>
      <c r="DSV29" s="66">
        <f t="shared" si="2541"/>
        <v>0</v>
      </c>
      <c r="DSW29" s="70">
        <f t="shared" si="2542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43"/>
        <v>0</v>
      </c>
      <c r="DTE29" s="70">
        <f t="shared" si="2544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45"/>
        <v>0</v>
      </c>
      <c r="DTU29" s="68">
        <f t="shared" si="2546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47"/>
        <v>30</v>
      </c>
      <c r="DUC29" s="68">
        <f t="shared" si="2548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49"/>
        <v>51</v>
      </c>
      <c r="DUK29" s="68">
        <f t="shared" si="2550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1"/>
        <v>0</v>
      </c>
      <c r="DUS29" s="68">
        <f t="shared" si="2552"/>
        <v>0</v>
      </c>
      <c r="DUT29" s="48"/>
      <c r="DUU29" s="49"/>
      <c r="DUV29" s="49"/>
      <c r="DUW29" s="49"/>
      <c r="DUX29" s="49"/>
      <c r="DUY29" s="49"/>
      <c r="DUZ29" s="64">
        <f t="shared" si="2553"/>
        <v>0</v>
      </c>
      <c r="DVA29" s="68">
        <f t="shared" si="2554"/>
        <v>0</v>
      </c>
      <c r="DVB29" s="48"/>
      <c r="DVC29" s="49"/>
      <c r="DVD29" s="49"/>
      <c r="DVE29" s="49"/>
      <c r="DVF29" s="49"/>
      <c r="DVG29" s="49"/>
      <c r="DVH29" s="64">
        <f t="shared" si="2555"/>
        <v>0</v>
      </c>
      <c r="DVI29" s="68">
        <f t="shared" si="2556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57"/>
        <v>0</v>
      </c>
      <c r="DVQ29" s="70">
        <f t="shared" si="2558"/>
        <v>0</v>
      </c>
      <c r="DVR29" s="209"/>
      <c r="DVS29" s="200"/>
      <c r="DVT29" s="200"/>
      <c r="DVU29" s="200"/>
      <c r="DVV29" s="200"/>
      <c r="DVW29" s="200"/>
      <c r="DVX29" s="66">
        <f t="shared" si="2559"/>
        <v>0</v>
      </c>
      <c r="DVY29" s="70">
        <f t="shared" si="2560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1"/>
        <v>47</v>
      </c>
      <c r="DWG29" s="70">
        <f t="shared" si="2562"/>
        <v>7.833333333333333</v>
      </c>
      <c r="DWH29" s="50"/>
      <c r="DWI29" s="51"/>
      <c r="DWJ29" s="51"/>
      <c r="DWK29" s="51"/>
      <c r="DWL29" s="51"/>
      <c r="DWM29" s="51"/>
      <c r="DWN29" s="66">
        <f t="shared" si="2563"/>
        <v>0</v>
      </c>
      <c r="DWO29" s="70">
        <f t="shared" si="2564"/>
        <v>0</v>
      </c>
      <c r="DWP29" s="50"/>
      <c r="DWQ29" s="51"/>
      <c r="DWR29" s="51"/>
      <c r="DWS29" s="51"/>
      <c r="DWT29" s="51"/>
      <c r="DWU29" s="51"/>
      <c r="DWV29" s="66">
        <f t="shared" si="2565"/>
        <v>0</v>
      </c>
      <c r="DWW29" s="70">
        <f t="shared" si="2566"/>
        <v>0</v>
      </c>
      <c r="DWX29" s="50"/>
      <c r="DWY29" s="51"/>
      <c r="DWZ29" s="51"/>
      <c r="DXA29" s="51"/>
      <c r="DXB29" s="51"/>
      <c r="DXC29" s="51"/>
      <c r="DXD29" s="66">
        <f t="shared" si="2567"/>
        <v>0</v>
      </c>
      <c r="DXE29" s="70">
        <f t="shared" si="2568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69"/>
        <v>80</v>
      </c>
      <c r="DXM29" s="70">
        <f t="shared" si="2570"/>
        <v>13.333333333333334</v>
      </c>
      <c r="DXN29" s="50"/>
      <c r="DXO29" s="51"/>
      <c r="DXP29" s="51"/>
      <c r="DXQ29" s="51"/>
      <c r="DXR29" s="51"/>
      <c r="DXS29" s="51"/>
      <c r="DXT29" s="66">
        <f t="shared" si="2571"/>
        <v>0</v>
      </c>
      <c r="DXU29" s="210">
        <f t="shared" si="2572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73"/>
        <v>0</v>
      </c>
      <c r="DYD29" s="212">
        <f t="shared" si="2574"/>
        <v>0</v>
      </c>
      <c r="DYE29" s="196"/>
      <c r="DYF29" s="197"/>
      <c r="DYG29" s="197"/>
      <c r="DYH29" s="197"/>
      <c r="DYI29" s="197"/>
      <c r="DYJ29" s="197"/>
      <c r="DYK29" s="246">
        <f t="shared" si="2575"/>
        <v>0</v>
      </c>
      <c r="DYL29" s="212">
        <f t="shared" si="2576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77"/>
        <v>29</v>
      </c>
      <c r="DYT29" s="212">
        <f t="shared" si="2578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79"/>
        <v>0</v>
      </c>
      <c r="DZB29" s="212">
        <f t="shared" si="2580"/>
        <v>0</v>
      </c>
      <c r="DZC29" s="196"/>
      <c r="DZD29" s="197"/>
      <c r="DZE29" s="197"/>
      <c r="DZF29" s="197"/>
      <c r="DZG29" s="197"/>
      <c r="DZH29" s="197"/>
      <c r="DZI29" s="246">
        <f t="shared" si="2581"/>
        <v>0</v>
      </c>
      <c r="DZJ29" s="212">
        <f t="shared" si="2582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83"/>
        <v>31</v>
      </c>
      <c r="DZR29" s="212">
        <f t="shared" si="2584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85"/>
        <v>0</v>
      </c>
      <c r="DZZ29" s="212">
        <f t="shared" si="2586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87"/>
        <v>50</v>
      </c>
      <c r="EAH29" s="212">
        <f t="shared" si="2588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89"/>
        <v>30</v>
      </c>
      <c r="EAP29" s="212">
        <f t="shared" si="2590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1"/>
        <v>0</v>
      </c>
      <c r="EAY29" s="196"/>
      <c r="EAZ29" s="197"/>
      <c r="EBA29" s="197"/>
      <c r="EBB29" s="197"/>
      <c r="EBC29" s="197"/>
      <c r="EBD29" s="197"/>
      <c r="EBE29" s="246">
        <f t="shared" si="1768"/>
        <v>0</v>
      </c>
      <c r="EBF29" s="212">
        <f t="shared" si="1769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592"/>
        <v>62</v>
      </c>
      <c r="EBN29" s="212">
        <f t="shared" si="2593"/>
        <v>10.333333333333334</v>
      </c>
      <c r="EBO29" s="196"/>
      <c r="EBP29" s="197"/>
      <c r="EBQ29" s="197"/>
      <c r="EBR29" s="197"/>
      <c r="EBS29" s="197"/>
      <c r="EBT29" s="197"/>
      <c r="EBU29" s="246">
        <f t="shared" si="2594"/>
        <v>0</v>
      </c>
      <c r="EBV29" s="212">
        <f t="shared" si="2595"/>
        <v>0</v>
      </c>
      <c r="EBW29" s="196"/>
      <c r="EBX29" s="197"/>
      <c r="EBY29" s="197"/>
      <c r="EBZ29" s="197"/>
      <c r="ECA29" s="197"/>
      <c r="ECB29" s="197"/>
      <c r="ECC29" s="246">
        <f t="shared" si="2596"/>
        <v>0</v>
      </c>
      <c r="ECD29" s="212">
        <f t="shared" si="2597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598"/>
        <v>0</v>
      </c>
      <c r="ECL29" s="212">
        <f t="shared" si="2599"/>
        <v>0</v>
      </c>
      <c r="ECM29" s="196"/>
      <c r="ECN29" s="197"/>
      <c r="ECO29" s="197"/>
      <c r="ECP29" s="197"/>
      <c r="ECQ29" s="197"/>
      <c r="ECR29" s="197"/>
      <c r="ECS29" s="246">
        <f t="shared" si="2600"/>
        <v>0</v>
      </c>
      <c r="ECT29" s="212">
        <f t="shared" si="2601"/>
        <v>0</v>
      </c>
      <c r="ECU29" s="196"/>
      <c r="ECV29" s="197"/>
      <c r="ECW29" s="197"/>
      <c r="ECX29" s="197"/>
      <c r="ECY29" s="197"/>
      <c r="ECZ29" s="197"/>
      <c r="EDA29" s="246">
        <f t="shared" si="2602"/>
        <v>0</v>
      </c>
      <c r="EDB29" s="212">
        <f t="shared" si="2603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04"/>
        <v>50</v>
      </c>
      <c r="EDJ29" s="212">
        <f t="shared" si="2605"/>
        <v>8.3333333333333339</v>
      </c>
      <c r="EDK29" s="459"/>
      <c r="EDL29" s="460"/>
      <c r="EDM29" s="460"/>
      <c r="EDN29" s="460"/>
      <c r="EDO29" s="460"/>
      <c r="EDP29" s="460"/>
      <c r="EDQ29" s="246">
        <f t="shared" si="2606"/>
        <v>0</v>
      </c>
      <c r="EDR29" s="212">
        <f t="shared" si="2607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08"/>
        <v>50</v>
      </c>
      <c r="EDZ29" s="211">
        <f t="shared" si="2609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0"/>
        <v>0</v>
      </c>
      <c r="EEH29" s="212">
        <f t="shared" si="2611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12"/>
        <v>50</v>
      </c>
      <c r="EEP29" s="212">
        <f t="shared" si="2613"/>
        <v>8.3333333333333339</v>
      </c>
      <c r="EEQ29" s="196"/>
      <c r="EER29" s="197"/>
      <c r="EES29" s="197"/>
      <c r="EET29" s="197"/>
      <c r="EEU29" s="197"/>
      <c r="EEV29" s="197"/>
      <c r="EEW29" s="246">
        <f t="shared" si="2614"/>
        <v>0</v>
      </c>
      <c r="EEX29" s="212">
        <f t="shared" si="2615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16"/>
        <v>0</v>
      </c>
      <c r="EFF29" s="707">
        <f t="shared" si="2617"/>
        <v>0</v>
      </c>
      <c r="EFG29" s="196"/>
      <c r="EFH29" s="197"/>
      <c r="EFI29" s="197"/>
      <c r="EFJ29" s="197"/>
      <c r="EFK29" s="197"/>
      <c r="EFL29" s="197"/>
      <c r="EFM29" s="246">
        <f t="shared" si="2618"/>
        <v>0</v>
      </c>
      <c r="EFN29" s="212">
        <f t="shared" si="2619"/>
        <v>0</v>
      </c>
      <c r="EFO29" s="459"/>
      <c r="EFP29" s="460"/>
      <c r="EFQ29" s="460"/>
      <c r="EFR29" s="460"/>
      <c r="EFS29" s="460"/>
      <c r="EFT29" s="460"/>
      <c r="EFU29" s="246">
        <f t="shared" si="2620"/>
        <v>0</v>
      </c>
      <c r="EFV29" s="212">
        <f t="shared" si="2621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22"/>
        <v>0</v>
      </c>
      <c r="EGD29" s="212">
        <f t="shared" si="2623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24"/>
        <v>79</v>
      </c>
      <c r="EGL29" s="212">
        <f t="shared" si="2625"/>
        <v>13.166666666666666</v>
      </c>
      <c r="EGM29" s="816"/>
      <c r="EGN29" s="817"/>
      <c r="EGO29" s="817"/>
      <c r="EGP29" s="817"/>
      <c r="EGQ29" s="817"/>
      <c r="EGR29" s="817"/>
      <c r="EGS29" s="810">
        <f t="shared" si="2626"/>
        <v>0</v>
      </c>
      <c r="EGT29" s="212">
        <f t="shared" si="2627"/>
        <v>0</v>
      </c>
      <c r="EGU29" s="196"/>
      <c r="EGV29" s="197"/>
      <c r="EGW29" s="197"/>
      <c r="EGX29" s="197"/>
      <c r="EGY29" s="197"/>
      <c r="EGZ29" s="197"/>
      <c r="EHA29" s="810">
        <f t="shared" si="2628"/>
        <v>0</v>
      </c>
      <c r="EHB29" s="212">
        <f t="shared" si="2629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0"/>
        <v>50</v>
      </c>
      <c r="EHJ29" s="212">
        <f t="shared" si="2631"/>
        <v>8.3333333333333339</v>
      </c>
      <c r="EHK29" s="196"/>
      <c r="EHL29" s="197"/>
      <c r="EHM29" s="197"/>
      <c r="EHN29" s="197"/>
      <c r="EHO29" s="197"/>
      <c r="EHP29" s="197"/>
      <c r="EHQ29" s="810">
        <f t="shared" si="2632"/>
        <v>0</v>
      </c>
      <c r="EHR29" s="212">
        <f t="shared" si="2633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34"/>
        <v>20</v>
      </c>
      <c r="EHZ29" s="212">
        <f t="shared" si="2635"/>
        <v>3.3333333333333335</v>
      </c>
      <c r="EIA29" s="196"/>
      <c r="EIB29" s="197"/>
      <c r="EIC29" s="197"/>
      <c r="EID29" s="197"/>
      <c r="EIE29" s="197"/>
      <c r="EIF29" s="197"/>
      <c r="EIG29" s="810">
        <f t="shared" si="2636"/>
        <v>0</v>
      </c>
      <c r="EIH29" s="212">
        <f t="shared" si="2637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38"/>
        <v>49</v>
      </c>
      <c r="EIP29" s="212">
        <f t="shared" si="2639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0"/>
        <v>0</v>
      </c>
      <c r="EIX29" s="212">
        <f t="shared" si="2641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42"/>
        <v>80</v>
      </c>
      <c r="EJF29" s="212">
        <f t="shared" si="2643"/>
        <v>13.333333333333334</v>
      </c>
      <c r="EJG29" s="196"/>
      <c r="EJH29" s="197"/>
      <c r="EJI29" s="197"/>
      <c r="EJJ29" s="197"/>
      <c r="EJK29" s="197"/>
      <c r="EJL29" s="197"/>
      <c r="EJM29" s="810">
        <f t="shared" si="2644"/>
        <v>0</v>
      </c>
      <c r="EJN29" s="212">
        <f t="shared" si="2645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46"/>
        <v>30</v>
      </c>
      <c r="EJV29" s="212">
        <f t="shared" si="2647"/>
        <v>5</v>
      </c>
      <c r="EJW29" s="196"/>
      <c r="EJX29" s="197"/>
      <c r="EJY29" s="197"/>
      <c r="EJZ29" s="197"/>
      <c r="EKA29" s="197"/>
      <c r="EKB29" s="197"/>
      <c r="EKC29" s="810">
        <f t="shared" si="2648"/>
        <v>0</v>
      </c>
      <c r="EKD29" s="212">
        <f t="shared" si="2649"/>
        <v>0</v>
      </c>
      <c r="EKE29" s="196"/>
      <c r="EKF29" s="197"/>
      <c r="EKG29" s="197"/>
      <c r="EKH29" s="197"/>
      <c r="EKI29" s="197"/>
      <c r="EKJ29" s="197"/>
      <c r="EKK29" s="810">
        <f t="shared" si="2650"/>
        <v>0</v>
      </c>
      <c r="EKL29" s="212">
        <f t="shared" si="2651"/>
        <v>0</v>
      </c>
      <c r="EKM29" s="459"/>
      <c r="EKN29" s="460"/>
      <c r="EKO29" s="460"/>
      <c r="EKP29" s="460"/>
      <c r="EKQ29" s="460"/>
      <c r="EKR29" s="460"/>
      <c r="EKS29" s="810">
        <f t="shared" si="2652"/>
        <v>0</v>
      </c>
      <c r="EKT29" s="212">
        <f t="shared" si="2653"/>
        <v>0</v>
      </c>
      <c r="EKU29" s="196"/>
      <c r="EKV29" s="197"/>
      <c r="EKW29" s="197"/>
      <c r="EKX29" s="197"/>
      <c r="EKY29" s="197"/>
      <c r="EKZ29" s="197"/>
      <c r="ELA29" s="810">
        <f t="shared" si="2654"/>
        <v>0</v>
      </c>
      <c r="ELB29" s="212">
        <f t="shared" si="2655"/>
        <v>0</v>
      </c>
      <c r="ELC29" s="196"/>
      <c r="ELD29" s="197"/>
      <c r="ELE29" s="197"/>
      <c r="ELF29" s="197"/>
      <c r="ELG29" s="197"/>
      <c r="ELH29" s="197"/>
      <c r="ELI29" s="810">
        <f t="shared" si="2656"/>
        <v>0</v>
      </c>
      <c r="ELJ29" s="212">
        <f t="shared" si="2657"/>
        <v>0</v>
      </c>
      <c r="ELK29" s="196"/>
      <c r="ELL29" s="197"/>
      <c r="ELM29" s="197"/>
      <c r="ELN29" s="197"/>
      <c r="ELO29" s="197"/>
      <c r="ELP29" s="197"/>
      <c r="ELQ29" s="810">
        <f t="shared" si="2658"/>
        <v>0</v>
      </c>
      <c r="ELR29" s="212">
        <f t="shared" si="2659"/>
        <v>0</v>
      </c>
      <c r="ELS29" s="196"/>
      <c r="ELT29" s="197"/>
      <c r="ELU29" s="197"/>
      <c r="ELV29" s="197"/>
      <c r="ELW29" s="197"/>
      <c r="ELX29" s="197"/>
      <c r="ELY29" s="878">
        <f t="shared" si="2660"/>
        <v>0</v>
      </c>
      <c r="ELZ29" s="879">
        <f t="shared" si="2661"/>
        <v>0</v>
      </c>
      <c r="EMA29" s="196"/>
      <c r="EMB29" s="197"/>
      <c r="EMC29" s="197"/>
      <c r="EMD29" s="197"/>
      <c r="EME29" s="197"/>
      <c r="EMF29" s="197"/>
      <c r="EMG29" s="878">
        <f t="shared" si="2662"/>
        <v>0</v>
      </c>
      <c r="EMH29" s="879">
        <f t="shared" si="2663"/>
        <v>0</v>
      </c>
      <c r="EMI29" s="196"/>
      <c r="EMJ29" s="197"/>
      <c r="EMK29" s="197"/>
      <c r="EML29" s="197"/>
      <c r="EMM29" s="197"/>
      <c r="EMN29" s="197"/>
      <c r="EMO29" s="878">
        <f t="shared" si="2664"/>
        <v>0</v>
      </c>
      <c r="EMP29" s="879">
        <f t="shared" si="2665"/>
        <v>0</v>
      </c>
    </row>
    <row r="30" spans="1:3734" s="8" customFormat="1" ht="15" customHeight="1" thickBot="1" x14ac:dyDescent="0.25">
      <c r="A30" s="1008" t="s">
        <v>14</v>
      </c>
      <c r="B30" s="1009"/>
      <c r="C30" s="1009"/>
      <c r="D30" s="310">
        <v>25</v>
      </c>
      <c r="E30" s="311">
        <f t="shared" ref="E30:M30" si="2666">SUM(E25:E29)</f>
        <v>0</v>
      </c>
      <c r="F30" s="311">
        <f t="shared" si="2666"/>
        <v>4930</v>
      </c>
      <c r="G30" s="311">
        <f t="shared" si="2666"/>
        <v>0</v>
      </c>
      <c r="H30" s="311">
        <f t="shared" si="2666"/>
        <v>0</v>
      </c>
      <c r="I30" s="311">
        <f t="shared" si="2666"/>
        <v>0</v>
      </c>
      <c r="J30" s="311">
        <f t="shared" si="2666"/>
        <v>0</v>
      </c>
      <c r="K30" s="311">
        <f t="shared" si="2666"/>
        <v>0</v>
      </c>
      <c r="L30" s="311">
        <f t="shared" si="2666"/>
        <v>4930</v>
      </c>
      <c r="M30" s="311">
        <f t="shared" si="2666"/>
        <v>4930</v>
      </c>
      <c r="N30" s="311">
        <v>0</v>
      </c>
      <c r="O30" s="159">
        <f t="shared" ref="O30" si="2667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68">M30/R30</f>
        <v>152.5952380952381</v>
      </c>
      <c r="U30" s="314">
        <f>SUM(U25:U29)</f>
        <v>0</v>
      </c>
      <c r="V30" s="159">
        <f t="shared" ref="V30" si="2669">(U30+M30)/R30</f>
        <v>152.5952380952381</v>
      </c>
      <c r="W30" s="315">
        <f t="shared" si="1813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45"/>
        <v>0</v>
      </c>
      <c r="DTU30" s="70">
        <f t="shared" si="2546"/>
        <v>0</v>
      </c>
      <c r="DTV30" s="50"/>
      <c r="DTW30" s="51"/>
      <c r="DTX30" s="51"/>
      <c r="DTY30" s="51"/>
      <c r="DTZ30" s="51"/>
      <c r="DUA30" s="51"/>
      <c r="DUB30" s="66">
        <f t="shared" si="2547"/>
        <v>0</v>
      </c>
      <c r="DUC30" s="70">
        <f t="shared" si="2548"/>
        <v>0</v>
      </c>
      <c r="DUD30" s="50"/>
      <c r="DUE30" s="51"/>
      <c r="DUF30" s="51"/>
      <c r="DUG30" s="51"/>
      <c r="DUH30" s="51"/>
      <c r="DUI30" s="51"/>
      <c r="DUJ30" s="66">
        <f t="shared" si="2549"/>
        <v>0</v>
      </c>
      <c r="DUK30" s="70">
        <f t="shared" si="2550"/>
        <v>0</v>
      </c>
      <c r="DUL30" s="50"/>
      <c r="DUM30" s="51"/>
      <c r="DUN30" s="51"/>
      <c r="DUO30" s="51"/>
      <c r="DUP30" s="51"/>
      <c r="DUQ30" s="51"/>
      <c r="DUR30" s="66">
        <f t="shared" si="2551"/>
        <v>0</v>
      </c>
      <c r="DUS30" s="70">
        <f t="shared" si="2552"/>
        <v>0</v>
      </c>
      <c r="DUT30" s="50"/>
      <c r="DUU30" s="51"/>
      <c r="DUV30" s="51"/>
      <c r="DUW30" s="51"/>
      <c r="DUX30" s="51"/>
      <c r="DUY30" s="51"/>
      <c r="DUZ30" s="66">
        <f t="shared" si="2553"/>
        <v>0</v>
      </c>
      <c r="DVA30" s="70">
        <f t="shared" si="2554"/>
        <v>0</v>
      </c>
      <c r="DVB30" s="50"/>
      <c r="DVC30" s="51"/>
      <c r="DVD30" s="51"/>
      <c r="DVE30" s="51"/>
      <c r="DVF30" s="51"/>
      <c r="DVG30" s="51"/>
      <c r="DVH30" s="66">
        <f t="shared" si="2555"/>
        <v>0</v>
      </c>
      <c r="DVI30" s="70">
        <f t="shared" si="2556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</row>
    <row r="31" spans="1:3734" x14ac:dyDescent="0.2">
      <c r="A31" s="12" t="s">
        <v>25</v>
      </c>
      <c r="B31" s="12"/>
      <c r="C31" s="25"/>
      <c r="X31" s="2"/>
    </row>
    <row r="32" spans="1:3734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</mergeCells>
  <phoneticPr fontId="50" type="noConversion"/>
  <conditionalFormatting sqref="Q25:Q29 Q7:Q16">
    <cfRule type="cellIs" dxfId="18" priority="7" operator="greaterThan">
      <formula>25</formula>
    </cfRule>
    <cfRule type="cellIs" dxfId="17" priority="8" operator="lessThan">
      <formula>15</formula>
    </cfRule>
    <cfRule type="cellIs" dxfId="16" priority="9" operator="between">
      <formula>15</formula>
      <formula>25</formula>
    </cfRule>
  </conditionalFormatting>
  <conditionalFormatting sqref="T25:T29 T7:T16">
    <cfRule type="cellIs" dxfId="15" priority="13" operator="between">
      <formula>25</formula>
      <formula>27</formula>
    </cfRule>
    <cfRule type="cellIs" dxfId="14" priority="14" operator="lessThan">
      <formula>25</formula>
    </cfRule>
    <cfRule type="cellIs" dxfId="13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G48"/>
  <sheetViews>
    <sheetView tabSelected="1"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J19" sqref="J19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customWidth="1"/>
    <col min="4088" max="4089" width="6.7109375" style="1" customWidth="1"/>
    <col min="4090" max="16384" width="9.140625" style="1"/>
  </cols>
  <sheetData>
    <row r="1" spans="1:4089" ht="18.75" x14ac:dyDescent="0.2">
      <c r="A1" s="978" t="s">
        <v>0</v>
      </c>
      <c r="B1" s="978"/>
      <c r="C1" s="978"/>
      <c r="D1" s="978"/>
      <c r="E1" s="978"/>
      <c r="F1" s="978"/>
      <c r="G1" s="978"/>
      <c r="H1" s="978"/>
      <c r="I1" s="978"/>
      <c r="J1" s="978"/>
      <c r="K1" s="978"/>
      <c r="L1" s="978"/>
      <c r="M1" s="978"/>
      <c r="N1" s="978"/>
      <c r="O1" s="978"/>
      <c r="P1" s="978"/>
      <c r="Q1" s="978"/>
      <c r="R1" s="978"/>
      <c r="S1" s="978"/>
      <c r="T1" s="978"/>
      <c r="U1" s="978"/>
      <c r="V1" s="978"/>
      <c r="W1" s="978"/>
      <c r="X1" s="978"/>
      <c r="Y1" s="978"/>
      <c r="Z1" s="978"/>
      <c r="AA1" s="978"/>
      <c r="AB1" s="978"/>
      <c r="AC1" s="23"/>
    </row>
    <row r="2" spans="1:4089" ht="18.75" x14ac:dyDescent="0.2">
      <c r="A2" s="978" t="s">
        <v>229</v>
      </c>
      <c r="B2" s="978"/>
      <c r="C2" s="978"/>
      <c r="D2" s="978"/>
      <c r="E2" s="978"/>
      <c r="F2" s="978"/>
      <c r="G2" s="978"/>
      <c r="H2" s="978"/>
      <c r="I2" s="978"/>
      <c r="J2" s="978"/>
      <c r="K2" s="978"/>
      <c r="L2" s="978"/>
      <c r="M2" s="978"/>
      <c r="N2" s="978"/>
      <c r="O2" s="978"/>
      <c r="P2" s="978"/>
      <c r="Q2" s="978"/>
      <c r="R2" s="978"/>
      <c r="S2" s="978"/>
      <c r="T2" s="978"/>
      <c r="U2" s="978"/>
      <c r="V2" s="978"/>
      <c r="W2" s="978"/>
      <c r="X2" s="978"/>
      <c r="Y2" s="20"/>
      <c r="Z2" s="20"/>
      <c r="AA2" s="20"/>
      <c r="AB2" s="20"/>
      <c r="AC2" s="23"/>
    </row>
    <row r="3" spans="1:4089" ht="18.75" customHeight="1" x14ac:dyDescent="0.2">
      <c r="A3" s="1022" t="s">
        <v>270</v>
      </c>
      <c r="B3" s="1022"/>
      <c r="C3" s="1022"/>
      <c r="D3" s="1022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54" t="str">
        <f>HIGRO!X8</f>
        <v>Date(Ngày): 03/05/2026</v>
      </c>
      <c r="X3" s="954"/>
      <c r="Y3" s="20"/>
      <c r="Z3" s="20"/>
      <c r="AB3" s="3"/>
      <c r="AC3" s="657"/>
    </row>
    <row r="4" spans="1:4089" s="5" customFormat="1" ht="22.5" customHeight="1" x14ac:dyDescent="0.2">
      <c r="A4" s="1023"/>
      <c r="B4" s="1023"/>
      <c r="C4" s="1023"/>
      <c r="D4" s="1023"/>
      <c r="E4" s="605"/>
      <c r="F4" s="605"/>
      <c r="G4" s="605"/>
      <c r="H4" s="605"/>
      <c r="I4" s="605"/>
      <c r="J4" s="605"/>
      <c r="K4" s="605"/>
      <c r="L4" s="605"/>
      <c r="M4" s="605"/>
      <c r="N4" s="1024" t="s">
        <v>252</v>
      </c>
      <c r="O4" s="1025"/>
      <c r="P4" s="1026" t="s">
        <v>255</v>
      </c>
      <c r="Q4" s="1027"/>
      <c r="R4" s="1027"/>
      <c r="S4" s="1027"/>
      <c r="T4" s="1027"/>
      <c r="U4" s="992" t="s">
        <v>260</v>
      </c>
      <c r="V4" s="995" t="s">
        <v>259</v>
      </c>
      <c r="W4" s="998" t="s">
        <v>261</v>
      </c>
      <c r="X4" s="982" t="s">
        <v>262</v>
      </c>
      <c r="Y4" s="979" t="s">
        <v>1</v>
      </c>
      <c r="Z4" s="980"/>
      <c r="AA4" s="980"/>
      <c r="AB4" s="981"/>
      <c r="AC4" s="1007" t="s">
        <v>329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089" s="6" customFormat="1" ht="25.5" customHeight="1" thickBot="1" x14ac:dyDescent="0.25">
      <c r="A5" s="982" t="s">
        <v>248</v>
      </c>
      <c r="B5" s="995" t="s">
        <v>249</v>
      </c>
      <c r="C5" s="984" t="s">
        <v>250</v>
      </c>
      <c r="D5" s="982" t="s">
        <v>251</v>
      </c>
      <c r="E5" s="913" t="s">
        <v>232</v>
      </c>
      <c r="F5" s="914"/>
      <c r="G5" s="911" t="s">
        <v>233</v>
      </c>
      <c r="H5" s="912"/>
      <c r="I5" s="911" t="s">
        <v>234</v>
      </c>
      <c r="J5" s="912"/>
      <c r="K5" s="902" t="s">
        <v>235</v>
      </c>
      <c r="L5" s="903"/>
      <c r="M5" s="904"/>
      <c r="N5" s="995" t="s">
        <v>254</v>
      </c>
      <c r="O5" s="995" t="s">
        <v>253</v>
      </c>
      <c r="P5" s="1028" t="s">
        <v>256</v>
      </c>
      <c r="Q5" s="1028" t="s">
        <v>253</v>
      </c>
      <c r="R5" s="1030" t="s">
        <v>257</v>
      </c>
      <c r="S5" s="228"/>
      <c r="T5" s="1032" t="s">
        <v>258</v>
      </c>
      <c r="U5" s="993"/>
      <c r="V5" s="996"/>
      <c r="W5" s="999"/>
      <c r="X5" s="983"/>
      <c r="Y5" s="989" t="s">
        <v>10</v>
      </c>
      <c r="Z5" s="989" t="s">
        <v>11</v>
      </c>
      <c r="AA5" s="989" t="s">
        <v>12</v>
      </c>
      <c r="AB5" s="989" t="s">
        <v>18</v>
      </c>
      <c r="AC5" s="1007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</row>
    <row r="6" spans="1:4089" s="6" customFormat="1" ht="51.75" thickBot="1" x14ac:dyDescent="0.25">
      <c r="A6" s="983"/>
      <c r="B6" s="1004"/>
      <c r="C6" s="985"/>
      <c r="D6" s="983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97"/>
      <c r="O6" s="997"/>
      <c r="P6" s="1029"/>
      <c r="Q6" s="1029"/>
      <c r="R6" s="1031"/>
      <c r="S6" s="228"/>
      <c r="T6" s="1032"/>
      <c r="U6" s="994"/>
      <c r="V6" s="997"/>
      <c r="W6" s="1000"/>
      <c r="X6" s="983"/>
      <c r="Y6" s="990"/>
      <c r="Z6" s="991"/>
      <c r="AA6" s="991"/>
      <c r="AB6" s="991"/>
      <c r="AC6" s="1007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</row>
    <row r="7" spans="1:4089" s="8" customFormat="1" ht="15" customHeight="1" x14ac:dyDescent="0.2">
      <c r="A7" s="21">
        <v>1</v>
      </c>
      <c r="B7" s="21" t="s">
        <v>284</v>
      </c>
      <c r="C7" s="275" t="s">
        <v>282</v>
      </c>
      <c r="D7" s="21">
        <v>50</v>
      </c>
      <c r="E7" s="24">
        <v>0</v>
      </c>
      <c r="F7" s="24">
        <v>5748</v>
      </c>
      <c r="G7" s="24"/>
      <c r="H7" s="24"/>
      <c r="I7" s="24"/>
      <c r="J7" s="360">
        <f>SUMIF(SUMPK!$B:$B,$B:$B,SUMPK!$O:$O)</f>
        <v>0</v>
      </c>
      <c r="K7" s="24"/>
      <c r="L7" s="24">
        <f>F7+H7-J7</f>
        <v>5748</v>
      </c>
      <c r="M7" s="24">
        <f>K7+L7</f>
        <v>5748</v>
      </c>
      <c r="N7" s="15">
        <v>311</v>
      </c>
      <c r="O7" s="276">
        <f t="shared" ref="O7:O23" si="0">IF(N7=0,0,M7/N7)</f>
        <v>18.482315112540192</v>
      </c>
      <c r="P7" s="15">
        <v>341.33333333333331</v>
      </c>
      <c r="Q7" s="276">
        <f>IF(P7=0,0,M7/P7*6)</f>
        <v>101.0390625</v>
      </c>
      <c r="R7" s="277">
        <f>S7/$S$3</f>
        <v>115.38461538461539</v>
      </c>
      <c r="S7" s="222">
        <v>3000</v>
      </c>
      <c r="T7" s="276">
        <f>IF(R7=0,0,M7/R7)</f>
        <v>49.816000000000003</v>
      </c>
      <c r="U7" s="278"/>
      <c r="V7" s="277">
        <f t="shared" ref="V7:V23" si="1">IF(R7=0,0,(M7+U7)/R7)</f>
        <v>49.816000000000003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0</v>
      </c>
      <c r="CQX7" s="49">
        <v>1652</v>
      </c>
      <c r="CQY7" s="67">
        <f>SUM(CQS7:CQX7)</f>
        <v>3260</v>
      </c>
      <c r="CQZ7" s="68">
        <f>CQY7/$CQZ$5</f>
        <v>543.33333333333337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0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1272</v>
      </c>
      <c r="CVP7" s="68">
        <f>CVO7/$CVP$5</f>
        <v>212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0</v>
      </c>
      <c r="DQB7" s="64">
        <v>0</v>
      </c>
      <c r="DQC7" s="64">
        <v>1643</v>
      </c>
      <c r="DQD7" s="64">
        <v>0</v>
      </c>
      <c r="DQE7" s="64">
        <f>SUM(DPY7:DQD7)</f>
        <v>1643</v>
      </c>
      <c r="DQF7" s="68">
        <f>DQE7/$DQF$5</f>
        <v>273.83333333333331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0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1419</v>
      </c>
      <c r="EOG7" s="211">
        <f>EOF7/$EOG$5</f>
        <v>236.5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>
        <v>0</v>
      </c>
      <c r="FAC7" s="49"/>
      <c r="FAD7" s="49"/>
      <c r="FAE7" s="49"/>
      <c r="FAF7" s="872">
        <f t="shared" ref="FAF7" si="566">SUM(EZZ7:FAE7)</f>
        <v>0</v>
      </c>
      <c r="FAG7" s="873">
        <f>FAF7/$FAG$5</f>
        <v>0</v>
      </c>
    </row>
    <row r="8" spans="1:4089" s="8" customFormat="1" ht="15" customHeight="1" x14ac:dyDescent="0.2">
      <c r="A8" s="21">
        <v>2</v>
      </c>
      <c r="B8" s="21" t="s">
        <v>285</v>
      </c>
      <c r="C8" s="275" t="s">
        <v>283</v>
      </c>
      <c r="D8" s="21">
        <v>50</v>
      </c>
      <c r="E8" s="24">
        <v>0</v>
      </c>
      <c r="F8" s="24">
        <v>6185</v>
      </c>
      <c r="G8" s="24"/>
      <c r="H8" s="24"/>
      <c r="I8" s="24"/>
      <c r="J8" s="360">
        <f>SUMIF(SUMPK!$B:$B,$B:$B,SUMPK!$O:$O)</f>
        <v>0</v>
      </c>
      <c r="K8" s="24"/>
      <c r="L8" s="24">
        <f t="shared" ref="L8:L23" si="567">F8+H8-J8</f>
        <v>6185</v>
      </c>
      <c r="M8" s="24">
        <f t="shared" ref="M8:M23" si="568">K8+L8</f>
        <v>6185</v>
      </c>
      <c r="N8" s="15">
        <v>156.83333333333334</v>
      </c>
      <c r="O8" s="276">
        <f t="shared" si="0"/>
        <v>39.436769394261418</v>
      </c>
      <c r="P8" s="15">
        <v>129.83333333333334</v>
      </c>
      <c r="Q8" s="276">
        <f t="shared" ref="Q8:Q21" si="569">IF(P8=0,0,M8/P8*6)</f>
        <v>285.82798459563537</v>
      </c>
      <c r="R8" s="277">
        <f t="shared" ref="R8:R23" si="570">S8/$S$3</f>
        <v>184.61538461538461</v>
      </c>
      <c r="S8" s="222">
        <v>4800</v>
      </c>
      <c r="T8" s="276">
        <f t="shared" ref="T8:T23" si="571">IF(R8=0,0,M8/R8)</f>
        <v>33.502083333333331</v>
      </c>
      <c r="U8" s="278"/>
      <c r="V8" s="277">
        <f t="shared" si="1"/>
        <v>33.502083333333331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2">SUM(BAO8:BAT8)</f>
        <v>960</v>
      </c>
      <c r="BAV8" s="43">
        <f t="shared" ref="BAV8:BAV23" si="573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4">SUM(BAW8:BBB8)</f>
        <v>1671</v>
      </c>
      <c r="BBD8" s="43">
        <f t="shared" ref="BBD8:BBD23" si="575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6">SUM(BBE8:BBJ8)</f>
        <v>2432</v>
      </c>
      <c r="BBL8" s="43">
        <f t="shared" ref="BBL8:BBL23" si="577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78">SUM(BBM8:BBR8)</f>
        <v>1747</v>
      </c>
      <c r="BBT8" s="43">
        <f t="shared" ref="BBT8:BBT23" si="579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0">SUM(BBU8:BBZ8)</f>
        <v>265</v>
      </c>
      <c r="BCB8" s="43">
        <f t="shared" ref="BCB8:BCB23" si="581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2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3">SUM(BCK8:BCO8)</f>
        <v>3487</v>
      </c>
      <c r="BCR8" s="43">
        <f t="shared" ref="BCR8:BCR23" si="584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5">SUM(BCS8:BCW8)</f>
        <v>1213</v>
      </c>
      <c r="BCZ8" s="43">
        <f t="shared" ref="BCZ8:BCZ23" si="586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7">SUM(BDA8:BDE8)</f>
        <v>2632</v>
      </c>
      <c r="BDH8" s="43">
        <f t="shared" ref="BDH8:BDH23" si="588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89">SUM(BDI8:BDM8)</f>
        <v>2493</v>
      </c>
      <c r="BDP8" s="43">
        <f t="shared" ref="BDP8:BDP23" si="590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1">SUM(BDQ8:BDU8)</f>
        <v>44</v>
      </c>
      <c r="BDX8" s="43">
        <f t="shared" ref="BDX8:BDX23" si="592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3">SUM(BDY8:BEC8)</f>
        <v>2987</v>
      </c>
      <c r="BEF8" s="43">
        <f t="shared" ref="BEF8:BEF23" si="594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5">SUM(BEG8:BEK8)</f>
        <v>0</v>
      </c>
      <c r="BEN8" s="43">
        <f t="shared" ref="BEN8:BEN23" si="596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7">SUM(BEO8:BES8)</f>
        <v>204</v>
      </c>
      <c r="BEV8" s="43">
        <f t="shared" ref="BEV8:BEV23" si="598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599">SUM(BEW8:BFA8)</f>
        <v>1665</v>
      </c>
      <c r="BFD8" s="43">
        <f t="shared" ref="BFD8:BFD23" si="600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1">SUM(BFE8:BFI8)</f>
        <v>1977</v>
      </c>
      <c r="BFL8" s="68">
        <f t="shared" ref="BFL8:BFL23" si="602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3">SUM(BFM8:BFQ8)</f>
        <v>1207</v>
      </c>
      <c r="BFT8" s="68">
        <f t="shared" ref="BFT8:BFT23" si="604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5">SUM(BFU8:BFY8)</f>
        <v>310</v>
      </c>
      <c r="BGB8" s="68">
        <f t="shared" ref="BGB8:BGB23" si="606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7">SUM(BGC8:BGG8)</f>
        <v>93</v>
      </c>
      <c r="BGJ8" s="68">
        <f t="shared" ref="BGJ8:BGJ23" si="608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09">SUM(BGK8:BGO8)</f>
        <v>1966</v>
      </c>
      <c r="BGR8" s="68">
        <f t="shared" ref="BGR8:BGR23" si="610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1">SUM(BGS8:BGW8)</f>
        <v>1499</v>
      </c>
      <c r="BGZ8" s="68">
        <f t="shared" ref="BGZ8:BGZ23" si="612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3">SUM(BHA8:BHE8)</f>
        <v>2029</v>
      </c>
      <c r="BHH8" s="68">
        <f t="shared" ref="BHH8:BHH23" si="614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5">SUM(BHI8:BHM8)</f>
        <v>3029</v>
      </c>
      <c r="BHP8" s="184">
        <f t="shared" ref="BHP8:BHP23" si="616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7">SUM(BHQ8:BHU8)</f>
        <v>1991</v>
      </c>
      <c r="BHX8" s="211">
        <f t="shared" ref="BHX8:BHX23" si="618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19">SUM(BHY8:BIC8)</f>
        <v>0</v>
      </c>
      <c r="BIF8" s="184">
        <f t="shared" ref="BIF8:BIF23" si="620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1">SUM(BIG8:BIK8)</f>
        <v>904</v>
      </c>
      <c r="BIN8" s="184">
        <f t="shared" ref="BIN8:BIN23" si="622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3">SUM(BIO8:BIS8)</f>
        <v>1698</v>
      </c>
      <c r="BIV8" s="211">
        <f t="shared" ref="BIV8:BIV23" si="624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5">SUM(BIW8:BJA8)</f>
        <v>2503</v>
      </c>
      <c r="BJD8" s="211">
        <f t="shared" ref="BJD8:BJD23" si="626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7">SUM(BJE8:BJI8)</f>
        <v>1146</v>
      </c>
      <c r="BJL8" s="211">
        <f t="shared" ref="BJL8:BJL23" si="628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29">SUM(BJM8:BJQ8)</f>
        <v>2164</v>
      </c>
      <c r="BJT8" s="184">
        <f t="shared" ref="BJT8:BJT23" si="630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1">SUM(BJU8:BJY8)</f>
        <v>402</v>
      </c>
      <c r="BKB8" s="184">
        <f t="shared" ref="BKB8:BKB23" si="632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3">SUM(BKC8:BKG8)</f>
        <v>0</v>
      </c>
      <c r="BKJ8" s="184">
        <f t="shared" ref="BKJ8:BKJ23" si="634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5">SUM(BKK8:BKO8)</f>
        <v>2033</v>
      </c>
      <c r="BKR8" s="184">
        <f t="shared" ref="BKR8:BKR23" si="636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7">SUM(BKS8:BKW8)</f>
        <v>1957</v>
      </c>
      <c r="BKZ8" s="211">
        <f t="shared" ref="BKZ8:BKZ23" si="638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39">SUM(BLA8:BLE8)</f>
        <v>1662</v>
      </c>
      <c r="BLH8" s="211">
        <f t="shared" ref="BLH8:BLH23" si="640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1">SUM(BLI8:BLM8)</f>
        <v>0</v>
      </c>
      <c r="BLP8" s="184">
        <f t="shared" ref="BLP8:BLP23" si="642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3">SUM(BLQ8:BLU8)</f>
        <v>2467</v>
      </c>
      <c r="BLX8" s="184">
        <f t="shared" ref="BLX8:BLX23" si="644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5">SUM(BLY8:BMC8)</f>
        <v>1310</v>
      </c>
      <c r="BMF8" s="68">
        <f t="shared" ref="BMF8:BMF23" si="646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7">SUM(BMG8:BMK8)</f>
        <v>0</v>
      </c>
      <c r="BMN8" s="68">
        <f t="shared" ref="BMN8:BMN23" si="648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49">SUM(BMO8:BMS8)</f>
        <v>1067</v>
      </c>
      <c r="BMV8" s="68">
        <f t="shared" ref="BMV8:BMV23" si="650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1">SUM(BMW8:BNA8)</f>
        <v>116</v>
      </c>
      <c r="BND8" s="68">
        <f t="shared" ref="BND8:BND23" si="652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3">SUM(BNE8:BNI8)</f>
        <v>0</v>
      </c>
      <c r="BNL8" s="68">
        <f t="shared" ref="BNL8:BNL23" si="654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5">SUM(BNM8:BNQ8)</f>
        <v>1350</v>
      </c>
      <c r="BNT8" s="68">
        <f t="shared" ref="BNT8:BNT23" si="656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7">SUM(BNU8:BNY8)</f>
        <v>1123</v>
      </c>
      <c r="BOB8" s="184">
        <f t="shared" ref="BOB8:BOB23" si="658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59">SUM(BOC8:BOG8)</f>
        <v>938</v>
      </c>
      <c r="BOJ8" s="184">
        <f t="shared" ref="BOJ8:BOJ23" si="660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1">SUM(BOK8:BOO8)</f>
        <v>740</v>
      </c>
      <c r="BOR8" s="68">
        <f t="shared" ref="BOR8:BOR23" si="662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3">SUM(BOS8:BOW8)</f>
        <v>1644</v>
      </c>
      <c r="BOZ8" s="68">
        <f t="shared" ref="BOZ8:BOZ23" si="664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5">SUM(BPA8:BPE8)</f>
        <v>955</v>
      </c>
      <c r="BPH8" s="68">
        <f t="shared" ref="BPH8:BPH23" si="666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7">SUM(BPI8:BPM8)</f>
        <v>0</v>
      </c>
      <c r="BPP8" s="68">
        <f t="shared" ref="BPP8:BPP23" si="668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69">SUM(BPQ8:BPU8)</f>
        <v>1540</v>
      </c>
      <c r="BPX8" s="68">
        <f t="shared" ref="BPX8:BPX23" si="670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1">SUM(BPY8:BQC8)</f>
        <v>1390</v>
      </c>
      <c r="BQF8" s="68">
        <f t="shared" ref="BQF8:BQF23" si="672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3">SUM(BQG8:BQK8)</f>
        <v>1421</v>
      </c>
      <c r="BQN8" s="68">
        <f t="shared" ref="BQN8:BQN23" si="674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5">SUM(BQO8:BQS8)</f>
        <v>1628</v>
      </c>
      <c r="BQV8" s="68">
        <f t="shared" ref="BQV8:BQV23" si="676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7">SUM(BQW8:BRA8)</f>
        <v>1720</v>
      </c>
      <c r="BRD8" s="68">
        <f t="shared" ref="BRD8:BRD23" si="678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79">SUM(BRE8:BRI8)</f>
        <v>1967</v>
      </c>
      <c r="BRL8" s="68">
        <f t="shared" ref="BRL8:BRL23" si="680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1">SUM(BRM8:BRQ8)</f>
        <v>2030</v>
      </c>
      <c r="BRT8" s="68">
        <f t="shared" ref="BRT8:BRT23" si="682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3">SUM(BRU8:BRY8)</f>
        <v>2287</v>
      </c>
      <c r="BSB8" s="68">
        <f t="shared" ref="BSB8:BSB23" si="684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5">SUM(BSC8:BSG8)</f>
        <v>0</v>
      </c>
      <c r="BSJ8" s="68">
        <f t="shared" ref="BSJ8:BSJ23" si="686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7">SUM(BSK8:BSO8)</f>
        <v>0</v>
      </c>
      <c r="BSR8" s="68">
        <f t="shared" ref="BSR8:BSR23" si="688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89">SUM(BSS8:BSW8)</f>
        <v>1928</v>
      </c>
      <c r="BSZ8" s="68">
        <f t="shared" ref="BSZ8:BSZ23" si="690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1">SUM(BTA8:BTE8)</f>
        <v>253</v>
      </c>
      <c r="BTH8" s="68">
        <f t="shared" ref="BTH8:BTH23" si="692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3">SUM(BTI8:BTM8)</f>
        <v>925</v>
      </c>
      <c r="BTP8" s="68">
        <f t="shared" ref="BTP8:BTP23" si="694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5">SUM(BTQ8:BTU8)</f>
        <v>0</v>
      </c>
      <c r="BTX8" s="184">
        <f t="shared" ref="BTX8:BTX23" si="696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7">SUM(BTY8:BUC8)</f>
        <v>336</v>
      </c>
      <c r="BUF8" s="184">
        <f t="shared" ref="BUF8:BUF23" si="698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699">SUM(BUG8:BUK8)</f>
        <v>1758</v>
      </c>
      <c r="BUN8" s="211">
        <f t="shared" ref="BUN8:BUN23" si="700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1">SUM(BUO8:BUS8)</f>
        <v>168</v>
      </c>
      <c r="BUV8" s="211">
        <f t="shared" ref="BUV8:BUV23" si="702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3">SUM(BUW8:BVA8)</f>
        <v>483</v>
      </c>
      <c r="BVD8" s="211">
        <f t="shared" ref="BVD8:BVD23" si="704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5">SUM(BVE8:BVI8)</f>
        <v>4185</v>
      </c>
      <c r="BVL8" s="184">
        <f t="shared" ref="BVL8:BVL23" si="706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7">SUM(BVM8:BVQ8)</f>
        <v>1934</v>
      </c>
      <c r="BVT8" s="211">
        <f t="shared" ref="BVT8:BVT23" si="708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09">SUM(BVU8:BVY8)</f>
        <v>649</v>
      </c>
      <c r="BWB8" s="184">
        <f t="shared" ref="BWB8:BWB23" si="710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1">SUM(BWC8:BWG8)</f>
        <v>1937</v>
      </c>
      <c r="BWJ8" s="184">
        <f t="shared" ref="BWJ8:BWJ23" si="712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3">SUM(BWK8:BWO8)</f>
        <v>1508</v>
      </c>
      <c r="BWR8" s="211">
        <f t="shared" ref="BWR8:BWR23" si="714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5">SUM(BWS8:BWW8)</f>
        <v>1244</v>
      </c>
      <c r="BWZ8" s="211">
        <f t="shared" ref="BWZ8:BWZ23" si="716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7">SUM(BXA8:BXE8)</f>
        <v>1788</v>
      </c>
      <c r="BXH8" s="211">
        <f t="shared" ref="BXH8:BXH23" si="718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19">SUM(BXI8:BXM8)</f>
        <v>778</v>
      </c>
      <c r="BXP8" s="184">
        <f t="shared" ref="BXP8:BXP23" si="720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1">SUM(BXQ8:BXU8)</f>
        <v>1310</v>
      </c>
      <c r="BXX8" s="184">
        <f t="shared" ref="BXX8:BXX23" si="722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3">SUM(BXY8:BYC8)</f>
        <v>1668</v>
      </c>
      <c r="BYF8" s="211">
        <f t="shared" ref="BYF8:BYF23" si="724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5">SUM(BYG8:BYK8)</f>
        <v>1991</v>
      </c>
      <c r="BYN8" s="184">
        <f t="shared" ref="BYN8:BYN23" si="726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7">SUM(BYO8:BYS8)</f>
        <v>2779</v>
      </c>
      <c r="BYV8" s="211">
        <f t="shared" ref="BYV8:BYV23" si="728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29">SUM(BYW8:BZA8)</f>
        <v>1887</v>
      </c>
      <c r="BZD8" s="184">
        <f t="shared" ref="BZD8:BZD23" si="730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1">SUM(BZE8:BZI8)</f>
        <v>1306</v>
      </c>
      <c r="BZL8" s="184">
        <f t="shared" ref="BZL8:BZL23" si="732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3">SUM(BZM8:BZQ8)</f>
        <v>1669</v>
      </c>
      <c r="BZT8" s="68">
        <f t="shared" ref="BZT8:BZT23" si="734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5">SUM(BZU8:BZY8)</f>
        <v>1942</v>
      </c>
      <c r="CAB8" s="68">
        <f t="shared" ref="CAB8:CAB23" si="736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7">SUM(CAC8:CAG8)</f>
        <v>1969</v>
      </c>
      <c r="CAJ8" s="68">
        <f t="shared" ref="CAJ8:CAJ23" si="738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39">SUM(CAK8:CAP8)</f>
        <v>2333</v>
      </c>
      <c r="CAR8" s="184">
        <f t="shared" ref="CAR8:CAR23" si="740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1">SUM(CAS8:CAX8)</f>
        <v>564</v>
      </c>
      <c r="CAZ8" s="211">
        <f t="shared" ref="CAZ8:CAZ23" si="742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3">SUM(CBA8:CBF8)</f>
        <v>1668</v>
      </c>
      <c r="CBH8" s="211">
        <f t="shared" ref="CBH8:CBH23" si="744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5">SUM(CBI8:CBN8)</f>
        <v>0</v>
      </c>
      <c r="CBP8" s="184">
        <f t="shared" ref="CBP8:CBP23" si="746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7">SUM(CBQ8:CBV8)</f>
        <v>804</v>
      </c>
      <c r="CBX8" s="68">
        <f t="shared" ref="CBX8:CBX23" si="748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49">SUM(CBY8:CCD8)</f>
        <v>972</v>
      </c>
      <c r="CCF8" s="68">
        <f t="shared" ref="CCF8:CCF23" si="750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1">SUM(CCG8:CCL8)</f>
        <v>823</v>
      </c>
      <c r="CCN8" s="68">
        <f t="shared" ref="CCN8:CCN23" si="752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3">SUM(CCO8:CCT8)</f>
        <v>2250</v>
      </c>
      <c r="CCV8" s="68">
        <f t="shared" ref="CCV8:CCV23" si="754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5">SUM(CCW8:CDB8)</f>
        <v>962</v>
      </c>
      <c r="CDD8" s="68">
        <f t="shared" ref="CDD8:CDD23" si="756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7">SUM(CDE8:CDJ8)</f>
        <v>0</v>
      </c>
      <c r="CDL8" s="68">
        <f t="shared" ref="CDL8:CDL23" si="758">CDK8/$CDL$5</f>
        <v>0</v>
      </c>
      <c r="CDM8" s="63"/>
      <c r="CDN8" s="64"/>
      <c r="CDO8" s="64"/>
      <c r="CDP8" s="64"/>
      <c r="CDQ8" s="47"/>
      <c r="CDR8" s="64"/>
      <c r="CDS8" s="67">
        <f t="shared" ref="CDS8:CDS23" si="759">SUM(CDM8:CDR8)</f>
        <v>0</v>
      </c>
      <c r="CDT8" s="68">
        <f t="shared" ref="CDT8:CDT23" si="760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1">SUM(CDU8:CDZ8)</f>
        <v>2031</v>
      </c>
      <c r="CEB8" s="68">
        <f t="shared" ref="CEB8:CEB23" si="762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3">SUM(CEC8:CEH8)</f>
        <v>1635</v>
      </c>
      <c r="CEJ8" s="68">
        <f t="shared" ref="CEJ8:CEJ23" si="764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5">SUM(CEK8:CEP8)</f>
        <v>1469</v>
      </c>
      <c r="CER8" s="68">
        <f t="shared" ref="CER8:CER23" si="766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7">SUM(CES8:CEX8)</f>
        <v>1983</v>
      </c>
      <c r="CEZ8" s="68">
        <f t="shared" ref="CEZ8:CEZ23" si="768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69">SUM(CFA8:CFF8)</f>
        <v>1284</v>
      </c>
      <c r="CFH8" s="68">
        <f t="shared" ref="CFH8:CFH23" si="770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1">SUM(CFI8:CFN8)</f>
        <v>1643</v>
      </c>
      <c r="CFP8" s="68">
        <f t="shared" ref="CFP8:CFP23" si="772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3">SUM(CFQ8:CFV8)</f>
        <v>1643</v>
      </c>
      <c r="CFX8" s="68">
        <f t="shared" ref="CFX8:CFX23" si="774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5">SUM(CFY8:CGD8)</f>
        <v>1630</v>
      </c>
      <c r="CGF8" s="68">
        <f t="shared" ref="CGF8:CGF23" si="776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7">SUM(CGG8:CGL8)</f>
        <v>3564</v>
      </c>
      <c r="CGN8" s="68">
        <f t="shared" ref="CGN8:CGN23" si="778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79">SUM(CGO8:CGT8)</f>
        <v>1790</v>
      </c>
      <c r="CGV8" s="68">
        <f t="shared" ref="CGV8:CGV23" si="780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1">SUM(CGW8:CHB8)</f>
        <v>0</v>
      </c>
      <c r="CHD8" s="68">
        <f t="shared" ref="CHD8:CHD23" si="782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3">SUM(CHE8:CHJ8)</f>
        <v>1803</v>
      </c>
      <c r="CHL8" s="68">
        <f t="shared" ref="CHL8:CHL23" si="784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5">SUM(CHM8:CHR8)</f>
        <v>100</v>
      </c>
      <c r="CHT8" s="68">
        <f t="shared" ref="CHT8:CHT23" si="786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7">SUM(CHU8:CHZ8)</f>
        <v>1464</v>
      </c>
      <c r="CIB8" s="68">
        <f t="shared" ref="CIB8:CIB23" si="788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89">SUM(CIC8:CIH8)</f>
        <v>1651</v>
      </c>
      <c r="CIJ8" s="68">
        <f t="shared" ref="CIJ8:CIJ23" si="790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1">SUM(CIK8:CIP8)</f>
        <v>2458</v>
      </c>
      <c r="CIR8" s="68">
        <f t="shared" ref="CIR8:CIR23" si="792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3">SUM(CIS8:CIX8)</f>
        <v>3844</v>
      </c>
      <c r="CIZ8" s="68">
        <f t="shared" ref="CIZ8:CIZ23" si="794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5">SUM(CJA8:CJF8)</f>
        <v>1661</v>
      </c>
      <c r="CJH8" s="68">
        <f t="shared" ref="CJH8:CJH23" si="796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7">SUM(CJI8:CJN8)</f>
        <v>0</v>
      </c>
      <c r="CJP8" s="68">
        <f t="shared" ref="CJP8:CJP23" si="798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799">SUM(CJQ8:CJV8)</f>
        <v>1296</v>
      </c>
      <c r="CJX8" s="68">
        <f t="shared" ref="CJX8:CJX23" si="800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1">SUM(CJY8:CKD8)</f>
        <v>780</v>
      </c>
      <c r="CKF8" s="68">
        <f t="shared" ref="CKF8:CKF23" si="802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3">SUM(CKG8:CKL8)</f>
        <v>1610</v>
      </c>
      <c r="CKN8" s="68">
        <f t="shared" ref="CKN8:CKN23" si="804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5">SUM(CKO8:CKT8)</f>
        <v>4607</v>
      </c>
      <c r="CKV8" s="68">
        <f t="shared" ref="CKV8:CKV23" si="806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7">SUM(CKW8:CLB8)</f>
        <v>1</v>
      </c>
      <c r="CLD8" s="68">
        <f t="shared" ref="CLD8:CLD23" si="808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09">SUM(CLE8:CLJ8)</f>
        <v>1575</v>
      </c>
      <c r="CLL8" s="68">
        <f t="shared" ref="CLL8:CLL23" si="810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1">SUM(CLM8:CLR8)</f>
        <v>1636</v>
      </c>
      <c r="CLT8" s="184">
        <f t="shared" ref="CLT8:CLT23" si="812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3">SUM(CLU8:CLZ8)</f>
        <v>2457</v>
      </c>
      <c r="CMB8" s="68">
        <f t="shared" ref="CMB8:CMB23" si="814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5">SUM(CMC8:CMH8)</f>
        <v>1098</v>
      </c>
      <c r="CMJ8" s="68">
        <f t="shared" ref="CMJ8:CMJ23" si="816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7">SUM(CMK8:CMP8)</f>
        <v>2080</v>
      </c>
      <c r="CMR8" s="68">
        <f t="shared" ref="CMR8:CMR23" si="818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19">SUM(CMS8:CMX8)</f>
        <v>2385</v>
      </c>
      <c r="CMZ8" s="68">
        <f t="shared" ref="CMZ8:CMZ23" si="820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1">SUM(CNA8:CNF8)</f>
        <v>945</v>
      </c>
      <c r="CNH8" s="68">
        <f t="shared" ref="CNH8:CNH23" si="822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3">SUM(CNI8:CNN8)</f>
        <v>940</v>
      </c>
      <c r="CNP8" s="68">
        <f t="shared" ref="CNP8:CNP23" si="824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5">SUM(CNQ8:CNV8)</f>
        <v>1384</v>
      </c>
      <c r="CNX8" s="68">
        <f t="shared" ref="CNX8:CNX23" si="826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7">SUM(CNY8:COD8)</f>
        <v>1631</v>
      </c>
      <c r="COF8" s="68">
        <f t="shared" ref="COF8:COF23" si="828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29">SUM(COG8:COL8)</f>
        <v>3995</v>
      </c>
      <c r="CON8" s="68">
        <f t="shared" ref="CON8:CON23" si="830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1">SUM(COO8:COT8)</f>
        <v>0</v>
      </c>
      <c r="COV8" s="68">
        <f t="shared" ref="COV8:COV23" si="832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3">SUM(COW8:CPB8)</f>
        <v>3714</v>
      </c>
      <c r="CPD8" s="68">
        <f t="shared" ref="CPD8:CPD23" si="834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5">SUM(CPE8:CPJ8)</f>
        <v>0</v>
      </c>
      <c r="CPL8" s="68">
        <f t="shared" ref="CPL8:CPL23" si="836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7">SUM(CPM8:CPR8)</f>
        <v>4583</v>
      </c>
      <c r="CPT8" s="68">
        <f t="shared" ref="CPT8:CPT23" si="838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39">SUM(CPU8:CPZ8)</f>
        <v>3583</v>
      </c>
      <c r="CQB8" s="68">
        <f t="shared" ref="CQB8:CQB23" si="840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1">SUM(CQC8:CQH8)</f>
        <v>1408</v>
      </c>
      <c r="CQJ8" s="68">
        <f t="shared" ref="CQJ8:CQJ23" si="842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3">SUM(CQK8:CQP8)</f>
        <v>3247</v>
      </c>
      <c r="CQR8" s="68">
        <f t="shared" ref="CQR8:CQR23" si="844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0</v>
      </c>
      <c r="CQX8" s="49">
        <v>566</v>
      </c>
      <c r="CQY8" s="67">
        <f t="shared" ref="CQY8:CQY23" si="845">SUM(CQS8:CQX8)</f>
        <v>1003</v>
      </c>
      <c r="CQZ8" s="68">
        <f t="shared" ref="CQZ8:CQZ23" si="846">CQY8/$CQZ$5</f>
        <v>167.16666666666666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7">SUM(CRA8:CRF8)</f>
        <v>0</v>
      </c>
      <c r="CRH8" s="68">
        <f t="shared" ref="CRH8:CRH23" si="848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49">SUM(CRI8:CRN8)</f>
        <v>2298</v>
      </c>
      <c r="CRP8" s="68">
        <f t="shared" ref="CRP8:CRP23" si="850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1">SUM(CRQ8:CRV8)</f>
        <v>1108</v>
      </c>
      <c r="CRX8" s="68">
        <f t="shared" ref="CRX8:CRX23" si="852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3">SUM(CRY8:CSD8)</f>
        <v>2566</v>
      </c>
      <c r="CSF8" s="68">
        <f t="shared" ref="CSF8:CSF10" si="854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5">SUM(CSG8:CSL8)</f>
        <v>4123</v>
      </c>
      <c r="CSN8" s="68">
        <f t="shared" ref="CSN8:CSN23" si="856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7">SUM(CSO8:CST8)</f>
        <v>4258</v>
      </c>
      <c r="CSV8" s="68">
        <f t="shared" ref="CSV8:CSV23" si="858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59">SUM(CSW8:CTB8)</f>
        <v>2781</v>
      </c>
      <c r="CTD8" s="68">
        <f t="shared" ref="CTD8:CTD23" si="860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1">SUM(CTE8:CTJ8)</f>
        <v>1881</v>
      </c>
      <c r="CTL8" s="68">
        <f t="shared" ref="CTL8:CTL23" si="862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3">SUM(CTM8:CTR8)</f>
        <v>0</v>
      </c>
      <c r="CTT8" s="68">
        <f t="shared" ref="CTT8:CTT23" si="864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5">SUM(CTU8:CTZ8)</f>
        <v>777</v>
      </c>
      <c r="CUB8" s="68">
        <f t="shared" ref="CUB8:CUB23" si="866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7">SUM(CUC8:CUH8)</f>
        <v>89</v>
      </c>
      <c r="CUJ8" s="68">
        <f t="shared" ref="CUJ8:CUJ23" si="868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69">SUM(CUK8:CUP8)</f>
        <v>1921</v>
      </c>
      <c r="CUR8" s="68">
        <f t="shared" ref="CUR8:CUR23" si="870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1">SUM(CUS8:CUX8)</f>
        <v>2143</v>
      </c>
      <c r="CUZ8" s="68">
        <f t="shared" ref="CUZ8:CUZ23" si="872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3">SUM(CVA8:CVF8)</f>
        <v>3066</v>
      </c>
      <c r="CVH8" s="68">
        <f t="shared" ref="CVH8:CVH23" si="874">CVG8/$CVH$5</f>
        <v>511</v>
      </c>
      <c r="CVI8" s="48">
        <v>559</v>
      </c>
      <c r="CVJ8" s="49">
        <f>SUMIF(SUMPK!$B:$B,$B:$B,SUMPK!$O:$O)</f>
        <v>0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5">SUM(CVI8:CVN8)</f>
        <v>559</v>
      </c>
      <c r="CVP8" s="68">
        <f t="shared" ref="CVP8:CVP23" si="876">CVO8/$CVP$5</f>
        <v>93.166666666666671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7">SUM(CVQ8:CVV8)</f>
        <v>2083</v>
      </c>
      <c r="CVX8" s="68">
        <f t="shared" ref="CVX8:CVX23" si="878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79">SUM(CVY8:CWD8)</f>
        <v>1411</v>
      </c>
      <c r="CWF8" s="68">
        <f t="shared" ref="CWF8:CWF23" si="880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1">SUM(CWG8:CWL8)</f>
        <v>952</v>
      </c>
      <c r="CWN8" s="68">
        <f t="shared" ref="CWN8:CWN23" si="882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3">SUM(CWO8:CWT8)</f>
        <v>1108</v>
      </c>
      <c r="CWV8" s="43">
        <f t="shared" ref="CWV8:CWV23" si="884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5">SUM(CWW8:CXB8)</f>
        <v>749</v>
      </c>
      <c r="CXD8" s="43">
        <f t="shared" ref="CXD8:CXD23" si="886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7">SUM(CXE8:CXJ8)</f>
        <v>1416</v>
      </c>
      <c r="CXL8" s="43">
        <f t="shared" ref="CXL8:CXL23" si="888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89">SUM(CXM8:CXR8)</f>
        <v>3025</v>
      </c>
      <c r="CXT8" s="43">
        <f t="shared" ref="CXT8:CXT23" si="890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1">SUM(CXU8:CXZ8)</f>
        <v>2427</v>
      </c>
      <c r="CYB8" s="43">
        <f t="shared" ref="CYB8:CYB23" si="892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3">SUM(CYC8:CYH8)</f>
        <v>2174</v>
      </c>
      <c r="CYJ8" s="43">
        <f t="shared" ref="CYJ8:CYJ23" si="894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5">SUM(CYK8:CYP8)</f>
        <v>3017</v>
      </c>
      <c r="CYR8" s="43">
        <f t="shared" ref="CYR8:CYR23" si="896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7">SUM(CYS8:CYX8)</f>
        <v>1684</v>
      </c>
      <c r="CYZ8" s="43">
        <f t="shared" ref="CYZ8:CYZ23" si="898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899">SUM(CZA8:CZF8)</f>
        <v>1301</v>
      </c>
      <c r="CZH8" s="43">
        <f t="shared" ref="CZH8:CZH23" si="900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1">SUM(CZI8:CZN8)</f>
        <v>810</v>
      </c>
      <c r="CZP8" s="43">
        <f t="shared" ref="CZP8:CZP23" si="902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3">SUM(CZQ8:CZV8)</f>
        <v>704</v>
      </c>
      <c r="CZX8" s="43">
        <f t="shared" ref="CZX8:CZX23" si="904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5">SUM(CZY8:DAD8)</f>
        <v>2967</v>
      </c>
      <c r="DAF8" s="43">
        <f t="shared" ref="DAF8:DAF23" si="906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7">SUM(DAG8:DAL8)</f>
        <v>1973</v>
      </c>
      <c r="DAN8" s="43">
        <f t="shared" ref="DAN8:DAN23" si="908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09">SUM(DAO8:DAT8)</f>
        <v>1239</v>
      </c>
      <c r="DAV8" s="68">
        <f t="shared" ref="DAV8:DAV23" si="910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1">SUM(DAW8:DBB8)</f>
        <v>3148</v>
      </c>
      <c r="DBD8" s="68">
        <f t="shared" ref="DBD8:DBD23" si="912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3">SUM(DBE8:DBJ8)</f>
        <v>825</v>
      </c>
      <c r="DBL8" s="68">
        <f t="shared" ref="DBL8:DBL23" si="914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5">SUM(DBM8:DBR8)</f>
        <v>1010</v>
      </c>
      <c r="DBT8" s="68">
        <f t="shared" ref="DBT8:DBT23" si="916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7">SUM(DBU8:DBZ8)</f>
        <v>0</v>
      </c>
      <c r="DCB8" s="184">
        <f t="shared" ref="DCB8:DCB23" si="918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19">SUM(DCC8:DCH8)</f>
        <v>659</v>
      </c>
      <c r="DCJ8" s="211">
        <f t="shared" ref="DCJ8:DCJ23" si="920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1">SUM(DCK8:DCP8)</f>
        <v>847</v>
      </c>
      <c r="DCR8" s="211">
        <f t="shared" ref="DCR8:DCR23" si="922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3">SUM(DCS8:DCX8)</f>
        <v>328</v>
      </c>
      <c r="DCZ8" s="184">
        <f t="shared" ref="DCZ8:DCZ23" si="924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5">SUM(DDA8:DDF8)</f>
        <v>2248</v>
      </c>
      <c r="DDH8" s="211">
        <f t="shared" ref="DDH8:DDH23" si="926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7">SUM(DDI8:DDN8)</f>
        <v>1015</v>
      </c>
      <c r="DDP8" s="184">
        <f t="shared" ref="DDP8:DDP23" si="928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29">SUM(DDQ8:DDV8)</f>
        <v>1359</v>
      </c>
      <c r="DDX8" s="211">
        <f t="shared" ref="DDX8:DDX23" si="930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1">SUM(DDY8:DED8)</f>
        <v>1639</v>
      </c>
      <c r="DEF8" s="214">
        <f t="shared" ref="DEF8:DEF23" si="932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3">SUM(DEG8:DEL8)</f>
        <v>1094</v>
      </c>
      <c r="DEN8" s="101">
        <f t="shared" ref="DEN8:DEN23" si="934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5">SUM(DEO8:DET8)</f>
        <v>1982</v>
      </c>
      <c r="DEV8" s="101">
        <f t="shared" ref="DEV8:DEV23" si="936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7">SUM(DEW8:DFB8)</f>
        <v>1739</v>
      </c>
      <c r="DFD8" s="43">
        <f t="shared" ref="DFD8:DFD23" si="938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39">SUM(DFE8:DFJ8)</f>
        <v>17</v>
      </c>
      <c r="DFL8" s="43">
        <f t="shared" ref="DFL8:DFL23" si="940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1">SUM(DFM8:DFR8)</f>
        <v>2034</v>
      </c>
      <c r="DFT8" s="43">
        <f t="shared" ref="DFT8:DFT23" si="942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3">SUM(DFU8:DFZ8)</f>
        <v>1698</v>
      </c>
      <c r="DGB8" s="43">
        <f t="shared" ref="DGB8:DGB23" si="944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5">SUM(DGC8:DGH8)</f>
        <v>1696</v>
      </c>
      <c r="DGJ8" s="68">
        <f t="shared" ref="DGJ8:DGJ23" si="946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7">SUM(DGK8:DGP8)</f>
        <v>1703</v>
      </c>
      <c r="DGR8" s="68">
        <f t="shared" ref="DGR8:DGR23" si="948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49">SUM(DGS8:DGX8)</f>
        <v>504</v>
      </c>
      <c r="DGZ8" s="68">
        <f t="shared" ref="DGZ8:DGZ23" si="950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1">SUM(DHA8:DHF8)</f>
        <v>1372</v>
      </c>
      <c r="DHH8" s="68">
        <f t="shared" ref="DHH8:DHH23" si="952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3">SUM(DHI8:DHN8)</f>
        <v>0</v>
      </c>
      <c r="DHP8" s="68">
        <f t="shared" ref="DHP8:DHP23" si="954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5">SUM(DHQ8:DHV8)</f>
        <v>1370</v>
      </c>
      <c r="DHX8" s="68">
        <f t="shared" ref="DHX8:DHX23" si="956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7">SUM(DHY8:DID8)</f>
        <v>108</v>
      </c>
      <c r="DIF8" s="68">
        <f t="shared" ref="DIF8:DIF23" si="958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59">SUM(DIG8:DIL8)</f>
        <v>855</v>
      </c>
      <c r="DIN8" s="68">
        <f t="shared" ref="DIN8:DIN23" si="960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1">SUM(DIO8:DIT8)</f>
        <v>2528</v>
      </c>
      <c r="DIV8" s="68">
        <f t="shared" ref="DIV8:DIV23" si="962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3">SUM(DIW8:DJB8)</f>
        <v>1684</v>
      </c>
      <c r="DJD8" s="68">
        <f t="shared" ref="DJD8:DJD23" si="964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5">SUM(DJE8:DJJ8)</f>
        <v>1713</v>
      </c>
      <c r="DJL8" s="68">
        <f t="shared" ref="DJL8:DJL23" si="966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7">SUM(DJM8:DJR8)</f>
        <v>1709</v>
      </c>
      <c r="DJT8" s="68">
        <f t="shared" ref="DJT8:DJT23" si="968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69">SUM(DJU8:DJZ8)</f>
        <v>1330</v>
      </c>
      <c r="DKB8" s="68">
        <f t="shared" ref="DKB8:DKB23" si="970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1">SUM(DKC8:DKH8)</f>
        <v>0</v>
      </c>
      <c r="DKJ8" s="68">
        <f t="shared" ref="DKJ8:DKJ23" si="972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3">SUM(DKK8:DKP8)</f>
        <v>1274</v>
      </c>
      <c r="DKR8" s="68">
        <f t="shared" ref="DKR8:DKR23" si="974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5">SUM(DKS8:DKX8)</f>
        <v>2071</v>
      </c>
      <c r="DKZ8" s="68">
        <f t="shared" ref="DKZ8:DKZ23" si="976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7">SUM(DLA8:DLF8)</f>
        <v>2533</v>
      </c>
      <c r="DLH8" s="68">
        <f t="shared" ref="DLH8:DLH23" si="978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79">SUM(DLI8:DLN8)</f>
        <v>498</v>
      </c>
      <c r="DLP8" s="68">
        <f t="shared" ref="DLP8:DLP23" si="980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1">SUM(DLQ8:DLV8)</f>
        <v>1170</v>
      </c>
      <c r="DLX8" s="68">
        <f t="shared" ref="DLX8:DLX23" si="982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3">SUM(DLY8:DMD8)</f>
        <v>1863</v>
      </c>
      <c r="DMF8" s="68">
        <f t="shared" ref="DMF8:DMF23" si="984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5">SUM(DMG8:DML8)</f>
        <v>974</v>
      </c>
      <c r="DMN8" s="68">
        <f t="shared" ref="DMN8:DMN23" si="986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7">SUM(DMO8:DMT8)</f>
        <v>1429</v>
      </c>
      <c r="DMV8" s="68">
        <f t="shared" ref="DMV8:DMV23" si="988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89">SUM(DMW8:DNB8)</f>
        <v>1278</v>
      </c>
      <c r="DND8" s="68">
        <f t="shared" ref="DND8:DND23" si="990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1">SUM(DNE8:DNJ8)</f>
        <v>1487</v>
      </c>
      <c r="DNL8" s="68">
        <f t="shared" ref="DNL8:DNL23" si="992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3">SUM(DNM8:DNR8)</f>
        <v>0</v>
      </c>
      <c r="DNT8" s="68">
        <f t="shared" ref="DNT8:DNT23" si="994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5">SUM(DNU8:DNZ8)</f>
        <v>2717</v>
      </c>
      <c r="DOB8" s="68">
        <f t="shared" ref="DOB8:DOB23" si="996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7">SUM(DOC8:DOH8)</f>
        <v>2059</v>
      </c>
      <c r="DOJ8" s="68">
        <f t="shared" ref="DOJ8:DOJ23" si="998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999">SUM(DOK8:DOP8)</f>
        <v>1708</v>
      </c>
      <c r="DOR8" s="68">
        <f t="shared" ref="DOR8:DOR23" si="1000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1">SUM(DOS8:DOX8)</f>
        <v>1343</v>
      </c>
      <c r="DOZ8" s="68">
        <f t="shared" ref="DOZ8:DOZ23" si="1002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3">SUM(DPA8:DPF8)</f>
        <v>0</v>
      </c>
      <c r="DPH8" s="68">
        <f t="shared" ref="DPH8:DPH23" si="1004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5">SUM(DPI8:DPN8)</f>
        <v>1333</v>
      </c>
      <c r="DPP8" s="68">
        <f t="shared" ref="DPP8:DPP23" si="1006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7">SUM(DPQ8:DPV8)</f>
        <v>1654</v>
      </c>
      <c r="DPX8" s="68">
        <f t="shared" ref="DPX8:DPX23" si="1008">DPW8/$DPX$5</f>
        <v>275.66666666666669</v>
      </c>
      <c r="DPY8" s="63">
        <v>5</v>
      </c>
      <c r="DPZ8" s="64">
        <v>0</v>
      </c>
      <c r="DQA8" s="64">
        <f>SUMIF(SUMPK!$B:$B,$B:$B,SUMPK!$O:$O)</f>
        <v>0</v>
      </c>
      <c r="DQB8" s="64">
        <v>0</v>
      </c>
      <c r="DQC8" s="64">
        <v>0</v>
      </c>
      <c r="DQD8" s="64">
        <v>0</v>
      </c>
      <c r="DQE8" s="64">
        <f t="shared" ref="DQE8:DQE23" si="1009">SUM(DPY8:DQD8)</f>
        <v>5</v>
      </c>
      <c r="DQF8" s="68">
        <f t="shared" ref="DQF8:DQF23" si="1010">DQE8/$DQF$5</f>
        <v>0.83333333333333337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1">SUM(DQG8:DQL8)</f>
        <v>1654</v>
      </c>
      <c r="DQN8" s="68">
        <f t="shared" ref="DQN8:DQN23" si="1012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3">SUM(DQO8:DQT8)</f>
        <v>1653</v>
      </c>
      <c r="DQV8" s="68">
        <f t="shared" ref="DQV8:DQV23" si="1014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5">SUM(DQW8:DRB8)</f>
        <v>0</v>
      </c>
      <c r="DRD8" s="68">
        <f t="shared" ref="DRD8:DRD23" si="1016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7">SUM(DRE8:DRJ8)</f>
        <v>474</v>
      </c>
      <c r="DRL8" s="68">
        <f t="shared" ref="DRL8:DRL23" si="1018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19">SUM(DRM8:DRR8)</f>
        <v>0</v>
      </c>
      <c r="DRT8" s="68">
        <f t="shared" ref="DRT8:DRT23" si="1020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1">SUM(DRU8:DRZ8)</f>
        <v>1317</v>
      </c>
      <c r="DSB8" s="68">
        <f t="shared" ref="DSB8:DSB23" si="1022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3">SUM(DSC8:DSH8)</f>
        <v>2652</v>
      </c>
      <c r="DSJ8" s="68">
        <f t="shared" ref="DSJ8:DSJ23" si="1024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5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6">SUM(DSS8:DSX8)</f>
        <v>970</v>
      </c>
      <c r="DSZ8" s="68">
        <f t="shared" ref="DSZ8:DSZ23" si="1027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28">SUM(DTA8:DTF8)</f>
        <v>778</v>
      </c>
      <c r="DTH8" s="68">
        <f t="shared" ref="DTH8:DTH23" si="1029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0">SUM(DTI8:DTN8)</f>
        <v>1028</v>
      </c>
      <c r="DTP8" s="68">
        <f t="shared" ref="DTP8:DTP23" si="1031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2">SUM(DTQ8:DTV8)</f>
        <v>2316</v>
      </c>
      <c r="DTX8" s="68">
        <f t="shared" ref="DTX8:DTX23" si="1033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4">SUM(DTY8:DUD8)</f>
        <v>2570</v>
      </c>
      <c r="DUF8" s="68">
        <f t="shared" ref="DUF8:DUF23" si="1035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6">SUM(DUG8:DUL8)</f>
        <v>1499</v>
      </c>
      <c r="DUN8" s="68">
        <f t="shared" ref="DUN8:DUN23" si="1037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38">SUM(DUO8:DUT8)</f>
        <v>1545</v>
      </c>
      <c r="DUV8" s="68">
        <f t="shared" ref="DUV8:DUV23" si="1039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0">SUM(DUW8:DVB8)</f>
        <v>1341</v>
      </c>
      <c r="DVD8" s="68">
        <f t="shared" ref="DVD8:DVD23" si="1041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2">SUM(DVE8:DVJ8)</f>
        <v>984</v>
      </c>
      <c r="DVL8" s="68">
        <f t="shared" ref="DVL8:DVL23" si="1043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4">SUM(DVM8:DVR8)</f>
        <v>1465</v>
      </c>
      <c r="DVT8" s="68">
        <f t="shared" ref="DVT8:DVT23" si="1045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6">SUM(DVU8:DVZ8)</f>
        <v>1006</v>
      </c>
      <c r="DWB8" s="68">
        <f t="shared" ref="DWB8:DWB23" si="1047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48">SUM(DWC8:DWH8)</f>
        <v>2419</v>
      </c>
      <c r="DWJ8" s="68">
        <f t="shared" ref="DWJ8:DWJ23" si="1049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0">SUM(DWK8:DWP8)</f>
        <v>2502</v>
      </c>
      <c r="DWR8" s="68">
        <f t="shared" ref="DWR8:DWR23" si="1051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2">SUM(DWS8:DWX8)</f>
        <v>542</v>
      </c>
      <c r="DWZ8" s="68">
        <f t="shared" ref="DWZ8:DWZ23" si="1053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4">SUM(DXA8:DXF8)</f>
        <v>929</v>
      </c>
      <c r="DXH8" s="68">
        <f t="shared" ref="DXH8:DXH23" si="1055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6">SUM(DXI8:DXN8)</f>
        <v>0</v>
      </c>
      <c r="DXP8" s="68">
        <f t="shared" ref="DXP8:DXP23" si="1057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58">SUM(DXQ8:DXV8)</f>
        <v>3201</v>
      </c>
      <c r="DXX8" s="68">
        <f t="shared" ref="DXX8:DXX23" si="1059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0">SUM(DXY8:DYD8)</f>
        <v>0</v>
      </c>
      <c r="DYF8" s="68">
        <f t="shared" ref="DYF8:DYF23" si="1061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2">SUM(DYG8:DYL8)</f>
        <v>3033</v>
      </c>
      <c r="DYN8" s="68">
        <f t="shared" ref="DYN8:DYN23" si="1063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4">SUM(DYO8:DYT8)</f>
        <v>0</v>
      </c>
      <c r="DYV8" s="68">
        <f t="shared" ref="DYV8:DYV23" si="1065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6">SUM(DYW8:DZB8)</f>
        <v>2106</v>
      </c>
      <c r="DZD8" s="68">
        <f t="shared" ref="DZD8:DZD23" si="1067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68">SUM(DZE8:DZJ8)</f>
        <v>2437</v>
      </c>
      <c r="DZL8" s="68">
        <f t="shared" ref="DZL8:DZL23" si="1069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0">SUM(DZM8:DZR8)</f>
        <v>1559</v>
      </c>
      <c r="DZT8" s="68">
        <f t="shared" ref="DZT8:DZT23" si="1071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2">SUM(DZU8:DZZ8)</f>
        <v>1695</v>
      </c>
      <c r="EAB8" s="68">
        <f t="shared" ref="EAB8:EAB23" si="1073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4">SUM(EAC8:EAH8)</f>
        <v>0</v>
      </c>
      <c r="EAJ8" s="68">
        <f t="shared" ref="EAJ8:EAJ23" si="1075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6">SUM(EAK8:EAP8)</f>
        <v>1953</v>
      </c>
      <c r="EAR8" s="68">
        <f t="shared" ref="EAR8:EAR23" si="1077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78">SUM(EAS8:EAX8)</f>
        <v>1497</v>
      </c>
      <c r="EAZ8" s="68">
        <f t="shared" ref="EAZ8:EAZ23" si="1079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0">SUM(EBA8:EBF8)</f>
        <v>1276</v>
      </c>
      <c r="EBH8" s="68">
        <f t="shared" ref="EBH8:EBH23" si="1081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2">SUM(EBI8:EBN8)</f>
        <v>1667</v>
      </c>
      <c r="EBP8" s="68">
        <f t="shared" ref="EBP8:EBP23" si="1083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4">SUM(EBQ8:EBV8)</f>
        <v>1449</v>
      </c>
      <c r="EBX8" s="68">
        <f t="shared" ref="EBX8:EBX23" si="1085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6">SUM(EBY8:ECD8)</f>
        <v>0</v>
      </c>
      <c r="ECF8" s="68">
        <f t="shared" ref="ECF8:ECF23" si="1087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88">SUM(ECG8:ECL8)</f>
        <v>2117</v>
      </c>
      <c r="ECN8" s="68">
        <f t="shared" ref="ECN8:ECN23" si="1089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0">SUM(ECO8:ECT8)</f>
        <v>956</v>
      </c>
      <c r="ECV8" s="68">
        <f t="shared" ref="ECV8:ECV23" si="1091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2">SUM(ECW8:EDB8)</f>
        <v>2290</v>
      </c>
      <c r="EDD8" s="68">
        <f t="shared" ref="EDD8:EDD23" si="1093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4">SUM(EDE8:EDJ8)</f>
        <v>1657</v>
      </c>
      <c r="EDL8" s="68">
        <f t="shared" ref="EDL8:EDL23" si="1095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6">SUM(EDM8:EDR8)</f>
        <v>1654</v>
      </c>
      <c r="EDT8" s="68">
        <f t="shared" ref="EDT8:EDT23" si="1097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098">SUM(EDU8:EDZ8)</f>
        <v>1954</v>
      </c>
      <c r="EEB8" s="68">
        <f t="shared" ref="EEB8:EEB23" si="1099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0">SUM(EEC8:EEH8)</f>
        <v>1234</v>
      </c>
      <c r="EEJ8" s="68">
        <f t="shared" ref="EEJ8:EEJ23" si="1101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2">SUM(EEK8:EEP8)</f>
        <v>797</v>
      </c>
      <c r="EER8" s="68">
        <f t="shared" ref="EER8:EER23" si="1103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4">SUM(EES8:EEX8)</f>
        <v>1919</v>
      </c>
      <c r="EEZ8" s="68">
        <f t="shared" ref="EEZ8:EEZ23" si="1105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6">SUM(EFA8:EFF8)</f>
        <v>1500</v>
      </c>
      <c r="EFH8" s="68">
        <f t="shared" ref="EFH8:EFH23" si="1107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08">SUM(EFI8:EFN8)</f>
        <v>969</v>
      </c>
      <c r="EFP8" s="68">
        <f t="shared" ref="EFP8:EFP23" si="1109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0">SUM(EFQ8:EFV8)</f>
        <v>983</v>
      </c>
      <c r="EFX8" s="68">
        <f t="shared" ref="EFX8:EFX23" si="1111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2">SUM(EFY8:EGD8)</f>
        <v>2480</v>
      </c>
      <c r="EGF8" s="68">
        <f t="shared" ref="EGF8:EGF23" si="1113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4">SUM(EGG8:EGL8)</f>
        <v>2297</v>
      </c>
      <c r="EGN8" s="68">
        <f t="shared" ref="EGN8:EGN23" si="1115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6">SUM(EGO8:EGT8)</f>
        <v>268</v>
      </c>
      <c r="EGV8" s="68">
        <f t="shared" ref="EGV8:EGV23" si="1117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18">SUM(EGW8:EHB8)</f>
        <v>820</v>
      </c>
      <c r="EHD8" s="68">
        <f t="shared" ref="EHD8:EHD23" si="1119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0">SUM(EHE8:EHJ8)</f>
        <v>2390</v>
      </c>
      <c r="EHL8" s="68">
        <f t="shared" ref="EHL8:EHL23" si="1121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2">SUM(EHM8:EHR8)</f>
        <v>1290</v>
      </c>
      <c r="EHT8" s="68">
        <f t="shared" ref="EHT8:EHT23" si="1123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4">SUM(EHU8:EHZ8)</f>
        <v>1454</v>
      </c>
      <c r="EIB8" s="68">
        <f t="shared" ref="EIB8:EIB23" si="1125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6">SUM(EIC8:EIH8)</f>
        <v>990</v>
      </c>
      <c r="EIJ8" s="68">
        <f t="shared" ref="EIJ8:EIJ23" si="1127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28">SUM(EIK8:EIP8)</f>
        <v>1149</v>
      </c>
      <c r="EIR8" s="68">
        <f t="shared" ref="EIR8:EIR23" si="1129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0">SUM(EIS8:EIX8)</f>
        <v>1500</v>
      </c>
      <c r="EIZ8" s="68">
        <f t="shared" ref="EIZ8:EIZ23" si="1131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2">SUM(EJA8:EJF8)</f>
        <v>1768</v>
      </c>
      <c r="EJH8" s="68">
        <f t="shared" ref="EJH8:EJH23" si="1133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4">SUM(EJI8:EJN8)</f>
        <v>1425</v>
      </c>
      <c r="EJP8" s="68">
        <f t="shared" ref="EJP8:EJP23" si="1135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6">SUM(EJQ8:EJV8)</f>
        <v>2308</v>
      </c>
      <c r="EJX8" s="68">
        <f t="shared" ref="EJX8:EJX23" si="1137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38">SUM(EJY8:EKD8)</f>
        <v>1676</v>
      </c>
      <c r="EKF8" s="68">
        <f t="shared" ref="EKF8:EKF23" si="1139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0">SUM(EKG8:EKL8)</f>
        <v>1443</v>
      </c>
      <c r="EKN8" s="68">
        <f t="shared" ref="EKN8:EKN23" si="1141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2">SUM(EKO8:EKT8)</f>
        <v>1296</v>
      </c>
      <c r="EKV8" s="68">
        <f t="shared" ref="EKV8:EKV23" si="1143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4">SUM(EKW8:ELB8)</f>
        <v>0</v>
      </c>
      <c r="ELD8" s="68">
        <f t="shared" ref="ELD8:ELD23" si="1145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6">SUM(ELE8:ELJ8)</f>
        <v>761</v>
      </c>
      <c r="ELL8" s="184">
        <f t="shared" ref="ELL8:ELL23" si="1147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48">SUM(ELN8:ELS8)</f>
        <v>3100</v>
      </c>
      <c r="ELU8" s="211">
        <f t="shared" ref="ELU8:ELU23" si="1149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0">SUM(ELV8:EMA8)</f>
        <v>1495</v>
      </c>
      <c r="EMC8" s="211">
        <f t="shared" ref="EMC8:EMC23" si="1151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2">SUM(EMD8:EMI8)</f>
        <v>1462</v>
      </c>
      <c r="EMK8" s="211">
        <f t="shared" ref="EMK8:EMK23" si="1153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4">SUM(EML8:EMQ8)</f>
        <v>2138</v>
      </c>
      <c r="EMS8" s="211">
        <f t="shared" ref="EMS8:EMS23" si="1155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6">SUM(EMT8:EMY8)</f>
        <v>0</v>
      </c>
      <c r="ENA8" s="211">
        <f t="shared" ref="ENA8:ENA23" si="1157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58">SUM(ENB8:ENG8)</f>
        <v>3110</v>
      </c>
      <c r="ENI8" s="211">
        <f t="shared" ref="ENI8:ENI23" si="1159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0">SUM(ENJ8:ENO8)</f>
        <v>0</v>
      </c>
      <c r="ENQ8" s="211">
        <f t="shared" ref="ENQ8:ENQ23" si="1161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2">SUM(ENR8:ENW8)</f>
        <v>1661</v>
      </c>
      <c r="ENY8" s="211">
        <f t="shared" ref="ENY8:ENY23" si="1163">ENX8/$ENY$5</f>
        <v>276.83333333333331</v>
      </c>
      <c r="ENZ8" s="244">
        <f>SUMIF(SUMPK!$B:$B,$B:$B,SUMPK!$O:$O)</f>
        <v>0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4">SUM(ENZ8:EOE8)</f>
        <v>1942</v>
      </c>
      <c r="EOG8" s="211">
        <f t="shared" ref="EOG8:EOG23" si="1165">EOF8/$EOG$5</f>
        <v>323.66666666666669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6">SUM(EOH8:EOM8)</f>
        <v>1280</v>
      </c>
      <c r="EOO8" s="211">
        <f t="shared" ref="EOO8:EOO23" si="1167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68">SUM(EOP8:EOU8)</f>
        <v>1255</v>
      </c>
      <c r="EOW8" s="211">
        <f t="shared" ref="EOW8:EOW23" si="1169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0">SUM(EOX8:EPC8)</f>
        <v>1374</v>
      </c>
      <c r="EPE8" s="211">
        <f t="shared" ref="EPE8:EPE23" si="1171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2">SUM(EPF8:EPK8)</f>
        <v>779</v>
      </c>
      <c r="EPM8" s="211">
        <f t="shared" ref="EPM8:EPM23" si="1173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4">SUM(EPN8:EPS8)</f>
        <v>2384</v>
      </c>
      <c r="EPU8" s="211">
        <f t="shared" ref="EPU8:EPU23" si="1175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6">SUM(EPV8:EQA8)</f>
        <v>1391</v>
      </c>
      <c r="EQC8" s="211">
        <f t="shared" ref="EQC8:EQC23" si="1177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78">SUM(EQD8:EQI8)</f>
        <v>635</v>
      </c>
      <c r="EQK8" s="211">
        <f t="shared" ref="EQK8:EQK23" si="1179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0">SUM(EQL8:EQQ8)</f>
        <v>599</v>
      </c>
      <c r="EQS8" s="211">
        <f t="shared" ref="EQS8:EQS23" si="1181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2">SUM(EQT8:EQY8)</f>
        <v>1017</v>
      </c>
      <c r="ERA8" s="211">
        <f t="shared" ref="ERA8:ERA23" si="1183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4">SUM(ERB8:ERG8)</f>
        <v>1252</v>
      </c>
      <c r="ERI8" s="211">
        <f t="shared" ref="ERI8:ERI23" si="1185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6">SUM(ERJ8:ERO8)</f>
        <v>2174</v>
      </c>
      <c r="ERQ8" s="211">
        <f t="shared" ref="ERQ8:ERQ23" si="1187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88">SUM(ERR8:ERW8)</f>
        <v>973</v>
      </c>
      <c r="ERY8" s="211">
        <f t="shared" ref="ERY8:ERY23" si="1189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0">SUM(ERZ8:ESE8)</f>
        <v>2404</v>
      </c>
      <c r="ESG8" s="211">
        <f t="shared" ref="ESG8:ESG23" si="1191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2">SUM(ESH8:ESM8)</f>
        <v>779</v>
      </c>
      <c r="ESO8" s="211">
        <f t="shared" ref="ESO8:ESO23" si="1193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4">SUM(ESP8:ESU8)</f>
        <v>2318</v>
      </c>
      <c r="ESW8" s="211">
        <f t="shared" ref="ESW8:ESW23" si="1195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6">SUM(ESX8:ETC8)</f>
        <v>2146</v>
      </c>
      <c r="ETE8" s="736">
        <f t="shared" ref="ETE8:ETE23" si="1197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198">SUM(ETF8:ETK8)</f>
        <v>1327</v>
      </c>
      <c r="ETM8" s="211">
        <f t="shared" ref="ETM8:ETM23" si="1199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0">SUM(ETN8:ETS8)</f>
        <v>1753</v>
      </c>
      <c r="ETU8" s="211">
        <f t="shared" ref="ETU8:ETU23" si="1201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2">SUM(ETV8:EUA8)</f>
        <v>2611</v>
      </c>
      <c r="EUC8" s="211">
        <f t="shared" ref="EUC8:EUC23" si="1203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4">SUM(EUD8:EUI8)</f>
        <v>1117</v>
      </c>
      <c r="EUK8" s="211">
        <f t="shared" ref="EUK8:EUK23" si="1205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6">SUM(EUL8:EUQ8)</f>
        <v>1281</v>
      </c>
      <c r="EUS8" s="211">
        <f t="shared" ref="EUS8:EUS23" si="1207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08">SUM(EUT8:EUY8)</f>
        <v>0</v>
      </c>
      <c r="EVA8" s="211">
        <f t="shared" ref="EVA8:EVA23" si="1209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0">SUM(EVB8:EVG8)</f>
        <v>1407</v>
      </c>
      <c r="EVI8" s="211">
        <f t="shared" ref="EVI8:EVI23" si="1211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2">SUM(EVJ8:EVO8)</f>
        <v>736</v>
      </c>
      <c r="EVQ8" s="211">
        <f t="shared" ref="EVQ8:EVQ23" si="1213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4">SUM(EVR8:EVW8)</f>
        <v>962</v>
      </c>
      <c r="EVY8" s="211">
        <f t="shared" ref="EVY8:EVY23" si="1215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6">SUM(EVZ8:EWE8)</f>
        <v>989</v>
      </c>
      <c r="EWG8" s="211">
        <f t="shared" ref="EWG8:EWG23" si="1217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18">SUM(EWH8:EWM8)</f>
        <v>2329</v>
      </c>
      <c r="EWO8" s="211">
        <f t="shared" ref="EWO8:EWO23" si="1219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0">SUM(EWP8:EWU8)</f>
        <v>1485</v>
      </c>
      <c r="EWW8" s="211">
        <f t="shared" ref="EWW8:EWW23" si="1221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2">SUM(EWX8:EXC8)</f>
        <v>0</v>
      </c>
      <c r="EXE8" s="211">
        <f t="shared" ref="EXE8:EXE23" si="1223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4">SUM(EXF8:EXK8)</f>
        <v>1893</v>
      </c>
      <c r="EXM8" s="211">
        <f t="shared" ref="EXM8:EXM23" si="1225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6">SUM(EXN8:EXS8)</f>
        <v>0</v>
      </c>
      <c r="EXU8" s="211">
        <f t="shared" ref="EXU8:EXU23" si="1227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28">SUM(EXV8:EYA8)</f>
        <v>1472</v>
      </c>
      <c r="EYC8" s="211">
        <f t="shared" ref="EYC8:EYC23" si="1229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0">SUM(EYD8:EYI8)</f>
        <v>1306</v>
      </c>
      <c r="EYK8" s="211">
        <f t="shared" ref="EYK8:EYK23" si="1231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2">SUM(EYL8:EYQ8)</f>
        <v>977</v>
      </c>
      <c r="EYS8" s="211">
        <f t="shared" ref="EYS8:EYS23" si="1233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4">SUM(EYT8:EYY8)</f>
        <v>798</v>
      </c>
      <c r="EZA8" s="211">
        <f t="shared" ref="EZA8:EZA23" si="1235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6">SUM(EZB8:EZG8)</f>
        <v>0</v>
      </c>
      <c r="EZI8" s="211">
        <f t="shared" ref="EZI8:EZI23" si="1237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38">SUM(EZJ8:EZO8)</f>
        <v>2263</v>
      </c>
      <c r="EZQ8" s="873">
        <f t="shared" ref="EZQ8:EZQ23" si="1239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0">SUM(EZR8:EZW8)</f>
        <v>941</v>
      </c>
      <c r="EZY8" s="873">
        <f t="shared" ref="EZY8:EZY23" si="1241">EZX8/$EZY$5</f>
        <v>156.83333333333334</v>
      </c>
      <c r="EZZ8" s="195">
        <v>0</v>
      </c>
      <c r="FAA8" s="49">
        <v>0</v>
      </c>
      <c r="FAB8" s="49">
        <v>0</v>
      </c>
      <c r="FAC8" s="49"/>
      <c r="FAD8" s="49"/>
      <c r="FAE8" s="49"/>
      <c r="FAF8" s="872">
        <f t="shared" ref="FAF8:FAF23" si="1242">SUM(EZZ8:FAE8)</f>
        <v>0</v>
      </c>
      <c r="FAG8" s="873">
        <f t="shared" ref="FAG8:FAG23" si="1243">FAF8/$FAG$5</f>
        <v>0</v>
      </c>
    </row>
    <row r="9" spans="1:4089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10983</v>
      </c>
      <c r="G9" s="24"/>
      <c r="H9" s="24"/>
      <c r="I9" s="24"/>
      <c r="J9" s="360">
        <f>SUMIF(SUMPK!$B:$B,$B:$B,SUMPK!$O:$O)</f>
        <v>0</v>
      </c>
      <c r="K9" s="24"/>
      <c r="L9" s="24">
        <f t="shared" si="567"/>
        <v>10983</v>
      </c>
      <c r="M9" s="24">
        <f t="shared" si="568"/>
        <v>10983</v>
      </c>
      <c r="N9" s="15">
        <v>83</v>
      </c>
      <c r="O9" s="276">
        <f t="shared" si="0"/>
        <v>132.32530120481928</v>
      </c>
      <c r="P9" s="15">
        <v>629.5</v>
      </c>
      <c r="Q9" s="276">
        <f t="shared" si="569"/>
        <v>104.68308181096108</v>
      </c>
      <c r="R9" s="277">
        <f t="shared" si="570"/>
        <v>453.84615384615387</v>
      </c>
      <c r="S9" s="222">
        <v>11800</v>
      </c>
      <c r="T9" s="276">
        <f t="shared" si="571"/>
        <v>24.199830508474577</v>
      </c>
      <c r="U9" s="278"/>
      <c r="V9" s="277">
        <f t="shared" si="1"/>
        <v>24.199830508474577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2"/>
        <v>4379</v>
      </c>
      <c r="BAV9" s="43">
        <f t="shared" si="573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4"/>
        <v>5706</v>
      </c>
      <c r="BBD9" s="43">
        <f t="shared" si="575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6"/>
        <v>3595</v>
      </c>
      <c r="BBL9" s="43">
        <f t="shared" si="577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78"/>
        <v>3282</v>
      </c>
      <c r="BBT9" s="43">
        <f t="shared" si="579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0"/>
        <v>2593</v>
      </c>
      <c r="BCB9" s="43">
        <f t="shared" si="581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2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3"/>
        <v>4139</v>
      </c>
      <c r="BCR9" s="43">
        <f t="shared" si="584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5"/>
        <v>2195</v>
      </c>
      <c r="BCZ9" s="43">
        <f t="shared" si="586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7"/>
        <v>3736</v>
      </c>
      <c r="BDH9" s="43">
        <f t="shared" si="588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0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1"/>
        <v>7086</v>
      </c>
      <c r="BDX9" s="43">
        <f t="shared" si="592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3"/>
        <v>3183</v>
      </c>
      <c r="BEF9" s="43">
        <f t="shared" si="594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5"/>
        <v>3636</v>
      </c>
      <c r="BEN9" s="43">
        <f t="shared" si="596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7"/>
        <v>4109</v>
      </c>
      <c r="BEV9" s="43">
        <f t="shared" si="598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0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1"/>
        <v>8639</v>
      </c>
      <c r="BFL9" s="68">
        <f t="shared" si="602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3"/>
        <v>4927</v>
      </c>
      <c r="BFT9" s="68">
        <f t="shared" si="604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5"/>
        <v>4931</v>
      </c>
      <c r="BGB9" s="68">
        <f t="shared" si="606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7"/>
        <v>2020</v>
      </c>
      <c r="BGJ9" s="68">
        <f t="shared" si="608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09"/>
        <v>4145</v>
      </c>
      <c r="BGR9" s="68">
        <f t="shared" si="610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1"/>
        <v>2385</v>
      </c>
      <c r="BGZ9" s="68">
        <f t="shared" si="612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3"/>
        <v>3898</v>
      </c>
      <c r="BHH9" s="68">
        <f t="shared" si="614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5"/>
        <v>3580</v>
      </c>
      <c r="BHP9" s="184">
        <f t="shared" si="616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7"/>
        <v>3509</v>
      </c>
      <c r="BHX9" s="211">
        <f t="shared" si="618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19"/>
        <v>6938</v>
      </c>
      <c r="BIF9" s="184">
        <f t="shared" si="620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1"/>
        <v>1989</v>
      </c>
      <c r="BIN9" s="184">
        <f t="shared" si="622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3"/>
        <v>4327</v>
      </c>
      <c r="BIV9" s="211">
        <f t="shared" si="624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5"/>
        <v>3503</v>
      </c>
      <c r="BJD9" s="211">
        <f t="shared" si="626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7"/>
        <v>4127</v>
      </c>
      <c r="BJL9" s="211">
        <f t="shared" si="628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29"/>
        <v>6690</v>
      </c>
      <c r="BJT9" s="184">
        <f t="shared" si="630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1"/>
        <v>2965</v>
      </c>
      <c r="BKB9" s="184">
        <f t="shared" si="632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3"/>
        <v>3307</v>
      </c>
      <c r="BKJ9" s="184">
        <f t="shared" si="634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5"/>
        <v>306</v>
      </c>
      <c r="BKR9" s="184">
        <f t="shared" si="636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7"/>
        <v>4317</v>
      </c>
      <c r="BKZ9" s="211">
        <f t="shared" si="638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39"/>
        <v>2355</v>
      </c>
      <c r="BLH9" s="211">
        <f t="shared" si="640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1"/>
        <v>4510</v>
      </c>
      <c r="BLP9" s="184">
        <f t="shared" si="642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3"/>
        <v>5679</v>
      </c>
      <c r="BLX9" s="184">
        <f t="shared" si="644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5"/>
        <v>2998</v>
      </c>
      <c r="BMF9" s="68">
        <f t="shared" si="646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7"/>
        <v>3583</v>
      </c>
      <c r="BMN9" s="68">
        <f t="shared" si="648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49"/>
        <v>5669</v>
      </c>
      <c r="BMV9" s="68">
        <f t="shared" si="650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1"/>
        <v>3272</v>
      </c>
      <c r="BND9" s="68">
        <f t="shared" si="652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3"/>
        <v>315</v>
      </c>
      <c r="BNL9" s="68">
        <f t="shared" si="654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5"/>
        <v>0</v>
      </c>
      <c r="BNT9" s="68">
        <f t="shared" si="656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7"/>
        <v>2994</v>
      </c>
      <c r="BOB9" s="184">
        <f t="shared" si="658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59"/>
        <v>2532</v>
      </c>
      <c r="BOJ9" s="184">
        <f t="shared" si="660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1"/>
        <v>3826</v>
      </c>
      <c r="BOR9" s="68">
        <f t="shared" si="662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3"/>
        <v>6592</v>
      </c>
      <c r="BOZ9" s="68">
        <f t="shared" si="664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5"/>
        <v>4071</v>
      </c>
      <c r="BPH9" s="68">
        <f t="shared" si="666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7"/>
        <v>4154</v>
      </c>
      <c r="BPP9" s="68">
        <f t="shared" si="668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69"/>
        <v>1679</v>
      </c>
      <c r="BPX9" s="68">
        <f t="shared" si="670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1"/>
        <v>3403</v>
      </c>
      <c r="BQF9" s="68">
        <f t="shared" si="672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3"/>
        <v>183</v>
      </c>
      <c r="BQN9" s="68">
        <f t="shared" si="674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5"/>
        <v>5098</v>
      </c>
      <c r="BQV9" s="68">
        <f t="shared" si="676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7"/>
        <v>3764</v>
      </c>
      <c r="BRD9" s="68">
        <f t="shared" si="678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79"/>
        <v>3369</v>
      </c>
      <c r="BRL9" s="68">
        <f t="shared" si="680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1"/>
        <v>1686</v>
      </c>
      <c r="BRT9" s="68">
        <f t="shared" si="682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3"/>
        <v>3423</v>
      </c>
      <c r="BSB9" s="68">
        <f t="shared" si="684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5"/>
        <v>4967</v>
      </c>
      <c r="BSJ9" s="68">
        <f t="shared" si="686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7"/>
        <v>0</v>
      </c>
      <c r="BSR9" s="68">
        <f t="shared" si="688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89"/>
        <v>4183</v>
      </c>
      <c r="BSZ9" s="68">
        <f t="shared" si="690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1"/>
        <v>4369</v>
      </c>
      <c r="BTH9" s="68">
        <f t="shared" si="692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3"/>
        <v>2537</v>
      </c>
      <c r="BTP9" s="68">
        <f t="shared" si="694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5"/>
        <v>4330</v>
      </c>
      <c r="BTX9" s="184">
        <f t="shared" si="696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7"/>
        <v>2168</v>
      </c>
      <c r="BUF9" s="184">
        <f t="shared" si="698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699"/>
        <v>2260</v>
      </c>
      <c r="BUN9" s="211">
        <f t="shared" si="700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1"/>
        <v>2789</v>
      </c>
      <c r="BUV9" s="211">
        <f t="shared" si="702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3"/>
        <v>2777</v>
      </c>
      <c r="BVD9" s="211">
        <f t="shared" si="704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5"/>
        <v>1870</v>
      </c>
      <c r="BVL9" s="184">
        <f t="shared" si="706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7"/>
        <v>4800</v>
      </c>
      <c r="BVT9" s="211">
        <f t="shared" si="708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09"/>
        <v>4241</v>
      </c>
      <c r="BWB9" s="184">
        <f t="shared" si="710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1"/>
        <v>2267</v>
      </c>
      <c r="BWJ9" s="184">
        <f t="shared" si="712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3"/>
        <v>3588</v>
      </c>
      <c r="BWR9" s="211">
        <f t="shared" si="714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5"/>
        <v>5158</v>
      </c>
      <c r="BWZ9" s="211">
        <f t="shared" si="716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7"/>
        <v>1172</v>
      </c>
      <c r="BXH9" s="211">
        <f t="shared" si="718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19"/>
        <v>2665</v>
      </c>
      <c r="BXP9" s="184">
        <f t="shared" si="720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1"/>
        <v>2487</v>
      </c>
      <c r="BXX9" s="184">
        <f t="shared" si="722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3"/>
        <v>4353</v>
      </c>
      <c r="BYF9" s="211">
        <f t="shared" si="724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5"/>
        <v>5484</v>
      </c>
      <c r="BYN9" s="184">
        <f t="shared" si="726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7"/>
        <v>1943</v>
      </c>
      <c r="BYV9" s="211">
        <f t="shared" si="728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29"/>
        <v>3400</v>
      </c>
      <c r="BZD9" s="184">
        <f t="shared" si="730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1"/>
        <v>2522</v>
      </c>
      <c r="BZL9" s="184">
        <f t="shared" si="732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3"/>
        <v>0</v>
      </c>
      <c r="BZT9" s="68">
        <f t="shared" si="734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5"/>
        <v>2532</v>
      </c>
      <c r="CAB9" s="68">
        <f t="shared" si="736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7"/>
        <v>4301</v>
      </c>
      <c r="CAJ9" s="68">
        <f t="shared" si="738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39"/>
        <v>3351</v>
      </c>
      <c r="CAR9" s="184">
        <f t="shared" si="740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1"/>
        <v>3358</v>
      </c>
      <c r="CAZ9" s="211">
        <f t="shared" si="742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3"/>
        <v>4831</v>
      </c>
      <c r="CBH9" s="211">
        <f t="shared" si="744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5"/>
        <v>8088</v>
      </c>
      <c r="CBP9" s="184">
        <f t="shared" si="746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7"/>
        <v>210</v>
      </c>
      <c r="CBX9" s="68">
        <f t="shared" si="748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49"/>
        <v>3509</v>
      </c>
      <c r="CCF9" s="68">
        <f t="shared" si="750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1"/>
        <v>1303</v>
      </c>
      <c r="CCN9" s="68">
        <f t="shared" si="752"/>
        <v>217.16666666666666</v>
      </c>
      <c r="CCO9" s="63"/>
      <c r="CCP9" s="64"/>
      <c r="CCQ9" s="64"/>
      <c r="CCR9" s="64"/>
      <c r="CCS9" s="64"/>
      <c r="CCT9" s="64"/>
      <c r="CCU9" s="67">
        <f t="shared" si="753"/>
        <v>0</v>
      </c>
      <c r="CCV9" s="68">
        <f t="shared" si="754"/>
        <v>0</v>
      </c>
      <c r="CCW9" s="63"/>
      <c r="CCX9" s="64"/>
      <c r="CCY9" s="64">
        <v>1642</v>
      </c>
      <c r="CCZ9" s="64"/>
      <c r="CDA9" s="64"/>
      <c r="CDB9" s="64"/>
      <c r="CDC9" s="67">
        <f t="shared" si="755"/>
        <v>1642</v>
      </c>
      <c r="CDD9" s="68">
        <f t="shared" si="756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7"/>
        <v>4883</v>
      </c>
      <c r="CDL9" s="68">
        <f t="shared" si="758"/>
        <v>813.83333333333337</v>
      </c>
      <c r="CDM9" s="63"/>
      <c r="CDN9" s="64"/>
      <c r="CDO9" s="64"/>
      <c r="CDP9" s="64"/>
      <c r="CDQ9" s="47"/>
      <c r="CDR9" s="64"/>
      <c r="CDS9" s="67">
        <f t="shared" si="759"/>
        <v>0</v>
      </c>
      <c r="CDT9" s="68">
        <f t="shared" si="760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1"/>
        <v>3910</v>
      </c>
      <c r="CEB9" s="68">
        <f t="shared" si="762"/>
        <v>651.66666666666663</v>
      </c>
      <c r="CEC9" s="63"/>
      <c r="CED9" s="64"/>
      <c r="CEE9" s="64"/>
      <c r="CEF9" s="64"/>
      <c r="CEG9" s="64"/>
      <c r="CEH9" s="64"/>
      <c r="CEI9" s="67">
        <f t="shared" si="763"/>
        <v>0</v>
      </c>
      <c r="CEJ9" s="68">
        <f t="shared" si="764"/>
        <v>0</v>
      </c>
      <c r="CEK9" s="63"/>
      <c r="CEL9" s="64">
        <v>3432</v>
      </c>
      <c r="CEM9" s="64"/>
      <c r="CEN9" s="64"/>
      <c r="CEO9" s="64"/>
      <c r="CEP9" s="64"/>
      <c r="CEQ9" s="67">
        <f t="shared" si="765"/>
        <v>3432</v>
      </c>
      <c r="CER9" s="68">
        <f t="shared" si="766"/>
        <v>572</v>
      </c>
      <c r="CES9" s="63"/>
      <c r="CET9" s="64"/>
      <c r="CEU9" s="64"/>
      <c r="CEV9" s="64"/>
      <c r="CEW9" s="64"/>
      <c r="CEX9" s="64"/>
      <c r="CEY9" s="67">
        <f t="shared" si="767"/>
        <v>0</v>
      </c>
      <c r="CEZ9" s="68">
        <f t="shared" si="768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69"/>
        <v>3721</v>
      </c>
      <c r="CFH9" s="68">
        <f t="shared" si="770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1"/>
        <v>5573</v>
      </c>
      <c r="CFP9" s="68">
        <f t="shared" si="772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3"/>
        <v>3274</v>
      </c>
      <c r="CFX9" s="68">
        <f t="shared" si="774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5"/>
        <v>3856</v>
      </c>
      <c r="CGF9" s="68">
        <f t="shared" si="776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7"/>
        <v>4682</v>
      </c>
      <c r="CGN9" s="68">
        <f t="shared" si="778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79"/>
        <v>1985</v>
      </c>
      <c r="CGV9" s="68">
        <f t="shared" si="780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1"/>
        <v>4175</v>
      </c>
      <c r="CHD9" s="68">
        <f t="shared" si="782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3"/>
        <v>2488</v>
      </c>
      <c r="CHL9" s="68">
        <f t="shared" si="784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5"/>
        <v>2479</v>
      </c>
      <c r="CHT9" s="68">
        <f t="shared" si="786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7"/>
        <v>4324</v>
      </c>
      <c r="CIB9" s="68">
        <f t="shared" si="788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89"/>
        <v>1862</v>
      </c>
      <c r="CIJ9" s="68">
        <f t="shared" si="790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1"/>
        <v>4450</v>
      </c>
      <c r="CIR9" s="68">
        <f t="shared" si="792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3"/>
        <v>5744</v>
      </c>
      <c r="CIZ9" s="68">
        <f t="shared" si="794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5"/>
        <v>3794</v>
      </c>
      <c r="CJH9" s="68">
        <f t="shared" si="796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7"/>
        <v>8335</v>
      </c>
      <c r="CJP9" s="68">
        <f t="shared" si="798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799"/>
        <v>3396</v>
      </c>
      <c r="CJX9" s="68">
        <f t="shared" si="800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1"/>
        <v>6486</v>
      </c>
      <c r="CKF9" s="68">
        <f t="shared" si="802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3"/>
        <v>4951</v>
      </c>
      <c r="CKN9" s="68">
        <f t="shared" si="804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5"/>
        <v>3265</v>
      </c>
      <c r="CKV9" s="68">
        <f t="shared" si="806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7"/>
        <v>816</v>
      </c>
      <c r="CLD9" s="68">
        <f t="shared" si="808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09"/>
        <v>3515</v>
      </c>
      <c r="CLL9" s="68">
        <f t="shared" si="810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1"/>
        <v>3448</v>
      </c>
      <c r="CLT9" s="184">
        <f t="shared" si="812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3"/>
        <v>7208</v>
      </c>
      <c r="CMB9" s="68">
        <f t="shared" si="814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5"/>
        <v>3407</v>
      </c>
      <c r="CMJ9" s="68">
        <f t="shared" si="816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7"/>
        <v>3693</v>
      </c>
      <c r="CMR9" s="68">
        <f t="shared" si="818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19"/>
        <v>3914</v>
      </c>
      <c r="CMZ9" s="68">
        <f t="shared" si="820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1"/>
        <v>3980</v>
      </c>
      <c r="CNH9" s="68">
        <f t="shared" si="822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3"/>
        <v>4268</v>
      </c>
      <c r="CNP9" s="68">
        <f t="shared" si="824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5"/>
        <v>3194</v>
      </c>
      <c r="CNX9" s="68">
        <f t="shared" si="826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7"/>
        <v>4463</v>
      </c>
      <c r="COF9" s="68">
        <f t="shared" si="828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29"/>
        <v>3227</v>
      </c>
      <c r="CON9" s="68">
        <f t="shared" si="830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1"/>
        <v>5569</v>
      </c>
      <c r="COV9" s="68">
        <f t="shared" si="832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3"/>
        <v>4970</v>
      </c>
      <c r="CPD9" s="68">
        <f t="shared" si="834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5"/>
        <v>2482</v>
      </c>
      <c r="CPL9" s="68">
        <f t="shared" si="836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7"/>
        <v>10778</v>
      </c>
      <c r="CPT9" s="68">
        <f t="shared" si="838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39"/>
        <v>4186</v>
      </c>
      <c r="CQB9" s="68">
        <f t="shared" si="840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1"/>
        <v>10770</v>
      </c>
      <c r="CQJ9" s="68">
        <f t="shared" si="842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3"/>
        <v>2453</v>
      </c>
      <c r="CQR9" s="68">
        <f t="shared" si="844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0</v>
      </c>
      <c r="CQX9" s="49">
        <v>3516</v>
      </c>
      <c r="CQY9" s="67">
        <f t="shared" si="845"/>
        <v>3516</v>
      </c>
      <c r="CQZ9" s="68">
        <f t="shared" si="846"/>
        <v>586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7"/>
        <v>2894</v>
      </c>
      <c r="CRH9" s="68">
        <f t="shared" si="848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49"/>
        <v>4201</v>
      </c>
      <c r="CRP9" s="68">
        <f t="shared" si="850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1"/>
        <v>4344</v>
      </c>
      <c r="CRX9" s="68">
        <f t="shared" si="852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3"/>
        <v>5358</v>
      </c>
      <c r="CSF9" s="68">
        <f t="shared" si="854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5"/>
        <v>6064</v>
      </c>
      <c r="CSN9" s="68">
        <f t="shared" si="856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7"/>
        <v>8063</v>
      </c>
      <c r="CSV9" s="68">
        <f t="shared" si="858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59"/>
        <v>8380</v>
      </c>
      <c r="CTD9" s="68">
        <f t="shared" si="860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1"/>
        <v>3354</v>
      </c>
      <c r="CTL9" s="68">
        <f t="shared" si="862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3"/>
        <v>1512</v>
      </c>
      <c r="CTT9" s="68">
        <f t="shared" si="864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5"/>
        <v>1001</v>
      </c>
      <c r="CUB9" s="68">
        <f t="shared" si="866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7"/>
        <v>4170</v>
      </c>
      <c r="CUJ9" s="68">
        <f t="shared" si="868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69"/>
        <v>3341</v>
      </c>
      <c r="CUR9" s="68">
        <f t="shared" si="870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1"/>
        <v>3830</v>
      </c>
      <c r="CUZ9" s="68">
        <f t="shared" si="872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3"/>
        <v>6326</v>
      </c>
      <c r="CVH9" s="68">
        <f t="shared" si="874"/>
        <v>1054.3333333333333</v>
      </c>
      <c r="CVI9" s="48">
        <v>0</v>
      </c>
      <c r="CVJ9" s="49">
        <f>SUMIF(SUMPK!$B:$B,$B:$B,SUMPK!$O:$O)</f>
        <v>0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5"/>
        <v>1980</v>
      </c>
      <c r="CVP9" s="68">
        <f t="shared" si="876"/>
        <v>330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7"/>
        <v>6183</v>
      </c>
      <c r="CVX9" s="68">
        <f t="shared" si="878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79"/>
        <v>7965</v>
      </c>
      <c r="CWF9" s="68">
        <f t="shared" si="880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1"/>
        <v>2944</v>
      </c>
      <c r="CWN9" s="68">
        <f t="shared" si="882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3"/>
        <v>3336</v>
      </c>
      <c r="CWV9" s="43">
        <f t="shared" si="884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5"/>
        <v>1658</v>
      </c>
      <c r="CXD9" s="43">
        <f t="shared" si="886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7"/>
        <v>1638</v>
      </c>
      <c r="CXL9" s="43">
        <f t="shared" si="888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89"/>
        <v>4011</v>
      </c>
      <c r="CXT9" s="43">
        <f t="shared" si="890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1"/>
        <v>3973</v>
      </c>
      <c r="CYB9" s="43">
        <f t="shared" si="892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3"/>
        <v>0</v>
      </c>
      <c r="CYJ9" s="43">
        <f t="shared" si="894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5"/>
        <v>7185</v>
      </c>
      <c r="CYR9" s="43">
        <f t="shared" si="896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7"/>
        <v>5585</v>
      </c>
      <c r="CYZ9" s="43">
        <f t="shared" si="898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899"/>
        <v>9657</v>
      </c>
      <c r="CZH9" s="43">
        <f t="shared" si="900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1"/>
        <v>1842</v>
      </c>
      <c r="CZP9" s="43">
        <f t="shared" si="902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3"/>
        <v>4057</v>
      </c>
      <c r="CZX9" s="43">
        <f t="shared" si="904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5"/>
        <v>6562</v>
      </c>
      <c r="DAF9" s="43">
        <f t="shared" si="906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7"/>
        <v>337</v>
      </c>
      <c r="DAN9" s="43">
        <f t="shared" si="908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09"/>
        <v>6778</v>
      </c>
      <c r="DAV9" s="68">
        <f t="shared" si="910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1"/>
        <v>3322</v>
      </c>
      <c r="DBD9" s="68">
        <f t="shared" si="912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3"/>
        <v>4963</v>
      </c>
      <c r="DBL9" s="68">
        <f t="shared" si="914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5"/>
        <v>959</v>
      </c>
      <c r="DBT9" s="68">
        <f t="shared" si="916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7"/>
        <v>3413</v>
      </c>
      <c r="DCB9" s="184">
        <f t="shared" si="918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19"/>
        <v>3882</v>
      </c>
      <c r="DCJ9" s="211">
        <f t="shared" si="920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1"/>
        <v>4821</v>
      </c>
      <c r="DCR9" s="211">
        <f t="shared" si="922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3"/>
        <v>1102</v>
      </c>
      <c r="DCZ9" s="184">
        <f t="shared" si="924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5"/>
        <v>1850</v>
      </c>
      <c r="DDH9" s="211">
        <f t="shared" si="926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7"/>
        <v>2560</v>
      </c>
      <c r="DDP9" s="184">
        <f t="shared" si="928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29"/>
        <v>0</v>
      </c>
      <c r="DDX9" s="211">
        <f t="shared" si="930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1"/>
        <v>7449</v>
      </c>
      <c r="DEF9" s="214">
        <f t="shared" si="932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3"/>
        <v>5403</v>
      </c>
      <c r="DEN9" s="101">
        <f t="shared" si="934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5"/>
        <v>682</v>
      </c>
      <c r="DEV9" s="101">
        <f t="shared" si="936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7"/>
        <v>9</v>
      </c>
      <c r="DFD9" s="43">
        <f t="shared" si="938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39"/>
        <v>5277</v>
      </c>
      <c r="DFL9" s="43">
        <f t="shared" si="940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1"/>
        <v>6225</v>
      </c>
      <c r="DFT9" s="43">
        <f t="shared" si="942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3"/>
        <v>3372</v>
      </c>
      <c r="DGB9" s="43">
        <f t="shared" si="944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5"/>
        <v>2623</v>
      </c>
      <c r="DGJ9" s="68">
        <f t="shared" si="946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7"/>
        <v>3916</v>
      </c>
      <c r="DGR9" s="68">
        <f t="shared" si="948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49"/>
        <v>3970</v>
      </c>
      <c r="DGZ9" s="68">
        <f t="shared" si="950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1"/>
        <v>2409</v>
      </c>
      <c r="DHH9" s="68">
        <f t="shared" si="952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3"/>
        <v>0</v>
      </c>
      <c r="DHP9" s="68">
        <f t="shared" si="954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5"/>
        <v>3676</v>
      </c>
      <c r="DHX9" s="68">
        <f t="shared" si="956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7"/>
        <v>3634</v>
      </c>
      <c r="DIF9" s="68">
        <f t="shared" si="958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59"/>
        <v>311</v>
      </c>
      <c r="DIN9" s="68">
        <f t="shared" si="960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1"/>
        <v>5230</v>
      </c>
      <c r="DIV9" s="68">
        <f t="shared" si="962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3"/>
        <v>3853</v>
      </c>
      <c r="DJD9" s="68">
        <f t="shared" si="964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5"/>
        <v>5261</v>
      </c>
      <c r="DJL9" s="68">
        <f t="shared" si="966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7"/>
        <v>3987</v>
      </c>
      <c r="DJT9" s="68">
        <f t="shared" si="968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69"/>
        <v>2908</v>
      </c>
      <c r="DKB9" s="68">
        <f t="shared" si="970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1"/>
        <v>5076</v>
      </c>
      <c r="DKJ9" s="68">
        <f t="shared" si="972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3"/>
        <v>5131</v>
      </c>
      <c r="DKR9" s="68">
        <f t="shared" si="974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5"/>
        <v>6753</v>
      </c>
      <c r="DKZ9" s="68">
        <f t="shared" si="976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7"/>
        <v>5323</v>
      </c>
      <c r="DLH9" s="68">
        <f t="shared" si="978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79"/>
        <v>4727</v>
      </c>
      <c r="DLP9" s="68">
        <f t="shared" si="980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1"/>
        <v>3885</v>
      </c>
      <c r="DLX9" s="68">
        <f t="shared" si="982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3"/>
        <v>5389</v>
      </c>
      <c r="DMF9" s="68">
        <f t="shared" si="984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5"/>
        <v>3549</v>
      </c>
      <c r="DMN9" s="68">
        <f t="shared" si="986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7"/>
        <v>6701</v>
      </c>
      <c r="DMV9" s="68">
        <f t="shared" si="988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89"/>
        <v>4505</v>
      </c>
      <c r="DND9" s="68">
        <f t="shared" si="990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1"/>
        <v>7997</v>
      </c>
      <c r="DNL9" s="68">
        <f t="shared" si="992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3"/>
        <v>2822</v>
      </c>
      <c r="DNT9" s="68">
        <f t="shared" si="994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5"/>
        <v>1722</v>
      </c>
      <c r="DOB9" s="68">
        <f t="shared" si="996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7"/>
        <v>2994</v>
      </c>
      <c r="DOJ9" s="68">
        <f t="shared" si="998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999"/>
        <v>6715</v>
      </c>
      <c r="DOR9" s="68">
        <f t="shared" si="1000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1"/>
        <v>1506</v>
      </c>
      <c r="DOZ9" s="68">
        <f t="shared" si="1002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3"/>
        <v>6784</v>
      </c>
      <c r="DPH9" s="68">
        <f t="shared" si="1004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5"/>
        <v>7515</v>
      </c>
      <c r="DPP9" s="68">
        <f t="shared" si="1006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7"/>
        <v>2381</v>
      </c>
      <c r="DPX9" s="68">
        <f t="shared" si="1008"/>
        <v>396.83333333333331</v>
      </c>
      <c r="DPY9" s="63">
        <v>2450</v>
      </c>
      <c r="DPZ9" s="64">
        <v>1917</v>
      </c>
      <c r="DQA9" s="64">
        <f>SUMIF(SUMPK!$B:$B,$B:$B,SUMPK!$O:$O)</f>
        <v>0</v>
      </c>
      <c r="DQB9" s="64">
        <v>0</v>
      </c>
      <c r="DQC9" s="64">
        <v>0</v>
      </c>
      <c r="DQD9" s="64">
        <v>1825</v>
      </c>
      <c r="DQE9" s="64">
        <f t="shared" si="1009"/>
        <v>6192</v>
      </c>
      <c r="DQF9" s="68">
        <f t="shared" si="1010"/>
        <v>1032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1"/>
        <v>2748</v>
      </c>
      <c r="DQN9" s="68">
        <f t="shared" si="1012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3"/>
        <v>11343</v>
      </c>
      <c r="DQV9" s="68">
        <f t="shared" si="1014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5"/>
        <v>3369</v>
      </c>
      <c r="DRD9" s="68">
        <f t="shared" si="1016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7"/>
        <v>0</v>
      </c>
      <c r="DRL9" s="68">
        <f t="shared" si="1018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19"/>
        <v>0</v>
      </c>
      <c r="DRT9" s="68">
        <f t="shared" si="1020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1"/>
        <v>1695</v>
      </c>
      <c r="DSB9" s="68">
        <f t="shared" si="1022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3"/>
        <v>4345</v>
      </c>
      <c r="DSJ9" s="68">
        <f t="shared" si="1024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5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6"/>
        <v>2370</v>
      </c>
      <c r="DSZ9" s="68">
        <f t="shared" si="1027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28"/>
        <v>1990</v>
      </c>
      <c r="DTH9" s="68">
        <f t="shared" si="1029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0"/>
        <v>3172</v>
      </c>
      <c r="DTP9" s="68">
        <f t="shared" si="1031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2"/>
        <v>0</v>
      </c>
      <c r="DTX9" s="68">
        <f t="shared" si="1033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4"/>
        <v>4958</v>
      </c>
      <c r="DUF9" s="68">
        <f t="shared" si="1035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6"/>
        <v>1276</v>
      </c>
      <c r="DUN9" s="68">
        <f t="shared" si="1037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38"/>
        <v>2793</v>
      </c>
      <c r="DUV9" s="68">
        <f t="shared" si="1039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0"/>
        <v>2509</v>
      </c>
      <c r="DVD9" s="68">
        <f t="shared" si="1041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2"/>
        <v>6855</v>
      </c>
      <c r="DVL9" s="68">
        <f t="shared" si="1043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4"/>
        <v>348</v>
      </c>
      <c r="DVT9" s="68">
        <f t="shared" si="1045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6"/>
        <v>5988</v>
      </c>
      <c r="DWB9" s="68">
        <f t="shared" si="1047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48"/>
        <v>1421</v>
      </c>
      <c r="DWJ9" s="68">
        <f t="shared" si="1049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0"/>
        <v>8093</v>
      </c>
      <c r="DWR9" s="68">
        <f t="shared" si="1051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2"/>
        <v>0</v>
      </c>
      <c r="DWZ9" s="68">
        <f t="shared" si="1053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4"/>
        <v>5072</v>
      </c>
      <c r="DXH9" s="68">
        <f t="shared" si="1055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6"/>
        <v>144</v>
      </c>
      <c r="DXP9" s="68">
        <f t="shared" si="1057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58"/>
        <v>3080</v>
      </c>
      <c r="DXX9" s="68">
        <f t="shared" si="1059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0"/>
        <v>5976</v>
      </c>
      <c r="DYF9" s="68">
        <f t="shared" si="1061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2"/>
        <v>2147</v>
      </c>
      <c r="DYN9" s="68">
        <f t="shared" si="1063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4"/>
        <v>4154</v>
      </c>
      <c r="DYV9" s="68">
        <f t="shared" si="1065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6"/>
        <v>1400</v>
      </c>
      <c r="DZD9" s="68">
        <f t="shared" si="1067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68"/>
        <v>3332</v>
      </c>
      <c r="DZL9" s="68">
        <f t="shared" si="1069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0"/>
        <v>4202</v>
      </c>
      <c r="DZT9" s="68">
        <f t="shared" si="1071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2"/>
        <v>5524</v>
      </c>
      <c r="EAB9" s="68">
        <f t="shared" si="1073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4"/>
        <v>3127</v>
      </c>
      <c r="EAJ9" s="68">
        <f t="shared" si="1075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6"/>
        <v>5775</v>
      </c>
      <c r="EAR9" s="68">
        <f t="shared" si="1077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78"/>
        <v>3356</v>
      </c>
      <c r="EAZ9" s="68">
        <f t="shared" si="1079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0"/>
        <v>2605</v>
      </c>
      <c r="EBH9" s="68">
        <f t="shared" si="1081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2"/>
        <v>3311</v>
      </c>
      <c r="EBP9" s="68">
        <f t="shared" si="1083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4"/>
        <v>5767</v>
      </c>
      <c r="EBX9" s="68">
        <f t="shared" si="1085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6"/>
        <v>2414</v>
      </c>
      <c r="ECF9" s="68">
        <f t="shared" si="1087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88"/>
        <v>3072</v>
      </c>
      <c r="ECN9" s="68">
        <f t="shared" si="1089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0"/>
        <v>7474</v>
      </c>
      <c r="ECV9" s="68">
        <f t="shared" si="1091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2"/>
        <v>2855</v>
      </c>
      <c r="EDD9" s="68">
        <f t="shared" si="1093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4"/>
        <v>0</v>
      </c>
      <c r="EDL9" s="68">
        <f t="shared" si="1095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6"/>
        <v>7455</v>
      </c>
      <c r="EDT9" s="68">
        <f t="shared" si="1097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098"/>
        <v>2587</v>
      </c>
      <c r="EEB9" s="68">
        <f t="shared" si="1099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0"/>
        <v>3101</v>
      </c>
      <c r="EEJ9" s="68">
        <f t="shared" si="1101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2"/>
        <v>10279</v>
      </c>
      <c r="EER9" s="68">
        <f t="shared" si="1103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4"/>
        <v>1881</v>
      </c>
      <c r="EEZ9" s="68">
        <f t="shared" si="1105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6"/>
        <v>3328</v>
      </c>
      <c r="EFH9" s="68">
        <f t="shared" si="1107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08"/>
        <v>7319</v>
      </c>
      <c r="EFP9" s="68">
        <f t="shared" si="1109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0"/>
        <v>0</v>
      </c>
      <c r="EFX9" s="68">
        <f t="shared" si="1111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2"/>
        <v>6370</v>
      </c>
      <c r="EGF9" s="68">
        <f t="shared" si="1113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4"/>
        <v>3122</v>
      </c>
      <c r="EGN9" s="68">
        <f t="shared" si="1115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6"/>
        <v>7001</v>
      </c>
      <c r="EGV9" s="68">
        <f t="shared" si="1117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18"/>
        <v>2480</v>
      </c>
      <c r="EHD9" s="68">
        <f t="shared" si="1119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0"/>
        <v>2387</v>
      </c>
      <c r="EHL9" s="68">
        <f t="shared" si="1121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2"/>
        <v>3927</v>
      </c>
      <c r="EHT9" s="68">
        <f t="shared" si="1123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4"/>
        <v>3473</v>
      </c>
      <c r="EIB9" s="68">
        <f t="shared" si="1125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6"/>
        <v>4088</v>
      </c>
      <c r="EIJ9" s="68">
        <f t="shared" si="1127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28"/>
        <v>2138</v>
      </c>
      <c r="EIR9" s="68">
        <f t="shared" si="1129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0"/>
        <v>4641</v>
      </c>
      <c r="EIZ9" s="68">
        <f t="shared" si="1131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2"/>
        <v>3756</v>
      </c>
      <c r="EJH9" s="68">
        <f t="shared" si="1133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4"/>
        <v>6056</v>
      </c>
      <c r="EJP9" s="68">
        <f t="shared" si="1135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6"/>
        <v>2246</v>
      </c>
      <c r="EJX9" s="68">
        <f t="shared" si="1137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38"/>
        <v>5778</v>
      </c>
      <c r="EKF9" s="68">
        <f t="shared" si="1139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0"/>
        <v>3752</v>
      </c>
      <c r="EKN9" s="68">
        <f t="shared" si="1141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2"/>
        <v>8028</v>
      </c>
      <c r="EKV9" s="68">
        <f t="shared" si="1143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4"/>
        <v>3050</v>
      </c>
      <c r="ELD9" s="68">
        <f t="shared" si="1145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6"/>
        <v>1066</v>
      </c>
      <c r="ELL9" s="184">
        <f t="shared" si="1147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48"/>
        <v>0</v>
      </c>
      <c r="ELU9" s="211">
        <f t="shared" si="1149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0"/>
        <v>2032</v>
      </c>
      <c r="EMC9" s="211">
        <f t="shared" si="1151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2"/>
        <v>2829</v>
      </c>
      <c r="EMK9" s="211">
        <f t="shared" si="1153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4"/>
        <v>4994</v>
      </c>
      <c r="EMS9" s="211">
        <f t="shared" si="1155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6"/>
        <v>2113</v>
      </c>
      <c r="ENA9" s="211">
        <f t="shared" si="1157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58"/>
        <v>4521</v>
      </c>
      <c r="ENI9" s="211">
        <f t="shared" si="1159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0"/>
        <v>4491</v>
      </c>
      <c r="ENQ9" s="211">
        <f t="shared" si="1161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2"/>
        <v>8147</v>
      </c>
      <c r="ENY9" s="211">
        <f t="shared" si="1163"/>
        <v>1357.8333333333333</v>
      </c>
      <c r="ENZ9" s="244">
        <f>SUMIF(SUMPK!$B:$B,$B:$B,SUMPK!$O:$O)</f>
        <v>0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4"/>
        <v>1019</v>
      </c>
      <c r="EOG9" s="211">
        <f t="shared" si="1165"/>
        <v>169.83333333333334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6"/>
        <v>2</v>
      </c>
      <c r="EOO9" s="211">
        <f t="shared" si="1167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68"/>
        <v>3886</v>
      </c>
      <c r="EOW9" s="211">
        <f t="shared" si="1169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0"/>
        <v>2755</v>
      </c>
      <c r="EPE9" s="211">
        <f t="shared" si="1171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2"/>
        <v>3777</v>
      </c>
      <c r="EPM9" s="211">
        <f t="shared" si="1173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4"/>
        <v>6320</v>
      </c>
      <c r="EPU9" s="211">
        <f t="shared" si="1175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6"/>
        <v>216</v>
      </c>
      <c r="EQC9" s="211">
        <f t="shared" si="1177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78"/>
        <v>3431</v>
      </c>
      <c r="EQK9" s="211">
        <f t="shared" si="1179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0"/>
        <v>4616</v>
      </c>
      <c r="EQS9" s="211">
        <f t="shared" si="1181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2"/>
        <v>2598</v>
      </c>
      <c r="ERA9" s="211">
        <f t="shared" si="1183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4"/>
        <v>4325</v>
      </c>
      <c r="ERI9" s="211">
        <f t="shared" si="1185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6"/>
        <v>1149</v>
      </c>
      <c r="ERQ9" s="211">
        <f t="shared" si="1187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88"/>
        <v>1689</v>
      </c>
      <c r="ERY9" s="211">
        <f t="shared" si="1189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0"/>
        <v>2885</v>
      </c>
      <c r="ESG9" s="211">
        <f t="shared" si="1191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2"/>
        <v>5542</v>
      </c>
      <c r="ESO9" s="211">
        <f t="shared" si="1193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4"/>
        <v>2758</v>
      </c>
      <c r="ESW9" s="211">
        <f t="shared" si="1195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6"/>
        <v>2288</v>
      </c>
      <c r="ETE9" s="736">
        <f t="shared" si="1197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198"/>
        <v>2524</v>
      </c>
      <c r="ETM9" s="211">
        <f t="shared" si="1199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0"/>
        <v>3886</v>
      </c>
      <c r="ETU9" s="211">
        <f t="shared" si="1201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2"/>
        <v>4886</v>
      </c>
      <c r="EUC9" s="211">
        <f t="shared" si="1203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4"/>
        <v>5663</v>
      </c>
      <c r="EUK9" s="211">
        <f t="shared" si="1205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6"/>
        <v>3119</v>
      </c>
      <c r="EUS9" s="211">
        <f t="shared" si="1207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08"/>
        <v>4126</v>
      </c>
      <c r="EVA9" s="211">
        <f t="shared" si="1209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0"/>
        <v>2837</v>
      </c>
      <c r="EVI9" s="211">
        <f t="shared" si="1211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2"/>
        <v>3664</v>
      </c>
      <c r="EVQ9" s="211">
        <f t="shared" si="1213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4"/>
        <v>1242</v>
      </c>
      <c r="EVY9" s="211">
        <f t="shared" si="1215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6"/>
        <v>5183</v>
      </c>
      <c r="EWG9" s="211">
        <f t="shared" si="1217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18"/>
        <v>1614</v>
      </c>
      <c r="EWO9" s="211">
        <f t="shared" si="1219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0"/>
        <v>686</v>
      </c>
      <c r="EWW9" s="211">
        <f t="shared" si="1221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2"/>
        <v>8413</v>
      </c>
      <c r="EXE9" s="211">
        <f t="shared" si="1223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4"/>
        <v>1639</v>
      </c>
      <c r="EXM9" s="211">
        <f t="shared" si="1225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6"/>
        <v>7018</v>
      </c>
      <c r="EXU9" s="211">
        <f t="shared" si="1227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28"/>
        <v>0</v>
      </c>
      <c r="EYC9" s="211">
        <f t="shared" si="1229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0"/>
        <v>0</v>
      </c>
      <c r="EYK9" s="211">
        <f t="shared" si="1231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2"/>
        <v>3339</v>
      </c>
      <c r="EYS9" s="211">
        <f t="shared" si="1233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4"/>
        <v>4701</v>
      </c>
      <c r="EZA9" s="211">
        <f t="shared" si="1235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6"/>
        <v>3127</v>
      </c>
      <c r="EZI9" s="211">
        <f t="shared" si="1237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38"/>
        <v>2380</v>
      </c>
      <c r="EZQ9" s="873">
        <f t="shared" si="1239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0"/>
        <v>498</v>
      </c>
      <c r="EZY9" s="873">
        <f t="shared" si="1241"/>
        <v>83</v>
      </c>
      <c r="EZZ9" s="195">
        <v>2533</v>
      </c>
      <c r="FAA9" s="49">
        <v>192</v>
      </c>
      <c r="FAB9" s="49">
        <v>0</v>
      </c>
      <c r="FAC9" s="49"/>
      <c r="FAD9" s="49"/>
      <c r="FAE9" s="49"/>
      <c r="FAF9" s="872">
        <f t="shared" si="1242"/>
        <v>2725</v>
      </c>
      <c r="FAG9" s="873">
        <f t="shared" si="1243"/>
        <v>454.16666666666669</v>
      </c>
    </row>
    <row r="10" spans="1:4089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12176</v>
      </c>
      <c r="G10" s="24"/>
      <c r="H10" s="24"/>
      <c r="I10" s="24"/>
      <c r="J10" s="360">
        <f>SUMIF(SUMPK!$B:$B,$B:$B,SUMPK!$O:$O)</f>
        <v>0</v>
      </c>
      <c r="K10" s="24"/>
      <c r="L10" s="24">
        <f t="shared" si="567"/>
        <v>12176</v>
      </c>
      <c r="M10" s="24">
        <f t="shared" si="568"/>
        <v>12176</v>
      </c>
      <c r="N10" s="15">
        <v>538.83333333333337</v>
      </c>
      <c r="O10" s="276">
        <f t="shared" si="0"/>
        <v>22.596968759665945</v>
      </c>
      <c r="P10" s="15">
        <v>0</v>
      </c>
      <c r="Q10" s="276">
        <f t="shared" si="569"/>
        <v>0</v>
      </c>
      <c r="R10" s="277">
        <f t="shared" si="570"/>
        <v>476.92307692307691</v>
      </c>
      <c r="S10" s="222">
        <v>12400</v>
      </c>
      <c r="T10" s="276">
        <f t="shared" si="571"/>
        <v>25.530322580645162</v>
      </c>
      <c r="U10" s="278"/>
      <c r="V10" s="277">
        <f t="shared" si="1"/>
        <v>25.530322580645162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2"/>
        <v>3818</v>
      </c>
      <c r="BAV10" s="43">
        <f t="shared" si="573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4"/>
        <v>2533</v>
      </c>
      <c r="BBD10" s="43">
        <f t="shared" si="575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6"/>
        <v>6005</v>
      </c>
      <c r="BBL10" s="43">
        <f t="shared" si="577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78"/>
        <v>4857</v>
      </c>
      <c r="BBT10" s="43">
        <f t="shared" si="579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0"/>
        <v>7042</v>
      </c>
      <c r="BCB10" s="43">
        <f t="shared" si="581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2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3"/>
        <v>2306</v>
      </c>
      <c r="BCR10" s="43">
        <f t="shared" si="584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5"/>
        <v>3878</v>
      </c>
      <c r="BCZ10" s="43">
        <f t="shared" si="586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7"/>
        <v>3008</v>
      </c>
      <c r="BDH10" s="43">
        <f t="shared" si="588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89"/>
        <v>4368</v>
      </c>
      <c r="BDP10" s="43">
        <f t="shared" si="590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1"/>
        <v>6443</v>
      </c>
      <c r="BDX10" s="43">
        <f t="shared" si="592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3"/>
        <v>2572</v>
      </c>
      <c r="BEF10" s="43">
        <f t="shared" si="594"/>
        <v>428.66666666666669</v>
      </c>
      <c r="BEG10" s="48"/>
      <c r="BEH10" s="49"/>
      <c r="BEI10" s="49"/>
      <c r="BEJ10" s="49"/>
      <c r="BEK10" s="49"/>
      <c r="BEL10" s="49"/>
      <c r="BEM10" s="42">
        <f t="shared" si="595"/>
        <v>0</v>
      </c>
      <c r="BEN10" s="43">
        <f t="shared" si="596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7"/>
        <v>4224</v>
      </c>
      <c r="BEV10" s="43">
        <f t="shared" si="598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599"/>
        <v>2423</v>
      </c>
      <c r="BFD10" s="43">
        <f t="shared" si="600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1"/>
        <v>748</v>
      </c>
      <c r="BFL10" s="68">
        <f t="shared" si="602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3"/>
        <v>6583</v>
      </c>
      <c r="BFT10" s="68">
        <f t="shared" si="604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5"/>
        <v>6043</v>
      </c>
      <c r="BGB10" s="68">
        <f t="shared" si="606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7"/>
        <v>3390</v>
      </c>
      <c r="BGJ10" s="68">
        <f t="shared" si="608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09"/>
        <v>5516</v>
      </c>
      <c r="BGR10" s="68">
        <f t="shared" si="610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1"/>
        <v>2168</v>
      </c>
      <c r="BGZ10" s="68">
        <f t="shared" si="612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3"/>
        <v>2006</v>
      </c>
      <c r="BHH10" s="68">
        <f t="shared" si="614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5"/>
        <v>2503</v>
      </c>
      <c r="BHP10" s="184">
        <f t="shared" si="616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7"/>
        <v>3419</v>
      </c>
      <c r="BHX10" s="211">
        <f t="shared" si="618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19"/>
        <v>4661</v>
      </c>
      <c r="BIF10" s="184">
        <f t="shared" si="620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1"/>
        <v>2992</v>
      </c>
      <c r="BIN10" s="184">
        <f t="shared" si="622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3"/>
        <v>5759</v>
      </c>
      <c r="BIV10" s="211">
        <f t="shared" si="624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5"/>
        <v>5756</v>
      </c>
      <c r="BJD10" s="211">
        <f t="shared" si="626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7"/>
        <v>4201</v>
      </c>
      <c r="BJL10" s="211">
        <f t="shared" si="628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29"/>
        <v>5502</v>
      </c>
      <c r="BJT10" s="184">
        <f t="shared" si="630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1"/>
        <v>6132</v>
      </c>
      <c r="BKB10" s="184">
        <f t="shared" si="632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3"/>
        <v>5991</v>
      </c>
      <c r="BKJ10" s="184">
        <f t="shared" si="634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5"/>
        <v>2876</v>
      </c>
      <c r="BKR10" s="184">
        <f t="shared" si="636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7"/>
        <v>3727</v>
      </c>
      <c r="BKZ10" s="211">
        <f t="shared" si="638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39"/>
        <v>3607</v>
      </c>
      <c r="BLH10" s="211">
        <f t="shared" si="640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1"/>
        <v>4198</v>
      </c>
      <c r="BLP10" s="184">
        <f t="shared" si="642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3"/>
        <v>5654</v>
      </c>
      <c r="BLX10" s="184">
        <f t="shared" si="644"/>
        <v>942.33333333333337</v>
      </c>
      <c r="BLY10" s="63"/>
      <c r="BLZ10" s="64"/>
      <c r="BMA10" s="64"/>
      <c r="BMB10" s="64"/>
      <c r="BMC10" s="64"/>
      <c r="BMD10" s="64"/>
      <c r="BME10" s="67">
        <f t="shared" si="645"/>
        <v>0</v>
      </c>
      <c r="BMF10" s="68">
        <f t="shared" si="646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7"/>
        <v>7621</v>
      </c>
      <c r="BMN10" s="68">
        <f t="shared" si="648"/>
        <v>1270.1666666666667</v>
      </c>
      <c r="BMO10" s="63"/>
      <c r="BMP10" s="64"/>
      <c r="BMQ10" s="64"/>
      <c r="BMR10" s="64"/>
      <c r="BMS10" s="64"/>
      <c r="BMT10" s="64"/>
      <c r="BMU10" s="67">
        <f t="shared" si="649"/>
        <v>0</v>
      </c>
      <c r="BMV10" s="68">
        <f t="shared" si="650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1"/>
        <v>7923</v>
      </c>
      <c r="BND10" s="68">
        <f t="shared" si="652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3"/>
        <v>2530</v>
      </c>
      <c r="BNL10" s="68">
        <f t="shared" si="654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5"/>
        <v>4966</v>
      </c>
      <c r="BNT10" s="68">
        <f t="shared" si="656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7"/>
        <v>1932</v>
      </c>
      <c r="BOB10" s="184">
        <f t="shared" si="658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59"/>
        <v>1275</v>
      </c>
      <c r="BOJ10" s="184">
        <f t="shared" si="660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1"/>
        <v>6372</v>
      </c>
      <c r="BOR10" s="68">
        <f t="shared" si="662"/>
        <v>1062</v>
      </c>
      <c r="BOS10" s="63"/>
      <c r="BOT10" s="64"/>
      <c r="BOU10" s="64"/>
      <c r="BOV10" s="64"/>
      <c r="BOW10" s="64"/>
      <c r="BOX10" s="64"/>
      <c r="BOY10" s="67">
        <f t="shared" si="663"/>
        <v>0</v>
      </c>
      <c r="BOZ10" s="68">
        <f t="shared" si="664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5"/>
        <v>3366</v>
      </c>
      <c r="BPH10" s="68">
        <f t="shared" si="666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7"/>
        <v>4255</v>
      </c>
      <c r="BPP10" s="68">
        <f t="shared" si="668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69"/>
        <v>6968</v>
      </c>
      <c r="BPX10" s="68">
        <f t="shared" si="670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1"/>
        <v>3555</v>
      </c>
      <c r="BQF10" s="68">
        <f t="shared" si="672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3"/>
        <v>5143</v>
      </c>
      <c r="BQN10" s="68">
        <f t="shared" si="674"/>
        <v>857.16666666666663</v>
      </c>
      <c r="BQO10" s="63"/>
      <c r="BQP10" s="64"/>
      <c r="BQQ10" s="64"/>
      <c r="BQR10" s="64"/>
      <c r="BQS10" s="64"/>
      <c r="BQT10" s="64"/>
      <c r="BQU10" s="67">
        <f t="shared" si="675"/>
        <v>0</v>
      </c>
      <c r="BQV10" s="68">
        <f t="shared" si="676"/>
        <v>0</v>
      </c>
      <c r="BQW10" s="63"/>
      <c r="BQX10" s="64"/>
      <c r="BQY10" s="64"/>
      <c r="BQZ10" s="64"/>
      <c r="BRA10" s="64"/>
      <c r="BRB10" s="64"/>
      <c r="BRC10" s="67">
        <f t="shared" si="677"/>
        <v>0</v>
      </c>
      <c r="BRD10" s="68">
        <f t="shared" si="678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79"/>
        <v>5002</v>
      </c>
      <c r="BRL10" s="68">
        <f t="shared" si="680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1"/>
        <v>2531</v>
      </c>
      <c r="BRT10" s="68">
        <f t="shared" si="682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3"/>
        <v>2657</v>
      </c>
      <c r="BSB10" s="68">
        <f t="shared" si="684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5"/>
        <v>4548</v>
      </c>
      <c r="BSJ10" s="68">
        <f t="shared" si="686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7"/>
        <v>4861</v>
      </c>
      <c r="BSR10" s="68">
        <f t="shared" si="688"/>
        <v>810.16666666666663</v>
      </c>
      <c r="BSS10" s="63"/>
      <c r="BST10" s="64"/>
      <c r="BSU10" s="64"/>
      <c r="BSV10" s="64"/>
      <c r="BSW10" s="64"/>
      <c r="BSX10" s="64"/>
      <c r="BSY10" s="67">
        <f t="shared" si="689"/>
        <v>0</v>
      </c>
      <c r="BSZ10" s="68">
        <f t="shared" si="690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1"/>
        <v>1512</v>
      </c>
      <c r="BTH10" s="68">
        <f t="shared" si="692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3"/>
        <v>3128</v>
      </c>
      <c r="BTP10" s="68">
        <f t="shared" si="694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5"/>
        <v>4512</v>
      </c>
      <c r="BTX10" s="184">
        <f t="shared" si="696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7"/>
        <v>4716</v>
      </c>
      <c r="BUF10" s="184">
        <f t="shared" si="698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699"/>
        <v>4407</v>
      </c>
      <c r="BUN10" s="211">
        <f t="shared" si="700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1"/>
        <v>7278</v>
      </c>
      <c r="BUV10" s="211">
        <f t="shared" si="702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3"/>
        <v>1944</v>
      </c>
      <c r="BVD10" s="211">
        <f t="shared" si="704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5"/>
        <v>1132</v>
      </c>
      <c r="BVL10" s="184">
        <f t="shared" si="706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7"/>
        <v>9027</v>
      </c>
      <c r="BVT10" s="211">
        <f t="shared" si="708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09"/>
        <v>4148</v>
      </c>
      <c r="BWB10" s="184">
        <f t="shared" si="710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1"/>
        <v>4913</v>
      </c>
      <c r="BWJ10" s="184">
        <f t="shared" si="712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3"/>
        <v>9109</v>
      </c>
      <c r="BWR10" s="211">
        <f t="shared" si="714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5"/>
        <v>3964</v>
      </c>
      <c r="BWZ10" s="211">
        <f t="shared" si="716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7"/>
        <v>3409</v>
      </c>
      <c r="BXH10" s="211">
        <f t="shared" si="718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19"/>
        <v>5994</v>
      </c>
      <c r="BXP10" s="184">
        <f t="shared" si="720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1"/>
        <v>7570</v>
      </c>
      <c r="BXX10" s="184">
        <f t="shared" si="722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3"/>
        <v>3181</v>
      </c>
      <c r="BYF10" s="211">
        <f t="shared" si="724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5"/>
        <v>1986</v>
      </c>
      <c r="BYN10" s="184">
        <f t="shared" si="726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7"/>
        <v>4199</v>
      </c>
      <c r="BYV10" s="211">
        <f t="shared" si="728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29"/>
        <v>2322</v>
      </c>
      <c r="BZD10" s="184">
        <f t="shared" si="730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1"/>
        <v>5064</v>
      </c>
      <c r="BZL10" s="184">
        <f t="shared" si="732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3"/>
        <v>7538</v>
      </c>
      <c r="BZT10" s="68">
        <f t="shared" si="734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5"/>
        <v>8313</v>
      </c>
      <c r="CAB10" s="68">
        <f t="shared" si="736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7"/>
        <v>6936</v>
      </c>
      <c r="CAJ10" s="68">
        <f t="shared" si="738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39"/>
        <v>6716</v>
      </c>
      <c r="CAR10" s="184">
        <f t="shared" si="740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1"/>
        <v>10131</v>
      </c>
      <c r="CAZ10" s="211">
        <f t="shared" si="742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3"/>
        <v>8414</v>
      </c>
      <c r="CBH10" s="211">
        <f t="shared" si="744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5"/>
        <v>3364</v>
      </c>
      <c r="CBP10" s="184">
        <f t="shared" si="746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7"/>
        <v>8603</v>
      </c>
      <c r="CBX10" s="68">
        <f t="shared" si="748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49"/>
        <v>8194</v>
      </c>
      <c r="CCF10" s="68">
        <f t="shared" si="750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1"/>
        <v>5974</v>
      </c>
      <c r="CCN10" s="68">
        <f t="shared" si="752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3"/>
        <v>3350</v>
      </c>
      <c r="CCV10" s="68">
        <f t="shared" si="754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5"/>
        <v>7425</v>
      </c>
      <c r="CDD10" s="68">
        <f t="shared" si="756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7"/>
        <v>3341</v>
      </c>
      <c r="CDL10" s="68">
        <f t="shared" si="758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59"/>
        <v>2516</v>
      </c>
      <c r="CDT10" s="68">
        <f t="shared" si="760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1"/>
        <v>3391</v>
      </c>
      <c r="CEB10" s="68">
        <f t="shared" si="762"/>
        <v>565.16666666666663</v>
      </c>
      <c r="CEC10" s="63"/>
      <c r="CED10" s="64"/>
      <c r="CEE10" s="64"/>
      <c r="CEF10" s="64"/>
      <c r="CEG10" s="64"/>
      <c r="CEH10" s="64"/>
      <c r="CEI10" s="67">
        <f t="shared" si="763"/>
        <v>0</v>
      </c>
      <c r="CEJ10" s="68">
        <f t="shared" si="764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5"/>
        <v>3370</v>
      </c>
      <c r="CER10" s="68">
        <f t="shared" si="766"/>
        <v>561.66666666666663</v>
      </c>
      <c r="CES10" s="63"/>
      <c r="CET10" s="64"/>
      <c r="CEU10" s="64"/>
      <c r="CEV10" s="64"/>
      <c r="CEW10" s="64"/>
      <c r="CEX10" s="64"/>
      <c r="CEY10" s="67">
        <f t="shared" si="767"/>
        <v>0</v>
      </c>
      <c r="CEZ10" s="68">
        <f t="shared" si="768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69"/>
        <v>2430</v>
      </c>
      <c r="CFH10" s="68">
        <f t="shared" si="770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1"/>
        <v>6973</v>
      </c>
      <c r="CFP10" s="68">
        <f t="shared" si="772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3"/>
        <v>3352</v>
      </c>
      <c r="CFX10" s="68">
        <f t="shared" si="774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5"/>
        <v>1977</v>
      </c>
      <c r="CGF10" s="68">
        <f t="shared" si="776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7"/>
        <v>3214</v>
      </c>
      <c r="CGN10" s="68">
        <f t="shared" si="778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79"/>
        <v>6741</v>
      </c>
      <c r="CGV10" s="68">
        <f t="shared" si="780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1"/>
        <v>6684</v>
      </c>
      <c r="CHD10" s="68">
        <f t="shared" si="782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3"/>
        <v>712</v>
      </c>
      <c r="CHL10" s="68">
        <f t="shared" si="784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5"/>
        <v>5135</v>
      </c>
      <c r="CHT10" s="68">
        <f t="shared" si="786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7"/>
        <v>2177</v>
      </c>
      <c r="CIB10" s="68">
        <f t="shared" si="788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89"/>
        <v>6775</v>
      </c>
      <c r="CIJ10" s="68">
        <f t="shared" si="790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1"/>
        <v>6</v>
      </c>
      <c r="CIR10" s="68">
        <f t="shared" si="792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3"/>
        <v>4095</v>
      </c>
      <c r="CIZ10" s="68">
        <f t="shared" si="794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5"/>
        <v>4081</v>
      </c>
      <c r="CJH10" s="68">
        <f t="shared" si="796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7"/>
        <v>3107</v>
      </c>
      <c r="CJP10" s="68">
        <f t="shared" si="798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799"/>
        <v>2499</v>
      </c>
      <c r="CJX10" s="68">
        <f t="shared" si="800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1"/>
        <v>8087</v>
      </c>
      <c r="CKF10" s="68">
        <f t="shared" si="802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3"/>
        <v>3</v>
      </c>
      <c r="CKN10" s="68">
        <f t="shared" si="804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5"/>
        <v>9987</v>
      </c>
      <c r="CKV10" s="68">
        <f t="shared" si="806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7"/>
        <v>5330</v>
      </c>
      <c r="CLD10" s="68">
        <f t="shared" si="808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09"/>
        <v>4078</v>
      </c>
      <c r="CLL10" s="68">
        <f t="shared" si="810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1"/>
        <v>2637</v>
      </c>
      <c r="CLT10" s="184">
        <f t="shared" si="812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3"/>
        <v>3402</v>
      </c>
      <c r="CMB10" s="68">
        <f t="shared" si="814"/>
        <v>567</v>
      </c>
      <c r="CMC10" s="63"/>
      <c r="CMD10" s="64"/>
      <c r="CME10" s="64"/>
      <c r="CMF10" s="64"/>
      <c r="CMG10" s="64"/>
      <c r="CMH10" s="64"/>
      <c r="CMI10" s="67">
        <f t="shared" si="815"/>
        <v>0</v>
      </c>
      <c r="CMJ10" s="68">
        <f t="shared" si="816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7"/>
        <v>3373</v>
      </c>
      <c r="CMR10" s="68">
        <f t="shared" si="818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19"/>
        <v>3343</v>
      </c>
      <c r="CMZ10" s="68">
        <f t="shared" si="820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1"/>
        <v>4792</v>
      </c>
      <c r="CNH10" s="68">
        <f t="shared" si="822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3"/>
        <v>6765</v>
      </c>
      <c r="CNP10" s="68">
        <f t="shared" si="824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5"/>
        <v>4999</v>
      </c>
      <c r="CNX10" s="68">
        <f t="shared" si="826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7"/>
        <v>3424</v>
      </c>
      <c r="COF10" s="68">
        <f t="shared" si="828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29"/>
        <v>5973</v>
      </c>
      <c r="CON10" s="68">
        <f t="shared" si="830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1"/>
        <v>5301</v>
      </c>
      <c r="COV10" s="68">
        <f t="shared" si="832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3"/>
        <v>3298</v>
      </c>
      <c r="CPD10" s="68">
        <f t="shared" si="834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5"/>
        <v>7847</v>
      </c>
      <c r="CPL10" s="68">
        <f t="shared" si="836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7"/>
        <v>3327</v>
      </c>
      <c r="CPT10" s="68">
        <f t="shared" si="838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39"/>
        <v>8429</v>
      </c>
      <c r="CQB10" s="68">
        <f t="shared" si="840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1"/>
        <v>6619</v>
      </c>
      <c r="CQJ10" s="68">
        <f t="shared" si="842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3"/>
        <v>6991</v>
      </c>
      <c r="CQR10" s="68">
        <f t="shared" si="844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0</v>
      </c>
      <c r="CQX10" s="49">
        <v>0</v>
      </c>
      <c r="CQY10" s="67">
        <f t="shared" si="845"/>
        <v>2511</v>
      </c>
      <c r="CQZ10" s="68">
        <f t="shared" si="846"/>
        <v>418.5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7"/>
        <v>2884</v>
      </c>
      <c r="CRH10" s="68">
        <f t="shared" si="848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49"/>
        <v>1968</v>
      </c>
      <c r="CRP10" s="68">
        <f t="shared" si="850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1"/>
        <v>5651</v>
      </c>
      <c r="CRX10" s="68">
        <f t="shared" si="852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3"/>
        <v>2444</v>
      </c>
      <c r="CSF10" s="68">
        <f t="shared" si="854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5"/>
        <v>12698</v>
      </c>
      <c r="CSN10" s="68">
        <f t="shared" si="856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7"/>
        <v>9823</v>
      </c>
      <c r="CSV10" s="68">
        <f t="shared" si="858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59"/>
        <v>8930</v>
      </c>
      <c r="CTD10" s="68">
        <f t="shared" si="860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1"/>
        <v>9970</v>
      </c>
      <c r="CTL10" s="68">
        <f t="shared" si="862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3"/>
        <v>6933</v>
      </c>
      <c r="CTT10" s="68">
        <f t="shared" si="864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5"/>
        <v>2046</v>
      </c>
      <c r="CUB10" s="68">
        <f t="shared" si="866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7"/>
        <v>7553</v>
      </c>
      <c r="CUJ10" s="68">
        <f t="shared" si="868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69"/>
        <v>1023</v>
      </c>
      <c r="CUR10" s="68">
        <f t="shared" si="870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1"/>
        <v>5204</v>
      </c>
      <c r="CUZ10" s="68">
        <f t="shared" si="872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3"/>
        <v>5696</v>
      </c>
      <c r="CVH10" s="68">
        <f t="shared" si="874"/>
        <v>949.33333333333337</v>
      </c>
      <c r="CVI10" s="48">
        <v>1729</v>
      </c>
      <c r="CVJ10" s="49">
        <f>SUMIF(SUMPK!$B:$B,$B:$B,SUMPK!$O:$O)</f>
        <v>0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5"/>
        <v>10147</v>
      </c>
      <c r="CVP10" s="68">
        <f t="shared" si="876"/>
        <v>1691.1666666666667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7"/>
        <v>6627</v>
      </c>
      <c r="CVX10" s="68">
        <f t="shared" si="878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79"/>
        <v>10427</v>
      </c>
      <c r="CWF10" s="68">
        <f t="shared" si="880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1"/>
        <v>7870</v>
      </c>
      <c r="CWN10" s="68">
        <f t="shared" si="882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3"/>
        <v>1389</v>
      </c>
      <c r="CWV10" s="43">
        <f t="shared" si="884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5"/>
        <v>4493</v>
      </c>
      <c r="CXD10" s="43">
        <f t="shared" si="886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7"/>
        <v>4968</v>
      </c>
      <c r="CXL10" s="43">
        <f t="shared" si="888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89"/>
        <v>5436</v>
      </c>
      <c r="CXT10" s="43">
        <f t="shared" si="890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1"/>
        <v>10244</v>
      </c>
      <c r="CYB10" s="43">
        <f t="shared" si="892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3"/>
        <v>6143</v>
      </c>
      <c r="CYJ10" s="43">
        <f t="shared" si="894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5"/>
        <v>6809</v>
      </c>
      <c r="CYR10" s="43">
        <f t="shared" si="896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7"/>
        <v>7720</v>
      </c>
      <c r="CYZ10" s="43">
        <f t="shared" si="898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899"/>
        <v>0</v>
      </c>
      <c r="CZH10" s="43">
        <f t="shared" si="900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1"/>
        <v>5141</v>
      </c>
      <c r="CZP10" s="43">
        <f t="shared" si="902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3"/>
        <v>4771</v>
      </c>
      <c r="CZX10" s="43">
        <f t="shared" si="904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5"/>
        <v>8755</v>
      </c>
      <c r="DAF10" s="43">
        <f t="shared" si="906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7"/>
        <v>8650</v>
      </c>
      <c r="DAN10" s="43">
        <f t="shared" si="908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09"/>
        <v>5956</v>
      </c>
      <c r="DAV10" s="68">
        <f t="shared" si="910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1"/>
        <v>5795</v>
      </c>
      <c r="DBD10" s="68">
        <f t="shared" si="912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3"/>
        <v>8030</v>
      </c>
      <c r="DBL10" s="68">
        <f t="shared" si="914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5"/>
        <v>14112</v>
      </c>
      <c r="DBT10" s="68">
        <f t="shared" si="916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7"/>
        <v>3556</v>
      </c>
      <c r="DCB10" s="184">
        <f t="shared" si="918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19"/>
        <v>7801</v>
      </c>
      <c r="DCJ10" s="211">
        <f t="shared" si="920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1"/>
        <v>7453</v>
      </c>
      <c r="DCR10" s="211">
        <f t="shared" si="922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3"/>
        <v>2820</v>
      </c>
      <c r="DCZ10" s="184">
        <f t="shared" si="924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5"/>
        <v>2109</v>
      </c>
      <c r="DDH10" s="211">
        <f t="shared" si="926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7"/>
        <v>1543</v>
      </c>
      <c r="DDP10" s="184">
        <f t="shared" si="928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29"/>
        <v>0</v>
      </c>
      <c r="DDX10" s="211">
        <f t="shared" si="930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1"/>
        <v>3330</v>
      </c>
      <c r="DEF10" s="214">
        <f t="shared" si="932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3"/>
        <v>0</v>
      </c>
      <c r="DEN10" s="101">
        <f t="shared" si="934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5"/>
        <v>2275</v>
      </c>
      <c r="DEV10" s="101">
        <f t="shared" si="936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7"/>
        <v>1693</v>
      </c>
      <c r="DFD10" s="43">
        <f t="shared" si="938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39"/>
        <v>2062</v>
      </c>
      <c r="DFL10" s="43">
        <f t="shared" si="940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1"/>
        <v>3649</v>
      </c>
      <c r="DFT10" s="43">
        <f t="shared" si="942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3"/>
        <v>2176</v>
      </c>
      <c r="DGB10" s="43">
        <f t="shared" si="944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5"/>
        <v>5240</v>
      </c>
      <c r="DGJ10" s="68">
        <f t="shared" si="946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7"/>
        <v>0</v>
      </c>
      <c r="DGR10" s="68">
        <f t="shared" si="948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49"/>
        <v>5447</v>
      </c>
      <c r="DGZ10" s="68">
        <f t="shared" si="950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1"/>
        <v>0</v>
      </c>
      <c r="DHH10" s="68">
        <f t="shared" si="952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3"/>
        <v>3374</v>
      </c>
      <c r="DHP10" s="68">
        <f t="shared" si="954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5"/>
        <v>993</v>
      </c>
      <c r="DHX10" s="68">
        <f t="shared" si="956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7"/>
        <v>4922</v>
      </c>
      <c r="DIF10" s="68">
        <f t="shared" si="958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59"/>
        <v>3286</v>
      </c>
      <c r="DIN10" s="68">
        <f t="shared" si="960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1"/>
        <v>3287</v>
      </c>
      <c r="DIV10" s="68">
        <f t="shared" si="962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3"/>
        <v>4577</v>
      </c>
      <c r="DJD10" s="68">
        <f t="shared" si="964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5"/>
        <v>5177</v>
      </c>
      <c r="DJL10" s="68">
        <f t="shared" si="966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7"/>
        <v>9186</v>
      </c>
      <c r="DJT10" s="68">
        <f t="shared" si="968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69"/>
        <v>2694</v>
      </c>
      <c r="DKB10" s="68">
        <f t="shared" si="970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1"/>
        <v>5455</v>
      </c>
      <c r="DKJ10" s="68">
        <f t="shared" si="972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3"/>
        <v>1500</v>
      </c>
      <c r="DKR10" s="68">
        <f t="shared" si="974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5"/>
        <v>5575</v>
      </c>
      <c r="DKZ10" s="68">
        <f t="shared" si="976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7"/>
        <v>4441</v>
      </c>
      <c r="DLH10" s="68">
        <f t="shared" si="978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79"/>
        <v>847</v>
      </c>
      <c r="DLP10" s="68">
        <f t="shared" si="980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1"/>
        <v>1774</v>
      </c>
      <c r="DLX10" s="68">
        <f t="shared" si="982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3"/>
        <v>1274</v>
      </c>
      <c r="DMF10" s="68">
        <f t="shared" si="984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5"/>
        <v>6792</v>
      </c>
      <c r="DMN10" s="68">
        <f t="shared" si="986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7"/>
        <v>2045</v>
      </c>
      <c r="DMV10" s="68">
        <f t="shared" si="988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89"/>
        <v>5877</v>
      </c>
      <c r="DND10" s="68">
        <f t="shared" si="990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1"/>
        <v>7387</v>
      </c>
      <c r="DNL10" s="68">
        <f t="shared" si="992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3"/>
        <v>4887</v>
      </c>
      <c r="DNT10" s="68">
        <f t="shared" si="994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5"/>
        <v>3989</v>
      </c>
      <c r="DOB10" s="68">
        <f t="shared" si="996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7"/>
        <v>1591</v>
      </c>
      <c r="DOJ10" s="68">
        <f t="shared" si="998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999"/>
        <v>7496</v>
      </c>
      <c r="DOR10" s="68">
        <f t="shared" si="1000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1"/>
        <v>3442</v>
      </c>
      <c r="DOZ10" s="68">
        <f t="shared" si="1002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3"/>
        <v>5936</v>
      </c>
      <c r="DPH10" s="68">
        <f t="shared" si="1004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5"/>
        <v>5</v>
      </c>
      <c r="DPP10" s="68">
        <f t="shared" si="1006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7"/>
        <v>2620</v>
      </c>
      <c r="DPX10" s="68">
        <f t="shared" si="1008"/>
        <v>436.66666666666669</v>
      </c>
      <c r="DPY10" s="63">
        <v>2032</v>
      </c>
      <c r="DPZ10" s="64">
        <v>0</v>
      </c>
      <c r="DQA10" s="64">
        <f>SUMIF(SUMPK!$B:$B,$B:$B,SUMPK!$O:$O)</f>
        <v>0</v>
      </c>
      <c r="DQB10" s="64">
        <v>0</v>
      </c>
      <c r="DQC10" s="64">
        <v>0</v>
      </c>
      <c r="DQD10" s="64">
        <v>0</v>
      </c>
      <c r="DQE10" s="64">
        <f t="shared" si="1009"/>
        <v>2032</v>
      </c>
      <c r="DQF10" s="68">
        <f t="shared" si="1010"/>
        <v>338.66666666666669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1"/>
        <v>3915</v>
      </c>
      <c r="DQN10" s="68">
        <f t="shared" si="1012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3"/>
        <v>5211</v>
      </c>
      <c r="DQV10" s="68">
        <f t="shared" si="1014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5"/>
        <v>8428</v>
      </c>
      <c r="DRD10" s="68">
        <f t="shared" si="1016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7"/>
        <v>2591</v>
      </c>
      <c r="DRL10" s="68">
        <f t="shared" si="1018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19"/>
        <v>0</v>
      </c>
      <c r="DRT10" s="68">
        <f t="shared" si="1020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1"/>
        <v>0</v>
      </c>
      <c r="DSB10" s="68">
        <f t="shared" si="1022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3"/>
        <v>4254</v>
      </c>
      <c r="DSJ10" s="68">
        <f t="shared" si="1024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5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6"/>
        <v>2534</v>
      </c>
      <c r="DSZ10" s="68">
        <f t="shared" si="1027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28"/>
        <v>3392</v>
      </c>
      <c r="DTH10" s="68">
        <f t="shared" si="1029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0"/>
        <v>2712</v>
      </c>
      <c r="DTP10" s="68">
        <f t="shared" si="1031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2"/>
        <v>5</v>
      </c>
      <c r="DTX10" s="68">
        <f t="shared" si="1033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4"/>
        <v>2907</v>
      </c>
      <c r="DUF10" s="68">
        <f t="shared" si="1035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6"/>
        <v>0</v>
      </c>
      <c r="DUN10" s="68">
        <f t="shared" si="1037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38"/>
        <v>3492</v>
      </c>
      <c r="DUV10" s="68">
        <f t="shared" si="1039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0"/>
        <v>3613</v>
      </c>
      <c r="DVD10" s="68">
        <f t="shared" si="1041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2"/>
        <v>4365</v>
      </c>
      <c r="DVL10" s="68">
        <f t="shared" si="1043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4"/>
        <v>3396</v>
      </c>
      <c r="DVT10" s="68">
        <f t="shared" si="1045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6"/>
        <v>3812</v>
      </c>
      <c r="DWB10" s="68">
        <f t="shared" si="1047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48"/>
        <v>1686</v>
      </c>
      <c r="DWJ10" s="68">
        <f t="shared" si="1049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0"/>
        <v>4235</v>
      </c>
      <c r="DWR10" s="68">
        <f t="shared" si="1051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2"/>
        <v>5039</v>
      </c>
      <c r="DWZ10" s="68">
        <f t="shared" si="1053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4"/>
        <v>3053</v>
      </c>
      <c r="DXH10" s="68">
        <f t="shared" si="1055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6"/>
        <v>3924</v>
      </c>
      <c r="DXP10" s="68">
        <f t="shared" si="1057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58"/>
        <v>4783</v>
      </c>
      <c r="DXX10" s="68">
        <f t="shared" si="1059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0"/>
        <v>848</v>
      </c>
      <c r="DYF10" s="68">
        <f t="shared" si="1061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2"/>
        <v>2513</v>
      </c>
      <c r="DYN10" s="68">
        <f t="shared" si="1063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4"/>
        <v>6753</v>
      </c>
      <c r="DYV10" s="68">
        <f t="shared" si="1065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6"/>
        <v>3533</v>
      </c>
      <c r="DZD10" s="68">
        <f t="shared" si="1067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68"/>
        <v>4414</v>
      </c>
      <c r="DZL10" s="68">
        <f t="shared" si="1069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0"/>
        <v>4779</v>
      </c>
      <c r="DZT10" s="68">
        <f t="shared" si="1071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2"/>
        <v>5792</v>
      </c>
      <c r="EAB10" s="68">
        <f t="shared" si="1073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4"/>
        <v>3928</v>
      </c>
      <c r="EAJ10" s="68">
        <f t="shared" si="1075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6"/>
        <v>6185</v>
      </c>
      <c r="EAR10" s="68">
        <f t="shared" si="1077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78"/>
        <v>5167</v>
      </c>
      <c r="EAZ10" s="68">
        <f t="shared" si="1079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0"/>
        <v>4027</v>
      </c>
      <c r="EBH10" s="68">
        <f t="shared" si="1081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2"/>
        <v>3747</v>
      </c>
      <c r="EBP10" s="68">
        <f t="shared" si="1083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4"/>
        <v>3985</v>
      </c>
      <c r="EBX10" s="68">
        <f t="shared" si="1085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6"/>
        <v>0</v>
      </c>
      <c r="ECF10" s="68">
        <f t="shared" si="1087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88"/>
        <v>0</v>
      </c>
      <c r="ECN10" s="68">
        <f t="shared" si="1089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0"/>
        <v>3349</v>
      </c>
      <c r="ECV10" s="68">
        <f t="shared" si="1091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2"/>
        <v>2996</v>
      </c>
      <c r="EDD10" s="68">
        <f t="shared" si="1093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4"/>
        <v>1328</v>
      </c>
      <c r="EDL10" s="68">
        <f t="shared" si="1095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6"/>
        <v>1354</v>
      </c>
      <c r="EDT10" s="68">
        <f t="shared" si="1097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098"/>
        <v>384</v>
      </c>
      <c r="EEB10" s="68">
        <f t="shared" si="1099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0"/>
        <v>1986</v>
      </c>
      <c r="EEJ10" s="68">
        <f t="shared" si="1101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2"/>
        <v>1001</v>
      </c>
      <c r="EER10" s="68">
        <f t="shared" si="1103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4"/>
        <v>3540</v>
      </c>
      <c r="EEZ10" s="68">
        <f t="shared" si="1105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6"/>
        <v>7537</v>
      </c>
      <c r="EFH10" s="68">
        <f t="shared" si="1107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08"/>
        <v>3589</v>
      </c>
      <c r="EFP10" s="68">
        <f t="shared" si="1109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0"/>
        <v>3947</v>
      </c>
      <c r="EFX10" s="68">
        <f t="shared" si="1111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2"/>
        <v>8076</v>
      </c>
      <c r="EGF10" s="68">
        <f t="shared" si="1113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4"/>
        <v>3339</v>
      </c>
      <c r="EGN10" s="68">
        <f t="shared" si="1115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6"/>
        <v>3812</v>
      </c>
      <c r="EGV10" s="68">
        <f t="shared" si="1117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18"/>
        <v>3686</v>
      </c>
      <c r="EHD10" s="68">
        <f t="shared" si="1119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0"/>
        <v>1032</v>
      </c>
      <c r="EHL10" s="68">
        <f t="shared" si="1121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2"/>
        <v>2981</v>
      </c>
      <c r="EHT10" s="68">
        <f t="shared" si="1123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4"/>
        <v>5667</v>
      </c>
      <c r="EIB10" s="68">
        <f t="shared" si="1125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6"/>
        <v>0</v>
      </c>
      <c r="EIJ10" s="68">
        <f t="shared" si="1127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28"/>
        <v>2786</v>
      </c>
      <c r="EIR10" s="68">
        <f t="shared" si="1129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0"/>
        <v>1032</v>
      </c>
      <c r="EIZ10" s="68">
        <f t="shared" si="1131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2"/>
        <v>2540</v>
      </c>
      <c r="EJH10" s="68">
        <f t="shared" si="1133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4"/>
        <v>1532</v>
      </c>
      <c r="EJP10" s="68">
        <f t="shared" si="1135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6"/>
        <v>3014</v>
      </c>
      <c r="EJX10" s="68">
        <f t="shared" si="1137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38"/>
        <v>5593</v>
      </c>
      <c r="EKF10" s="68">
        <f t="shared" si="1139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0"/>
        <v>8272</v>
      </c>
      <c r="EKN10" s="68">
        <f t="shared" si="1141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2"/>
        <v>6053</v>
      </c>
      <c r="EKV10" s="68">
        <f t="shared" si="1143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4"/>
        <v>1585</v>
      </c>
      <c r="ELD10" s="68">
        <f t="shared" si="1145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6"/>
        <v>5474</v>
      </c>
      <c r="ELL10" s="184">
        <f t="shared" si="1147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48"/>
        <v>4760</v>
      </c>
      <c r="ELU10" s="211">
        <f t="shared" si="1149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0"/>
        <v>1811</v>
      </c>
      <c r="EMC10" s="211">
        <f t="shared" si="1151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2"/>
        <v>5058</v>
      </c>
      <c r="EMK10" s="211">
        <f t="shared" si="1153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4"/>
        <v>1123</v>
      </c>
      <c r="EMS10" s="211">
        <f t="shared" si="1155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6"/>
        <v>2658</v>
      </c>
      <c r="ENA10" s="211">
        <f t="shared" si="1157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58"/>
        <v>3272</v>
      </c>
      <c r="ENI10" s="211">
        <f t="shared" si="1159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0"/>
        <v>1709</v>
      </c>
      <c r="ENQ10" s="211">
        <f t="shared" si="1161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2"/>
        <v>1695</v>
      </c>
      <c r="ENY10" s="211">
        <f t="shared" si="1163"/>
        <v>282.5</v>
      </c>
      <c r="ENZ10" s="244">
        <f>SUMIF(SUMPK!$B:$B,$B:$B,SUMPK!$O:$O)</f>
        <v>0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4"/>
        <v>4667</v>
      </c>
      <c r="EOG10" s="211">
        <f t="shared" si="1165"/>
        <v>777.83333333333337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6"/>
        <v>1777</v>
      </c>
      <c r="EOO10" s="211">
        <f t="shared" si="1167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68"/>
        <v>1448</v>
      </c>
      <c r="EOW10" s="211">
        <f t="shared" si="1169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0"/>
        <v>6392</v>
      </c>
      <c r="EPE10" s="211">
        <f t="shared" si="1171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2"/>
        <v>0</v>
      </c>
      <c r="EPM10" s="211">
        <f t="shared" si="1173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4"/>
        <v>1028</v>
      </c>
      <c r="EPU10" s="211">
        <f t="shared" si="1175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6"/>
        <v>3830</v>
      </c>
      <c r="EQC10" s="211">
        <f t="shared" si="1177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78"/>
        <v>724</v>
      </c>
      <c r="EQK10" s="211">
        <f t="shared" si="1179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0"/>
        <v>2729</v>
      </c>
      <c r="EQS10" s="211">
        <f t="shared" si="1181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2"/>
        <v>1673</v>
      </c>
      <c r="ERA10" s="211">
        <f t="shared" si="1183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4"/>
        <v>2587</v>
      </c>
      <c r="ERI10" s="211">
        <f t="shared" si="1185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6"/>
        <v>839</v>
      </c>
      <c r="ERQ10" s="211">
        <f t="shared" si="1187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88"/>
        <v>2055</v>
      </c>
      <c r="ERY10" s="211">
        <f t="shared" si="1189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0"/>
        <v>982</v>
      </c>
      <c r="ESG10" s="211">
        <f t="shared" si="1191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2"/>
        <v>2743</v>
      </c>
      <c r="ESO10" s="211">
        <f t="shared" si="1193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4"/>
        <v>3548</v>
      </c>
      <c r="ESW10" s="211">
        <f t="shared" si="1195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6"/>
        <v>4179</v>
      </c>
      <c r="ETE10" s="736">
        <f t="shared" si="1197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198"/>
        <v>814</v>
      </c>
      <c r="ETM10" s="211">
        <f t="shared" si="1199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0"/>
        <v>6624</v>
      </c>
      <c r="ETU10" s="211">
        <f t="shared" si="1201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2"/>
        <v>4330</v>
      </c>
      <c r="EUC10" s="211">
        <f t="shared" si="1203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4"/>
        <v>2587</v>
      </c>
      <c r="EUK10" s="211">
        <f t="shared" si="1205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6"/>
        <v>3067</v>
      </c>
      <c r="EUS10" s="211">
        <f t="shared" si="1207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08"/>
        <v>3321</v>
      </c>
      <c r="EVA10" s="211">
        <f t="shared" si="1209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0"/>
        <v>6997</v>
      </c>
      <c r="EVI10" s="211">
        <f t="shared" si="1211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2"/>
        <v>906</v>
      </c>
      <c r="EVQ10" s="211">
        <f t="shared" si="1213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4"/>
        <v>5557</v>
      </c>
      <c r="EVY10" s="211">
        <f t="shared" si="1215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6"/>
        <v>2481</v>
      </c>
      <c r="EWG10" s="211">
        <f t="shared" si="1217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18"/>
        <v>5545</v>
      </c>
      <c r="EWO10" s="211">
        <f t="shared" si="1219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0"/>
        <v>4365</v>
      </c>
      <c r="EWW10" s="211">
        <f t="shared" si="1221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2"/>
        <v>1297</v>
      </c>
      <c r="EXE10" s="211">
        <f t="shared" si="1223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4"/>
        <v>2344</v>
      </c>
      <c r="EXM10" s="211">
        <f t="shared" si="1225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6"/>
        <v>3006</v>
      </c>
      <c r="EXU10" s="211">
        <f t="shared" si="1227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28"/>
        <v>3676</v>
      </c>
      <c r="EYC10" s="211">
        <f t="shared" si="1229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0"/>
        <v>3854</v>
      </c>
      <c r="EYK10" s="211">
        <f t="shared" si="1231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2"/>
        <v>894</v>
      </c>
      <c r="EYS10" s="211">
        <f t="shared" si="1233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4"/>
        <v>4561</v>
      </c>
      <c r="EZA10" s="211">
        <f t="shared" si="1235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6"/>
        <v>6067</v>
      </c>
      <c r="EZI10" s="211">
        <f t="shared" si="1237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38"/>
        <v>5229</v>
      </c>
      <c r="EZQ10" s="873">
        <f t="shared" si="1239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0"/>
        <v>3233</v>
      </c>
      <c r="EZY10" s="873">
        <f t="shared" si="1241"/>
        <v>538.83333333333337</v>
      </c>
      <c r="EZZ10" s="195">
        <v>0</v>
      </c>
      <c r="FAA10" s="49">
        <v>0</v>
      </c>
      <c r="FAB10" s="49">
        <v>0</v>
      </c>
      <c r="FAC10" s="49"/>
      <c r="FAD10" s="49"/>
      <c r="FAE10" s="49"/>
      <c r="FAF10" s="872">
        <f t="shared" si="1242"/>
        <v>0</v>
      </c>
      <c r="FAG10" s="873">
        <f t="shared" si="1243"/>
        <v>0</v>
      </c>
    </row>
    <row r="11" spans="1:4089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10905</v>
      </c>
      <c r="G11" s="24"/>
      <c r="H11" s="24"/>
      <c r="I11" s="360"/>
      <c r="J11" s="360">
        <f>SUMIF(SUMPK!$B:$B,$B:$B,SUMPK!$O:$O)</f>
        <v>918</v>
      </c>
      <c r="K11" s="24"/>
      <c r="L11" s="24">
        <f t="shared" si="567"/>
        <v>9987</v>
      </c>
      <c r="M11" s="24">
        <f t="shared" si="568"/>
        <v>9987</v>
      </c>
      <c r="N11" s="15">
        <v>258.5</v>
      </c>
      <c r="O11" s="276">
        <f t="shared" si="0"/>
        <v>38.63442940038685</v>
      </c>
      <c r="P11" s="15">
        <v>274</v>
      </c>
      <c r="Q11" s="276">
        <f t="shared" si="569"/>
        <v>218.69343065693431</v>
      </c>
      <c r="R11" s="277">
        <f t="shared" si="570"/>
        <v>269.23076923076923</v>
      </c>
      <c r="S11" s="222">
        <v>7000</v>
      </c>
      <c r="T11" s="276">
        <f t="shared" si="571"/>
        <v>37.094571428571427</v>
      </c>
      <c r="U11" s="278"/>
      <c r="V11" s="277">
        <f t="shared" si="1"/>
        <v>37.094571428571427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2"/>
        <v>0</v>
      </c>
      <c r="BAV11" s="43">
        <f t="shared" si="573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4"/>
        <v>481</v>
      </c>
      <c r="BBD11" s="43">
        <f t="shared" si="575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6"/>
        <v>983</v>
      </c>
      <c r="BBL11" s="43">
        <f t="shared" si="577"/>
        <v>163.83333333333334</v>
      </c>
      <c r="BBM11" s="48"/>
      <c r="BBN11" s="49"/>
      <c r="BBO11" s="49"/>
      <c r="BBP11" s="49"/>
      <c r="BBQ11" s="49"/>
      <c r="BBR11" s="49"/>
      <c r="BBS11" s="42">
        <f t="shared" si="578"/>
        <v>0</v>
      </c>
      <c r="BBT11" s="43">
        <f t="shared" si="579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0"/>
        <v>591</v>
      </c>
      <c r="BCB11" s="43">
        <f t="shared" si="581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2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3"/>
        <v>594</v>
      </c>
      <c r="BCR11" s="43">
        <f t="shared" si="584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5"/>
        <v>200</v>
      </c>
      <c r="BCZ11" s="43">
        <f t="shared" si="586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7"/>
        <v>281</v>
      </c>
      <c r="BDH11" s="43">
        <f t="shared" si="588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89"/>
        <v>596</v>
      </c>
      <c r="BDP11" s="43">
        <f t="shared" si="590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1"/>
        <v>120</v>
      </c>
      <c r="BDX11" s="43">
        <f t="shared" si="592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3"/>
        <v>300</v>
      </c>
      <c r="BEF11" s="43">
        <f t="shared" si="594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5"/>
        <v>478</v>
      </c>
      <c r="BEN11" s="43">
        <f t="shared" si="596"/>
        <v>79.666666666666671</v>
      </c>
      <c r="BEO11" s="48"/>
      <c r="BEP11" s="49"/>
      <c r="BEQ11" s="49"/>
      <c r="BER11" s="49"/>
      <c r="BES11" s="49"/>
      <c r="BET11" s="49"/>
      <c r="BEU11" s="42">
        <f t="shared" si="597"/>
        <v>0</v>
      </c>
      <c r="BEV11" s="43">
        <f t="shared" si="598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599"/>
        <v>0</v>
      </c>
      <c r="BFD11" s="43">
        <f t="shared" si="600"/>
        <v>0</v>
      </c>
      <c r="BFE11" s="63"/>
      <c r="BFF11" s="64"/>
      <c r="BFG11" s="64"/>
      <c r="BFH11" s="64"/>
      <c r="BFI11" s="64"/>
      <c r="BFJ11" s="64"/>
      <c r="BFK11" s="67">
        <f t="shared" si="601"/>
        <v>0</v>
      </c>
      <c r="BFL11" s="68">
        <f t="shared" si="602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3"/>
        <v>1283</v>
      </c>
      <c r="BFT11" s="68">
        <f t="shared" si="604"/>
        <v>213.83333333333334</v>
      </c>
      <c r="BFU11" s="48"/>
      <c r="BFV11" s="49"/>
      <c r="BFW11" s="49"/>
      <c r="BFX11" s="49"/>
      <c r="BFY11" s="49"/>
      <c r="BFZ11" s="49"/>
      <c r="BGA11" s="67">
        <f t="shared" si="605"/>
        <v>0</v>
      </c>
      <c r="BGB11" s="68">
        <f t="shared" si="606"/>
        <v>0</v>
      </c>
      <c r="BGC11" s="48"/>
      <c r="BGD11" s="49"/>
      <c r="BGE11" s="49"/>
      <c r="BGF11" s="49"/>
      <c r="BGG11" s="49"/>
      <c r="BGH11" s="49"/>
      <c r="BGI11" s="67">
        <f t="shared" si="607"/>
        <v>0</v>
      </c>
      <c r="BGJ11" s="68">
        <f t="shared" si="608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09"/>
        <v>823</v>
      </c>
      <c r="BGR11" s="68">
        <f t="shared" si="610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1"/>
        <v>799</v>
      </c>
      <c r="BGZ11" s="68">
        <f t="shared" si="612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3"/>
        <v>638</v>
      </c>
      <c r="BHH11" s="68">
        <f t="shared" si="614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5"/>
        <v>922</v>
      </c>
      <c r="BHP11" s="184">
        <f t="shared" si="616"/>
        <v>153.66666666666666</v>
      </c>
      <c r="BHQ11" s="244"/>
      <c r="BHR11" s="64"/>
      <c r="BHS11" s="64"/>
      <c r="BHT11" s="64"/>
      <c r="BHU11" s="64"/>
      <c r="BHV11" s="64"/>
      <c r="BHW11" s="67">
        <f t="shared" si="617"/>
        <v>0</v>
      </c>
      <c r="BHX11" s="211">
        <f t="shared" si="618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19"/>
        <v>989</v>
      </c>
      <c r="BIF11" s="184">
        <f t="shared" si="620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1"/>
        <v>2</v>
      </c>
      <c r="BIN11" s="184">
        <f t="shared" si="622"/>
        <v>0.33333333333333331</v>
      </c>
      <c r="BIO11" s="195"/>
      <c r="BIP11" s="49"/>
      <c r="BIQ11" s="49"/>
      <c r="BIR11" s="49"/>
      <c r="BIS11" s="49"/>
      <c r="BIT11" s="49"/>
      <c r="BIU11" s="67">
        <f t="shared" si="623"/>
        <v>0</v>
      </c>
      <c r="BIV11" s="211">
        <f t="shared" si="624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5"/>
        <v>877</v>
      </c>
      <c r="BJD11" s="211">
        <f t="shared" si="626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7"/>
        <v>812</v>
      </c>
      <c r="BJL11" s="211">
        <f t="shared" si="628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29"/>
        <v>1</v>
      </c>
      <c r="BJT11" s="184">
        <f t="shared" si="630"/>
        <v>0.16666666666666666</v>
      </c>
      <c r="BJU11" s="195"/>
      <c r="BJV11" s="49"/>
      <c r="BJW11" s="49"/>
      <c r="BJX11" s="49"/>
      <c r="BJY11" s="49"/>
      <c r="BJZ11" s="49"/>
      <c r="BKA11" s="67">
        <f t="shared" si="631"/>
        <v>0</v>
      </c>
      <c r="BKB11" s="184">
        <f t="shared" si="632"/>
        <v>0</v>
      </c>
      <c r="BKC11" s="195"/>
      <c r="BKD11" s="49"/>
      <c r="BKE11" s="49"/>
      <c r="BKF11" s="49"/>
      <c r="BKG11" s="49"/>
      <c r="BKH11" s="49"/>
      <c r="BKI11" s="67">
        <f t="shared" si="633"/>
        <v>0</v>
      </c>
      <c r="BKJ11" s="184">
        <f t="shared" si="634"/>
        <v>0</v>
      </c>
      <c r="BKK11" s="244"/>
      <c r="BKL11" s="64"/>
      <c r="BKM11" s="64"/>
      <c r="BKN11" s="64"/>
      <c r="BKO11" s="64"/>
      <c r="BKP11" s="64"/>
      <c r="BKQ11" s="67">
        <f t="shared" si="635"/>
        <v>0</v>
      </c>
      <c r="BKR11" s="184">
        <f t="shared" si="636"/>
        <v>0</v>
      </c>
      <c r="BKS11" s="195"/>
      <c r="BKT11" s="49"/>
      <c r="BKU11" s="49"/>
      <c r="BKV11" s="49"/>
      <c r="BKW11" s="49"/>
      <c r="BKX11" s="49"/>
      <c r="BKY11" s="67">
        <f t="shared" si="637"/>
        <v>0</v>
      </c>
      <c r="BKZ11" s="211">
        <f t="shared" si="638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39"/>
        <v>1042</v>
      </c>
      <c r="BLH11" s="211">
        <f t="shared" si="640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1"/>
        <v>0</v>
      </c>
      <c r="BLP11" s="184">
        <f t="shared" si="642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3"/>
        <v>0</v>
      </c>
      <c r="BLX11" s="184">
        <f t="shared" si="644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5"/>
        <v>2304</v>
      </c>
      <c r="BMF11" s="68">
        <f t="shared" si="646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7"/>
        <v>1680</v>
      </c>
      <c r="BMN11" s="68">
        <f t="shared" si="648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49"/>
        <v>0</v>
      </c>
      <c r="BMV11" s="68">
        <f t="shared" si="650"/>
        <v>0</v>
      </c>
      <c r="BMW11" s="63"/>
      <c r="BMX11" s="64"/>
      <c r="BMY11" s="64"/>
      <c r="BMZ11" s="64"/>
      <c r="BNA11" s="64"/>
      <c r="BNB11" s="64"/>
      <c r="BNC11" s="67">
        <f t="shared" si="651"/>
        <v>0</v>
      </c>
      <c r="BND11" s="68">
        <f t="shared" si="652"/>
        <v>0</v>
      </c>
      <c r="BNE11" s="63"/>
      <c r="BNF11" s="64"/>
      <c r="BNG11" s="64"/>
      <c r="BNH11" s="64"/>
      <c r="BNI11" s="64"/>
      <c r="BNJ11" s="64"/>
      <c r="BNK11" s="67">
        <f t="shared" si="653"/>
        <v>0</v>
      </c>
      <c r="BNL11" s="68">
        <f t="shared" si="654"/>
        <v>0</v>
      </c>
      <c r="BNM11" s="54"/>
      <c r="BNN11" s="127"/>
      <c r="BNO11" s="127"/>
      <c r="BNP11" s="127"/>
      <c r="BNQ11" s="127"/>
      <c r="BNR11" s="127"/>
      <c r="BNS11" s="67">
        <f t="shared" si="655"/>
        <v>0</v>
      </c>
      <c r="BNT11" s="68">
        <f t="shared" si="656"/>
        <v>0</v>
      </c>
      <c r="BNU11" s="63"/>
      <c r="BNV11" s="64"/>
      <c r="BNW11" s="64"/>
      <c r="BNX11" s="64"/>
      <c r="BNY11" s="64"/>
      <c r="BNZ11" s="64"/>
      <c r="BOA11" s="67">
        <f t="shared" si="657"/>
        <v>0</v>
      </c>
      <c r="BOB11" s="184">
        <f t="shared" si="658"/>
        <v>0</v>
      </c>
      <c r="BOC11" s="244"/>
      <c r="BOD11" s="64"/>
      <c r="BOE11" s="64"/>
      <c r="BOF11" s="64"/>
      <c r="BOG11" s="64"/>
      <c r="BOH11" s="64"/>
      <c r="BOI11" s="67">
        <f t="shared" si="659"/>
        <v>0</v>
      </c>
      <c r="BOJ11" s="184">
        <f t="shared" si="660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1"/>
        <v>1041</v>
      </c>
      <c r="BOR11" s="68">
        <f t="shared" si="662"/>
        <v>173.5</v>
      </c>
      <c r="BOS11" s="63"/>
      <c r="BOT11" s="64"/>
      <c r="BOU11" s="64"/>
      <c r="BOV11" s="64"/>
      <c r="BOW11" s="64"/>
      <c r="BOX11" s="64"/>
      <c r="BOY11" s="67">
        <f t="shared" si="663"/>
        <v>0</v>
      </c>
      <c r="BOZ11" s="68">
        <f t="shared" si="664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5"/>
        <v>2290</v>
      </c>
      <c r="BPH11" s="68">
        <f t="shared" si="666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7"/>
        <v>114</v>
      </c>
      <c r="BPP11" s="68">
        <f t="shared" si="668"/>
        <v>19</v>
      </c>
      <c r="BPQ11" s="63"/>
      <c r="BPR11" s="64"/>
      <c r="BPS11" s="64"/>
      <c r="BPT11" s="64"/>
      <c r="BPU11" s="64"/>
      <c r="BPV11" s="64"/>
      <c r="BPW11" s="67">
        <f t="shared" si="669"/>
        <v>0</v>
      </c>
      <c r="BPX11" s="68">
        <f t="shared" si="670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1"/>
        <v>676</v>
      </c>
      <c r="BQF11" s="68">
        <f t="shared" si="672"/>
        <v>112.66666666666667</v>
      </c>
      <c r="BQG11" s="63"/>
      <c r="BQH11" s="64"/>
      <c r="BQI11" s="64"/>
      <c r="BQJ11" s="64"/>
      <c r="BQK11" s="64"/>
      <c r="BQL11" s="64"/>
      <c r="BQM11" s="67">
        <f t="shared" si="673"/>
        <v>0</v>
      </c>
      <c r="BQN11" s="68">
        <f t="shared" si="674"/>
        <v>0</v>
      </c>
      <c r="BQO11" s="63"/>
      <c r="BQP11" s="64"/>
      <c r="BQQ11" s="64"/>
      <c r="BQR11" s="64"/>
      <c r="BQS11" s="64"/>
      <c r="BQT11" s="64"/>
      <c r="BQU11" s="67">
        <f t="shared" si="675"/>
        <v>0</v>
      </c>
      <c r="BQV11" s="68">
        <f t="shared" si="676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7"/>
        <v>0</v>
      </c>
      <c r="BRD11" s="68">
        <f t="shared" si="678"/>
        <v>0</v>
      </c>
      <c r="BRE11" s="63"/>
      <c r="BRF11" s="64"/>
      <c r="BRG11" s="64"/>
      <c r="BRH11" s="64"/>
      <c r="BRI11" s="64"/>
      <c r="BRJ11" s="64"/>
      <c r="BRK11" s="67">
        <f t="shared" si="679"/>
        <v>0</v>
      </c>
      <c r="BRL11" s="68">
        <f t="shared" si="680"/>
        <v>0</v>
      </c>
      <c r="BRM11" s="63"/>
      <c r="BRN11" s="64"/>
      <c r="BRO11" s="64"/>
      <c r="BRP11" s="64"/>
      <c r="BRQ11" s="64"/>
      <c r="BRR11" s="64"/>
      <c r="BRS11" s="67">
        <f t="shared" si="681"/>
        <v>0</v>
      </c>
      <c r="BRT11" s="68">
        <f t="shared" si="682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3"/>
        <v>918</v>
      </c>
      <c r="BSB11" s="68">
        <f t="shared" si="684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5"/>
        <v>1421</v>
      </c>
      <c r="BSJ11" s="68">
        <f t="shared" si="686"/>
        <v>236.83333333333334</v>
      </c>
      <c r="BSK11" s="63"/>
      <c r="BSL11" s="64"/>
      <c r="BSM11" s="64"/>
      <c r="BSN11" s="64"/>
      <c r="BSO11" s="64"/>
      <c r="BSP11" s="68"/>
      <c r="BSQ11" s="265">
        <f t="shared" si="687"/>
        <v>0</v>
      </c>
      <c r="BSR11" s="68">
        <f t="shared" si="688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89"/>
        <v>1704</v>
      </c>
      <c r="BSZ11" s="68">
        <f t="shared" si="690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1"/>
        <v>415</v>
      </c>
      <c r="BTH11" s="68">
        <f t="shared" si="692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3"/>
        <v>160</v>
      </c>
      <c r="BTP11" s="68">
        <f t="shared" si="694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5"/>
        <v>848</v>
      </c>
      <c r="BTX11" s="184">
        <f t="shared" si="696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7"/>
        <v>5</v>
      </c>
      <c r="BUF11" s="184">
        <f t="shared" si="698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699"/>
        <v>330</v>
      </c>
      <c r="BUN11" s="211">
        <f t="shared" si="700"/>
        <v>55</v>
      </c>
      <c r="BUO11" s="244"/>
      <c r="BUP11" s="64"/>
      <c r="BUQ11" s="64"/>
      <c r="BUR11" s="64"/>
      <c r="BUS11" s="64"/>
      <c r="BUT11" s="64"/>
      <c r="BUU11" s="67">
        <f t="shared" si="701"/>
        <v>0</v>
      </c>
      <c r="BUV11" s="211">
        <f t="shared" si="702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3"/>
        <v>820</v>
      </c>
      <c r="BVD11" s="211">
        <f t="shared" si="704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5"/>
        <v>829</v>
      </c>
      <c r="BVL11" s="184">
        <f t="shared" si="706"/>
        <v>138.16666666666666</v>
      </c>
      <c r="BVM11" s="244"/>
      <c r="BVN11" s="64"/>
      <c r="BVO11" s="64"/>
      <c r="BVP11" s="64"/>
      <c r="BVQ11" s="64"/>
      <c r="BVR11" s="64"/>
      <c r="BVS11" s="67">
        <f t="shared" si="707"/>
        <v>0</v>
      </c>
      <c r="BVT11" s="211">
        <f t="shared" si="708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09"/>
        <v>676</v>
      </c>
      <c r="BWB11" s="184">
        <f t="shared" si="710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1"/>
        <v>671</v>
      </c>
      <c r="BWJ11" s="184">
        <f t="shared" si="712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3"/>
        <v>1250</v>
      </c>
      <c r="BWR11" s="211">
        <f t="shared" si="714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5"/>
        <v>386</v>
      </c>
      <c r="BWZ11" s="211">
        <f t="shared" si="716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7"/>
        <v>1572</v>
      </c>
      <c r="BXH11" s="211">
        <f t="shared" si="718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19"/>
        <v>182</v>
      </c>
      <c r="BXP11" s="184">
        <f t="shared" si="720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1"/>
        <v>2358</v>
      </c>
      <c r="BXX11" s="184">
        <f t="shared" si="722"/>
        <v>393</v>
      </c>
      <c r="BXY11" s="244"/>
      <c r="BXZ11" s="64"/>
      <c r="BYA11" s="64"/>
      <c r="BYB11" s="64"/>
      <c r="BYC11" s="64"/>
      <c r="BYD11" s="64"/>
      <c r="BYE11" s="67">
        <f t="shared" si="723"/>
        <v>0</v>
      </c>
      <c r="BYF11" s="211">
        <f t="shared" si="724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5"/>
        <v>1695</v>
      </c>
      <c r="BYN11" s="184">
        <f t="shared" si="726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7"/>
        <v>2843</v>
      </c>
      <c r="BYV11" s="211">
        <f t="shared" si="728"/>
        <v>473.83333333333331</v>
      </c>
      <c r="BYW11" s="244"/>
      <c r="BYX11" s="64"/>
      <c r="BYY11" s="64"/>
      <c r="BYZ11" s="64"/>
      <c r="BZA11" s="64"/>
      <c r="BZB11" s="64"/>
      <c r="BZC11" s="67">
        <f t="shared" si="729"/>
        <v>0</v>
      </c>
      <c r="BZD11" s="184">
        <f t="shared" si="730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1"/>
        <v>1184</v>
      </c>
      <c r="BZL11" s="184">
        <f t="shared" si="732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3"/>
        <v>1872</v>
      </c>
      <c r="BZT11" s="68">
        <f t="shared" si="734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5"/>
        <v>2344</v>
      </c>
      <c r="CAB11" s="68">
        <f t="shared" si="736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7"/>
        <v>954</v>
      </c>
      <c r="CAJ11" s="68">
        <f t="shared" si="738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39"/>
        <v>1719</v>
      </c>
      <c r="CAR11" s="184">
        <f t="shared" si="740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1"/>
        <v>1754</v>
      </c>
      <c r="CAZ11" s="211">
        <f t="shared" si="742"/>
        <v>292.33333333333331</v>
      </c>
      <c r="CBA11" s="244"/>
      <c r="CBB11" s="64"/>
      <c r="CBC11" s="64"/>
      <c r="CBD11" s="64"/>
      <c r="CBE11" s="64"/>
      <c r="CBF11" s="64"/>
      <c r="CBG11" s="67">
        <f t="shared" si="743"/>
        <v>0</v>
      </c>
      <c r="CBH11" s="211">
        <f t="shared" si="744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5"/>
        <v>2296</v>
      </c>
      <c r="CBP11" s="184">
        <f t="shared" si="746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7"/>
        <v>842</v>
      </c>
      <c r="CBX11" s="68">
        <f t="shared" si="748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49"/>
        <v>1690</v>
      </c>
      <c r="CCF11" s="68">
        <f t="shared" si="750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1"/>
        <v>1700</v>
      </c>
      <c r="CCN11" s="68">
        <f t="shared" si="752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3"/>
        <v>2692</v>
      </c>
      <c r="CCV11" s="68">
        <f t="shared" si="754"/>
        <v>448.66666666666669</v>
      </c>
      <c r="CCW11" s="63"/>
      <c r="CCX11" s="64"/>
      <c r="CCY11" s="64"/>
      <c r="CCZ11" s="64"/>
      <c r="CDA11" s="64"/>
      <c r="CDB11" s="64"/>
      <c r="CDC11" s="67">
        <f t="shared" si="755"/>
        <v>0</v>
      </c>
      <c r="CDD11" s="68">
        <f t="shared" si="756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7"/>
        <v>999</v>
      </c>
      <c r="CDL11" s="68">
        <f t="shared" si="758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59"/>
        <v>1167</v>
      </c>
      <c r="CDT11" s="68">
        <f t="shared" si="760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1"/>
        <v>981</v>
      </c>
      <c r="CEB11" s="68">
        <f t="shared" si="762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3"/>
        <v>2506</v>
      </c>
      <c r="CEJ11" s="68">
        <f t="shared" si="764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5"/>
        <v>2368</v>
      </c>
      <c r="CER11" s="68">
        <f t="shared" si="766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7"/>
        <v>1963</v>
      </c>
      <c r="CEZ11" s="68">
        <f t="shared" si="768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69"/>
        <v>1538</v>
      </c>
      <c r="CFH11" s="68">
        <f t="shared" si="770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1"/>
        <v>920</v>
      </c>
      <c r="CFP11" s="68">
        <f t="shared" si="772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3"/>
        <v>859</v>
      </c>
      <c r="CFX11" s="68">
        <f t="shared" si="774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5"/>
        <v>1206</v>
      </c>
      <c r="CGF11" s="68">
        <f t="shared" si="776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7"/>
        <v>3047</v>
      </c>
      <c r="CGN11" s="68">
        <f t="shared" si="778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79"/>
        <v>1542</v>
      </c>
      <c r="CGV11" s="68">
        <f t="shared" si="780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1"/>
        <v>3010</v>
      </c>
      <c r="CHD11" s="68">
        <f t="shared" si="782"/>
        <v>501.66666666666669</v>
      </c>
      <c r="CHE11" s="63"/>
      <c r="CHF11" s="64"/>
      <c r="CHG11" s="64"/>
      <c r="CHH11" s="64"/>
      <c r="CHI11" s="64"/>
      <c r="CHJ11" s="64"/>
      <c r="CHK11" s="67">
        <f t="shared" si="783"/>
        <v>0</v>
      </c>
      <c r="CHL11" s="68">
        <f t="shared" si="784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5"/>
        <v>791</v>
      </c>
      <c r="CHT11" s="68">
        <f t="shared" si="786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7"/>
        <v>1686</v>
      </c>
      <c r="CIB11" s="68">
        <f t="shared" si="788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89"/>
        <v>5356</v>
      </c>
      <c r="CIJ11" s="68">
        <f t="shared" si="790"/>
        <v>892.66666666666663</v>
      </c>
      <c r="CIK11" s="63"/>
      <c r="CIL11" s="64"/>
      <c r="CIM11" s="64"/>
      <c r="CIN11" s="64"/>
      <c r="CIO11" s="64"/>
      <c r="CIP11" s="64"/>
      <c r="CIQ11" s="67">
        <f t="shared" si="791"/>
        <v>0</v>
      </c>
      <c r="CIR11" s="68">
        <f t="shared" si="792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3"/>
        <v>1162</v>
      </c>
      <c r="CIZ11" s="68">
        <f t="shared" si="794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5"/>
        <v>977</v>
      </c>
      <c r="CJH11" s="68">
        <f t="shared" si="796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7"/>
        <v>1150</v>
      </c>
      <c r="CJP11" s="68">
        <f t="shared" si="798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799"/>
        <v>2531</v>
      </c>
      <c r="CJX11" s="68">
        <f t="shared" si="800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1"/>
        <v>2550</v>
      </c>
      <c r="CKF11" s="68">
        <f t="shared" si="802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3"/>
        <v>5095</v>
      </c>
      <c r="CKN11" s="68">
        <f t="shared" si="804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5"/>
        <v>1816</v>
      </c>
      <c r="CKV11" s="68">
        <f t="shared" si="806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7"/>
        <v>2500</v>
      </c>
      <c r="CLD11" s="68">
        <f t="shared" si="808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09"/>
        <v>3702</v>
      </c>
      <c r="CLL11" s="68">
        <f t="shared" si="810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1"/>
        <v>2211</v>
      </c>
      <c r="CLT11" s="184">
        <f t="shared" si="812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3"/>
        <v>1306</v>
      </c>
      <c r="CMB11" s="68">
        <f t="shared" si="814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5"/>
        <v>3113</v>
      </c>
      <c r="CMJ11" s="68">
        <f t="shared" si="816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7"/>
        <v>3099</v>
      </c>
      <c r="CMR11" s="68">
        <f t="shared" si="818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19"/>
        <v>1413</v>
      </c>
      <c r="CMZ11" s="68">
        <f t="shared" si="820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1"/>
        <v>1465</v>
      </c>
      <c r="CNH11" s="68">
        <f t="shared" si="822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3"/>
        <v>4069</v>
      </c>
      <c r="CNP11" s="68">
        <f t="shared" si="824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5"/>
        <v>509</v>
      </c>
      <c r="CNX11" s="68">
        <f t="shared" si="826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7"/>
        <v>2734</v>
      </c>
      <c r="COF11" s="68">
        <f t="shared" si="828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29"/>
        <v>3350</v>
      </c>
      <c r="CON11" s="68">
        <f t="shared" si="830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1"/>
        <v>1178</v>
      </c>
      <c r="COV11" s="68">
        <f t="shared" si="832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3"/>
        <v>1154</v>
      </c>
      <c r="CPD11" s="68">
        <f t="shared" si="834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5"/>
        <v>3068</v>
      </c>
      <c r="CPL11" s="68">
        <f t="shared" si="836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7"/>
        <v>1356</v>
      </c>
      <c r="CPT11" s="68">
        <f t="shared" si="838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39"/>
        <v>3293</v>
      </c>
      <c r="CQB11" s="68">
        <f t="shared" si="840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1"/>
        <v>6302</v>
      </c>
      <c r="CQJ11" s="68">
        <f t="shared" si="842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3"/>
        <v>1572</v>
      </c>
      <c r="CQR11" s="68">
        <f t="shared" si="844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918</v>
      </c>
      <c r="CQX11" s="49">
        <v>1324</v>
      </c>
      <c r="CQY11" s="67">
        <f t="shared" si="845"/>
        <v>3339</v>
      </c>
      <c r="CQZ11" s="68">
        <f t="shared" si="846"/>
        <v>556.5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7"/>
        <v>4445</v>
      </c>
      <c r="CRH11" s="68">
        <f t="shared" si="848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49"/>
        <v>4034</v>
      </c>
      <c r="CRP11" s="68">
        <f t="shared" si="850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1"/>
        <v>3274</v>
      </c>
      <c r="CRX11" s="68">
        <f t="shared" si="852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44">SUM(CRY11:CSD11)</f>
        <v>4592</v>
      </c>
      <c r="CSF11" s="68">
        <f t="shared" ref="CSF11:CSF23" si="1245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5"/>
        <v>3739</v>
      </c>
      <c r="CSN11" s="68">
        <f t="shared" si="856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7"/>
        <v>76</v>
      </c>
      <c r="CSV11" s="68">
        <f t="shared" si="858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59"/>
        <v>1676</v>
      </c>
      <c r="CTD11" s="68">
        <f t="shared" si="860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1"/>
        <v>5433</v>
      </c>
      <c r="CTL11" s="68">
        <f t="shared" si="862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3"/>
        <v>3401</v>
      </c>
      <c r="CTT11" s="68">
        <f t="shared" si="864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5"/>
        <v>2040</v>
      </c>
      <c r="CUB11" s="68">
        <f t="shared" si="866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7"/>
        <v>1408</v>
      </c>
      <c r="CUJ11" s="68">
        <f t="shared" si="868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69"/>
        <v>3190</v>
      </c>
      <c r="CUR11" s="68">
        <f t="shared" si="870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1"/>
        <v>7600</v>
      </c>
      <c r="CUZ11" s="68">
        <f t="shared" si="872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3"/>
        <v>2553</v>
      </c>
      <c r="CVH11" s="68">
        <f t="shared" si="874"/>
        <v>425.5</v>
      </c>
      <c r="CVI11" s="48">
        <v>0</v>
      </c>
      <c r="CVJ11" s="49">
        <f>SUMIF(SUMPK!$B:$B,$B:$B,SUMPK!$O:$O)</f>
        <v>918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5"/>
        <v>6757</v>
      </c>
      <c r="CVP11" s="68">
        <f t="shared" si="876"/>
        <v>1126.1666666666667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7"/>
        <v>5687</v>
      </c>
      <c r="CVX11" s="68">
        <f t="shared" si="878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79"/>
        <v>2390</v>
      </c>
      <c r="CWF11" s="68">
        <f t="shared" si="880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1"/>
        <v>2438</v>
      </c>
      <c r="CWN11" s="68">
        <f t="shared" si="882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3"/>
        <v>4868</v>
      </c>
      <c r="CWV11" s="43">
        <f t="shared" si="884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5"/>
        <v>1400</v>
      </c>
      <c r="CXD11" s="43">
        <f t="shared" si="886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7"/>
        <v>0</v>
      </c>
      <c r="CXL11" s="43">
        <f t="shared" si="888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89"/>
        <v>3739</v>
      </c>
      <c r="CXT11" s="43">
        <f t="shared" si="890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1"/>
        <v>3411</v>
      </c>
      <c r="CYB11" s="43">
        <f t="shared" si="892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3"/>
        <v>3862</v>
      </c>
      <c r="CYJ11" s="43">
        <f t="shared" si="894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5"/>
        <v>6684</v>
      </c>
      <c r="CYR11" s="43">
        <f t="shared" si="896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7"/>
        <v>4442</v>
      </c>
      <c r="CYZ11" s="43">
        <f t="shared" si="898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899"/>
        <v>6147</v>
      </c>
      <c r="CZH11" s="43">
        <f t="shared" si="900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1"/>
        <v>4954</v>
      </c>
      <c r="CZP11" s="43">
        <f t="shared" si="902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3"/>
        <v>1711</v>
      </c>
      <c r="CZX11" s="43">
        <f t="shared" si="904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5"/>
        <v>1721</v>
      </c>
      <c r="DAF11" s="43">
        <f t="shared" si="906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7"/>
        <v>2576</v>
      </c>
      <c r="DAN11" s="43">
        <f t="shared" si="908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09"/>
        <v>1789</v>
      </c>
      <c r="DAV11" s="68">
        <f t="shared" si="910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1"/>
        <v>5853</v>
      </c>
      <c r="DBD11" s="68">
        <f t="shared" si="912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3"/>
        <v>1708</v>
      </c>
      <c r="DBL11" s="68">
        <f t="shared" si="914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5"/>
        <v>5202</v>
      </c>
      <c r="DBT11" s="68">
        <f t="shared" si="916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7"/>
        <v>4765</v>
      </c>
      <c r="DCB11" s="184">
        <f t="shared" si="918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19"/>
        <v>3123</v>
      </c>
      <c r="DCJ11" s="211">
        <f t="shared" si="920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1"/>
        <v>5362</v>
      </c>
      <c r="DCR11" s="211">
        <f t="shared" si="922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3"/>
        <v>3404</v>
      </c>
      <c r="DCZ11" s="184">
        <f t="shared" si="924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5"/>
        <v>6459</v>
      </c>
      <c r="DDH11" s="211">
        <f t="shared" si="926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7"/>
        <v>2546</v>
      </c>
      <c r="DDP11" s="184">
        <f t="shared" si="928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29"/>
        <v>4017</v>
      </c>
      <c r="DDX11" s="211">
        <f t="shared" si="930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1"/>
        <v>5246</v>
      </c>
      <c r="DEF11" s="214">
        <f t="shared" si="932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3"/>
        <v>2557</v>
      </c>
      <c r="DEN11" s="101">
        <f t="shared" si="934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5"/>
        <v>4757</v>
      </c>
      <c r="DEV11" s="101">
        <f t="shared" si="936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7"/>
        <v>5616</v>
      </c>
      <c r="DFD11" s="43">
        <f t="shared" si="938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39"/>
        <v>5033</v>
      </c>
      <c r="DFL11" s="43">
        <f t="shared" si="940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1"/>
        <v>518</v>
      </c>
      <c r="DFT11" s="43">
        <f t="shared" si="942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3"/>
        <v>5705</v>
      </c>
      <c r="DGB11" s="43">
        <f t="shared" si="944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5"/>
        <v>6328</v>
      </c>
      <c r="DGJ11" s="68">
        <f t="shared" si="946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7"/>
        <v>2040</v>
      </c>
      <c r="DGR11" s="68">
        <f t="shared" si="948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49"/>
        <v>2920</v>
      </c>
      <c r="DGZ11" s="68">
        <f t="shared" si="950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1"/>
        <v>1825</v>
      </c>
      <c r="DHH11" s="68">
        <f t="shared" si="952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3"/>
        <v>7853</v>
      </c>
      <c r="DHP11" s="68">
        <f t="shared" si="954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5"/>
        <v>1359</v>
      </c>
      <c r="DHX11" s="68">
        <f t="shared" si="956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7"/>
        <v>2489</v>
      </c>
      <c r="DIF11" s="68">
        <f t="shared" si="958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59"/>
        <v>4639</v>
      </c>
      <c r="DIN11" s="68">
        <f t="shared" si="960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1"/>
        <v>2509</v>
      </c>
      <c r="DIV11" s="68">
        <f t="shared" si="962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3"/>
        <v>4734</v>
      </c>
      <c r="DJD11" s="68">
        <f t="shared" si="964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5"/>
        <v>1426</v>
      </c>
      <c r="DJL11" s="68">
        <f t="shared" si="966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7"/>
        <v>6158</v>
      </c>
      <c r="DJT11" s="68">
        <f t="shared" si="968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69"/>
        <v>6196</v>
      </c>
      <c r="DKB11" s="68">
        <f t="shared" si="970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1"/>
        <v>4537</v>
      </c>
      <c r="DKJ11" s="68">
        <f t="shared" si="972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3"/>
        <v>3207</v>
      </c>
      <c r="DKR11" s="68">
        <f t="shared" si="974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5"/>
        <v>2333</v>
      </c>
      <c r="DKZ11" s="68">
        <f t="shared" si="976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7"/>
        <v>3267</v>
      </c>
      <c r="DLH11" s="68">
        <f t="shared" si="978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79"/>
        <v>4153</v>
      </c>
      <c r="DLP11" s="68">
        <f t="shared" si="980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1"/>
        <v>0</v>
      </c>
      <c r="DLX11" s="68">
        <f t="shared" si="982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3"/>
        <v>1666</v>
      </c>
      <c r="DMF11" s="68">
        <f t="shared" si="984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5"/>
        <v>2673</v>
      </c>
      <c r="DMN11" s="68">
        <f t="shared" si="986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7"/>
        <v>3262</v>
      </c>
      <c r="DMV11" s="68">
        <f t="shared" si="988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89"/>
        <v>3784</v>
      </c>
      <c r="DND11" s="68">
        <f t="shared" si="990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1"/>
        <v>1313</v>
      </c>
      <c r="DNL11" s="68">
        <f t="shared" si="992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3"/>
        <v>2583</v>
      </c>
      <c r="DNT11" s="68">
        <f t="shared" si="994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5"/>
        <v>2413</v>
      </c>
      <c r="DOB11" s="68">
        <f t="shared" si="996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7"/>
        <v>1875</v>
      </c>
      <c r="DOJ11" s="68">
        <f t="shared" si="998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999"/>
        <v>1274</v>
      </c>
      <c r="DOR11" s="68">
        <f t="shared" si="1000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1"/>
        <v>1179</v>
      </c>
      <c r="DOZ11" s="68">
        <f t="shared" si="1002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3"/>
        <v>3191</v>
      </c>
      <c r="DPH11" s="68">
        <f t="shared" si="1004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5"/>
        <v>3316</v>
      </c>
      <c r="DPP11" s="68">
        <f t="shared" si="1006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7"/>
        <v>1337</v>
      </c>
      <c r="DPX11" s="68">
        <f t="shared" si="1008"/>
        <v>222.83333333333334</v>
      </c>
      <c r="DPY11" s="63">
        <v>0</v>
      </c>
      <c r="DPZ11" s="64">
        <v>1403</v>
      </c>
      <c r="DQA11" s="64">
        <f>SUMIF(SUMPK!$B:$B,$B:$B,SUMPK!$O:$O)</f>
        <v>918</v>
      </c>
      <c r="DQB11" s="64">
        <v>0</v>
      </c>
      <c r="DQC11" s="64">
        <v>1640</v>
      </c>
      <c r="DQD11" s="64">
        <v>0</v>
      </c>
      <c r="DQE11" s="64">
        <f t="shared" si="1009"/>
        <v>3961</v>
      </c>
      <c r="DQF11" s="68">
        <f t="shared" si="1010"/>
        <v>660.16666666666663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1"/>
        <v>0</v>
      </c>
      <c r="DQN11" s="68">
        <f t="shared" si="1012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3"/>
        <v>0</v>
      </c>
      <c r="DQV11" s="68">
        <f t="shared" si="1014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5"/>
        <v>14</v>
      </c>
      <c r="DRD11" s="68">
        <f t="shared" si="1016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7"/>
        <v>1961</v>
      </c>
      <c r="DRL11" s="68">
        <f t="shared" si="1018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19"/>
        <v>1664</v>
      </c>
      <c r="DRT11" s="68">
        <f t="shared" si="1020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1"/>
        <v>470</v>
      </c>
      <c r="DSB11" s="68">
        <f t="shared" si="1022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3"/>
        <v>3398</v>
      </c>
      <c r="DSJ11" s="68">
        <f t="shared" si="1024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5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6"/>
        <v>1492</v>
      </c>
      <c r="DSZ11" s="68">
        <f t="shared" si="1027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28"/>
        <v>3834</v>
      </c>
      <c r="DTH11" s="68">
        <f t="shared" si="1029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0"/>
        <v>2505</v>
      </c>
      <c r="DTP11" s="68">
        <f t="shared" si="1031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2"/>
        <v>3339</v>
      </c>
      <c r="DTX11" s="68">
        <f t="shared" si="1033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4"/>
        <v>2918</v>
      </c>
      <c r="DUF11" s="68">
        <f t="shared" si="1035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6"/>
        <v>2376</v>
      </c>
      <c r="DUN11" s="68">
        <f t="shared" si="1037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38"/>
        <v>2471</v>
      </c>
      <c r="DUV11" s="68">
        <f t="shared" si="1039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0"/>
        <v>2670</v>
      </c>
      <c r="DVD11" s="68">
        <f t="shared" si="1041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2"/>
        <v>1491</v>
      </c>
      <c r="DVL11" s="68">
        <f t="shared" si="1043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4"/>
        <v>5384</v>
      </c>
      <c r="DVT11" s="68">
        <f t="shared" si="1045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6"/>
        <v>6944</v>
      </c>
      <c r="DWB11" s="68">
        <f t="shared" si="1047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48"/>
        <v>3011</v>
      </c>
      <c r="DWJ11" s="68">
        <f t="shared" si="1049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0"/>
        <v>3287</v>
      </c>
      <c r="DWR11" s="68">
        <f t="shared" si="1051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2"/>
        <v>4392</v>
      </c>
      <c r="DWZ11" s="68">
        <f t="shared" si="1053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4"/>
        <v>0</v>
      </c>
      <c r="DXH11" s="68">
        <f t="shared" si="1055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6"/>
        <v>1696</v>
      </c>
      <c r="DXP11" s="68">
        <f t="shared" si="1057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58"/>
        <v>893</v>
      </c>
      <c r="DXX11" s="68">
        <f t="shared" si="1059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0"/>
        <v>3583</v>
      </c>
      <c r="DYF11" s="68">
        <f t="shared" si="1061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2"/>
        <v>2495</v>
      </c>
      <c r="DYN11" s="68">
        <f t="shared" si="1063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4"/>
        <v>3372</v>
      </c>
      <c r="DYV11" s="68">
        <f t="shared" si="1065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6"/>
        <v>5160</v>
      </c>
      <c r="DZD11" s="68">
        <f t="shared" si="1067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68"/>
        <v>2344</v>
      </c>
      <c r="DZL11" s="68">
        <f t="shared" si="1069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0"/>
        <v>4239</v>
      </c>
      <c r="DZT11" s="68">
        <f t="shared" si="1071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2"/>
        <v>3328</v>
      </c>
      <c r="EAB11" s="68">
        <f t="shared" si="1073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4"/>
        <v>3356</v>
      </c>
      <c r="EAJ11" s="68">
        <f t="shared" si="1075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6"/>
        <v>3077</v>
      </c>
      <c r="EAR11" s="68">
        <f t="shared" si="1077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78"/>
        <v>1406</v>
      </c>
      <c r="EAZ11" s="68">
        <f t="shared" si="1079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0"/>
        <v>2863</v>
      </c>
      <c r="EBH11" s="68">
        <f t="shared" si="1081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2"/>
        <v>2559</v>
      </c>
      <c r="EBP11" s="68">
        <f t="shared" si="1083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4"/>
        <v>5666</v>
      </c>
      <c r="EBX11" s="68">
        <f t="shared" si="1085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6"/>
        <v>49</v>
      </c>
      <c r="ECF11" s="68">
        <f t="shared" si="1087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88"/>
        <v>1359</v>
      </c>
      <c r="ECN11" s="68">
        <f t="shared" si="1089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0"/>
        <v>2398</v>
      </c>
      <c r="ECV11" s="68">
        <f t="shared" si="1091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2"/>
        <v>2015</v>
      </c>
      <c r="EDD11" s="68">
        <f t="shared" si="1093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4"/>
        <v>1860</v>
      </c>
      <c r="EDL11" s="68">
        <f t="shared" si="1095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6"/>
        <v>1360</v>
      </c>
      <c r="EDT11" s="68">
        <f t="shared" si="1097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098"/>
        <v>1790</v>
      </c>
      <c r="EEB11" s="68">
        <f t="shared" si="1099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0"/>
        <v>3182</v>
      </c>
      <c r="EEJ11" s="68">
        <f t="shared" si="1101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2"/>
        <v>1371</v>
      </c>
      <c r="EER11" s="68">
        <f t="shared" si="1103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4"/>
        <v>1216</v>
      </c>
      <c r="EEZ11" s="68">
        <f t="shared" si="1105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6"/>
        <v>0</v>
      </c>
      <c r="EFH11" s="68">
        <f t="shared" si="1107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08"/>
        <v>361</v>
      </c>
      <c r="EFP11" s="68">
        <f t="shared" si="1109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0"/>
        <v>0</v>
      </c>
      <c r="EFX11" s="68">
        <f t="shared" si="1111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2"/>
        <v>1809</v>
      </c>
      <c r="EGF11" s="68">
        <f t="shared" si="1113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4"/>
        <v>724</v>
      </c>
      <c r="EGN11" s="68">
        <f t="shared" si="1115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6"/>
        <v>2376</v>
      </c>
      <c r="EGV11" s="68">
        <f t="shared" si="1117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18"/>
        <v>2095</v>
      </c>
      <c r="EHD11" s="68">
        <f t="shared" si="1119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0"/>
        <v>833</v>
      </c>
      <c r="EHL11" s="68">
        <f t="shared" si="1121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2"/>
        <v>1024</v>
      </c>
      <c r="EHT11" s="68">
        <f t="shared" si="1123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4"/>
        <v>432</v>
      </c>
      <c r="EIB11" s="68">
        <f t="shared" si="1125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6"/>
        <v>3457</v>
      </c>
      <c r="EIJ11" s="68">
        <f t="shared" si="1127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28"/>
        <v>1812</v>
      </c>
      <c r="EIR11" s="68">
        <f t="shared" si="1129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0"/>
        <v>2092</v>
      </c>
      <c r="EIZ11" s="68">
        <f t="shared" si="1131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2"/>
        <v>3329</v>
      </c>
      <c r="EJH11" s="68">
        <f t="shared" si="1133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4"/>
        <v>2684</v>
      </c>
      <c r="EJP11" s="68">
        <f t="shared" si="1135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6"/>
        <v>667</v>
      </c>
      <c r="EJX11" s="68">
        <f t="shared" si="1137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38"/>
        <v>821</v>
      </c>
      <c r="EKF11" s="68">
        <f t="shared" si="1139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0"/>
        <v>2015</v>
      </c>
      <c r="EKN11" s="68">
        <f t="shared" si="1141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2"/>
        <v>4440</v>
      </c>
      <c r="EKV11" s="68">
        <f t="shared" si="1143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4"/>
        <v>792</v>
      </c>
      <c r="ELD11" s="68">
        <f t="shared" si="1145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6"/>
        <v>615</v>
      </c>
      <c r="ELL11" s="184">
        <f t="shared" si="1147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48"/>
        <v>566</v>
      </c>
      <c r="ELU11" s="211">
        <f t="shared" si="1149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0"/>
        <v>3328</v>
      </c>
      <c r="EMC11" s="211">
        <f t="shared" si="1151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2"/>
        <v>0</v>
      </c>
      <c r="EMK11" s="211">
        <f t="shared" si="1153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4"/>
        <v>3630</v>
      </c>
      <c r="EMS11" s="211">
        <f t="shared" si="1155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6"/>
        <v>2263</v>
      </c>
      <c r="ENA11" s="211">
        <f t="shared" si="1157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58"/>
        <v>1874</v>
      </c>
      <c r="ENI11" s="211">
        <f t="shared" si="1159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0"/>
        <v>872</v>
      </c>
      <c r="ENQ11" s="211">
        <f t="shared" si="1161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2"/>
        <v>1272</v>
      </c>
      <c r="ENY11" s="211">
        <f t="shared" si="1163"/>
        <v>212</v>
      </c>
      <c r="ENZ11" s="244">
        <f>SUMIF(SUMPK!$B:$B,$B:$B,SUMPK!$O:$O)</f>
        <v>918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4"/>
        <v>1733</v>
      </c>
      <c r="EOG11" s="211">
        <f t="shared" si="1165"/>
        <v>288.83333333333331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6"/>
        <v>2097</v>
      </c>
      <c r="EOO11" s="211">
        <f t="shared" si="1167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68"/>
        <v>2058</v>
      </c>
      <c r="EOW11" s="211">
        <f t="shared" si="1169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0"/>
        <v>2654</v>
      </c>
      <c r="EPE11" s="211">
        <f t="shared" si="1171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2"/>
        <v>1644</v>
      </c>
      <c r="EPM11" s="211">
        <f t="shared" si="1173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4"/>
        <v>1669</v>
      </c>
      <c r="EPU11" s="211">
        <f t="shared" si="1175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6"/>
        <v>823</v>
      </c>
      <c r="EQC11" s="211">
        <f t="shared" si="1177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78"/>
        <v>2841</v>
      </c>
      <c r="EQK11" s="211">
        <f t="shared" si="1179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0"/>
        <v>1683</v>
      </c>
      <c r="EQS11" s="211">
        <f t="shared" si="1181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2"/>
        <v>1227</v>
      </c>
      <c r="ERA11" s="211">
        <f t="shared" si="1183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4"/>
        <v>696</v>
      </c>
      <c r="ERI11" s="211">
        <f t="shared" si="1185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6"/>
        <v>1663</v>
      </c>
      <c r="ERQ11" s="211">
        <f t="shared" si="1187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88"/>
        <v>1332</v>
      </c>
      <c r="ERY11" s="211">
        <f t="shared" si="1189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0"/>
        <v>0</v>
      </c>
      <c r="ESG11" s="211">
        <f t="shared" si="1191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2"/>
        <v>2565</v>
      </c>
      <c r="ESO11" s="211">
        <f t="shared" si="1193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4"/>
        <v>1689</v>
      </c>
      <c r="ESW11" s="211">
        <f t="shared" si="1195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6"/>
        <v>2497</v>
      </c>
      <c r="ETE11" s="736">
        <f t="shared" si="1197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198"/>
        <v>3510</v>
      </c>
      <c r="ETM11" s="211">
        <f t="shared" si="1199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0"/>
        <v>2208</v>
      </c>
      <c r="ETU11" s="211">
        <f t="shared" si="1201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2"/>
        <v>855</v>
      </c>
      <c r="EUC11" s="211">
        <f t="shared" si="1203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4"/>
        <v>3257</v>
      </c>
      <c r="EUK11" s="211">
        <f t="shared" si="1205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6"/>
        <v>2038</v>
      </c>
      <c r="EUS11" s="211">
        <f t="shared" si="1207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08"/>
        <v>719</v>
      </c>
      <c r="EVA11" s="211">
        <f t="shared" si="1209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0"/>
        <v>3838</v>
      </c>
      <c r="EVI11" s="211">
        <f t="shared" si="1211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2"/>
        <v>1407</v>
      </c>
      <c r="EVQ11" s="211">
        <f t="shared" si="1213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4"/>
        <v>859</v>
      </c>
      <c r="EVY11" s="211">
        <f t="shared" si="1215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6"/>
        <v>69</v>
      </c>
      <c r="EWG11" s="211">
        <f t="shared" si="1217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18"/>
        <v>803</v>
      </c>
      <c r="EWO11" s="211">
        <f t="shared" si="1219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0"/>
        <v>3253</v>
      </c>
      <c r="EWW11" s="211">
        <f t="shared" si="1221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2"/>
        <v>1601</v>
      </c>
      <c r="EXE11" s="211">
        <f t="shared" si="1223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4"/>
        <v>1264</v>
      </c>
      <c r="EXM11" s="211">
        <f t="shared" si="1225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6"/>
        <v>4131</v>
      </c>
      <c r="EXU11" s="211">
        <f t="shared" si="1227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28"/>
        <v>0</v>
      </c>
      <c r="EYC11" s="211">
        <f t="shared" si="1229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0"/>
        <v>1655</v>
      </c>
      <c r="EYK11" s="211">
        <f t="shared" si="1231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2"/>
        <v>1522</v>
      </c>
      <c r="EYS11" s="211">
        <f t="shared" si="1233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4"/>
        <v>1862</v>
      </c>
      <c r="EZA11" s="211">
        <f t="shared" si="1235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6"/>
        <v>1885</v>
      </c>
      <c r="EZI11" s="211">
        <f t="shared" si="1237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38"/>
        <v>1034</v>
      </c>
      <c r="EZQ11" s="873">
        <f t="shared" si="1239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0"/>
        <v>1551</v>
      </c>
      <c r="EZY11" s="873">
        <f t="shared" si="1241"/>
        <v>258.5</v>
      </c>
      <c r="EZZ11" s="195">
        <v>0</v>
      </c>
      <c r="FAA11" s="49">
        <v>0</v>
      </c>
      <c r="FAB11" s="49">
        <v>584</v>
      </c>
      <c r="FAC11" s="49"/>
      <c r="FAD11" s="49"/>
      <c r="FAE11" s="49"/>
      <c r="FAF11" s="872">
        <f t="shared" si="1242"/>
        <v>584</v>
      </c>
      <c r="FAG11" s="873">
        <f t="shared" si="1243"/>
        <v>97.333333333333329</v>
      </c>
    </row>
    <row r="12" spans="1:4089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4335</v>
      </c>
      <c r="G12" s="24"/>
      <c r="H12" s="24"/>
      <c r="I12" s="24"/>
      <c r="J12" s="360">
        <f>SUMIF(SUMPK!$B:$B,$B:$B,SUMPK!$O:$O)</f>
        <v>310</v>
      </c>
      <c r="K12" s="24"/>
      <c r="L12" s="24">
        <f t="shared" si="567"/>
        <v>4025</v>
      </c>
      <c r="M12" s="24">
        <f t="shared" si="568"/>
        <v>4025</v>
      </c>
      <c r="N12" s="15">
        <v>53.5</v>
      </c>
      <c r="O12" s="276">
        <f t="shared" si="0"/>
        <v>75.233644859813083</v>
      </c>
      <c r="P12" s="15">
        <v>110</v>
      </c>
      <c r="Q12" s="276">
        <f t="shared" si="569"/>
        <v>219.54545454545456</v>
      </c>
      <c r="R12" s="277">
        <f t="shared" si="570"/>
        <v>69.230769230769226</v>
      </c>
      <c r="S12" s="222">
        <v>1800</v>
      </c>
      <c r="T12" s="276">
        <f t="shared" si="571"/>
        <v>58.138888888888893</v>
      </c>
      <c r="U12" s="278"/>
      <c r="V12" s="277">
        <f t="shared" si="1"/>
        <v>58.138888888888893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2"/>
        <v>327</v>
      </c>
      <c r="BAV12" s="43">
        <f t="shared" si="573"/>
        <v>54.5</v>
      </c>
      <c r="BAW12" s="48"/>
      <c r="BAX12" s="49"/>
      <c r="BAY12" s="49"/>
      <c r="BAZ12" s="49"/>
      <c r="BBA12" s="49"/>
      <c r="BBB12" s="49"/>
      <c r="BBC12" s="42">
        <f t="shared" si="574"/>
        <v>0</v>
      </c>
      <c r="BBD12" s="43">
        <f t="shared" si="575"/>
        <v>0</v>
      </c>
      <c r="BBE12" s="48"/>
      <c r="BBF12" s="49"/>
      <c r="BBG12" s="49"/>
      <c r="BBH12" s="49"/>
      <c r="BBI12" s="49"/>
      <c r="BBJ12" s="49"/>
      <c r="BBK12" s="42">
        <f t="shared" si="576"/>
        <v>0</v>
      </c>
      <c r="BBL12" s="43">
        <f t="shared" si="577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78"/>
        <v>320</v>
      </c>
      <c r="BBT12" s="43">
        <f t="shared" si="579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0"/>
        <v>120</v>
      </c>
      <c r="BCB12" s="43">
        <f t="shared" si="581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2"/>
        <v>55.666666666666664</v>
      </c>
      <c r="BCK12" s="48"/>
      <c r="BCL12" s="49"/>
      <c r="BCM12" s="49"/>
      <c r="BCN12" s="49"/>
      <c r="BCO12" s="49"/>
      <c r="BCP12" s="49"/>
      <c r="BCQ12" s="42">
        <f t="shared" si="583"/>
        <v>0</v>
      </c>
      <c r="BCR12" s="43">
        <f t="shared" si="584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5"/>
        <v>36</v>
      </c>
      <c r="BCZ12" s="43">
        <f t="shared" si="586"/>
        <v>6</v>
      </c>
      <c r="BDA12" s="48"/>
      <c r="BDB12" s="49"/>
      <c r="BDC12" s="49"/>
      <c r="BDD12" s="49"/>
      <c r="BDE12" s="49"/>
      <c r="BDF12" s="49"/>
      <c r="BDG12" s="42">
        <f t="shared" si="587"/>
        <v>0</v>
      </c>
      <c r="BDH12" s="43">
        <f t="shared" si="588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89"/>
        <v>180</v>
      </c>
      <c r="BDP12" s="43">
        <f t="shared" si="590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1"/>
        <v>333</v>
      </c>
      <c r="BDX12" s="43">
        <f t="shared" si="592"/>
        <v>55.5</v>
      </c>
      <c r="BDY12" s="48"/>
      <c r="BDZ12" s="49"/>
      <c r="BEA12" s="49"/>
      <c r="BEB12" s="49"/>
      <c r="BEC12" s="49"/>
      <c r="BED12" s="49"/>
      <c r="BEE12" s="42">
        <f t="shared" si="593"/>
        <v>0</v>
      </c>
      <c r="BEF12" s="43">
        <f t="shared" si="594"/>
        <v>0</v>
      </c>
      <c r="BEG12" s="48"/>
      <c r="BEH12" s="49"/>
      <c r="BEI12" s="49"/>
      <c r="BEJ12" s="49"/>
      <c r="BEK12" s="49"/>
      <c r="BEL12" s="49"/>
      <c r="BEM12" s="42">
        <f t="shared" si="595"/>
        <v>0</v>
      </c>
      <c r="BEN12" s="43">
        <f t="shared" si="596"/>
        <v>0</v>
      </c>
      <c r="BEO12" s="48"/>
      <c r="BEP12" s="49"/>
      <c r="BEQ12" s="49"/>
      <c r="BER12" s="49"/>
      <c r="BES12" s="49"/>
      <c r="BET12" s="49"/>
      <c r="BEU12" s="42">
        <f t="shared" si="597"/>
        <v>0</v>
      </c>
      <c r="BEV12" s="43">
        <f t="shared" si="598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599"/>
        <v>595</v>
      </c>
      <c r="BFD12" s="43">
        <f t="shared" si="600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1"/>
        <v>368</v>
      </c>
      <c r="BFL12" s="68">
        <f t="shared" si="602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3"/>
        <v>326</v>
      </c>
      <c r="BFT12" s="68">
        <f t="shared" si="604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5"/>
        <v>120</v>
      </c>
      <c r="BGB12" s="68">
        <f t="shared" si="606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7"/>
        <v>54</v>
      </c>
      <c r="BGJ12" s="68">
        <f t="shared" si="608"/>
        <v>9</v>
      </c>
      <c r="BGK12" s="48"/>
      <c r="BGL12" s="49"/>
      <c r="BGM12" s="49"/>
      <c r="BGN12" s="49"/>
      <c r="BGO12" s="49"/>
      <c r="BGP12" s="49"/>
      <c r="BGQ12" s="67">
        <f t="shared" si="609"/>
        <v>0</v>
      </c>
      <c r="BGR12" s="68">
        <f t="shared" si="610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1"/>
        <v>332</v>
      </c>
      <c r="BGZ12" s="68">
        <f t="shared" si="612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3"/>
        <v>314</v>
      </c>
      <c r="BHH12" s="68">
        <f t="shared" si="614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5"/>
        <v>286</v>
      </c>
      <c r="BHP12" s="184">
        <f t="shared" si="616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7"/>
        <v>227</v>
      </c>
      <c r="BHX12" s="211">
        <f t="shared" si="618"/>
        <v>37.833333333333336</v>
      </c>
      <c r="BHY12" s="244"/>
      <c r="BHZ12" s="64"/>
      <c r="BIA12" s="64"/>
      <c r="BIB12" s="64"/>
      <c r="BIC12" s="64"/>
      <c r="BID12" s="64"/>
      <c r="BIE12" s="67">
        <f t="shared" si="619"/>
        <v>0</v>
      </c>
      <c r="BIF12" s="184">
        <f t="shared" si="620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1"/>
        <v>459</v>
      </c>
      <c r="BIN12" s="184">
        <f t="shared" si="622"/>
        <v>76.5</v>
      </c>
      <c r="BIO12" s="195"/>
      <c r="BIP12" s="49"/>
      <c r="BIQ12" s="49"/>
      <c r="BIR12" s="49"/>
      <c r="BIS12" s="49"/>
      <c r="BIT12" s="49"/>
      <c r="BIU12" s="67">
        <f t="shared" si="623"/>
        <v>0</v>
      </c>
      <c r="BIV12" s="211">
        <f t="shared" si="624"/>
        <v>0</v>
      </c>
      <c r="BIW12" s="195"/>
      <c r="BIX12" s="49"/>
      <c r="BIY12" s="49"/>
      <c r="BIZ12" s="49"/>
      <c r="BJA12" s="49"/>
      <c r="BJB12" s="49"/>
      <c r="BJC12" s="67">
        <f t="shared" si="625"/>
        <v>0</v>
      </c>
      <c r="BJD12" s="211">
        <f t="shared" si="626"/>
        <v>0</v>
      </c>
      <c r="BJE12" s="195"/>
      <c r="BJF12" s="49"/>
      <c r="BJG12" s="49"/>
      <c r="BJH12" s="49"/>
      <c r="BJI12" s="49"/>
      <c r="BJJ12" s="49"/>
      <c r="BJK12" s="67">
        <f t="shared" si="627"/>
        <v>0</v>
      </c>
      <c r="BJL12" s="211">
        <f t="shared" si="628"/>
        <v>0</v>
      </c>
      <c r="BJM12" s="195"/>
      <c r="BJN12" s="49"/>
      <c r="BJO12" s="49"/>
      <c r="BJP12" s="49"/>
      <c r="BJQ12" s="49"/>
      <c r="BJR12" s="49"/>
      <c r="BJS12" s="67">
        <f t="shared" si="629"/>
        <v>0</v>
      </c>
      <c r="BJT12" s="184">
        <f t="shared" si="630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1"/>
        <v>482</v>
      </c>
      <c r="BKB12" s="184">
        <f t="shared" si="632"/>
        <v>80.333333333333329</v>
      </c>
      <c r="BKC12" s="195"/>
      <c r="BKD12" s="49"/>
      <c r="BKE12" s="49"/>
      <c r="BKF12" s="49"/>
      <c r="BKG12" s="49"/>
      <c r="BKH12" s="49"/>
      <c r="BKI12" s="67">
        <f t="shared" si="633"/>
        <v>0</v>
      </c>
      <c r="BKJ12" s="184">
        <f t="shared" si="634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5"/>
        <v>459</v>
      </c>
      <c r="BKR12" s="184">
        <f t="shared" si="636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7"/>
        <v>475</v>
      </c>
      <c r="BKZ12" s="211">
        <f t="shared" si="638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39"/>
        <v>0</v>
      </c>
      <c r="BLH12" s="211">
        <f t="shared" si="640"/>
        <v>0</v>
      </c>
      <c r="BLI12" s="244"/>
      <c r="BLJ12" s="64"/>
      <c r="BLK12" s="64"/>
      <c r="BLL12" s="64"/>
      <c r="BLM12" s="64"/>
      <c r="BLN12" s="64"/>
      <c r="BLO12" s="67">
        <f t="shared" si="641"/>
        <v>0</v>
      </c>
      <c r="BLP12" s="184">
        <f t="shared" si="642"/>
        <v>0</v>
      </c>
      <c r="BLQ12" s="244"/>
      <c r="BLR12" s="64"/>
      <c r="BLS12" s="64"/>
      <c r="BLT12" s="64"/>
      <c r="BLU12" s="64"/>
      <c r="BLV12" s="64"/>
      <c r="BLW12" s="67">
        <f t="shared" si="643"/>
        <v>0</v>
      </c>
      <c r="BLX12" s="184">
        <f t="shared" si="644"/>
        <v>0</v>
      </c>
      <c r="BLY12" s="63"/>
      <c r="BLZ12" s="64"/>
      <c r="BMA12" s="64"/>
      <c r="BMB12" s="64"/>
      <c r="BMC12" s="64"/>
      <c r="BMD12" s="64"/>
      <c r="BME12" s="67">
        <f t="shared" si="645"/>
        <v>0</v>
      </c>
      <c r="BMF12" s="68">
        <f t="shared" si="646"/>
        <v>0</v>
      </c>
      <c r="BMG12" s="63"/>
      <c r="BMH12" s="64"/>
      <c r="BMI12" s="64"/>
      <c r="BMJ12" s="64"/>
      <c r="BMK12" s="64"/>
      <c r="BML12" s="64"/>
      <c r="BMM12" s="67">
        <f t="shared" si="647"/>
        <v>0</v>
      </c>
      <c r="BMN12" s="68">
        <f t="shared" si="648"/>
        <v>0</v>
      </c>
      <c r="BMO12" s="63"/>
      <c r="BMP12" s="64"/>
      <c r="BMQ12" s="64"/>
      <c r="BMR12" s="64"/>
      <c r="BMS12" s="64"/>
      <c r="BMT12" s="64"/>
      <c r="BMU12" s="67">
        <f t="shared" si="649"/>
        <v>0</v>
      </c>
      <c r="BMV12" s="68">
        <f t="shared" si="650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1"/>
        <v>296</v>
      </c>
      <c r="BND12" s="68">
        <f t="shared" si="652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3"/>
        <v>662</v>
      </c>
      <c r="BNL12" s="68">
        <f t="shared" si="654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5"/>
        <v>91</v>
      </c>
      <c r="BNT12" s="68">
        <f t="shared" si="656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7"/>
        <v>490</v>
      </c>
      <c r="BOB12" s="184">
        <f t="shared" si="658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59"/>
        <v>276</v>
      </c>
      <c r="BOJ12" s="184">
        <f t="shared" si="660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1"/>
        <v>328</v>
      </c>
      <c r="BOR12" s="68">
        <f t="shared" si="662"/>
        <v>54.666666666666664</v>
      </c>
      <c r="BOS12" s="63"/>
      <c r="BOT12" s="64"/>
      <c r="BOU12" s="64"/>
      <c r="BOV12" s="64"/>
      <c r="BOW12" s="64"/>
      <c r="BOX12" s="64"/>
      <c r="BOY12" s="67">
        <f t="shared" si="663"/>
        <v>0</v>
      </c>
      <c r="BOZ12" s="68">
        <f t="shared" si="664"/>
        <v>0</v>
      </c>
      <c r="BPA12" s="63"/>
      <c r="BPB12" s="64"/>
      <c r="BPC12" s="64"/>
      <c r="BPD12" s="64"/>
      <c r="BPE12" s="64"/>
      <c r="BPF12" s="64"/>
      <c r="BPG12" s="67">
        <f t="shared" si="665"/>
        <v>0</v>
      </c>
      <c r="BPH12" s="68">
        <f t="shared" si="666"/>
        <v>0</v>
      </c>
      <c r="BPI12" s="63"/>
      <c r="BPJ12" s="64"/>
      <c r="BPK12" s="64"/>
      <c r="BPL12" s="64"/>
      <c r="BPM12" s="64"/>
      <c r="BPN12" s="64"/>
      <c r="BPO12" s="67">
        <f t="shared" si="667"/>
        <v>0</v>
      </c>
      <c r="BPP12" s="68">
        <f t="shared" si="668"/>
        <v>0</v>
      </c>
      <c r="BPQ12" s="63"/>
      <c r="BPR12" s="64"/>
      <c r="BPS12" s="64"/>
      <c r="BPT12" s="64"/>
      <c r="BPU12" s="64"/>
      <c r="BPV12" s="64"/>
      <c r="BPW12" s="67">
        <f t="shared" si="669"/>
        <v>0</v>
      </c>
      <c r="BPX12" s="68">
        <f t="shared" si="670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1"/>
        <v>495</v>
      </c>
      <c r="BQF12" s="68">
        <f t="shared" si="672"/>
        <v>82.5</v>
      </c>
      <c r="BQG12" s="63"/>
      <c r="BQH12" s="64"/>
      <c r="BQI12" s="64"/>
      <c r="BQJ12" s="64"/>
      <c r="BQK12" s="64"/>
      <c r="BQL12" s="64"/>
      <c r="BQM12" s="67">
        <f t="shared" si="673"/>
        <v>0</v>
      </c>
      <c r="BQN12" s="68">
        <f t="shared" si="674"/>
        <v>0</v>
      </c>
      <c r="BQO12" s="63"/>
      <c r="BQP12" s="64"/>
      <c r="BQQ12" s="64"/>
      <c r="BQR12" s="64"/>
      <c r="BQS12" s="64"/>
      <c r="BQT12" s="64"/>
      <c r="BQU12" s="67">
        <f t="shared" si="675"/>
        <v>0</v>
      </c>
      <c r="BQV12" s="68">
        <f t="shared" si="676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7"/>
        <v>503</v>
      </c>
      <c r="BRD12" s="68">
        <f t="shared" si="678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79"/>
        <v>401</v>
      </c>
      <c r="BRL12" s="68">
        <f t="shared" si="680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1"/>
        <v>845</v>
      </c>
      <c r="BRT12" s="68">
        <f t="shared" si="682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3"/>
        <v>57</v>
      </c>
      <c r="BSB12" s="68">
        <f t="shared" si="684"/>
        <v>9.5</v>
      </c>
      <c r="BSC12" s="63"/>
      <c r="BSD12" s="64"/>
      <c r="BSE12" s="64"/>
      <c r="BSF12" s="64"/>
      <c r="BSG12" s="64"/>
      <c r="BSH12" s="64"/>
      <c r="BSI12" s="67">
        <f t="shared" si="685"/>
        <v>0</v>
      </c>
      <c r="BSJ12" s="68">
        <f t="shared" si="686"/>
        <v>0</v>
      </c>
      <c r="BSK12" s="63"/>
      <c r="BSL12" s="64"/>
      <c r="BSM12" s="64"/>
      <c r="BSN12" s="64"/>
      <c r="BSO12" s="64"/>
      <c r="BSP12" s="68"/>
      <c r="BSQ12" s="265">
        <f t="shared" si="687"/>
        <v>0</v>
      </c>
      <c r="BSR12" s="68">
        <f t="shared" si="688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89"/>
        <v>334</v>
      </c>
      <c r="BSZ12" s="68">
        <f t="shared" si="690"/>
        <v>55.666666666666664</v>
      </c>
      <c r="BTA12" s="63"/>
      <c r="BTB12" s="64"/>
      <c r="BTC12" s="64"/>
      <c r="BTD12" s="64"/>
      <c r="BTE12" s="64"/>
      <c r="BTF12" s="64"/>
      <c r="BTG12" s="67">
        <f t="shared" si="691"/>
        <v>0</v>
      </c>
      <c r="BTH12" s="68">
        <f t="shared" si="692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3"/>
        <v>356</v>
      </c>
      <c r="BTP12" s="68">
        <f t="shared" si="694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5"/>
        <v>0</v>
      </c>
      <c r="BTX12" s="184">
        <f t="shared" si="696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7"/>
        <v>502</v>
      </c>
      <c r="BUF12" s="184">
        <f t="shared" si="698"/>
        <v>83.666666666666671</v>
      </c>
      <c r="BUG12" s="244"/>
      <c r="BUH12" s="64"/>
      <c r="BUI12" s="64"/>
      <c r="BUJ12" s="64"/>
      <c r="BUK12" s="64"/>
      <c r="BUL12" s="64"/>
      <c r="BUM12" s="67">
        <f t="shared" si="699"/>
        <v>0</v>
      </c>
      <c r="BUN12" s="211">
        <f t="shared" si="700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1"/>
        <v>295</v>
      </c>
      <c r="BUV12" s="211">
        <f t="shared" si="702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3"/>
        <v>202</v>
      </c>
      <c r="BVD12" s="211">
        <f t="shared" si="704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5"/>
        <v>581</v>
      </c>
      <c r="BVL12" s="184">
        <f t="shared" si="706"/>
        <v>96.833333333333329</v>
      </c>
      <c r="BVM12" s="244"/>
      <c r="BVN12" s="64"/>
      <c r="BVO12" s="64"/>
      <c r="BVP12" s="64"/>
      <c r="BVQ12" s="64"/>
      <c r="BVR12" s="64"/>
      <c r="BVS12" s="67">
        <f t="shared" si="707"/>
        <v>0</v>
      </c>
      <c r="BVT12" s="211">
        <f t="shared" si="708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09"/>
        <v>336</v>
      </c>
      <c r="BWB12" s="184">
        <f t="shared" si="710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1"/>
        <v>492</v>
      </c>
      <c r="BWJ12" s="184">
        <f t="shared" si="712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3"/>
        <v>282</v>
      </c>
      <c r="BWR12" s="211">
        <f t="shared" si="714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5"/>
        <v>454</v>
      </c>
      <c r="BWZ12" s="211">
        <f t="shared" si="716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7"/>
        <v>448</v>
      </c>
      <c r="BXH12" s="211">
        <f t="shared" si="718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19"/>
        <v>331</v>
      </c>
      <c r="BXP12" s="184">
        <f t="shared" si="720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1"/>
        <v>487</v>
      </c>
      <c r="BXX12" s="184">
        <f t="shared" si="722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3"/>
        <v>1226</v>
      </c>
      <c r="BYF12" s="211">
        <f t="shared" si="724"/>
        <v>204.33333333333334</v>
      </c>
      <c r="BYG12" s="244"/>
      <c r="BYH12" s="64"/>
      <c r="BYI12" s="64"/>
      <c r="BYJ12" s="64"/>
      <c r="BYK12" s="64"/>
      <c r="BYL12" s="64"/>
      <c r="BYM12" s="67">
        <f t="shared" si="725"/>
        <v>0</v>
      </c>
      <c r="BYN12" s="184">
        <f t="shared" si="726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7"/>
        <v>72</v>
      </c>
      <c r="BYV12" s="211">
        <f t="shared" si="728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29"/>
        <v>711</v>
      </c>
      <c r="BZD12" s="184">
        <f t="shared" si="730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1"/>
        <v>511</v>
      </c>
      <c r="BZL12" s="184">
        <f t="shared" si="732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3"/>
        <v>0</v>
      </c>
      <c r="BZT12" s="68">
        <f t="shared" si="734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5"/>
        <v>81</v>
      </c>
      <c r="CAB12" s="68">
        <f t="shared" si="736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7"/>
        <v>650</v>
      </c>
      <c r="CAJ12" s="68">
        <f t="shared" si="738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39"/>
        <v>668</v>
      </c>
      <c r="CAR12" s="184">
        <f t="shared" si="740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1"/>
        <v>623</v>
      </c>
      <c r="CAZ12" s="211">
        <f t="shared" si="742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3"/>
        <v>501</v>
      </c>
      <c r="CBH12" s="211">
        <f t="shared" si="744"/>
        <v>83.5</v>
      </c>
      <c r="CBI12" s="244"/>
      <c r="CBJ12" s="64"/>
      <c r="CBK12" s="64"/>
      <c r="CBL12" s="64"/>
      <c r="CBM12" s="64"/>
      <c r="CBN12" s="64"/>
      <c r="CBO12" s="67">
        <f t="shared" si="745"/>
        <v>0</v>
      </c>
      <c r="CBP12" s="184">
        <f t="shared" si="746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7"/>
        <v>481</v>
      </c>
      <c r="CBX12" s="68">
        <f t="shared" si="748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49"/>
        <v>379</v>
      </c>
      <c r="CCF12" s="68">
        <f t="shared" si="750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1"/>
        <v>198</v>
      </c>
      <c r="CCN12" s="68">
        <f t="shared" si="752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3"/>
        <v>810</v>
      </c>
      <c r="CCV12" s="68">
        <f t="shared" si="754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5"/>
        <v>533</v>
      </c>
      <c r="CDD12" s="68">
        <f t="shared" si="756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7"/>
        <v>665</v>
      </c>
      <c r="CDL12" s="68">
        <f t="shared" si="758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59"/>
        <v>15</v>
      </c>
      <c r="CDT12" s="68">
        <f t="shared" si="760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1"/>
        <v>377</v>
      </c>
      <c r="CEB12" s="68">
        <f t="shared" si="762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3"/>
        <v>334</v>
      </c>
      <c r="CEJ12" s="68">
        <f t="shared" si="764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5"/>
        <v>487</v>
      </c>
      <c r="CER12" s="68">
        <f t="shared" si="766"/>
        <v>81.166666666666671</v>
      </c>
      <c r="CES12" s="63"/>
      <c r="CET12" s="64"/>
      <c r="CEU12" s="64"/>
      <c r="CEV12" s="64"/>
      <c r="CEW12" s="64"/>
      <c r="CEX12" s="64"/>
      <c r="CEY12" s="67">
        <f t="shared" si="767"/>
        <v>0</v>
      </c>
      <c r="CEZ12" s="68">
        <f t="shared" si="768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69"/>
        <v>994</v>
      </c>
      <c r="CFH12" s="68">
        <f t="shared" si="770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1"/>
        <v>334</v>
      </c>
      <c r="CFP12" s="68">
        <f t="shared" si="772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3"/>
        <v>507</v>
      </c>
      <c r="CFX12" s="68">
        <f t="shared" si="774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5"/>
        <v>727</v>
      </c>
      <c r="CGF12" s="68">
        <f t="shared" si="776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7"/>
        <v>553</v>
      </c>
      <c r="CGN12" s="68">
        <f t="shared" si="778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79"/>
        <v>1121</v>
      </c>
      <c r="CGV12" s="68">
        <f t="shared" si="780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1"/>
        <v>523</v>
      </c>
      <c r="CHD12" s="68">
        <f t="shared" si="782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3"/>
        <v>669</v>
      </c>
      <c r="CHL12" s="68">
        <f t="shared" si="784"/>
        <v>111.5</v>
      </c>
      <c r="CHM12" s="63"/>
      <c r="CHN12" s="64"/>
      <c r="CHO12" s="64"/>
      <c r="CHP12" s="64"/>
      <c r="CHQ12" s="64"/>
      <c r="CHR12" s="64"/>
      <c r="CHS12" s="67">
        <f t="shared" si="785"/>
        <v>0</v>
      </c>
      <c r="CHT12" s="68">
        <f t="shared" si="786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7"/>
        <v>228</v>
      </c>
      <c r="CIB12" s="68">
        <f t="shared" si="788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89"/>
        <v>1157</v>
      </c>
      <c r="CIJ12" s="68">
        <f t="shared" si="790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1"/>
        <v>829</v>
      </c>
      <c r="CIR12" s="68">
        <f t="shared" si="792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3"/>
        <v>491</v>
      </c>
      <c r="CIZ12" s="68">
        <f t="shared" si="794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5"/>
        <v>663</v>
      </c>
      <c r="CJH12" s="68">
        <f t="shared" si="796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7"/>
        <v>666</v>
      </c>
      <c r="CJP12" s="68">
        <f t="shared" si="798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799"/>
        <v>783</v>
      </c>
      <c r="CJX12" s="68">
        <f t="shared" si="800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1"/>
        <v>822</v>
      </c>
      <c r="CKF12" s="68">
        <f t="shared" si="802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3"/>
        <v>826</v>
      </c>
      <c r="CKN12" s="68">
        <f t="shared" si="804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5"/>
        <v>67</v>
      </c>
      <c r="CKV12" s="68">
        <f t="shared" si="806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7"/>
        <v>715</v>
      </c>
      <c r="CLD12" s="68">
        <f t="shared" si="808"/>
        <v>119.16666666666667</v>
      </c>
      <c r="CLE12" s="63"/>
      <c r="CLF12" s="64"/>
      <c r="CLG12" s="64"/>
      <c r="CLH12" s="64"/>
      <c r="CLI12" s="64"/>
      <c r="CLJ12" s="64"/>
      <c r="CLK12" s="67">
        <f t="shared" si="809"/>
        <v>0</v>
      </c>
      <c r="CLL12" s="68">
        <f t="shared" si="810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1"/>
        <v>1790</v>
      </c>
      <c r="CLT12" s="184">
        <f t="shared" si="812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3"/>
        <v>1239</v>
      </c>
      <c r="CMB12" s="68">
        <f t="shared" si="814"/>
        <v>206.5</v>
      </c>
      <c r="CMC12" s="63"/>
      <c r="CMD12" s="64"/>
      <c r="CME12" s="64"/>
      <c r="CMF12" s="64"/>
      <c r="CMG12" s="64"/>
      <c r="CMH12" s="64"/>
      <c r="CMI12" s="67">
        <f t="shared" si="815"/>
        <v>0</v>
      </c>
      <c r="CMJ12" s="68">
        <f t="shared" si="816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7"/>
        <v>1662</v>
      </c>
      <c r="CMR12" s="68">
        <f t="shared" si="818"/>
        <v>277</v>
      </c>
      <c r="CMS12" s="63"/>
      <c r="CMT12" s="64"/>
      <c r="CMU12" s="64"/>
      <c r="CMV12" s="64"/>
      <c r="CMW12" s="64"/>
      <c r="CMX12" s="64"/>
      <c r="CMY12" s="67">
        <f t="shared" si="819"/>
        <v>0</v>
      </c>
      <c r="CMZ12" s="68">
        <f t="shared" si="820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1"/>
        <v>578</v>
      </c>
      <c r="CNH12" s="68">
        <f t="shared" si="822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3"/>
        <v>997</v>
      </c>
      <c r="CNP12" s="68">
        <f t="shared" si="824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5"/>
        <v>661</v>
      </c>
      <c r="CNX12" s="68">
        <f t="shared" si="826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7"/>
        <v>726</v>
      </c>
      <c r="COF12" s="68">
        <f t="shared" si="828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29"/>
        <v>939</v>
      </c>
      <c r="CON12" s="68">
        <f t="shared" si="830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1"/>
        <v>821</v>
      </c>
      <c r="COV12" s="68">
        <f t="shared" si="832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3"/>
        <v>634</v>
      </c>
      <c r="CPD12" s="68">
        <f t="shared" si="834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5"/>
        <v>1423</v>
      </c>
      <c r="CPL12" s="68">
        <f t="shared" si="836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7"/>
        <v>565</v>
      </c>
      <c r="CPT12" s="68">
        <f t="shared" si="838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39"/>
        <v>547</v>
      </c>
      <c r="CQB12" s="68">
        <f t="shared" si="840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1"/>
        <v>978</v>
      </c>
      <c r="CQJ12" s="68">
        <f t="shared" si="842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3"/>
        <v>2354</v>
      </c>
      <c r="CQR12" s="68">
        <f t="shared" si="844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310</v>
      </c>
      <c r="CQX12" s="49">
        <v>110</v>
      </c>
      <c r="CQY12" s="67">
        <f t="shared" si="845"/>
        <v>420</v>
      </c>
      <c r="CQZ12" s="68">
        <f t="shared" si="846"/>
        <v>70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7"/>
        <v>639</v>
      </c>
      <c r="CRH12" s="68">
        <f t="shared" si="848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49"/>
        <v>664</v>
      </c>
      <c r="CRP12" s="68">
        <f t="shared" si="850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1"/>
        <v>983</v>
      </c>
      <c r="CRX12" s="68">
        <f t="shared" si="852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44"/>
        <v>796</v>
      </c>
      <c r="CSF12" s="68">
        <f t="shared" si="1245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5"/>
        <v>826</v>
      </c>
      <c r="CSN12" s="68">
        <f t="shared" si="856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7"/>
        <v>674</v>
      </c>
      <c r="CSV12" s="68">
        <f t="shared" si="858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59"/>
        <v>1210</v>
      </c>
      <c r="CTD12" s="68">
        <f t="shared" si="860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1"/>
        <v>1328</v>
      </c>
      <c r="CTL12" s="68">
        <f t="shared" si="862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3"/>
        <v>623</v>
      </c>
      <c r="CTT12" s="68">
        <f t="shared" si="864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5"/>
        <v>565</v>
      </c>
      <c r="CUB12" s="68">
        <f t="shared" si="866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7"/>
        <v>887</v>
      </c>
      <c r="CUJ12" s="68">
        <f t="shared" si="868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69"/>
        <v>2116</v>
      </c>
      <c r="CUR12" s="68">
        <f t="shared" si="870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1"/>
        <v>880</v>
      </c>
      <c r="CUZ12" s="68">
        <f t="shared" si="872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3"/>
        <v>0</v>
      </c>
      <c r="CVH12" s="68">
        <f t="shared" si="874"/>
        <v>0</v>
      </c>
      <c r="CVI12" s="48">
        <v>508</v>
      </c>
      <c r="CVJ12" s="49">
        <f>SUMIF(SUMPK!$B:$B,$B:$B,SUMPK!$O:$O)</f>
        <v>310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5"/>
        <v>1997</v>
      </c>
      <c r="CVP12" s="68">
        <f t="shared" si="876"/>
        <v>332.83333333333331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7"/>
        <v>1007</v>
      </c>
      <c r="CVX12" s="68">
        <f t="shared" si="878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79"/>
        <v>192</v>
      </c>
      <c r="CWF12" s="68">
        <f t="shared" si="880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1"/>
        <v>875</v>
      </c>
      <c r="CWN12" s="68">
        <f t="shared" si="882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3"/>
        <v>1033</v>
      </c>
      <c r="CWV12" s="43">
        <f t="shared" si="884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5"/>
        <v>26</v>
      </c>
      <c r="CXD12" s="43">
        <f t="shared" si="886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7"/>
        <v>1066</v>
      </c>
      <c r="CXL12" s="43">
        <f t="shared" si="888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89"/>
        <v>1399</v>
      </c>
      <c r="CXT12" s="43">
        <f t="shared" si="890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1"/>
        <v>1064</v>
      </c>
      <c r="CYB12" s="43">
        <f t="shared" si="892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3"/>
        <v>1673</v>
      </c>
      <c r="CYJ12" s="43">
        <f t="shared" si="894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5"/>
        <v>0</v>
      </c>
      <c r="CYR12" s="43">
        <f t="shared" si="896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7"/>
        <v>0</v>
      </c>
      <c r="CYZ12" s="43">
        <f t="shared" si="898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899"/>
        <v>1469</v>
      </c>
      <c r="CZH12" s="43">
        <f t="shared" si="900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1"/>
        <v>994</v>
      </c>
      <c r="CZP12" s="43">
        <f t="shared" si="902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3"/>
        <v>2014</v>
      </c>
      <c r="CZX12" s="43">
        <f t="shared" si="904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5"/>
        <v>44</v>
      </c>
      <c r="DAF12" s="43">
        <f t="shared" si="906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7"/>
        <v>902</v>
      </c>
      <c r="DAN12" s="43">
        <f t="shared" si="908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09"/>
        <v>364</v>
      </c>
      <c r="DAV12" s="68">
        <f t="shared" si="910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1"/>
        <v>1213</v>
      </c>
      <c r="DBD12" s="68">
        <f t="shared" si="912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3"/>
        <v>1967</v>
      </c>
      <c r="DBL12" s="68">
        <f t="shared" si="914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5"/>
        <v>0</v>
      </c>
      <c r="DBT12" s="68">
        <f t="shared" si="916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7"/>
        <v>673</v>
      </c>
      <c r="DCB12" s="184">
        <f t="shared" si="918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19"/>
        <v>2539</v>
      </c>
      <c r="DCJ12" s="211">
        <f t="shared" si="920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1"/>
        <v>38</v>
      </c>
      <c r="DCR12" s="211">
        <f t="shared" si="922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3"/>
        <v>855</v>
      </c>
      <c r="DCZ12" s="184">
        <f t="shared" si="924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5"/>
        <v>1676</v>
      </c>
      <c r="DDH12" s="211">
        <f t="shared" si="926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7"/>
        <v>657</v>
      </c>
      <c r="DDP12" s="184">
        <f t="shared" si="928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29"/>
        <v>1038</v>
      </c>
      <c r="DDX12" s="211">
        <f t="shared" si="930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1"/>
        <v>42</v>
      </c>
      <c r="DEF12" s="214">
        <f t="shared" si="932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3"/>
        <v>1180</v>
      </c>
      <c r="DEN12" s="101">
        <f t="shared" si="934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5"/>
        <v>441</v>
      </c>
      <c r="DEV12" s="101">
        <f t="shared" si="936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7"/>
        <v>1273</v>
      </c>
      <c r="DFD12" s="43">
        <f t="shared" si="938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39"/>
        <v>1228</v>
      </c>
      <c r="DFL12" s="43">
        <f t="shared" si="940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1"/>
        <v>1307</v>
      </c>
      <c r="DFT12" s="43">
        <f t="shared" si="942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3"/>
        <v>58</v>
      </c>
      <c r="DGB12" s="43">
        <f t="shared" si="944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5"/>
        <v>1324</v>
      </c>
      <c r="DGJ12" s="68">
        <f t="shared" si="946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7"/>
        <v>0</v>
      </c>
      <c r="DGR12" s="68">
        <f t="shared" si="948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49"/>
        <v>647</v>
      </c>
      <c r="DGZ12" s="68">
        <f t="shared" si="950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1"/>
        <v>1879</v>
      </c>
      <c r="DHH12" s="68">
        <f t="shared" si="952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3"/>
        <v>1345</v>
      </c>
      <c r="DHP12" s="68">
        <f t="shared" si="954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5"/>
        <v>1519</v>
      </c>
      <c r="DHX12" s="68">
        <f t="shared" si="956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7"/>
        <v>6</v>
      </c>
      <c r="DIF12" s="68">
        <f t="shared" si="958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59"/>
        <v>1366</v>
      </c>
      <c r="DIN12" s="68">
        <f t="shared" si="960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1"/>
        <v>1045</v>
      </c>
      <c r="DIV12" s="68">
        <f t="shared" si="962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3"/>
        <v>897</v>
      </c>
      <c r="DJD12" s="68">
        <f t="shared" si="964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5"/>
        <v>0</v>
      </c>
      <c r="DJL12" s="68">
        <f t="shared" si="966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7"/>
        <v>2883</v>
      </c>
      <c r="DJT12" s="68">
        <f t="shared" si="968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69"/>
        <v>0</v>
      </c>
      <c r="DKB12" s="68">
        <f t="shared" si="970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1"/>
        <v>1827</v>
      </c>
      <c r="DKJ12" s="68">
        <f t="shared" si="972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3"/>
        <v>0</v>
      </c>
      <c r="DKR12" s="68">
        <f t="shared" si="974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5"/>
        <v>671</v>
      </c>
      <c r="DKZ12" s="68">
        <f t="shared" si="976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7"/>
        <v>1017</v>
      </c>
      <c r="DLH12" s="68">
        <f t="shared" si="978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79"/>
        <v>1172</v>
      </c>
      <c r="DLP12" s="68">
        <f t="shared" si="980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1"/>
        <v>849</v>
      </c>
      <c r="DLX12" s="68">
        <f t="shared" si="982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3"/>
        <v>176</v>
      </c>
      <c r="DMF12" s="68">
        <f t="shared" si="984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5"/>
        <v>381</v>
      </c>
      <c r="DMN12" s="68">
        <f t="shared" si="986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7"/>
        <v>901</v>
      </c>
      <c r="DMV12" s="68">
        <f t="shared" si="988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89"/>
        <v>0</v>
      </c>
      <c r="DND12" s="68">
        <f t="shared" si="990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1"/>
        <v>35</v>
      </c>
      <c r="DNL12" s="68">
        <f t="shared" si="992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3"/>
        <v>503</v>
      </c>
      <c r="DNT12" s="68">
        <f t="shared" si="994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5"/>
        <v>1178</v>
      </c>
      <c r="DOB12" s="68">
        <f t="shared" si="996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7"/>
        <v>0</v>
      </c>
      <c r="DOJ12" s="68">
        <f t="shared" si="998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999"/>
        <v>389</v>
      </c>
      <c r="DOR12" s="68">
        <f t="shared" si="1000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1"/>
        <v>0</v>
      </c>
      <c r="DOZ12" s="68">
        <f t="shared" si="1002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3"/>
        <v>0</v>
      </c>
      <c r="DPH12" s="68">
        <f t="shared" si="1004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5"/>
        <v>298</v>
      </c>
      <c r="DPP12" s="68">
        <f t="shared" si="1006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7"/>
        <v>33</v>
      </c>
      <c r="DPX12" s="68">
        <f t="shared" si="1008"/>
        <v>5.5</v>
      </c>
      <c r="DPY12" s="63">
        <v>0</v>
      </c>
      <c r="DPZ12" s="64">
        <v>0</v>
      </c>
      <c r="DQA12" s="64">
        <f>SUMIF(SUMPK!$B:$B,$B:$B,SUMPK!$O:$O)</f>
        <v>310</v>
      </c>
      <c r="DQB12" s="64">
        <v>0</v>
      </c>
      <c r="DQC12" s="64">
        <v>0</v>
      </c>
      <c r="DQD12" s="64">
        <v>0</v>
      </c>
      <c r="DQE12" s="64">
        <f t="shared" si="1009"/>
        <v>310</v>
      </c>
      <c r="DQF12" s="68">
        <f t="shared" si="1010"/>
        <v>51.666666666666664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1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3"/>
        <v>1229</v>
      </c>
      <c r="DQV12" s="68">
        <f t="shared" si="1014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5"/>
        <v>499</v>
      </c>
      <c r="DRD12" s="68">
        <f t="shared" si="1016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7"/>
        <v>971</v>
      </c>
      <c r="DRL12" s="68">
        <f t="shared" si="1018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19"/>
        <v>343</v>
      </c>
      <c r="DRT12" s="68">
        <f t="shared" si="1020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1"/>
        <v>501</v>
      </c>
      <c r="DSB12" s="68">
        <f t="shared" si="1022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3"/>
        <v>498</v>
      </c>
      <c r="DSJ12" s="68">
        <f t="shared" si="1024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5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6"/>
        <v>468</v>
      </c>
      <c r="DSZ12" s="68">
        <f t="shared" si="1027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28"/>
        <v>1097</v>
      </c>
      <c r="DTH12" s="68">
        <f t="shared" si="1029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0"/>
        <v>0</v>
      </c>
      <c r="DTP12" s="68">
        <f t="shared" si="1031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2"/>
        <v>380</v>
      </c>
      <c r="DTX12" s="68">
        <f t="shared" si="1033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4"/>
        <v>1210</v>
      </c>
      <c r="DUF12" s="68">
        <f t="shared" si="1035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6"/>
        <v>1159</v>
      </c>
      <c r="DUN12" s="68">
        <f t="shared" si="1037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38"/>
        <v>1596</v>
      </c>
      <c r="DUV12" s="68">
        <f t="shared" si="1039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0"/>
        <v>990</v>
      </c>
      <c r="DVD12" s="68">
        <f t="shared" si="1041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2"/>
        <v>0</v>
      </c>
      <c r="DVL12" s="68">
        <f t="shared" si="1043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4"/>
        <v>1</v>
      </c>
      <c r="DVT12" s="68">
        <f t="shared" si="1045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6"/>
        <v>515</v>
      </c>
      <c r="DWB12" s="68">
        <f t="shared" si="1047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48"/>
        <v>717</v>
      </c>
      <c r="DWJ12" s="68">
        <f t="shared" si="1049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0"/>
        <v>610</v>
      </c>
      <c r="DWR12" s="68">
        <f t="shared" si="1051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2"/>
        <v>56</v>
      </c>
      <c r="DWZ12" s="68">
        <f t="shared" si="1053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4"/>
        <v>784</v>
      </c>
      <c r="DXH12" s="68">
        <f t="shared" si="1055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6"/>
        <v>902</v>
      </c>
      <c r="DXP12" s="68">
        <f t="shared" si="1057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58"/>
        <v>1596</v>
      </c>
      <c r="DXX12" s="68">
        <f t="shared" si="1059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0"/>
        <v>0</v>
      </c>
      <c r="DYF12" s="68">
        <f t="shared" si="1061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2"/>
        <v>1002</v>
      </c>
      <c r="DYN12" s="68">
        <f t="shared" si="1063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4"/>
        <v>839</v>
      </c>
      <c r="DYV12" s="68">
        <f t="shared" si="1065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6"/>
        <v>535</v>
      </c>
      <c r="DZD12" s="68">
        <f t="shared" si="1067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68"/>
        <v>356</v>
      </c>
      <c r="DZL12" s="68">
        <f t="shared" si="1069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0"/>
        <v>831</v>
      </c>
      <c r="DZT12" s="68">
        <f t="shared" si="1071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2"/>
        <v>1285</v>
      </c>
      <c r="EAB12" s="68">
        <f t="shared" si="1073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4"/>
        <v>55</v>
      </c>
      <c r="EAJ12" s="68">
        <f t="shared" si="1075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6"/>
        <v>498</v>
      </c>
      <c r="EAR12" s="68">
        <f t="shared" si="1077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78"/>
        <v>0</v>
      </c>
      <c r="EAZ12" s="68">
        <f t="shared" si="1079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0"/>
        <v>501</v>
      </c>
      <c r="EBH12" s="68">
        <f t="shared" si="1081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2"/>
        <v>0</v>
      </c>
      <c r="EBP12" s="68">
        <f t="shared" si="1083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4"/>
        <v>818</v>
      </c>
      <c r="EBX12" s="68">
        <f t="shared" si="1085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6"/>
        <v>420</v>
      </c>
      <c r="ECF12" s="68">
        <f t="shared" si="1087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88"/>
        <v>359</v>
      </c>
      <c r="ECN12" s="68">
        <f t="shared" si="1089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0"/>
        <v>492</v>
      </c>
      <c r="ECV12" s="68">
        <f t="shared" si="1091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2"/>
        <v>320</v>
      </c>
      <c r="EDD12" s="68">
        <f t="shared" si="1093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4"/>
        <v>1364</v>
      </c>
      <c r="EDL12" s="68">
        <f t="shared" si="1095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6"/>
        <v>52</v>
      </c>
      <c r="EDT12" s="68">
        <f t="shared" si="1097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098"/>
        <v>56</v>
      </c>
      <c r="EEB12" s="68">
        <f t="shared" si="1099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0"/>
        <v>0</v>
      </c>
      <c r="EEJ12" s="68">
        <f t="shared" si="1101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2"/>
        <v>472</v>
      </c>
      <c r="EER12" s="68">
        <f t="shared" si="1103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4"/>
        <v>0</v>
      </c>
      <c r="EEZ12" s="68">
        <f t="shared" si="1105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6"/>
        <v>0</v>
      </c>
      <c r="EFH12" s="68">
        <f t="shared" si="1107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08"/>
        <v>315</v>
      </c>
      <c r="EFP12" s="68">
        <f t="shared" si="1109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0"/>
        <v>867</v>
      </c>
      <c r="EFX12" s="68">
        <f t="shared" si="1111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2"/>
        <v>0</v>
      </c>
      <c r="EGF12" s="68">
        <f t="shared" si="1113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4"/>
        <v>366</v>
      </c>
      <c r="EGN12" s="68">
        <f t="shared" si="1115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6"/>
        <v>103</v>
      </c>
      <c r="EGV12" s="68">
        <f t="shared" si="1117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18"/>
        <v>414</v>
      </c>
      <c r="EHD12" s="68">
        <f t="shared" si="1119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0"/>
        <v>620</v>
      </c>
      <c r="EHL12" s="68">
        <f t="shared" si="1121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2"/>
        <v>338</v>
      </c>
      <c r="EHT12" s="68">
        <f t="shared" si="1123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4"/>
        <v>642</v>
      </c>
      <c r="EIB12" s="68">
        <f t="shared" si="1125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6"/>
        <v>519</v>
      </c>
      <c r="EIJ12" s="68">
        <f t="shared" si="1127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28"/>
        <v>0</v>
      </c>
      <c r="EIR12" s="68">
        <f t="shared" si="1129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0"/>
        <v>48</v>
      </c>
      <c r="EIZ12" s="68">
        <f t="shared" si="1131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2"/>
        <v>1003</v>
      </c>
      <c r="EJH12" s="68">
        <f t="shared" si="1133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4"/>
        <v>483</v>
      </c>
      <c r="EJP12" s="68">
        <f t="shared" si="1135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6"/>
        <v>73</v>
      </c>
      <c r="EJX12" s="68">
        <f t="shared" si="1137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38"/>
        <v>333</v>
      </c>
      <c r="EKF12" s="68">
        <f t="shared" si="1139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0"/>
        <v>491</v>
      </c>
      <c r="EKN12" s="68">
        <f t="shared" si="1141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2"/>
        <v>0</v>
      </c>
      <c r="EKV12" s="68">
        <f t="shared" si="1143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4"/>
        <v>993</v>
      </c>
      <c r="ELD12" s="68">
        <f t="shared" si="1145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6"/>
        <v>308</v>
      </c>
      <c r="ELL12" s="184">
        <f t="shared" si="1147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48"/>
        <v>0</v>
      </c>
      <c r="ELU12" s="211">
        <f t="shared" si="1149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0"/>
        <v>834</v>
      </c>
      <c r="EMC12" s="211">
        <f t="shared" si="1151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2"/>
        <v>316</v>
      </c>
      <c r="EMK12" s="211">
        <f t="shared" si="1153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4"/>
        <v>702</v>
      </c>
      <c r="EMS12" s="211">
        <f t="shared" si="1155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6"/>
        <v>62</v>
      </c>
      <c r="ENA12" s="211">
        <f t="shared" si="1157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58"/>
        <v>871</v>
      </c>
      <c r="ENI12" s="211">
        <f t="shared" si="1159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0"/>
        <v>0</v>
      </c>
      <c r="ENQ12" s="211">
        <f t="shared" si="1161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2"/>
        <v>826</v>
      </c>
      <c r="ENY12" s="211">
        <f t="shared" si="1163"/>
        <v>137.66666666666666</v>
      </c>
      <c r="ENZ12" s="244">
        <f>SUMIF(SUMPK!$B:$B,$B:$B,SUMPK!$O:$O)</f>
        <v>310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4"/>
        <v>310</v>
      </c>
      <c r="EOG12" s="211">
        <f t="shared" si="1165"/>
        <v>51.666666666666664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6"/>
        <v>663</v>
      </c>
      <c r="EOO12" s="211">
        <f t="shared" si="1167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68"/>
        <v>300</v>
      </c>
      <c r="EOW12" s="211">
        <f t="shared" si="1169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0"/>
        <v>444</v>
      </c>
      <c r="EPE12" s="211">
        <f t="shared" si="1171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2"/>
        <v>660</v>
      </c>
      <c r="EPM12" s="211">
        <f t="shared" si="1173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4"/>
        <v>125</v>
      </c>
      <c r="EPU12" s="211">
        <f t="shared" si="1175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6"/>
        <v>0</v>
      </c>
      <c r="EQC12" s="211">
        <f t="shared" si="1177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78"/>
        <v>452</v>
      </c>
      <c r="EQK12" s="211">
        <f t="shared" si="1179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0"/>
        <v>316</v>
      </c>
      <c r="EQS12" s="211">
        <f t="shared" si="1181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2"/>
        <v>501</v>
      </c>
      <c r="ERA12" s="211">
        <f t="shared" si="1183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4"/>
        <v>673</v>
      </c>
      <c r="ERI12" s="211">
        <f t="shared" si="1185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6"/>
        <v>508</v>
      </c>
      <c r="ERQ12" s="211">
        <f t="shared" si="1187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88"/>
        <v>488</v>
      </c>
      <c r="ERY12" s="211">
        <f t="shared" si="1189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0"/>
        <v>520</v>
      </c>
      <c r="ESG12" s="211">
        <f t="shared" si="1191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2"/>
        <v>195</v>
      </c>
      <c r="ESO12" s="211">
        <f t="shared" si="1193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4"/>
        <v>928</v>
      </c>
      <c r="ESW12" s="211">
        <f t="shared" si="1195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6"/>
        <v>350</v>
      </c>
      <c r="ETE12" s="736">
        <f t="shared" si="1197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198"/>
        <v>181</v>
      </c>
      <c r="ETM12" s="211">
        <f t="shared" si="1199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0"/>
        <v>308</v>
      </c>
      <c r="ETU12" s="211">
        <f t="shared" si="1201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2"/>
        <v>332</v>
      </c>
      <c r="EUC12" s="211">
        <f t="shared" si="1203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4"/>
        <v>331</v>
      </c>
      <c r="EUK12" s="211">
        <f t="shared" si="1205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6"/>
        <v>504</v>
      </c>
      <c r="EUS12" s="211">
        <f t="shared" si="1207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08"/>
        <v>0</v>
      </c>
      <c r="EVA12" s="211">
        <f t="shared" si="1209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0"/>
        <v>0</v>
      </c>
      <c r="EVI12" s="211">
        <f t="shared" si="1211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2"/>
        <v>380</v>
      </c>
      <c r="EVQ12" s="211">
        <f t="shared" si="1213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4"/>
        <v>842</v>
      </c>
      <c r="EVY12" s="211">
        <f t="shared" si="1215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6"/>
        <v>113</v>
      </c>
      <c r="EWG12" s="211">
        <f t="shared" si="1217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18"/>
        <v>1117</v>
      </c>
      <c r="EWO12" s="211">
        <f t="shared" si="1219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0"/>
        <v>0</v>
      </c>
      <c r="EWW12" s="211">
        <f t="shared" si="1221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2"/>
        <v>0</v>
      </c>
      <c r="EXE12" s="211">
        <f t="shared" si="1223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4"/>
        <v>662</v>
      </c>
      <c r="EXM12" s="211">
        <f t="shared" si="1225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6"/>
        <v>13</v>
      </c>
      <c r="EXU12" s="211">
        <f t="shared" si="1227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28"/>
        <v>357</v>
      </c>
      <c r="EYC12" s="211">
        <f t="shared" si="1229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0"/>
        <v>0</v>
      </c>
      <c r="EYK12" s="211">
        <f t="shared" si="1231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2"/>
        <v>362</v>
      </c>
      <c r="EYS12" s="211">
        <f t="shared" si="1233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4"/>
        <v>571</v>
      </c>
      <c r="EZA12" s="211">
        <f t="shared" si="1235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6"/>
        <v>80</v>
      </c>
      <c r="EZI12" s="211">
        <f t="shared" si="1237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38"/>
        <v>652</v>
      </c>
      <c r="EZQ12" s="873">
        <f t="shared" si="1239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0"/>
        <v>321</v>
      </c>
      <c r="EZY12" s="873">
        <f t="shared" si="1241"/>
        <v>53.5</v>
      </c>
      <c r="EZZ12" s="195">
        <v>0</v>
      </c>
      <c r="FAA12" s="49">
        <v>0</v>
      </c>
      <c r="FAB12" s="49">
        <v>0</v>
      </c>
      <c r="FAC12" s="49"/>
      <c r="FAD12" s="49"/>
      <c r="FAE12" s="49"/>
      <c r="FAF12" s="872">
        <f t="shared" si="1242"/>
        <v>0</v>
      </c>
      <c r="FAG12" s="873">
        <f t="shared" si="1243"/>
        <v>0</v>
      </c>
    </row>
    <row r="13" spans="1:4089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2580</v>
      </c>
      <c r="G13" s="24"/>
      <c r="H13" s="24"/>
      <c r="I13" s="24"/>
      <c r="J13" s="360">
        <f>SUMIF(SUMPK!$B:$B,$B:$B,SUMPK!$O:$O)</f>
        <v>113</v>
      </c>
      <c r="K13" s="24"/>
      <c r="L13" s="24">
        <f t="shared" si="567"/>
        <v>2467</v>
      </c>
      <c r="M13" s="24">
        <f t="shared" si="568"/>
        <v>2467</v>
      </c>
      <c r="N13" s="15">
        <v>492.83333333333331</v>
      </c>
      <c r="O13" s="276">
        <f t="shared" si="0"/>
        <v>5.0057490700033824</v>
      </c>
      <c r="P13" s="15">
        <v>131.83333333333334</v>
      </c>
      <c r="Q13" s="276">
        <f t="shared" si="569"/>
        <v>112.2781289506953</v>
      </c>
      <c r="R13" s="277">
        <f t="shared" si="570"/>
        <v>230.76923076923077</v>
      </c>
      <c r="S13" s="222">
        <v>6000</v>
      </c>
      <c r="T13" s="276">
        <f t="shared" si="571"/>
        <v>10.690333333333333</v>
      </c>
      <c r="U13" s="278"/>
      <c r="V13" s="277">
        <f t="shared" si="1"/>
        <v>10.690333333333333</v>
      </c>
      <c r="W13" s="320">
        <f t="shared" ref="W13:W23" si="1246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2"/>
        <v>396</v>
      </c>
      <c r="BAV13" s="43">
        <f t="shared" si="573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4"/>
        <v>591</v>
      </c>
      <c r="BBD13" s="43">
        <f t="shared" si="575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6"/>
        <v>2144</v>
      </c>
      <c r="BBL13" s="43">
        <f t="shared" si="577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78"/>
        <v>578</v>
      </c>
      <c r="BBT13" s="43">
        <f t="shared" si="579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0"/>
        <v>584</v>
      </c>
      <c r="BCB13" s="43">
        <f t="shared" si="581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2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3"/>
        <v>436</v>
      </c>
      <c r="BCR13" s="43">
        <f t="shared" si="584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5"/>
        <v>234</v>
      </c>
      <c r="BCZ13" s="43">
        <f t="shared" si="586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7"/>
        <v>316</v>
      </c>
      <c r="BDH13" s="43">
        <f t="shared" si="588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89"/>
        <v>430</v>
      </c>
      <c r="BDP13" s="43">
        <f t="shared" si="590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1"/>
        <v>149</v>
      </c>
      <c r="BDX13" s="43">
        <f t="shared" si="592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3"/>
        <v>74</v>
      </c>
      <c r="BEF13" s="43">
        <f t="shared" si="594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5"/>
        <v>585</v>
      </c>
      <c r="BEN13" s="43">
        <f t="shared" si="596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7"/>
        <v>566</v>
      </c>
      <c r="BEV13" s="43">
        <f t="shared" si="598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599"/>
        <v>320</v>
      </c>
      <c r="BFD13" s="43">
        <f t="shared" si="600"/>
        <v>53.333333333333336</v>
      </c>
      <c r="BFE13" s="63"/>
      <c r="BFF13" s="64"/>
      <c r="BFG13" s="64"/>
      <c r="BFH13" s="64"/>
      <c r="BFI13" s="64"/>
      <c r="BFJ13" s="64"/>
      <c r="BFK13" s="67">
        <f t="shared" si="601"/>
        <v>0</v>
      </c>
      <c r="BFL13" s="68">
        <f t="shared" si="602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3"/>
        <v>832</v>
      </c>
      <c r="BFT13" s="68">
        <f t="shared" si="604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5"/>
        <v>1302</v>
      </c>
      <c r="BGB13" s="68">
        <f t="shared" si="606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7"/>
        <v>486</v>
      </c>
      <c r="BGJ13" s="68">
        <f t="shared" si="608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09"/>
        <v>596</v>
      </c>
      <c r="BGR13" s="68">
        <f t="shared" si="610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1"/>
        <v>1143</v>
      </c>
      <c r="BGZ13" s="68">
        <f t="shared" si="612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3"/>
        <v>90</v>
      </c>
      <c r="BHH13" s="68">
        <f t="shared" si="614"/>
        <v>15</v>
      </c>
      <c r="BHI13" s="48"/>
      <c r="BHJ13" s="49"/>
      <c r="BHK13" s="49"/>
      <c r="BHL13" s="49"/>
      <c r="BHM13" s="49"/>
      <c r="BHN13" s="49"/>
      <c r="BHO13" s="67">
        <f t="shared" si="615"/>
        <v>0</v>
      </c>
      <c r="BHP13" s="184">
        <f t="shared" si="616"/>
        <v>0</v>
      </c>
      <c r="BHQ13" s="244"/>
      <c r="BHR13" s="64"/>
      <c r="BHS13" s="64"/>
      <c r="BHT13" s="64"/>
      <c r="BHU13" s="64"/>
      <c r="BHV13" s="64"/>
      <c r="BHW13" s="67">
        <f t="shared" si="617"/>
        <v>0</v>
      </c>
      <c r="BHX13" s="211">
        <f t="shared" si="618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19"/>
        <v>1172</v>
      </c>
      <c r="BIF13" s="184">
        <f t="shared" si="620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1"/>
        <v>991</v>
      </c>
      <c r="BIN13" s="184">
        <f t="shared" si="622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3"/>
        <v>0</v>
      </c>
      <c r="BIV13" s="211">
        <f t="shared" si="624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5"/>
        <v>324</v>
      </c>
      <c r="BJD13" s="211">
        <f t="shared" si="626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7"/>
        <v>820</v>
      </c>
      <c r="BJL13" s="211">
        <f t="shared" si="628"/>
        <v>136.66666666666666</v>
      </c>
      <c r="BJM13" s="195"/>
      <c r="BJN13" s="49"/>
      <c r="BJO13" s="49"/>
      <c r="BJP13" s="49"/>
      <c r="BJQ13" s="49"/>
      <c r="BJR13" s="49"/>
      <c r="BJS13" s="67">
        <f t="shared" si="629"/>
        <v>0</v>
      </c>
      <c r="BJT13" s="184">
        <f t="shared" si="630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1"/>
        <v>150</v>
      </c>
      <c r="BKB13" s="184">
        <f t="shared" si="632"/>
        <v>25</v>
      </c>
      <c r="BKC13" s="195"/>
      <c r="BKD13" s="49"/>
      <c r="BKE13" s="49"/>
      <c r="BKF13" s="49"/>
      <c r="BKG13" s="49"/>
      <c r="BKH13" s="49"/>
      <c r="BKI13" s="67">
        <f t="shared" si="633"/>
        <v>0</v>
      </c>
      <c r="BKJ13" s="184">
        <f t="shared" si="634"/>
        <v>0</v>
      </c>
      <c r="BKK13" s="244"/>
      <c r="BKL13" s="64"/>
      <c r="BKM13" s="64"/>
      <c r="BKN13" s="64"/>
      <c r="BKO13" s="64"/>
      <c r="BKP13" s="64"/>
      <c r="BKQ13" s="67">
        <f t="shared" si="635"/>
        <v>0</v>
      </c>
      <c r="BKR13" s="184">
        <f t="shared" si="636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7"/>
        <v>885</v>
      </c>
      <c r="BKZ13" s="211">
        <f t="shared" si="638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39"/>
        <v>870</v>
      </c>
      <c r="BLH13" s="211">
        <f t="shared" si="640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1"/>
        <v>706</v>
      </c>
      <c r="BLP13" s="184">
        <f t="shared" si="642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3"/>
        <v>2227</v>
      </c>
      <c r="BLX13" s="184">
        <f t="shared" si="644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5"/>
        <v>708</v>
      </c>
      <c r="BMF13" s="68">
        <f t="shared" si="646"/>
        <v>118</v>
      </c>
      <c r="BMG13" s="63"/>
      <c r="BMH13" s="64"/>
      <c r="BMI13" s="64"/>
      <c r="BMJ13" s="64"/>
      <c r="BMK13" s="64"/>
      <c r="BML13" s="64"/>
      <c r="BMM13" s="67">
        <f t="shared" si="647"/>
        <v>0</v>
      </c>
      <c r="BMN13" s="68">
        <f t="shared" si="648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49"/>
        <v>348</v>
      </c>
      <c r="BMV13" s="68">
        <f t="shared" si="650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1"/>
        <v>213</v>
      </c>
      <c r="BND13" s="68">
        <f t="shared" si="652"/>
        <v>35.5</v>
      </c>
      <c r="BNE13" s="63"/>
      <c r="BNF13" s="64"/>
      <c r="BNG13" s="64"/>
      <c r="BNH13" s="64"/>
      <c r="BNI13" s="64"/>
      <c r="BNJ13" s="64"/>
      <c r="BNK13" s="67">
        <f t="shared" si="653"/>
        <v>0</v>
      </c>
      <c r="BNL13" s="68">
        <f t="shared" si="654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5"/>
        <v>825</v>
      </c>
      <c r="BNT13" s="68">
        <f t="shared" si="656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7"/>
        <v>106</v>
      </c>
      <c r="BOB13" s="184">
        <f t="shared" si="658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59"/>
        <v>865</v>
      </c>
      <c r="BOJ13" s="184">
        <f t="shared" si="660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1"/>
        <v>2465</v>
      </c>
      <c r="BOR13" s="68">
        <f t="shared" si="662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3"/>
        <v>1712</v>
      </c>
      <c r="BOZ13" s="68">
        <f t="shared" si="664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5"/>
        <v>1764</v>
      </c>
      <c r="BPH13" s="68">
        <f t="shared" si="666"/>
        <v>294</v>
      </c>
      <c r="BPI13" s="63"/>
      <c r="BPJ13" s="64"/>
      <c r="BPK13" s="64"/>
      <c r="BPL13" s="64"/>
      <c r="BPM13" s="64"/>
      <c r="BPN13" s="64"/>
      <c r="BPO13" s="67">
        <f t="shared" si="667"/>
        <v>0</v>
      </c>
      <c r="BPP13" s="68">
        <f t="shared" si="668"/>
        <v>0</v>
      </c>
      <c r="BPQ13" s="63"/>
      <c r="BPR13" s="64"/>
      <c r="BPS13" s="64"/>
      <c r="BPT13" s="64"/>
      <c r="BPU13" s="64"/>
      <c r="BPV13" s="64"/>
      <c r="BPW13" s="67">
        <f t="shared" si="669"/>
        <v>0</v>
      </c>
      <c r="BPX13" s="68">
        <f t="shared" si="670"/>
        <v>0</v>
      </c>
      <c r="BPY13" s="63"/>
      <c r="BPZ13" s="64"/>
      <c r="BQA13" s="64"/>
      <c r="BQB13" s="64"/>
      <c r="BQC13" s="64"/>
      <c r="BQD13" s="64"/>
      <c r="BQE13" s="67">
        <f t="shared" si="671"/>
        <v>0</v>
      </c>
      <c r="BQF13" s="68">
        <f t="shared" si="672"/>
        <v>0</v>
      </c>
      <c r="BQG13" s="63"/>
      <c r="BQH13" s="64"/>
      <c r="BQI13" s="64"/>
      <c r="BQJ13" s="64"/>
      <c r="BQK13" s="64"/>
      <c r="BQL13" s="64"/>
      <c r="BQM13" s="67">
        <f t="shared" si="673"/>
        <v>0</v>
      </c>
      <c r="BQN13" s="68">
        <f t="shared" si="674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5"/>
        <v>170</v>
      </c>
      <c r="BQV13" s="68">
        <f t="shared" si="676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7"/>
        <v>777</v>
      </c>
      <c r="BRD13" s="68">
        <f t="shared" si="678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79"/>
        <v>843</v>
      </c>
      <c r="BRL13" s="68">
        <f t="shared" si="680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1"/>
        <v>0</v>
      </c>
      <c r="BRT13" s="68">
        <f t="shared" si="682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3"/>
        <v>1554</v>
      </c>
      <c r="BSB13" s="68">
        <f t="shared" si="684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5"/>
        <v>1100</v>
      </c>
      <c r="BSJ13" s="68">
        <f t="shared" si="686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7"/>
        <v>1326</v>
      </c>
      <c r="BSR13" s="68">
        <f t="shared" si="688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89"/>
        <v>1137</v>
      </c>
      <c r="BSZ13" s="68">
        <f t="shared" si="690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1"/>
        <v>1521</v>
      </c>
      <c r="BTH13" s="68">
        <f t="shared" si="692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3"/>
        <v>0</v>
      </c>
      <c r="BTP13" s="68">
        <f t="shared" si="694"/>
        <v>0</v>
      </c>
      <c r="BTQ13" s="63"/>
      <c r="BTR13" s="64"/>
      <c r="BTS13" s="64"/>
      <c r="BTT13" s="64"/>
      <c r="BTU13" s="64"/>
      <c r="BTV13" s="64"/>
      <c r="BTW13" s="67">
        <f t="shared" si="695"/>
        <v>0</v>
      </c>
      <c r="BTX13" s="184">
        <f t="shared" si="696"/>
        <v>0</v>
      </c>
      <c r="BTY13" s="244"/>
      <c r="BTZ13" s="64"/>
      <c r="BUA13" s="64"/>
      <c r="BUB13" s="64"/>
      <c r="BUC13" s="64"/>
      <c r="BUD13" s="64"/>
      <c r="BUE13" s="67">
        <f t="shared" si="697"/>
        <v>0</v>
      </c>
      <c r="BUF13" s="184">
        <f t="shared" si="698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699"/>
        <v>506</v>
      </c>
      <c r="BUN13" s="211">
        <f t="shared" si="700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1"/>
        <v>1058</v>
      </c>
      <c r="BUV13" s="211">
        <f t="shared" si="702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3"/>
        <v>1403</v>
      </c>
      <c r="BVD13" s="211">
        <f t="shared" si="704"/>
        <v>233.83333333333334</v>
      </c>
      <c r="BVE13" s="244"/>
      <c r="BVF13" s="64"/>
      <c r="BVG13" s="64"/>
      <c r="BVH13" s="64"/>
      <c r="BVI13" s="64"/>
      <c r="BVJ13" s="64"/>
      <c r="BVK13" s="67">
        <f t="shared" si="705"/>
        <v>0</v>
      </c>
      <c r="BVL13" s="184">
        <f t="shared" si="706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7"/>
        <v>1630</v>
      </c>
      <c r="BVT13" s="211">
        <f t="shared" si="708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09"/>
        <v>2041</v>
      </c>
      <c r="BWB13" s="184">
        <f t="shared" si="710"/>
        <v>340.16666666666669</v>
      </c>
      <c r="BWC13" s="244"/>
      <c r="BWD13" s="64"/>
      <c r="BWE13" s="64"/>
      <c r="BWF13" s="64"/>
      <c r="BWG13" s="64"/>
      <c r="BWH13" s="64"/>
      <c r="BWI13" s="67">
        <f t="shared" si="711"/>
        <v>0</v>
      </c>
      <c r="BWJ13" s="184">
        <f t="shared" si="712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3"/>
        <v>1017</v>
      </c>
      <c r="BWR13" s="211">
        <f t="shared" si="714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5"/>
        <v>77</v>
      </c>
      <c r="BWZ13" s="211">
        <f t="shared" si="716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7"/>
        <v>0</v>
      </c>
      <c r="BXH13" s="211">
        <f t="shared" si="718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19"/>
        <v>1925</v>
      </c>
      <c r="BXP13" s="184">
        <f t="shared" si="720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1"/>
        <v>856</v>
      </c>
      <c r="BXX13" s="184">
        <f t="shared" si="722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3"/>
        <v>1043</v>
      </c>
      <c r="BYF13" s="211">
        <f t="shared" si="724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5"/>
        <v>1320</v>
      </c>
      <c r="BYN13" s="184">
        <f t="shared" si="726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7"/>
        <v>702</v>
      </c>
      <c r="BYV13" s="211">
        <f t="shared" si="728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29"/>
        <v>1246</v>
      </c>
      <c r="BZD13" s="184">
        <f t="shared" si="730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1"/>
        <v>1396</v>
      </c>
      <c r="BZL13" s="184">
        <f t="shared" si="732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3"/>
        <v>588</v>
      </c>
      <c r="BZT13" s="68">
        <f t="shared" si="734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5"/>
        <v>2327</v>
      </c>
      <c r="CAB13" s="68">
        <f t="shared" si="736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7"/>
        <v>915</v>
      </c>
      <c r="CAJ13" s="68">
        <f t="shared" si="738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39"/>
        <v>1008</v>
      </c>
      <c r="CAR13" s="184">
        <f t="shared" si="740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1"/>
        <v>753</v>
      </c>
      <c r="CAZ13" s="211">
        <f t="shared" si="742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3"/>
        <v>1356</v>
      </c>
      <c r="CBH13" s="211">
        <f t="shared" si="744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5"/>
        <v>4994</v>
      </c>
      <c r="CBP13" s="184">
        <f t="shared" si="746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7"/>
        <v>918</v>
      </c>
      <c r="CBX13" s="68">
        <f t="shared" si="748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49"/>
        <v>1597</v>
      </c>
      <c r="CCF13" s="68">
        <f t="shared" si="750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1"/>
        <v>1029</v>
      </c>
      <c r="CCN13" s="68">
        <f t="shared" si="752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3"/>
        <v>706</v>
      </c>
      <c r="CCV13" s="68">
        <f t="shared" si="754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5"/>
        <v>2118</v>
      </c>
      <c r="CDD13" s="68">
        <f t="shared" si="756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7"/>
        <v>916</v>
      </c>
      <c r="CDL13" s="68">
        <f t="shared" si="758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59"/>
        <v>2060</v>
      </c>
      <c r="CDT13" s="68">
        <f t="shared" si="760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1"/>
        <v>1903</v>
      </c>
      <c r="CEB13" s="68">
        <f t="shared" si="762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3"/>
        <v>1618</v>
      </c>
      <c r="CEJ13" s="68">
        <f t="shared" si="764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5"/>
        <v>643</v>
      </c>
      <c r="CER13" s="68">
        <f t="shared" si="766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7"/>
        <v>1704</v>
      </c>
      <c r="CEZ13" s="68">
        <f t="shared" si="768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69"/>
        <v>938</v>
      </c>
      <c r="CFH13" s="68">
        <f t="shared" si="770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1"/>
        <v>1433</v>
      </c>
      <c r="CFP13" s="68">
        <f t="shared" si="772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3"/>
        <v>1919</v>
      </c>
      <c r="CFX13" s="68">
        <f t="shared" si="774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5"/>
        <v>1692</v>
      </c>
      <c r="CGF13" s="68">
        <f t="shared" si="776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7"/>
        <v>2919</v>
      </c>
      <c r="CGN13" s="68">
        <f t="shared" si="778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79"/>
        <v>1649</v>
      </c>
      <c r="CGV13" s="68">
        <f t="shared" si="780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1"/>
        <v>2262</v>
      </c>
      <c r="CHD13" s="68">
        <f t="shared" si="782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3"/>
        <v>1613</v>
      </c>
      <c r="CHL13" s="68">
        <f t="shared" si="784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5"/>
        <v>2760</v>
      </c>
      <c r="CHT13" s="68">
        <f t="shared" si="786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7"/>
        <v>1951</v>
      </c>
      <c r="CIB13" s="68">
        <f t="shared" si="788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89"/>
        <v>1850</v>
      </c>
      <c r="CIJ13" s="68">
        <f t="shared" si="790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1"/>
        <v>1356</v>
      </c>
      <c r="CIR13" s="68">
        <f t="shared" si="792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3"/>
        <v>2319</v>
      </c>
      <c r="CIZ13" s="68">
        <f t="shared" si="794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5"/>
        <v>3012</v>
      </c>
      <c r="CJH13" s="68">
        <f t="shared" si="796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7"/>
        <v>985</v>
      </c>
      <c r="CJP13" s="68">
        <f t="shared" si="798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799"/>
        <v>3375</v>
      </c>
      <c r="CJX13" s="68">
        <f t="shared" si="800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1"/>
        <v>2008</v>
      </c>
      <c r="CKF13" s="68">
        <f t="shared" si="802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3"/>
        <v>1668</v>
      </c>
      <c r="CKN13" s="68">
        <f t="shared" si="804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5"/>
        <v>2713</v>
      </c>
      <c r="CKV13" s="68">
        <f t="shared" si="806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7"/>
        <v>3804</v>
      </c>
      <c r="CLD13" s="68">
        <f t="shared" si="808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09"/>
        <v>988</v>
      </c>
      <c r="CLL13" s="68">
        <f t="shared" si="810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1"/>
        <v>2228</v>
      </c>
      <c r="CLT13" s="184">
        <f t="shared" si="812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3"/>
        <v>3449</v>
      </c>
      <c r="CMB13" s="68">
        <f t="shared" si="814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5"/>
        <v>1679</v>
      </c>
      <c r="CMJ13" s="68">
        <f t="shared" si="816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7"/>
        <v>4098</v>
      </c>
      <c r="CMR13" s="68">
        <f t="shared" si="818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19"/>
        <v>1336</v>
      </c>
      <c r="CMZ13" s="68">
        <f t="shared" si="820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1"/>
        <v>3284</v>
      </c>
      <c r="CNH13" s="68">
        <f t="shared" si="822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3"/>
        <v>3358</v>
      </c>
      <c r="CNP13" s="68">
        <f t="shared" si="824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5"/>
        <v>3445</v>
      </c>
      <c r="CNX13" s="68">
        <f t="shared" si="826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7"/>
        <v>1495</v>
      </c>
      <c r="COF13" s="68">
        <f t="shared" si="828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29"/>
        <v>2608</v>
      </c>
      <c r="CON13" s="68">
        <f t="shared" si="830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1"/>
        <v>3658</v>
      </c>
      <c r="COV13" s="68">
        <f t="shared" si="832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3"/>
        <v>2454</v>
      </c>
      <c r="CPD13" s="68">
        <f t="shared" si="834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5"/>
        <v>2038</v>
      </c>
      <c r="CPL13" s="68">
        <f t="shared" si="836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7"/>
        <v>3875</v>
      </c>
      <c r="CPT13" s="68">
        <f t="shared" si="838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39"/>
        <v>2860</v>
      </c>
      <c r="CQB13" s="68">
        <f t="shared" si="840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1"/>
        <v>3457</v>
      </c>
      <c r="CQJ13" s="68">
        <f t="shared" si="842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3"/>
        <v>2333</v>
      </c>
      <c r="CQR13" s="68">
        <f t="shared" si="844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113</v>
      </c>
      <c r="CQX13" s="49">
        <v>1360</v>
      </c>
      <c r="CQY13" s="67">
        <f t="shared" si="845"/>
        <v>5371</v>
      </c>
      <c r="CQZ13" s="68">
        <f t="shared" si="846"/>
        <v>895.16666666666663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7"/>
        <v>3794</v>
      </c>
      <c r="CRH13" s="68">
        <f t="shared" si="848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49"/>
        <v>4387</v>
      </c>
      <c r="CRP13" s="68">
        <f t="shared" si="850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1"/>
        <v>1300</v>
      </c>
      <c r="CRX13" s="68">
        <f t="shared" si="852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44"/>
        <v>1459</v>
      </c>
      <c r="CSF13" s="68">
        <f t="shared" si="1245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5"/>
        <v>5755</v>
      </c>
      <c r="CSN13" s="68">
        <f t="shared" si="856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7"/>
        <v>5456</v>
      </c>
      <c r="CSV13" s="68">
        <f t="shared" si="858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59"/>
        <v>1682</v>
      </c>
      <c r="CTD13" s="68">
        <f t="shared" si="860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1"/>
        <v>3397</v>
      </c>
      <c r="CTL13" s="68">
        <f t="shared" si="862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3"/>
        <v>3600</v>
      </c>
      <c r="CTT13" s="68">
        <f t="shared" si="864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5"/>
        <v>3011</v>
      </c>
      <c r="CUB13" s="68">
        <f t="shared" si="866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7"/>
        <v>4654</v>
      </c>
      <c r="CUJ13" s="68">
        <f t="shared" si="868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69"/>
        <v>2955</v>
      </c>
      <c r="CUR13" s="68">
        <f t="shared" si="870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1"/>
        <v>662</v>
      </c>
      <c r="CUZ13" s="68">
        <f t="shared" si="872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3"/>
        <v>4527</v>
      </c>
      <c r="CVH13" s="68">
        <f t="shared" si="874"/>
        <v>754.5</v>
      </c>
      <c r="CVI13" s="48">
        <v>769</v>
      </c>
      <c r="CVJ13" s="49">
        <f>SUMIF(SUMPK!$B:$B,$B:$B,SUMPK!$O:$O)</f>
        <v>113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5"/>
        <v>2816</v>
      </c>
      <c r="CVP13" s="68">
        <f t="shared" si="876"/>
        <v>469.33333333333331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7"/>
        <v>3676</v>
      </c>
      <c r="CVX13" s="68">
        <f t="shared" si="878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79"/>
        <v>3235</v>
      </c>
      <c r="CWF13" s="68">
        <f t="shared" si="880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1"/>
        <v>6786</v>
      </c>
      <c r="CWN13" s="68">
        <f t="shared" si="882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3"/>
        <v>332</v>
      </c>
      <c r="CWV13" s="43">
        <f t="shared" si="884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5"/>
        <v>1231</v>
      </c>
      <c r="CXD13" s="43">
        <f t="shared" si="886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7"/>
        <v>3226</v>
      </c>
      <c r="CXL13" s="43">
        <f t="shared" si="888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89"/>
        <v>3116</v>
      </c>
      <c r="CXT13" s="43">
        <f t="shared" si="890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1"/>
        <v>2896</v>
      </c>
      <c r="CYB13" s="43">
        <f t="shared" si="892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3"/>
        <v>5397</v>
      </c>
      <c r="CYJ13" s="43">
        <f t="shared" si="894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5"/>
        <v>4139</v>
      </c>
      <c r="CYR13" s="43">
        <f t="shared" si="896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7"/>
        <v>4778</v>
      </c>
      <c r="CYZ13" s="43">
        <f t="shared" si="898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899"/>
        <v>1678</v>
      </c>
      <c r="CZH13" s="43">
        <f t="shared" si="900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1"/>
        <v>3317</v>
      </c>
      <c r="CZP13" s="43">
        <f t="shared" si="902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3"/>
        <v>2019</v>
      </c>
      <c r="CZX13" s="43">
        <f t="shared" si="904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5"/>
        <v>1688</v>
      </c>
      <c r="DAF13" s="43">
        <f t="shared" si="906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7"/>
        <v>4524</v>
      </c>
      <c r="DAN13" s="43">
        <f t="shared" si="908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09"/>
        <v>3434</v>
      </c>
      <c r="DAV13" s="68">
        <f t="shared" si="910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1"/>
        <v>2490</v>
      </c>
      <c r="DBD13" s="68">
        <f t="shared" si="912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3"/>
        <v>3603</v>
      </c>
      <c r="DBL13" s="68">
        <f t="shared" si="914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5"/>
        <v>4437</v>
      </c>
      <c r="DBT13" s="68">
        <f t="shared" si="916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7"/>
        <v>546</v>
      </c>
      <c r="DCB13" s="184">
        <f t="shared" si="918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19"/>
        <v>4794</v>
      </c>
      <c r="DCJ13" s="211">
        <f t="shared" si="920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1"/>
        <v>3398</v>
      </c>
      <c r="DCR13" s="211">
        <f t="shared" si="922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3"/>
        <v>4126</v>
      </c>
      <c r="DCZ13" s="184">
        <f t="shared" si="924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5"/>
        <v>3338</v>
      </c>
      <c r="DDH13" s="211">
        <f t="shared" si="926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7"/>
        <v>2399</v>
      </c>
      <c r="DDP13" s="184">
        <f t="shared" si="928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29"/>
        <v>4433</v>
      </c>
      <c r="DDX13" s="211">
        <f t="shared" si="930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1"/>
        <v>4086</v>
      </c>
      <c r="DEF13" s="214">
        <f t="shared" si="932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3"/>
        <v>1819</v>
      </c>
      <c r="DEN13" s="101">
        <f t="shared" si="934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5"/>
        <v>1686</v>
      </c>
      <c r="DEV13" s="101">
        <f t="shared" si="936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7"/>
        <v>1902</v>
      </c>
      <c r="DFD13" s="43">
        <f t="shared" si="938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39"/>
        <v>6428</v>
      </c>
      <c r="DFL13" s="43">
        <f t="shared" si="940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1"/>
        <v>2024</v>
      </c>
      <c r="DFT13" s="43">
        <f t="shared" si="942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3"/>
        <v>1926</v>
      </c>
      <c r="DGB13" s="43">
        <f t="shared" si="944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5"/>
        <v>3539</v>
      </c>
      <c r="DGJ13" s="68">
        <f t="shared" si="946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7"/>
        <v>4026</v>
      </c>
      <c r="DGR13" s="68">
        <f t="shared" si="948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49"/>
        <v>2425</v>
      </c>
      <c r="DGZ13" s="68">
        <f t="shared" si="950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1"/>
        <v>3273</v>
      </c>
      <c r="DHH13" s="68">
        <f t="shared" si="952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3"/>
        <v>2558</v>
      </c>
      <c r="DHP13" s="68">
        <f t="shared" si="954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5"/>
        <v>0</v>
      </c>
      <c r="DHX13" s="68">
        <f t="shared" si="956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7"/>
        <v>6852</v>
      </c>
      <c r="DIF13" s="68">
        <f t="shared" si="958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59"/>
        <v>3018</v>
      </c>
      <c r="DIN13" s="68">
        <f t="shared" si="960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1"/>
        <v>4262</v>
      </c>
      <c r="DIV13" s="68">
        <f t="shared" si="962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3"/>
        <v>870</v>
      </c>
      <c r="DJD13" s="68">
        <f t="shared" si="964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5"/>
        <v>2982</v>
      </c>
      <c r="DJL13" s="68">
        <f t="shared" si="966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7"/>
        <v>3932</v>
      </c>
      <c r="DJT13" s="68">
        <f t="shared" si="968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69"/>
        <v>6208</v>
      </c>
      <c r="DKB13" s="68">
        <f t="shared" si="970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1"/>
        <v>4961</v>
      </c>
      <c r="DKJ13" s="68">
        <f t="shared" si="972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3"/>
        <v>354</v>
      </c>
      <c r="DKR13" s="68">
        <f t="shared" si="974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5"/>
        <v>1037</v>
      </c>
      <c r="DKZ13" s="68">
        <f t="shared" si="976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7"/>
        <v>1835</v>
      </c>
      <c r="DLH13" s="68">
        <f t="shared" si="978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79"/>
        <v>4052</v>
      </c>
      <c r="DLP13" s="68">
        <f t="shared" si="980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1"/>
        <v>1532</v>
      </c>
      <c r="DLX13" s="68">
        <f t="shared" si="982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3"/>
        <v>1790</v>
      </c>
      <c r="DMF13" s="68">
        <f t="shared" si="984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5"/>
        <v>2288</v>
      </c>
      <c r="DMN13" s="68">
        <f t="shared" si="986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7"/>
        <v>1957</v>
      </c>
      <c r="DMV13" s="68">
        <f t="shared" si="988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89"/>
        <v>2547</v>
      </c>
      <c r="DND13" s="68">
        <f t="shared" si="990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1"/>
        <v>210</v>
      </c>
      <c r="DNL13" s="68">
        <f t="shared" si="992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3"/>
        <v>718</v>
      </c>
      <c r="DNT13" s="68">
        <f t="shared" si="994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5"/>
        <v>2099</v>
      </c>
      <c r="DOB13" s="68">
        <f t="shared" si="996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7"/>
        <v>359</v>
      </c>
      <c r="DOJ13" s="68">
        <f t="shared" si="998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999"/>
        <v>3294</v>
      </c>
      <c r="DOR13" s="68">
        <f t="shared" si="1000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1"/>
        <v>1668</v>
      </c>
      <c r="DOZ13" s="68">
        <f t="shared" si="1002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3"/>
        <v>1507</v>
      </c>
      <c r="DPH13" s="68">
        <f t="shared" si="1004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5"/>
        <v>815</v>
      </c>
      <c r="DPP13" s="68">
        <f t="shared" si="1006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7"/>
        <v>0</v>
      </c>
      <c r="DPX13" s="68">
        <f t="shared" si="1008"/>
        <v>0</v>
      </c>
      <c r="DPY13" s="63">
        <v>0</v>
      </c>
      <c r="DPZ13" s="64">
        <v>0</v>
      </c>
      <c r="DQA13" s="64">
        <f>SUMIF(SUMPK!$B:$B,$B:$B,SUMPK!$O:$O)</f>
        <v>113</v>
      </c>
      <c r="DQB13" s="64">
        <v>0</v>
      </c>
      <c r="DQC13" s="64">
        <v>0</v>
      </c>
      <c r="DQD13" s="64">
        <v>0</v>
      </c>
      <c r="DQE13" s="64">
        <f t="shared" si="1009"/>
        <v>113</v>
      </c>
      <c r="DQF13" s="68">
        <f t="shared" si="1010"/>
        <v>18.833333333333332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1"/>
        <v>13</v>
      </c>
      <c r="DQN13" s="68">
        <f t="shared" si="1012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3"/>
        <v>3160</v>
      </c>
      <c r="DQV13" s="68">
        <f t="shared" si="1014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5"/>
        <v>399</v>
      </c>
      <c r="DRD13" s="68">
        <f t="shared" si="1016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7"/>
        <v>1287</v>
      </c>
      <c r="DRL13" s="68">
        <f t="shared" si="1018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19"/>
        <v>2395</v>
      </c>
      <c r="DRT13" s="68">
        <f t="shared" si="1020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1"/>
        <v>820</v>
      </c>
      <c r="DSB13" s="68">
        <f t="shared" si="1022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3"/>
        <v>4434</v>
      </c>
      <c r="DSJ13" s="68">
        <f t="shared" si="1024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5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6"/>
        <v>1322</v>
      </c>
      <c r="DSZ13" s="68">
        <f t="shared" si="1027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28"/>
        <v>1257</v>
      </c>
      <c r="DTH13" s="68">
        <f t="shared" si="1029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0"/>
        <v>3548</v>
      </c>
      <c r="DTP13" s="68">
        <f t="shared" si="1031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2"/>
        <v>876</v>
      </c>
      <c r="DTX13" s="68">
        <f t="shared" si="1033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4"/>
        <v>2505</v>
      </c>
      <c r="DUF13" s="68">
        <f t="shared" si="1035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6"/>
        <v>1868</v>
      </c>
      <c r="DUN13" s="68">
        <f t="shared" si="1037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38"/>
        <v>2531</v>
      </c>
      <c r="DUV13" s="68">
        <f t="shared" si="1039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0"/>
        <v>4348</v>
      </c>
      <c r="DVD13" s="68">
        <f t="shared" si="1041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2"/>
        <v>3950</v>
      </c>
      <c r="DVL13" s="68">
        <f t="shared" si="1043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4"/>
        <v>637</v>
      </c>
      <c r="DVT13" s="68">
        <f t="shared" si="1045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6"/>
        <v>2673</v>
      </c>
      <c r="DWB13" s="68">
        <f t="shared" si="1047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48"/>
        <v>1641</v>
      </c>
      <c r="DWJ13" s="68">
        <f t="shared" si="1049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0"/>
        <v>2862</v>
      </c>
      <c r="DWR13" s="68">
        <f t="shared" si="1051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2"/>
        <v>29</v>
      </c>
      <c r="DWZ13" s="68">
        <f t="shared" si="1053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4"/>
        <v>130</v>
      </c>
      <c r="DXH13" s="68">
        <f t="shared" si="1055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6"/>
        <v>1044</v>
      </c>
      <c r="DXP13" s="68">
        <f t="shared" si="1057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58"/>
        <v>897</v>
      </c>
      <c r="DXX13" s="68">
        <f t="shared" si="1059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0"/>
        <v>4102</v>
      </c>
      <c r="DYF13" s="68">
        <f t="shared" si="1061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2"/>
        <v>1398</v>
      </c>
      <c r="DYN13" s="68">
        <f t="shared" si="1063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4"/>
        <v>3224</v>
      </c>
      <c r="DYV13" s="68">
        <f t="shared" si="1065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6"/>
        <v>1639</v>
      </c>
      <c r="DZD13" s="68">
        <f t="shared" si="1067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68"/>
        <v>2294</v>
      </c>
      <c r="DZL13" s="68">
        <f t="shared" si="1069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0"/>
        <v>2088</v>
      </c>
      <c r="DZT13" s="68">
        <f t="shared" si="1071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2"/>
        <v>628</v>
      </c>
      <c r="EAB13" s="68">
        <f t="shared" si="1073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4"/>
        <v>3780</v>
      </c>
      <c r="EAJ13" s="68">
        <f t="shared" si="1075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6"/>
        <v>3721</v>
      </c>
      <c r="EAR13" s="68">
        <f t="shared" si="1077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78"/>
        <v>220</v>
      </c>
      <c r="EAZ13" s="68">
        <f t="shared" si="1079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0"/>
        <v>0</v>
      </c>
      <c r="EBH13" s="68">
        <f t="shared" si="1081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2"/>
        <v>1520</v>
      </c>
      <c r="EBP13" s="68">
        <f t="shared" si="1083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4"/>
        <v>1163</v>
      </c>
      <c r="EBX13" s="68">
        <f t="shared" si="1085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6"/>
        <v>1976</v>
      </c>
      <c r="ECF13" s="68">
        <f t="shared" si="1087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88"/>
        <v>839</v>
      </c>
      <c r="ECN13" s="68">
        <f t="shared" si="1089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0"/>
        <v>1357</v>
      </c>
      <c r="ECV13" s="68">
        <f t="shared" si="1091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2"/>
        <v>1672</v>
      </c>
      <c r="EDD13" s="68">
        <f t="shared" si="1093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4"/>
        <v>255</v>
      </c>
      <c r="EDL13" s="68">
        <f t="shared" si="1095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6"/>
        <v>2084</v>
      </c>
      <c r="EDT13" s="68">
        <f t="shared" si="1097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098"/>
        <v>584</v>
      </c>
      <c r="EEB13" s="68">
        <f t="shared" si="1099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0"/>
        <v>1317</v>
      </c>
      <c r="EEJ13" s="68">
        <f t="shared" si="1101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2"/>
        <v>170</v>
      </c>
      <c r="EER13" s="68">
        <f t="shared" si="1103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4"/>
        <v>98</v>
      </c>
      <c r="EEZ13" s="68">
        <f t="shared" si="1105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6"/>
        <v>0</v>
      </c>
      <c r="EFH13" s="68">
        <f t="shared" si="1107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08"/>
        <v>820</v>
      </c>
      <c r="EFP13" s="68">
        <f t="shared" si="1109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0"/>
        <v>817</v>
      </c>
      <c r="EFX13" s="68">
        <f t="shared" si="1111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2"/>
        <v>2654</v>
      </c>
      <c r="EGF13" s="68">
        <f t="shared" si="1113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4"/>
        <v>1277</v>
      </c>
      <c r="EGN13" s="68">
        <f t="shared" si="1115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6"/>
        <v>0</v>
      </c>
      <c r="EGV13" s="68">
        <f t="shared" si="1117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18"/>
        <v>115</v>
      </c>
      <c r="EHD13" s="68">
        <f t="shared" si="1119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0"/>
        <v>675</v>
      </c>
      <c r="EHL13" s="68">
        <f t="shared" si="1121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2"/>
        <v>1693</v>
      </c>
      <c r="EHT13" s="68">
        <f t="shared" si="1123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4"/>
        <v>1813</v>
      </c>
      <c r="EIB13" s="68">
        <f t="shared" si="1125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6"/>
        <v>1252</v>
      </c>
      <c r="EIJ13" s="68">
        <f t="shared" si="1127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28"/>
        <v>1299</v>
      </c>
      <c r="EIR13" s="68">
        <f t="shared" si="1129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0"/>
        <v>830</v>
      </c>
      <c r="EIZ13" s="68">
        <f t="shared" si="1131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2"/>
        <v>1656</v>
      </c>
      <c r="EJH13" s="68">
        <f t="shared" si="1133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4"/>
        <v>1588</v>
      </c>
      <c r="EJP13" s="68">
        <f t="shared" si="1135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6"/>
        <v>664</v>
      </c>
      <c r="EJX13" s="68">
        <f t="shared" si="1137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38"/>
        <v>1176</v>
      </c>
      <c r="EKF13" s="68">
        <f t="shared" si="1139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0"/>
        <v>742</v>
      </c>
      <c r="EKN13" s="68">
        <f t="shared" si="1141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2"/>
        <v>239</v>
      </c>
      <c r="EKV13" s="68">
        <f t="shared" si="1143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4"/>
        <v>298</v>
      </c>
      <c r="ELD13" s="68">
        <f t="shared" si="1145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6"/>
        <v>1536</v>
      </c>
      <c r="ELL13" s="184">
        <f t="shared" si="1147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48"/>
        <v>1381</v>
      </c>
      <c r="ELU13" s="211">
        <f t="shared" si="1149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0"/>
        <v>216</v>
      </c>
      <c r="EMC13" s="211">
        <f t="shared" si="1151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2"/>
        <v>2465</v>
      </c>
      <c r="EMK13" s="211">
        <f t="shared" si="1153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4"/>
        <v>1810</v>
      </c>
      <c r="EMS13" s="211">
        <f t="shared" si="1155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6"/>
        <v>0</v>
      </c>
      <c r="ENA13" s="211">
        <f t="shared" si="1157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58"/>
        <v>1229</v>
      </c>
      <c r="ENI13" s="211">
        <f t="shared" si="1159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0"/>
        <v>362</v>
      </c>
      <c r="ENQ13" s="211">
        <f t="shared" si="1161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2"/>
        <v>920</v>
      </c>
      <c r="ENY13" s="211">
        <f t="shared" si="1163"/>
        <v>153.33333333333334</v>
      </c>
      <c r="ENZ13" s="244">
        <f>SUMIF(SUMPK!$B:$B,$B:$B,SUMPK!$O:$O)</f>
        <v>113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4"/>
        <v>2410</v>
      </c>
      <c r="EOG13" s="211">
        <f t="shared" si="1165"/>
        <v>401.66666666666669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6"/>
        <v>790</v>
      </c>
      <c r="EOO13" s="211">
        <f t="shared" si="1167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68"/>
        <v>1657</v>
      </c>
      <c r="EOW13" s="211">
        <f t="shared" si="1169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0"/>
        <v>1654</v>
      </c>
      <c r="EPE13" s="211">
        <f t="shared" si="1171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2"/>
        <v>791</v>
      </c>
      <c r="EPM13" s="211">
        <f t="shared" si="1173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4"/>
        <v>1026</v>
      </c>
      <c r="EPU13" s="211">
        <f t="shared" si="1175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6"/>
        <v>1459</v>
      </c>
      <c r="EQC13" s="211">
        <f t="shared" si="1177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78"/>
        <v>326</v>
      </c>
      <c r="EQK13" s="211">
        <f t="shared" si="1179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0"/>
        <v>77</v>
      </c>
      <c r="EQS13" s="211">
        <f t="shared" si="1181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2"/>
        <v>1574</v>
      </c>
      <c r="ERA13" s="211">
        <f t="shared" si="1183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4"/>
        <v>1371</v>
      </c>
      <c r="ERI13" s="211">
        <f t="shared" si="1185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6"/>
        <v>1620</v>
      </c>
      <c r="ERQ13" s="211">
        <f t="shared" si="1187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88"/>
        <v>1634</v>
      </c>
      <c r="ERY13" s="211">
        <f t="shared" si="1189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0"/>
        <v>833</v>
      </c>
      <c r="ESG13" s="211">
        <f t="shared" si="1191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2"/>
        <v>1998</v>
      </c>
      <c r="ESO13" s="211">
        <f t="shared" si="1193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4"/>
        <v>1650</v>
      </c>
      <c r="ESW13" s="211">
        <f t="shared" si="1195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6"/>
        <v>1693</v>
      </c>
      <c r="ETE13" s="736">
        <f t="shared" si="1197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198"/>
        <v>1109</v>
      </c>
      <c r="ETM13" s="211">
        <f t="shared" si="1199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0"/>
        <v>1015</v>
      </c>
      <c r="ETU13" s="211">
        <f t="shared" si="1201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2"/>
        <v>1046</v>
      </c>
      <c r="EUC13" s="211">
        <f t="shared" si="1203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4"/>
        <v>36</v>
      </c>
      <c r="EUK13" s="211">
        <f t="shared" si="1205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6"/>
        <v>2122</v>
      </c>
      <c r="EUS13" s="211">
        <f t="shared" si="1207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08"/>
        <v>0</v>
      </c>
      <c r="EVA13" s="211">
        <f t="shared" si="1209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0"/>
        <v>0</v>
      </c>
      <c r="EVI13" s="211">
        <f t="shared" si="1211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2"/>
        <v>0</v>
      </c>
      <c r="EVQ13" s="211">
        <f t="shared" si="1213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4"/>
        <v>1641</v>
      </c>
      <c r="EVY13" s="211">
        <f t="shared" si="1215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6"/>
        <v>1984</v>
      </c>
      <c r="EWG13" s="211">
        <f t="shared" si="1217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18"/>
        <v>1121</v>
      </c>
      <c r="EWO13" s="211">
        <f t="shared" si="1219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0"/>
        <v>2287</v>
      </c>
      <c r="EWW13" s="211">
        <f t="shared" si="1221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2"/>
        <v>1348</v>
      </c>
      <c r="EXE13" s="211">
        <f t="shared" si="1223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4"/>
        <v>0</v>
      </c>
      <c r="EXM13" s="211">
        <f t="shared" si="1225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6"/>
        <v>0</v>
      </c>
      <c r="EXU13" s="211">
        <f t="shared" si="1227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28"/>
        <v>0</v>
      </c>
      <c r="EYC13" s="211">
        <f t="shared" si="1229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0"/>
        <v>839</v>
      </c>
      <c r="EYK13" s="211">
        <f t="shared" si="1231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2"/>
        <v>270</v>
      </c>
      <c r="EYS13" s="211">
        <f t="shared" si="1233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4"/>
        <v>2226</v>
      </c>
      <c r="EZA13" s="211">
        <f t="shared" si="1235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6"/>
        <v>0</v>
      </c>
      <c r="EZI13" s="211">
        <f t="shared" si="1237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38"/>
        <v>1061</v>
      </c>
      <c r="EZQ13" s="873">
        <f t="shared" si="1239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0"/>
        <v>2957</v>
      </c>
      <c r="EZY13" s="873">
        <f t="shared" si="1241"/>
        <v>492.83333333333331</v>
      </c>
      <c r="EZZ13" s="195">
        <v>358</v>
      </c>
      <c r="FAA13" s="49">
        <v>99</v>
      </c>
      <c r="FAB13" s="49">
        <v>0</v>
      </c>
      <c r="FAC13" s="49"/>
      <c r="FAD13" s="49"/>
      <c r="FAE13" s="49"/>
      <c r="FAF13" s="872">
        <f t="shared" si="1242"/>
        <v>457</v>
      </c>
      <c r="FAG13" s="873">
        <f t="shared" si="1243"/>
        <v>76.166666666666671</v>
      </c>
    </row>
    <row r="14" spans="1:4089" s="8" customFormat="1" ht="15" customHeight="1" x14ac:dyDescent="0.2">
      <c r="A14" s="21">
        <v>8</v>
      </c>
      <c r="B14" s="21" t="s">
        <v>289</v>
      </c>
      <c r="C14" s="275" t="s">
        <v>290</v>
      </c>
      <c r="D14" s="21">
        <v>50</v>
      </c>
      <c r="E14" s="24">
        <v>0</v>
      </c>
      <c r="F14" s="24">
        <v>38423</v>
      </c>
      <c r="G14" s="24"/>
      <c r="H14" s="24"/>
      <c r="I14" s="24"/>
      <c r="J14" s="360">
        <f>SUMIF(SUMPK!$B:$B,$B:$B,SUMPK!$O:$O)</f>
        <v>1014</v>
      </c>
      <c r="K14" s="24"/>
      <c r="L14" s="24">
        <f t="shared" ref="L14" si="1247">F14+H14-J14</f>
        <v>37409</v>
      </c>
      <c r="M14" s="24">
        <f t="shared" ref="M14" si="1248">K14+L14</f>
        <v>37409</v>
      </c>
      <c r="N14" s="15">
        <v>3785.3333333333335</v>
      </c>
      <c r="O14" s="276">
        <f t="shared" si="0"/>
        <v>9.8826171187037684</v>
      </c>
      <c r="P14" s="15">
        <v>2193.1666666666665</v>
      </c>
      <c r="Q14" s="276">
        <f t="shared" si="569"/>
        <v>102.34242723611217</v>
      </c>
      <c r="R14" s="277">
        <f t="shared" si="570"/>
        <v>2930.7692307692309</v>
      </c>
      <c r="S14" s="222">
        <v>76200</v>
      </c>
      <c r="T14" s="276">
        <f t="shared" si="571"/>
        <v>12.764225721784776</v>
      </c>
      <c r="U14" s="278"/>
      <c r="V14" s="277">
        <f t="shared" si="1"/>
        <v>12.764225721784776</v>
      </c>
      <c r="W14" s="320">
        <f t="shared" si="1246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49">SUM(EDU14:EDZ14)</f>
        <v>8612</v>
      </c>
      <c r="EEB14" s="68">
        <f t="shared" ref="EEB14" si="1250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0"/>
        <v>18533</v>
      </c>
      <c r="EEJ14" s="68">
        <f t="shared" si="1101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2"/>
        <v>25585</v>
      </c>
      <c r="EER14" s="68">
        <f t="shared" si="1103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4"/>
        <v>14838</v>
      </c>
      <c r="EEZ14" s="68">
        <f t="shared" si="1105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6"/>
        <v>21675</v>
      </c>
      <c r="EFH14" s="68">
        <f t="shared" si="1107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08"/>
        <v>20338</v>
      </c>
      <c r="EFP14" s="68">
        <f t="shared" si="1109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0"/>
        <v>17586</v>
      </c>
      <c r="EFX14" s="68">
        <f t="shared" si="1111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2"/>
        <v>10822</v>
      </c>
      <c r="EGF14" s="68">
        <f t="shared" si="1113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4"/>
        <v>13184</v>
      </c>
      <c r="EGN14" s="68">
        <f t="shared" si="1115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6"/>
        <v>15966</v>
      </c>
      <c r="EGV14" s="68">
        <f t="shared" si="1117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18"/>
        <v>9349</v>
      </c>
      <c r="EHD14" s="68">
        <f t="shared" si="1119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0"/>
        <v>15041</v>
      </c>
      <c r="EHL14" s="68">
        <f t="shared" si="1121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2"/>
        <v>19254</v>
      </c>
      <c r="EHT14" s="68">
        <f t="shared" si="1123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4"/>
        <v>13281</v>
      </c>
      <c r="EIB14" s="68">
        <f t="shared" si="1125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6"/>
        <v>11691</v>
      </c>
      <c r="EIJ14" s="68">
        <f t="shared" si="1127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28"/>
        <v>12707</v>
      </c>
      <c r="EIR14" s="68">
        <f t="shared" si="1129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0"/>
        <v>18821</v>
      </c>
      <c r="EIZ14" s="68">
        <f t="shared" si="1131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2"/>
        <v>14142</v>
      </c>
      <c r="EJH14" s="68">
        <f t="shared" si="1133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4"/>
        <v>19679</v>
      </c>
      <c r="EJP14" s="68">
        <f t="shared" si="1135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6"/>
        <v>13269</v>
      </c>
      <c r="EJX14" s="68">
        <f t="shared" si="1137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38"/>
        <v>20503</v>
      </c>
      <c r="EKF14" s="68">
        <f t="shared" si="1139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0"/>
        <v>12239</v>
      </c>
      <c r="EKN14" s="68">
        <f t="shared" si="1141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2"/>
        <v>11041</v>
      </c>
      <c r="EKV14" s="68">
        <f t="shared" si="1143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4"/>
        <v>10267</v>
      </c>
      <c r="ELD14" s="68">
        <f t="shared" si="1145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6"/>
        <v>16838</v>
      </c>
      <c r="ELL14" s="184">
        <f t="shared" si="1147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48"/>
        <v>14047</v>
      </c>
      <c r="ELU14" s="211">
        <f t="shared" si="1149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0"/>
        <v>13429</v>
      </c>
      <c r="EMC14" s="211">
        <f t="shared" si="1151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2"/>
        <v>11704</v>
      </c>
      <c r="EMK14" s="211">
        <f t="shared" si="1153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4"/>
        <v>13273</v>
      </c>
      <c r="EMS14" s="211">
        <f t="shared" si="1155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6"/>
        <v>19558</v>
      </c>
      <c r="ENA14" s="211">
        <f t="shared" si="1157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58"/>
        <v>17403</v>
      </c>
      <c r="ENI14" s="211">
        <f t="shared" si="1159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0"/>
        <v>17403</v>
      </c>
      <c r="ENQ14" s="211">
        <f t="shared" si="1161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2"/>
        <v>11691</v>
      </c>
      <c r="ENY14" s="211">
        <f t="shared" si="1163"/>
        <v>1948.5</v>
      </c>
      <c r="ENZ14" s="244">
        <f>SUMIF(SUMPK!$B:$B,$B:$B,SUMPK!$O:$O)</f>
        <v>1014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4"/>
        <v>16520</v>
      </c>
      <c r="EOG14" s="211">
        <f t="shared" si="1165"/>
        <v>2753.3333333333335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6"/>
        <v>13118</v>
      </c>
      <c r="EOO14" s="211">
        <f t="shared" si="1167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68"/>
        <v>2423</v>
      </c>
      <c r="EOW14" s="211">
        <f t="shared" si="1169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0"/>
        <v>19178</v>
      </c>
      <c r="EPE14" s="211">
        <f t="shared" si="1171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2"/>
        <v>13159</v>
      </c>
      <c r="EPM14" s="211">
        <f t="shared" si="1173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4"/>
        <v>18542</v>
      </c>
      <c r="EPU14" s="211">
        <f t="shared" si="1175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6"/>
        <v>11563</v>
      </c>
      <c r="EQC14" s="211">
        <f t="shared" si="1177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78"/>
        <v>18827</v>
      </c>
      <c r="EQK14" s="211">
        <f t="shared" si="1179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0"/>
        <v>12087</v>
      </c>
      <c r="EQS14" s="211">
        <f t="shared" si="1181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2"/>
        <v>12861</v>
      </c>
      <c r="ERA14" s="211">
        <f t="shared" si="1183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4"/>
        <v>11732</v>
      </c>
      <c r="ERI14" s="211">
        <f t="shared" si="1185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6"/>
        <v>11205</v>
      </c>
      <c r="ERQ14" s="211">
        <f t="shared" si="1187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88"/>
        <v>15352</v>
      </c>
      <c r="ERY14" s="211">
        <f t="shared" si="1189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0"/>
        <v>17499</v>
      </c>
      <c r="ESG14" s="211">
        <f t="shared" si="1191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2"/>
        <v>13729</v>
      </c>
      <c r="ESO14" s="211">
        <f t="shared" si="1193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4"/>
        <v>13024</v>
      </c>
      <c r="ESW14" s="211">
        <f t="shared" si="1195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6"/>
        <v>6215</v>
      </c>
      <c r="ETE14" s="736">
        <f t="shared" si="1197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198"/>
        <v>16374</v>
      </c>
      <c r="ETM14" s="211">
        <f t="shared" si="1199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0"/>
        <v>19906</v>
      </c>
      <c r="ETU14" s="211">
        <f t="shared" si="1201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2"/>
        <v>9203</v>
      </c>
      <c r="EUC14" s="211">
        <f t="shared" si="1203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4"/>
        <v>19448</v>
      </c>
      <c r="EUK14" s="211">
        <f t="shared" si="1205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6"/>
        <v>13616</v>
      </c>
      <c r="EUS14" s="211">
        <f t="shared" si="1207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08"/>
        <v>17124</v>
      </c>
      <c r="EVA14" s="211">
        <f t="shared" si="1209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0"/>
        <v>20696</v>
      </c>
      <c r="EVI14" s="211">
        <f t="shared" si="1211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2"/>
        <v>27688</v>
      </c>
      <c r="EVQ14" s="211">
        <f t="shared" si="1213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4"/>
        <v>13924</v>
      </c>
      <c r="EVY14" s="211">
        <f t="shared" si="1215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6"/>
        <v>15679</v>
      </c>
      <c r="EWG14" s="211">
        <f t="shared" si="1217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18"/>
        <v>16811</v>
      </c>
      <c r="EWO14" s="211">
        <f t="shared" si="1219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0"/>
        <v>7979</v>
      </c>
      <c r="EWW14" s="211">
        <f t="shared" si="1221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2"/>
        <v>15354</v>
      </c>
      <c r="EXE14" s="211">
        <f t="shared" si="1223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4"/>
        <v>22026</v>
      </c>
      <c r="EXM14" s="211">
        <f t="shared" si="1225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6"/>
        <v>17608</v>
      </c>
      <c r="EXU14" s="211">
        <f t="shared" si="1227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28"/>
        <v>19032</v>
      </c>
      <c r="EYC14" s="211">
        <f t="shared" si="1229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0"/>
        <v>18801</v>
      </c>
      <c r="EYK14" s="211">
        <f t="shared" si="1231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2"/>
        <v>13997</v>
      </c>
      <c r="EYS14" s="211">
        <f t="shared" si="1233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4"/>
        <v>19223</v>
      </c>
      <c r="EZA14" s="211">
        <f t="shared" si="1235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6"/>
        <v>20702</v>
      </c>
      <c r="EZI14" s="211">
        <f t="shared" si="1237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38"/>
        <v>19891</v>
      </c>
      <c r="EZQ14" s="873">
        <f t="shared" si="1239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0"/>
        <v>22712</v>
      </c>
      <c r="EZY14" s="873">
        <f t="shared" si="1241"/>
        <v>3785.3333333333335</v>
      </c>
      <c r="EZZ14" s="195">
        <v>1836</v>
      </c>
      <c r="FAA14" s="49">
        <v>3083</v>
      </c>
      <c r="FAB14" s="49">
        <v>1631</v>
      </c>
      <c r="FAC14" s="49"/>
      <c r="FAD14" s="49"/>
      <c r="FAE14" s="49"/>
      <c r="FAF14" s="872">
        <f t="shared" si="1242"/>
        <v>6550</v>
      </c>
      <c r="FAG14" s="873">
        <f t="shared" si="1243"/>
        <v>1091.6666666666667</v>
      </c>
    </row>
    <row r="15" spans="1:4089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21708</v>
      </c>
      <c r="G15" s="24"/>
      <c r="H15" s="24"/>
      <c r="I15" s="24"/>
      <c r="J15" s="360">
        <f>SUMIF(SUMPK!$B:$B,$B:$B,SUMPK!$O:$O)</f>
        <v>1122</v>
      </c>
      <c r="K15" s="24"/>
      <c r="L15" s="24">
        <f t="shared" si="567"/>
        <v>20586</v>
      </c>
      <c r="M15" s="24">
        <f t="shared" si="568"/>
        <v>20586</v>
      </c>
      <c r="N15" s="15">
        <v>2046.8333333333333</v>
      </c>
      <c r="O15" s="276">
        <f t="shared" si="0"/>
        <v>10.057487175311458</v>
      </c>
      <c r="P15" s="15">
        <v>1053.1666666666667</v>
      </c>
      <c r="Q15" s="276">
        <f t="shared" si="569"/>
        <v>117.28058237062825</v>
      </c>
      <c r="R15" s="277">
        <f t="shared" si="570"/>
        <v>1776.9230769230769</v>
      </c>
      <c r="S15" s="222">
        <v>46200</v>
      </c>
      <c r="T15" s="276">
        <f t="shared" si="571"/>
        <v>11.585194805194805</v>
      </c>
      <c r="U15" s="278"/>
      <c r="V15" s="277">
        <f t="shared" si="1"/>
        <v>11.585194805194805</v>
      </c>
      <c r="W15" s="320">
        <f t="shared" si="1246"/>
        <v>1</v>
      </c>
      <c r="X15" s="299"/>
      <c r="Y15" s="280" t="e">
        <f>#REF!+#REF!</f>
        <v>#REF!</v>
      </c>
      <c r="Z15" s="280" t="e">
        <f t="shared" ref="Z15:Z23" si="1251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2"/>
        <v>8229</v>
      </c>
      <c r="BAV15" s="43">
        <f t="shared" si="573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4"/>
        <v>7402</v>
      </c>
      <c r="BBD15" s="43">
        <f t="shared" si="575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6"/>
        <v>4004</v>
      </c>
      <c r="BBL15" s="43">
        <f t="shared" si="577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78"/>
        <v>2856</v>
      </c>
      <c r="BBT15" s="43">
        <f t="shared" si="579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0"/>
        <v>2697</v>
      </c>
      <c r="BCB15" s="43">
        <f t="shared" si="581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2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3"/>
        <v>6895</v>
      </c>
      <c r="BCR15" s="43">
        <f t="shared" si="584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5"/>
        <v>13524</v>
      </c>
      <c r="BCZ15" s="43">
        <f t="shared" si="586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7"/>
        <v>1577</v>
      </c>
      <c r="BDH15" s="43">
        <f t="shared" si="588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89"/>
        <v>6387</v>
      </c>
      <c r="BDP15" s="43">
        <f t="shared" si="590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1"/>
        <v>11969</v>
      </c>
      <c r="BDX15" s="43">
        <f t="shared" si="592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3"/>
        <v>14660</v>
      </c>
      <c r="BEF15" s="43">
        <f t="shared" si="594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5"/>
        <v>4462</v>
      </c>
      <c r="BEN15" s="43">
        <f t="shared" si="596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7"/>
        <v>8112</v>
      </c>
      <c r="BEV15" s="43">
        <f t="shared" si="598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599"/>
        <v>4250</v>
      </c>
      <c r="BFD15" s="43">
        <f t="shared" si="600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1"/>
        <v>8134</v>
      </c>
      <c r="BFL15" s="68">
        <f t="shared" si="602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3"/>
        <v>1576</v>
      </c>
      <c r="BFT15" s="68">
        <f t="shared" si="604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5"/>
        <v>8625</v>
      </c>
      <c r="BGB15" s="68">
        <f t="shared" si="606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7"/>
        <v>1495</v>
      </c>
      <c r="BGJ15" s="68">
        <f t="shared" si="608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09"/>
        <v>4626</v>
      </c>
      <c r="BGR15" s="68">
        <f t="shared" si="610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1"/>
        <v>6327</v>
      </c>
      <c r="BGZ15" s="68">
        <f t="shared" si="612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3"/>
        <v>7267</v>
      </c>
      <c r="BHH15" s="68">
        <f t="shared" si="614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5"/>
        <v>3346</v>
      </c>
      <c r="BHP15" s="184">
        <f t="shared" si="616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7"/>
        <v>4647</v>
      </c>
      <c r="BHX15" s="211">
        <f t="shared" si="618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19"/>
        <v>4816</v>
      </c>
      <c r="BIF15" s="184">
        <f t="shared" si="620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1"/>
        <v>10526</v>
      </c>
      <c r="BIN15" s="184">
        <f t="shared" si="622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3"/>
        <v>5624</v>
      </c>
      <c r="BIV15" s="211">
        <f t="shared" si="624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5"/>
        <v>8624</v>
      </c>
      <c r="BJD15" s="211">
        <f t="shared" si="626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7"/>
        <v>2335</v>
      </c>
      <c r="BJL15" s="211">
        <f t="shared" si="628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29"/>
        <v>9313</v>
      </c>
      <c r="BJT15" s="184">
        <f t="shared" si="630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1"/>
        <v>5792</v>
      </c>
      <c r="BKB15" s="184">
        <f t="shared" si="632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3"/>
        <v>5171</v>
      </c>
      <c r="BKJ15" s="184">
        <f t="shared" si="634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5"/>
        <v>8101</v>
      </c>
      <c r="BKR15" s="184">
        <f t="shared" si="636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7"/>
        <v>6167</v>
      </c>
      <c r="BKZ15" s="211">
        <f t="shared" si="638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39"/>
        <v>959</v>
      </c>
      <c r="BLH15" s="211">
        <f t="shared" si="640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1"/>
        <v>5571</v>
      </c>
      <c r="BLP15" s="184">
        <f t="shared" si="642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3"/>
        <v>17575</v>
      </c>
      <c r="BLX15" s="184">
        <f t="shared" si="644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5"/>
        <v>11639</v>
      </c>
      <c r="BMF15" s="68">
        <f t="shared" si="646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7"/>
        <v>2801</v>
      </c>
      <c r="BMN15" s="68">
        <f t="shared" si="648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49"/>
        <v>10537</v>
      </c>
      <c r="BMV15" s="68">
        <f t="shared" si="650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1"/>
        <v>6975</v>
      </c>
      <c r="BND15" s="68">
        <f t="shared" si="652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3"/>
        <v>907</v>
      </c>
      <c r="BNL15" s="68">
        <f t="shared" si="654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5"/>
        <v>11364</v>
      </c>
      <c r="BNT15" s="68">
        <f t="shared" si="656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7"/>
        <v>8214</v>
      </c>
      <c r="BOB15" s="184">
        <f t="shared" si="658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59"/>
        <v>7108</v>
      </c>
      <c r="BOJ15" s="184">
        <f t="shared" si="660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1"/>
        <v>4044</v>
      </c>
      <c r="BOR15" s="68">
        <f t="shared" si="662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3"/>
        <v>10735</v>
      </c>
      <c r="BOZ15" s="68">
        <f t="shared" si="664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5"/>
        <v>3970</v>
      </c>
      <c r="BPH15" s="68">
        <f t="shared" si="666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7"/>
        <v>7066</v>
      </c>
      <c r="BPP15" s="68">
        <f t="shared" si="668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69"/>
        <v>13068</v>
      </c>
      <c r="BPX15" s="68">
        <f t="shared" si="670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1"/>
        <v>11887</v>
      </c>
      <c r="BQF15" s="68">
        <f t="shared" si="672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3"/>
        <v>3625</v>
      </c>
      <c r="BQN15" s="68">
        <f t="shared" si="674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5"/>
        <v>0</v>
      </c>
      <c r="BQV15" s="68">
        <f t="shared" si="676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7"/>
        <v>12139</v>
      </c>
      <c r="BRD15" s="68">
        <f t="shared" si="678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79"/>
        <v>4772</v>
      </c>
      <c r="BRL15" s="68">
        <f t="shared" si="680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1"/>
        <v>6442</v>
      </c>
      <c r="BRT15" s="68">
        <f t="shared" si="682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3"/>
        <v>9486</v>
      </c>
      <c r="BSB15" s="68">
        <f t="shared" si="684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5"/>
        <v>9413</v>
      </c>
      <c r="BSJ15" s="68">
        <f t="shared" si="686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7"/>
        <v>1679</v>
      </c>
      <c r="BSR15" s="68">
        <f t="shared" si="688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89"/>
        <v>8910</v>
      </c>
      <c r="BSZ15" s="68">
        <f t="shared" si="690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1"/>
        <v>8282</v>
      </c>
      <c r="BTH15" s="68">
        <f t="shared" si="692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3"/>
        <v>4136</v>
      </c>
      <c r="BTP15" s="68">
        <f t="shared" si="694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5"/>
        <v>2474</v>
      </c>
      <c r="BTX15" s="184">
        <f t="shared" si="696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7"/>
        <v>10687</v>
      </c>
      <c r="BUF15" s="184">
        <f t="shared" si="698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699"/>
        <v>8604</v>
      </c>
      <c r="BUN15" s="211">
        <f t="shared" si="700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1"/>
        <v>5668</v>
      </c>
      <c r="BUV15" s="211">
        <f t="shared" si="702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3"/>
        <v>4972</v>
      </c>
      <c r="BVD15" s="211">
        <f t="shared" si="704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5"/>
        <v>6319</v>
      </c>
      <c r="BVL15" s="184">
        <f t="shared" si="706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7"/>
        <v>8402</v>
      </c>
      <c r="BVT15" s="211">
        <f t="shared" si="708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09"/>
        <v>5497</v>
      </c>
      <c r="BWB15" s="184">
        <f t="shared" si="710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1"/>
        <v>8741</v>
      </c>
      <c r="BWJ15" s="184">
        <f t="shared" si="712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3"/>
        <v>5586</v>
      </c>
      <c r="BWR15" s="211">
        <f t="shared" si="714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5"/>
        <v>8068</v>
      </c>
      <c r="BWZ15" s="211">
        <f t="shared" si="716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7"/>
        <v>8913</v>
      </c>
      <c r="BXH15" s="211">
        <f t="shared" si="718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19"/>
        <v>9485</v>
      </c>
      <c r="BXP15" s="184">
        <f t="shared" si="720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1"/>
        <v>9737</v>
      </c>
      <c r="BXX15" s="184">
        <f t="shared" si="722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3"/>
        <v>6816</v>
      </c>
      <c r="BYF15" s="211">
        <f t="shared" si="724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5"/>
        <v>6865</v>
      </c>
      <c r="BYN15" s="184">
        <f t="shared" si="726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7"/>
        <v>7017</v>
      </c>
      <c r="BYV15" s="211">
        <f t="shared" si="728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29"/>
        <v>1872</v>
      </c>
      <c r="BZD15" s="184">
        <f t="shared" si="730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1"/>
        <v>8357</v>
      </c>
      <c r="BZL15" s="184">
        <f t="shared" si="732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3"/>
        <v>8878</v>
      </c>
      <c r="BZT15" s="68">
        <f t="shared" si="734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5"/>
        <v>6377</v>
      </c>
      <c r="CAB15" s="68">
        <f t="shared" si="736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7"/>
        <v>6442</v>
      </c>
      <c r="CAJ15" s="68">
        <f t="shared" si="738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39"/>
        <v>7676</v>
      </c>
      <c r="CAR15" s="184">
        <f t="shared" si="740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1"/>
        <v>775</v>
      </c>
      <c r="CAZ15" s="211">
        <f t="shared" si="742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3"/>
        <v>4764</v>
      </c>
      <c r="CBH15" s="211">
        <f t="shared" si="744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5"/>
        <v>7913</v>
      </c>
      <c r="CBP15" s="184">
        <f t="shared" si="746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7"/>
        <v>7664</v>
      </c>
      <c r="CBX15" s="68">
        <f t="shared" si="748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49"/>
        <v>10724</v>
      </c>
      <c r="CCF15" s="68">
        <f t="shared" si="750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1"/>
        <v>4890</v>
      </c>
      <c r="CCN15" s="68">
        <f t="shared" si="752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3"/>
        <v>6970</v>
      </c>
      <c r="CCV15" s="68">
        <f t="shared" si="754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5"/>
        <v>7736</v>
      </c>
      <c r="CDD15" s="68">
        <f t="shared" si="756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7"/>
        <v>5938</v>
      </c>
      <c r="CDL15" s="68">
        <f t="shared" si="758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59"/>
        <v>7599</v>
      </c>
      <c r="CDT15" s="68">
        <f t="shared" si="760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1"/>
        <v>5525</v>
      </c>
      <c r="CEB15" s="68">
        <f t="shared" si="762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3"/>
        <v>13797</v>
      </c>
      <c r="CEJ15" s="68">
        <f t="shared" si="764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5"/>
        <v>6747</v>
      </c>
      <c r="CER15" s="68">
        <f t="shared" si="766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7"/>
        <v>3620</v>
      </c>
      <c r="CEZ15" s="68">
        <f t="shared" si="768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69"/>
        <v>10371</v>
      </c>
      <c r="CFH15" s="68">
        <f t="shared" si="770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1"/>
        <v>7901</v>
      </c>
      <c r="CFP15" s="68">
        <f t="shared" si="772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3"/>
        <v>9241</v>
      </c>
      <c r="CFX15" s="68">
        <f t="shared" si="774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5"/>
        <v>9313</v>
      </c>
      <c r="CGF15" s="68">
        <f t="shared" si="776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7"/>
        <v>12845</v>
      </c>
      <c r="CGN15" s="68">
        <f t="shared" si="778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79"/>
        <v>11370</v>
      </c>
      <c r="CGV15" s="68">
        <f t="shared" si="780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1"/>
        <v>10149</v>
      </c>
      <c r="CHD15" s="68">
        <f t="shared" si="782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3"/>
        <v>7747</v>
      </c>
      <c r="CHL15" s="68">
        <f t="shared" si="784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5"/>
        <v>11658</v>
      </c>
      <c r="CHT15" s="68">
        <f t="shared" si="786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7"/>
        <v>10506</v>
      </c>
      <c r="CIB15" s="68">
        <f t="shared" si="788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89"/>
        <v>13238</v>
      </c>
      <c r="CIJ15" s="68">
        <f t="shared" si="790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1"/>
        <v>18129</v>
      </c>
      <c r="CIR15" s="68">
        <f t="shared" si="792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3"/>
        <v>6078</v>
      </c>
      <c r="CIZ15" s="68">
        <f t="shared" si="794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5"/>
        <v>388</v>
      </c>
      <c r="CJH15" s="68">
        <f t="shared" si="796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7"/>
        <v>2574</v>
      </c>
      <c r="CJP15" s="68">
        <f t="shared" si="798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799"/>
        <v>5323</v>
      </c>
      <c r="CJX15" s="68">
        <f t="shared" si="800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1"/>
        <v>11985</v>
      </c>
      <c r="CKF15" s="68">
        <f t="shared" si="802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3"/>
        <v>8737</v>
      </c>
      <c r="CKN15" s="68">
        <f t="shared" si="804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5"/>
        <v>7713</v>
      </c>
      <c r="CKV15" s="68">
        <f t="shared" si="806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7"/>
        <v>8285</v>
      </c>
      <c r="CLD15" s="68">
        <f t="shared" si="808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09"/>
        <v>5054</v>
      </c>
      <c r="CLL15" s="68">
        <f t="shared" si="810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1"/>
        <v>6695</v>
      </c>
      <c r="CLT15" s="184">
        <f t="shared" si="812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3"/>
        <v>7491</v>
      </c>
      <c r="CMB15" s="68">
        <f t="shared" si="814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5"/>
        <v>5883</v>
      </c>
      <c r="CMJ15" s="68">
        <f t="shared" si="816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7"/>
        <v>7961</v>
      </c>
      <c r="CMR15" s="68">
        <f t="shared" si="818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19"/>
        <v>8197</v>
      </c>
      <c r="CMZ15" s="68">
        <f t="shared" si="820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1"/>
        <v>5797</v>
      </c>
      <c r="CNH15" s="68">
        <f t="shared" si="822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3"/>
        <v>11013</v>
      </c>
      <c r="CNP15" s="68">
        <f t="shared" si="824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5"/>
        <v>11604</v>
      </c>
      <c r="CNX15" s="68">
        <f t="shared" si="826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7"/>
        <v>8893</v>
      </c>
      <c r="COF15" s="68">
        <f t="shared" si="828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29"/>
        <v>11016</v>
      </c>
      <c r="CON15" s="68">
        <f t="shared" si="830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1"/>
        <v>7336</v>
      </c>
      <c r="COV15" s="68">
        <f t="shared" si="832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3"/>
        <v>3621</v>
      </c>
      <c r="CPD15" s="68">
        <f t="shared" si="834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5"/>
        <v>9937</v>
      </c>
      <c r="CPL15" s="68">
        <f t="shared" si="836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7"/>
        <v>10340</v>
      </c>
      <c r="CPT15" s="68">
        <f t="shared" si="838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39"/>
        <v>11133</v>
      </c>
      <c r="CQB15" s="68">
        <f t="shared" si="840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1"/>
        <v>9743</v>
      </c>
      <c r="CQJ15" s="68">
        <f t="shared" si="842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3"/>
        <v>3869</v>
      </c>
      <c r="CQR15" s="68">
        <f t="shared" si="844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1122</v>
      </c>
      <c r="CQX15" s="49">
        <v>225</v>
      </c>
      <c r="CQY15" s="67">
        <f t="shared" si="845"/>
        <v>11340</v>
      </c>
      <c r="CQZ15" s="68">
        <f t="shared" si="846"/>
        <v>1890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7"/>
        <v>10835</v>
      </c>
      <c r="CRH15" s="68">
        <f t="shared" si="848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49"/>
        <v>7609</v>
      </c>
      <c r="CRP15" s="68">
        <f t="shared" si="850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1"/>
        <v>10784</v>
      </c>
      <c r="CRX15" s="68">
        <f t="shared" si="852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44"/>
        <v>4698</v>
      </c>
      <c r="CSF15" s="68">
        <f t="shared" si="1245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5"/>
        <v>9300</v>
      </c>
      <c r="CSN15" s="68">
        <f t="shared" si="856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7"/>
        <v>9966</v>
      </c>
      <c r="CSV15" s="68">
        <f t="shared" si="858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59"/>
        <v>13783</v>
      </c>
      <c r="CTD15" s="68">
        <f t="shared" si="860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1"/>
        <v>10366</v>
      </c>
      <c r="CTL15" s="68">
        <f t="shared" si="862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3"/>
        <v>2751</v>
      </c>
      <c r="CTT15" s="68">
        <f t="shared" si="864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5"/>
        <v>12481</v>
      </c>
      <c r="CUB15" s="68">
        <f t="shared" si="866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7"/>
        <v>3061</v>
      </c>
      <c r="CUJ15" s="68">
        <f t="shared" si="868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69"/>
        <v>6812</v>
      </c>
      <c r="CUR15" s="68">
        <f t="shared" si="870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1"/>
        <v>8229</v>
      </c>
      <c r="CUZ15" s="68">
        <f t="shared" si="872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3"/>
        <v>17343</v>
      </c>
      <c r="CVH15" s="68">
        <f t="shared" si="874"/>
        <v>2890.5</v>
      </c>
      <c r="CVI15" s="48">
        <v>1308</v>
      </c>
      <c r="CVJ15" s="49">
        <f>SUMIF(SUMPK!$B:$B,$B:$B,SUMPK!$O:$O)</f>
        <v>1122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5"/>
        <v>3680</v>
      </c>
      <c r="CVP15" s="68">
        <f t="shared" si="876"/>
        <v>613.33333333333337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7"/>
        <v>6909</v>
      </c>
      <c r="CVX15" s="68">
        <f t="shared" si="878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79"/>
        <v>2993</v>
      </c>
      <c r="CWF15" s="68">
        <f t="shared" si="880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1"/>
        <v>8594</v>
      </c>
      <c r="CWN15" s="68">
        <f t="shared" si="882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3"/>
        <v>9992</v>
      </c>
      <c r="CWV15" s="43">
        <f t="shared" si="884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5"/>
        <v>10897</v>
      </c>
      <c r="CXD15" s="43">
        <f t="shared" si="886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7"/>
        <v>10530</v>
      </c>
      <c r="CXL15" s="43">
        <f t="shared" si="888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89"/>
        <v>10127</v>
      </c>
      <c r="CXT15" s="43">
        <f t="shared" si="890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1"/>
        <v>16433</v>
      </c>
      <c r="CYB15" s="43">
        <f t="shared" si="892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3"/>
        <v>9455</v>
      </c>
      <c r="CYJ15" s="43">
        <f t="shared" si="894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5"/>
        <v>14248</v>
      </c>
      <c r="CYR15" s="43">
        <f t="shared" si="896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7"/>
        <v>14618</v>
      </c>
      <c r="CYZ15" s="43">
        <f t="shared" si="898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899"/>
        <v>4140</v>
      </c>
      <c r="CZH15" s="43">
        <f t="shared" si="900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1"/>
        <v>8723</v>
      </c>
      <c r="CZP15" s="43">
        <f t="shared" si="902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3"/>
        <v>8374</v>
      </c>
      <c r="CZX15" s="43">
        <f t="shared" si="904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5"/>
        <v>16077</v>
      </c>
      <c r="DAF15" s="43">
        <f t="shared" si="906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7"/>
        <v>12464</v>
      </c>
      <c r="DAN15" s="43">
        <f t="shared" si="908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09"/>
        <v>5369</v>
      </c>
      <c r="DAV15" s="68">
        <f t="shared" si="910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1"/>
        <v>10617</v>
      </c>
      <c r="DBD15" s="68">
        <f t="shared" si="912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3"/>
        <v>8073</v>
      </c>
      <c r="DBL15" s="68">
        <f t="shared" si="914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5"/>
        <v>9283</v>
      </c>
      <c r="DBT15" s="68">
        <f t="shared" si="916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7"/>
        <v>6529</v>
      </c>
      <c r="DCB15" s="184">
        <f t="shared" si="918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19"/>
        <v>6085</v>
      </c>
      <c r="DCJ15" s="211">
        <f t="shared" si="920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1"/>
        <v>12785</v>
      </c>
      <c r="DCR15" s="211">
        <f t="shared" si="922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3"/>
        <v>8728</v>
      </c>
      <c r="DCZ15" s="184">
        <f t="shared" si="924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5"/>
        <v>14232</v>
      </c>
      <c r="DDH15" s="211">
        <f t="shared" si="926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7"/>
        <v>7102</v>
      </c>
      <c r="DDP15" s="184">
        <f t="shared" si="928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29"/>
        <v>2230</v>
      </c>
      <c r="DDX15" s="211">
        <f t="shared" si="930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1"/>
        <v>7883</v>
      </c>
      <c r="DEF15" s="214">
        <f t="shared" si="932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3"/>
        <v>6291</v>
      </c>
      <c r="DEN15" s="101">
        <f t="shared" si="934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5"/>
        <v>11885</v>
      </c>
      <c r="DEV15" s="101">
        <f t="shared" si="936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7"/>
        <v>8771</v>
      </c>
      <c r="DFD15" s="43">
        <f t="shared" si="938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39"/>
        <v>4340</v>
      </c>
      <c r="DFL15" s="43">
        <f t="shared" si="940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1"/>
        <v>5868</v>
      </c>
      <c r="DFT15" s="43">
        <f t="shared" si="942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3"/>
        <v>14699</v>
      </c>
      <c r="DGB15" s="43">
        <f t="shared" si="944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5"/>
        <v>2131</v>
      </c>
      <c r="DGJ15" s="68">
        <f t="shared" si="946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7"/>
        <v>12565</v>
      </c>
      <c r="DGR15" s="68">
        <f t="shared" si="948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49"/>
        <v>12523</v>
      </c>
      <c r="DGZ15" s="68">
        <f t="shared" si="950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1"/>
        <v>3220</v>
      </c>
      <c r="DHH15" s="68">
        <f t="shared" si="952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3"/>
        <v>11298</v>
      </c>
      <c r="DHP15" s="68">
        <f t="shared" si="954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5"/>
        <v>8451</v>
      </c>
      <c r="DHX15" s="68">
        <f t="shared" si="956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7"/>
        <v>6401</v>
      </c>
      <c r="DIF15" s="68">
        <f t="shared" si="958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59"/>
        <v>9121</v>
      </c>
      <c r="DIN15" s="68">
        <f t="shared" si="960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1"/>
        <v>8593</v>
      </c>
      <c r="DIV15" s="68">
        <f t="shared" si="962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3"/>
        <v>4250</v>
      </c>
      <c r="DJD15" s="68">
        <f t="shared" si="964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5"/>
        <v>15958</v>
      </c>
      <c r="DJL15" s="68">
        <f t="shared" si="966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7"/>
        <v>5386</v>
      </c>
      <c r="DJT15" s="68">
        <f t="shared" si="968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69"/>
        <v>12181</v>
      </c>
      <c r="DKB15" s="68">
        <f t="shared" si="970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1"/>
        <v>12721</v>
      </c>
      <c r="DKJ15" s="68">
        <f t="shared" si="972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3"/>
        <v>8190</v>
      </c>
      <c r="DKR15" s="68">
        <f t="shared" si="974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5"/>
        <v>13061</v>
      </c>
      <c r="DKZ15" s="68">
        <f t="shared" si="976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7"/>
        <v>7074</v>
      </c>
      <c r="DLH15" s="68">
        <f t="shared" si="978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79"/>
        <v>8482</v>
      </c>
      <c r="DLP15" s="68">
        <f t="shared" si="980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1"/>
        <v>14204</v>
      </c>
      <c r="DLX15" s="68">
        <f t="shared" si="982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3"/>
        <v>17840</v>
      </c>
      <c r="DMF15" s="68">
        <f t="shared" si="984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5"/>
        <v>13362</v>
      </c>
      <c r="DMN15" s="68">
        <f t="shared" si="986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7"/>
        <v>6069</v>
      </c>
      <c r="DMV15" s="68">
        <f t="shared" si="988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89"/>
        <v>4767</v>
      </c>
      <c r="DND15" s="68">
        <f t="shared" si="990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1"/>
        <v>10684</v>
      </c>
      <c r="DNL15" s="68">
        <f t="shared" si="992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3"/>
        <v>8094</v>
      </c>
      <c r="DNT15" s="68">
        <f t="shared" si="994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5"/>
        <v>11858</v>
      </c>
      <c r="DOB15" s="68">
        <f t="shared" si="996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7"/>
        <v>7993</v>
      </c>
      <c r="DOJ15" s="68">
        <f t="shared" si="998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999"/>
        <v>6158</v>
      </c>
      <c r="DOR15" s="68">
        <f t="shared" si="1000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1"/>
        <v>12610</v>
      </c>
      <c r="DOZ15" s="68">
        <f t="shared" si="1002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3"/>
        <v>10137</v>
      </c>
      <c r="DPH15" s="68">
        <f t="shared" si="1004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5"/>
        <v>10359</v>
      </c>
      <c r="DPP15" s="68">
        <f t="shared" si="1006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7"/>
        <v>8218</v>
      </c>
      <c r="DPX15" s="68">
        <f t="shared" si="1008"/>
        <v>1369.6666666666667</v>
      </c>
      <c r="DPY15" s="63">
        <v>4806</v>
      </c>
      <c r="DPZ15" s="64">
        <v>2747</v>
      </c>
      <c r="DQA15" s="64">
        <f>SUMIF(SUMPK!$B:$B,$B:$B,SUMPK!$O:$O)</f>
        <v>1122</v>
      </c>
      <c r="DQB15" s="64">
        <v>6003</v>
      </c>
      <c r="DQC15" s="64">
        <v>0</v>
      </c>
      <c r="DQD15" s="64">
        <v>0</v>
      </c>
      <c r="DQE15" s="64">
        <f t="shared" si="1009"/>
        <v>14678</v>
      </c>
      <c r="DQF15" s="68">
        <f t="shared" si="1010"/>
        <v>2446.3333333333335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1"/>
        <v>11986</v>
      </c>
      <c r="DQN15" s="68">
        <f t="shared" si="1012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3"/>
        <v>11425</v>
      </c>
      <c r="DQV15" s="68">
        <f t="shared" si="1014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5"/>
        <v>9927</v>
      </c>
      <c r="DRD15" s="68">
        <f t="shared" si="1016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7"/>
        <v>7208</v>
      </c>
      <c r="DRL15" s="68">
        <f t="shared" si="1018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19"/>
        <v>8137</v>
      </c>
      <c r="DRT15" s="68">
        <f t="shared" si="1020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1"/>
        <v>8948</v>
      </c>
      <c r="DSB15" s="68">
        <f t="shared" si="1022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3"/>
        <v>6274</v>
      </c>
      <c r="DSJ15" s="68">
        <f t="shared" si="1024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5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6"/>
        <v>10331</v>
      </c>
      <c r="DSZ15" s="68">
        <f t="shared" si="1027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28"/>
        <v>7300</v>
      </c>
      <c r="DTH15" s="68">
        <f t="shared" si="1029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0"/>
        <v>6176</v>
      </c>
      <c r="DTP15" s="68">
        <f t="shared" si="1031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2"/>
        <v>2908</v>
      </c>
      <c r="DTX15" s="68">
        <f t="shared" si="1033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4"/>
        <v>9768</v>
      </c>
      <c r="DUF15" s="68">
        <f t="shared" si="1035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6"/>
        <v>6222</v>
      </c>
      <c r="DUN15" s="68">
        <f t="shared" si="1037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38"/>
        <v>11562</v>
      </c>
      <c r="DUV15" s="68">
        <f t="shared" si="1039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0"/>
        <v>16657</v>
      </c>
      <c r="DVD15" s="68">
        <f t="shared" si="1041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2"/>
        <v>5</v>
      </c>
      <c r="DVL15" s="68">
        <f t="shared" si="1043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4"/>
        <v>10942</v>
      </c>
      <c r="DVT15" s="68">
        <f t="shared" si="1045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6"/>
        <v>9272</v>
      </c>
      <c r="DWB15" s="68">
        <f t="shared" si="1047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48"/>
        <v>10443</v>
      </c>
      <c r="DWJ15" s="68">
        <f t="shared" si="1049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0"/>
        <v>9848</v>
      </c>
      <c r="DWR15" s="68">
        <f t="shared" si="1051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2"/>
        <v>9227</v>
      </c>
      <c r="DWZ15" s="68">
        <f t="shared" si="1053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4"/>
        <v>11264</v>
      </c>
      <c r="DXH15" s="68">
        <f t="shared" si="1055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6"/>
        <v>15352</v>
      </c>
      <c r="DXP15" s="68">
        <f t="shared" si="1057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58"/>
        <v>13720</v>
      </c>
      <c r="DXX15" s="68">
        <f t="shared" si="1059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0"/>
        <v>10949</v>
      </c>
      <c r="DYF15" s="68">
        <f t="shared" si="1061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2"/>
        <v>6450</v>
      </c>
      <c r="DYN15" s="68">
        <f t="shared" si="1063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4"/>
        <v>14066</v>
      </c>
      <c r="DYV15" s="68">
        <f t="shared" si="1065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6"/>
        <v>8596</v>
      </c>
      <c r="DZD15" s="68">
        <f t="shared" si="1067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68"/>
        <v>9073</v>
      </c>
      <c r="DZL15" s="68">
        <f t="shared" si="1069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0"/>
        <v>11393</v>
      </c>
      <c r="DZT15" s="68">
        <f t="shared" si="1071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2"/>
        <v>7770</v>
      </c>
      <c r="EAB15" s="68">
        <f t="shared" si="1073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4"/>
        <v>7805</v>
      </c>
      <c r="EAJ15" s="68">
        <f t="shared" si="1075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6"/>
        <v>9323</v>
      </c>
      <c r="EAR15" s="68">
        <f t="shared" si="1077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78"/>
        <v>6285</v>
      </c>
      <c r="EAZ15" s="68">
        <f t="shared" si="1079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0"/>
        <v>10580</v>
      </c>
      <c r="EBH15" s="68">
        <f t="shared" si="1081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2"/>
        <v>5111</v>
      </c>
      <c r="EBP15" s="68">
        <f t="shared" si="1083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4"/>
        <v>10152</v>
      </c>
      <c r="EBX15" s="68">
        <f t="shared" si="1085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6"/>
        <v>1968</v>
      </c>
      <c r="ECF15" s="68">
        <f t="shared" si="1087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88"/>
        <v>2870</v>
      </c>
      <c r="ECN15" s="68">
        <f t="shared" si="1089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0"/>
        <v>5210</v>
      </c>
      <c r="ECV15" s="68">
        <f t="shared" si="1091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2"/>
        <v>6143</v>
      </c>
      <c r="EDD15" s="68">
        <f t="shared" si="1093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4"/>
        <v>9139</v>
      </c>
      <c r="EDL15" s="68">
        <f t="shared" si="1095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6"/>
        <v>10957</v>
      </c>
      <c r="EDT15" s="68">
        <f t="shared" si="1097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098"/>
        <v>10381</v>
      </c>
      <c r="EEB15" s="68">
        <f t="shared" si="1099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0"/>
        <v>12989</v>
      </c>
      <c r="EEJ15" s="68">
        <f t="shared" si="1101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2"/>
        <v>17763</v>
      </c>
      <c r="EER15" s="68">
        <f t="shared" si="1103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4"/>
        <v>5786</v>
      </c>
      <c r="EEZ15" s="68">
        <f t="shared" si="1105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6"/>
        <v>11813</v>
      </c>
      <c r="EFH15" s="68">
        <f t="shared" si="1107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08"/>
        <v>8325</v>
      </c>
      <c r="EFP15" s="68">
        <f t="shared" si="1109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0"/>
        <v>18200</v>
      </c>
      <c r="EFX15" s="68">
        <f t="shared" si="1111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2"/>
        <v>5480</v>
      </c>
      <c r="EGF15" s="68">
        <f t="shared" si="1113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4"/>
        <v>7500</v>
      </c>
      <c r="EGN15" s="68">
        <f t="shared" si="1115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6"/>
        <v>5485</v>
      </c>
      <c r="EGV15" s="68">
        <f t="shared" si="1117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18"/>
        <v>8223</v>
      </c>
      <c r="EHD15" s="68">
        <f t="shared" si="1119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0"/>
        <v>11486</v>
      </c>
      <c r="EHL15" s="68">
        <f t="shared" si="1121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2"/>
        <v>8375</v>
      </c>
      <c r="EHT15" s="68">
        <f t="shared" si="1123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4"/>
        <v>1537</v>
      </c>
      <c r="EIB15" s="68">
        <f t="shared" si="1125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6"/>
        <v>120</v>
      </c>
      <c r="EIJ15" s="68">
        <f t="shared" si="1127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28"/>
        <v>10623</v>
      </c>
      <c r="EIR15" s="68">
        <f t="shared" si="1129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0"/>
        <v>6961</v>
      </c>
      <c r="EIZ15" s="68">
        <f t="shared" si="1131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2"/>
        <v>13607</v>
      </c>
      <c r="EJH15" s="68">
        <f t="shared" si="1133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4"/>
        <v>7118</v>
      </c>
      <c r="EJP15" s="68">
        <f t="shared" si="1135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6"/>
        <v>8567</v>
      </c>
      <c r="EJX15" s="68">
        <f t="shared" si="1137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38"/>
        <v>6231</v>
      </c>
      <c r="EKF15" s="68">
        <f t="shared" si="1139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0"/>
        <v>5665</v>
      </c>
      <c r="EKN15" s="68">
        <f t="shared" si="1141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2"/>
        <v>7159</v>
      </c>
      <c r="EKV15" s="68">
        <f t="shared" si="1143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4"/>
        <v>7847</v>
      </c>
      <c r="ELD15" s="68">
        <f t="shared" si="1145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6"/>
        <v>6654</v>
      </c>
      <c r="ELL15" s="184">
        <f t="shared" si="1147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48"/>
        <v>8310</v>
      </c>
      <c r="ELU15" s="211">
        <f t="shared" si="1149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0"/>
        <v>10280</v>
      </c>
      <c r="EMC15" s="211">
        <f t="shared" si="1151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2"/>
        <v>6010</v>
      </c>
      <c r="EMK15" s="211">
        <f t="shared" si="1153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4"/>
        <v>7342</v>
      </c>
      <c r="EMS15" s="211">
        <f t="shared" si="1155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6"/>
        <v>15198</v>
      </c>
      <c r="ENA15" s="211">
        <f t="shared" si="1157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58"/>
        <v>2492</v>
      </c>
      <c r="ENI15" s="211">
        <f t="shared" si="1159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0"/>
        <v>13330</v>
      </c>
      <c r="ENQ15" s="211">
        <f t="shared" si="1161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2"/>
        <v>4512</v>
      </c>
      <c r="ENY15" s="211">
        <f t="shared" si="1163"/>
        <v>752</v>
      </c>
      <c r="ENZ15" s="244">
        <f>SUMIF(SUMPK!$B:$B,$B:$B,SUMPK!$O:$O)</f>
        <v>1122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4"/>
        <v>12255</v>
      </c>
      <c r="EOG15" s="211">
        <f t="shared" si="1165"/>
        <v>2042.5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6"/>
        <v>1460</v>
      </c>
      <c r="EOO15" s="211">
        <f t="shared" si="1167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68"/>
        <v>13248</v>
      </c>
      <c r="EOW15" s="211">
        <f t="shared" si="1169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0"/>
        <v>15173</v>
      </c>
      <c r="EPE15" s="211">
        <f t="shared" si="1171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2"/>
        <v>6319</v>
      </c>
      <c r="EPM15" s="211">
        <f t="shared" si="1173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4"/>
        <v>7139</v>
      </c>
      <c r="EPU15" s="211">
        <f t="shared" si="1175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6"/>
        <v>9889</v>
      </c>
      <c r="EQC15" s="211">
        <f t="shared" si="1177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78"/>
        <v>9770</v>
      </c>
      <c r="EQK15" s="211">
        <f t="shared" si="1179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0"/>
        <v>10670</v>
      </c>
      <c r="EQS15" s="211">
        <f t="shared" si="1181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2"/>
        <v>8343</v>
      </c>
      <c r="ERA15" s="211">
        <f t="shared" si="1183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4"/>
        <v>5525</v>
      </c>
      <c r="ERI15" s="211">
        <f t="shared" si="1185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6"/>
        <v>9802</v>
      </c>
      <c r="ERQ15" s="211">
        <f t="shared" si="1187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88"/>
        <v>3803</v>
      </c>
      <c r="ERY15" s="211">
        <f t="shared" si="1189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0"/>
        <v>4184</v>
      </c>
      <c r="ESG15" s="211">
        <f t="shared" si="1191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2"/>
        <v>6576</v>
      </c>
      <c r="ESO15" s="211">
        <f t="shared" si="1193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4"/>
        <v>9072</v>
      </c>
      <c r="ESW15" s="211">
        <f t="shared" si="1195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6"/>
        <v>6184</v>
      </c>
      <c r="ETE15" s="736">
        <f t="shared" si="1197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198"/>
        <v>6170</v>
      </c>
      <c r="ETM15" s="211">
        <f t="shared" si="1199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0"/>
        <v>10177</v>
      </c>
      <c r="ETU15" s="211">
        <f t="shared" si="1201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2"/>
        <v>292</v>
      </c>
      <c r="EUC15" s="211">
        <f t="shared" si="1203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4"/>
        <v>4849</v>
      </c>
      <c r="EUK15" s="211">
        <f t="shared" si="1205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6"/>
        <v>5288</v>
      </c>
      <c r="EUS15" s="211">
        <f t="shared" si="1207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08"/>
        <v>11141</v>
      </c>
      <c r="EVA15" s="211">
        <f t="shared" si="1209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0"/>
        <v>6684</v>
      </c>
      <c r="EVI15" s="211">
        <f t="shared" si="1211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2"/>
        <v>6405</v>
      </c>
      <c r="EVQ15" s="211">
        <f t="shared" si="1213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4"/>
        <v>16216</v>
      </c>
      <c r="EVY15" s="211">
        <f t="shared" si="1215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6"/>
        <v>10362</v>
      </c>
      <c r="EWG15" s="211">
        <f t="shared" si="1217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18"/>
        <v>9760</v>
      </c>
      <c r="EWO15" s="211">
        <f t="shared" si="1219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0"/>
        <v>2830</v>
      </c>
      <c r="EWW15" s="211">
        <f t="shared" si="1221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2"/>
        <v>5026</v>
      </c>
      <c r="EXE15" s="211">
        <f t="shared" si="1223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4"/>
        <v>14566</v>
      </c>
      <c r="EXM15" s="211">
        <f t="shared" si="1225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6"/>
        <v>2293</v>
      </c>
      <c r="EXU15" s="211">
        <f t="shared" si="1227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28"/>
        <v>7839</v>
      </c>
      <c r="EYC15" s="211">
        <f t="shared" si="1229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0"/>
        <v>12030</v>
      </c>
      <c r="EYK15" s="211">
        <f t="shared" si="1231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2"/>
        <v>15955</v>
      </c>
      <c r="EYS15" s="211">
        <f t="shared" si="1233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4"/>
        <v>7844</v>
      </c>
      <c r="EZA15" s="211">
        <f t="shared" si="1235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6"/>
        <v>10137</v>
      </c>
      <c r="EZI15" s="211">
        <f t="shared" si="1237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38"/>
        <v>10397</v>
      </c>
      <c r="EZQ15" s="873">
        <f t="shared" si="1239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0"/>
        <v>12281</v>
      </c>
      <c r="EZY15" s="873">
        <f t="shared" si="1241"/>
        <v>2046.8333333333333</v>
      </c>
      <c r="EZZ15" s="195">
        <v>543</v>
      </c>
      <c r="FAA15" s="49">
        <v>821</v>
      </c>
      <c r="FAB15" s="49">
        <v>0</v>
      </c>
      <c r="FAC15" s="49"/>
      <c r="FAD15" s="49"/>
      <c r="FAE15" s="49"/>
      <c r="FAF15" s="872">
        <f t="shared" si="1242"/>
        <v>1364</v>
      </c>
      <c r="FAG15" s="873">
        <f t="shared" si="1243"/>
        <v>227.33333333333334</v>
      </c>
    </row>
    <row r="16" spans="1:4089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22871</v>
      </c>
      <c r="G16" s="24"/>
      <c r="H16" s="24"/>
      <c r="I16" s="24"/>
      <c r="J16" s="360">
        <f>SUMIF(SUMPK!$B:$B,$B:$B,SUMPK!$O:$O)</f>
        <v>190</v>
      </c>
      <c r="K16" s="24"/>
      <c r="L16" s="24">
        <f>F16+H16-J16</f>
        <v>22681</v>
      </c>
      <c r="M16" s="24">
        <f t="shared" si="568"/>
        <v>22681</v>
      </c>
      <c r="N16" s="15">
        <v>2141.5</v>
      </c>
      <c r="O16" s="276">
        <f t="shared" si="0"/>
        <v>10.591174410459958</v>
      </c>
      <c r="P16" s="15">
        <v>1061.1666666666667</v>
      </c>
      <c r="Q16" s="276">
        <f t="shared" si="569"/>
        <v>128.24187215329039</v>
      </c>
      <c r="R16" s="277">
        <f t="shared" si="570"/>
        <v>1843.0769230769231</v>
      </c>
      <c r="S16" s="222">
        <v>47920</v>
      </c>
      <c r="T16" s="276">
        <f t="shared" si="571"/>
        <v>12.306051752921535</v>
      </c>
      <c r="U16" s="278"/>
      <c r="V16" s="277">
        <f t="shared" si="1"/>
        <v>12.306051752921535</v>
      </c>
      <c r="W16" s="279">
        <f t="shared" si="1246"/>
        <v>1</v>
      </c>
      <c r="X16" s="299"/>
      <c r="Y16" s="280" t="e">
        <f>#REF!+#REF!</f>
        <v>#REF!</v>
      </c>
      <c r="Z16" s="280" t="e">
        <f t="shared" si="1251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2"/>
        <v>4670</v>
      </c>
      <c r="BAV16" s="43">
        <f t="shared" si="573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4"/>
        <v>6565</v>
      </c>
      <c r="BBD16" s="43">
        <f t="shared" si="575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6"/>
        <v>7544</v>
      </c>
      <c r="BBL16" s="43">
        <f t="shared" si="577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78"/>
        <v>4966</v>
      </c>
      <c r="BBT16" s="43">
        <f t="shared" si="579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0"/>
        <v>8336</v>
      </c>
      <c r="BCB16" s="43">
        <f t="shared" si="581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2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3"/>
        <v>6065</v>
      </c>
      <c r="BCR16" s="43">
        <f t="shared" si="584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5"/>
        <v>5332</v>
      </c>
      <c r="BCZ16" s="43">
        <f t="shared" si="586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7"/>
        <v>6985</v>
      </c>
      <c r="BDH16" s="43">
        <f t="shared" si="588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89"/>
        <v>7583</v>
      </c>
      <c r="BDP16" s="43">
        <f t="shared" si="590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1"/>
        <v>12316</v>
      </c>
      <c r="BDX16" s="43">
        <f t="shared" si="592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3"/>
        <v>20265</v>
      </c>
      <c r="BEF16" s="43">
        <f t="shared" si="594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5"/>
        <v>14429</v>
      </c>
      <c r="BEN16" s="43">
        <f t="shared" si="596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7"/>
        <v>4254</v>
      </c>
      <c r="BEV16" s="43">
        <f t="shared" si="598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599"/>
        <v>4247</v>
      </c>
      <c r="BFD16" s="43">
        <f t="shared" si="600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1"/>
        <v>6938</v>
      </c>
      <c r="BFL16" s="68">
        <f t="shared" si="602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3"/>
        <v>8709</v>
      </c>
      <c r="BFT16" s="68">
        <f t="shared" si="604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5"/>
        <v>6203</v>
      </c>
      <c r="BGB16" s="68">
        <f t="shared" si="606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7"/>
        <v>6389</v>
      </c>
      <c r="BGJ16" s="68">
        <f t="shared" si="608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09"/>
        <v>4684</v>
      </c>
      <c r="BGR16" s="68">
        <f t="shared" si="610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1"/>
        <v>9018</v>
      </c>
      <c r="BGZ16" s="68">
        <f t="shared" si="612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3"/>
        <v>4819</v>
      </c>
      <c r="BHH16" s="68">
        <f t="shared" si="614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5"/>
        <v>4424</v>
      </c>
      <c r="BHP16" s="184">
        <f t="shared" si="616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7"/>
        <v>8439</v>
      </c>
      <c r="BHX16" s="211">
        <f t="shared" si="618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19"/>
        <v>5182</v>
      </c>
      <c r="BIF16" s="184">
        <f t="shared" si="620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1"/>
        <v>16047</v>
      </c>
      <c r="BIN16" s="184">
        <f t="shared" si="622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3"/>
        <v>12554</v>
      </c>
      <c r="BIV16" s="211">
        <f t="shared" si="624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5"/>
        <v>3559</v>
      </c>
      <c r="BJD16" s="211">
        <f t="shared" si="626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7"/>
        <v>1398</v>
      </c>
      <c r="BJL16" s="211">
        <f t="shared" si="628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29"/>
        <v>6932</v>
      </c>
      <c r="BJT16" s="184">
        <f t="shared" si="630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1"/>
        <v>6000</v>
      </c>
      <c r="BKB16" s="184">
        <f t="shared" si="632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3"/>
        <v>7009</v>
      </c>
      <c r="BKJ16" s="184">
        <f t="shared" si="634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5"/>
        <v>2075</v>
      </c>
      <c r="BKR16" s="184">
        <f t="shared" si="636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7"/>
        <v>5131</v>
      </c>
      <c r="BKZ16" s="211">
        <f t="shared" si="638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39"/>
        <v>4781</v>
      </c>
      <c r="BLH16" s="211">
        <f t="shared" si="640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1"/>
        <v>10953</v>
      </c>
      <c r="BLP16" s="184">
        <f t="shared" si="642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3"/>
        <v>2079</v>
      </c>
      <c r="BLX16" s="184">
        <f t="shared" si="644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5"/>
        <v>5157</v>
      </c>
      <c r="BMF16" s="68">
        <f t="shared" si="646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7"/>
        <v>9414</v>
      </c>
      <c r="BMN16" s="68">
        <f t="shared" si="648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49"/>
        <v>7015</v>
      </c>
      <c r="BMV16" s="68">
        <f t="shared" si="650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1"/>
        <v>9342</v>
      </c>
      <c r="BND16" s="68">
        <f t="shared" si="652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3"/>
        <v>11735</v>
      </c>
      <c r="BNL16" s="68">
        <f t="shared" si="654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5"/>
        <v>57</v>
      </c>
      <c r="BNT16" s="68">
        <f t="shared" si="656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7"/>
        <v>12799</v>
      </c>
      <c r="BOB16" s="184">
        <f t="shared" si="658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59"/>
        <v>15972</v>
      </c>
      <c r="BOJ16" s="184">
        <f t="shared" si="660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1"/>
        <v>7820</v>
      </c>
      <c r="BOR16" s="68">
        <f t="shared" si="662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3"/>
        <v>15519</v>
      </c>
      <c r="BOZ16" s="68">
        <f t="shared" si="664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5"/>
        <v>1830</v>
      </c>
      <c r="BPH16" s="68">
        <f t="shared" si="666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7"/>
        <v>3272</v>
      </c>
      <c r="BPP16" s="68">
        <f t="shared" si="668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69"/>
        <v>6843</v>
      </c>
      <c r="BPX16" s="68">
        <f t="shared" si="670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1"/>
        <v>10093</v>
      </c>
      <c r="BQF16" s="68">
        <f t="shared" si="672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3"/>
        <v>9019</v>
      </c>
      <c r="BQN16" s="68">
        <f t="shared" si="674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5"/>
        <v>6795</v>
      </c>
      <c r="BQV16" s="68">
        <f t="shared" si="676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7"/>
        <v>3173</v>
      </c>
      <c r="BRD16" s="68">
        <f t="shared" si="678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79"/>
        <v>10556</v>
      </c>
      <c r="BRL16" s="68">
        <f t="shared" si="680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1"/>
        <v>19140</v>
      </c>
      <c r="BRT16" s="68">
        <f t="shared" si="682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3"/>
        <v>5864</v>
      </c>
      <c r="BSB16" s="68">
        <f t="shared" si="684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5"/>
        <v>7506</v>
      </c>
      <c r="BSJ16" s="68">
        <f t="shared" si="686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7"/>
        <v>11439</v>
      </c>
      <c r="BSR16" s="68">
        <f t="shared" si="688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89"/>
        <v>2249</v>
      </c>
      <c r="BSZ16" s="68">
        <f t="shared" si="690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1"/>
        <v>6614</v>
      </c>
      <c r="BTH16" s="68">
        <f t="shared" si="692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3"/>
        <v>15040</v>
      </c>
      <c r="BTP16" s="68">
        <f t="shared" si="694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5"/>
        <v>2285</v>
      </c>
      <c r="BTX16" s="184">
        <f t="shared" si="696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7"/>
        <v>10489</v>
      </c>
      <c r="BUF16" s="184">
        <f t="shared" si="698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699"/>
        <v>9533</v>
      </c>
      <c r="BUN16" s="211">
        <f t="shared" si="700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1"/>
        <v>6830</v>
      </c>
      <c r="BUV16" s="211">
        <f t="shared" si="702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3"/>
        <v>2304</v>
      </c>
      <c r="BVD16" s="211">
        <f t="shared" si="704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5"/>
        <v>7822</v>
      </c>
      <c r="BVL16" s="184">
        <f t="shared" si="706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7"/>
        <v>8697</v>
      </c>
      <c r="BVT16" s="211">
        <f t="shared" si="708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09"/>
        <v>11902</v>
      </c>
      <c r="BWB16" s="184">
        <f t="shared" si="710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1"/>
        <v>7386</v>
      </c>
      <c r="BWJ16" s="184">
        <f t="shared" si="712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3"/>
        <v>5068</v>
      </c>
      <c r="BWR16" s="211">
        <f t="shared" si="714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5"/>
        <v>11462</v>
      </c>
      <c r="BWZ16" s="211">
        <f t="shared" si="716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7"/>
        <v>9571</v>
      </c>
      <c r="BXH16" s="211">
        <f t="shared" si="718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19"/>
        <v>13715</v>
      </c>
      <c r="BXP16" s="184">
        <f t="shared" si="720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1"/>
        <v>6999</v>
      </c>
      <c r="BXX16" s="184">
        <f t="shared" si="722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3"/>
        <v>8816</v>
      </c>
      <c r="BYF16" s="211">
        <f t="shared" si="724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5"/>
        <v>11310</v>
      </c>
      <c r="BYN16" s="184">
        <f t="shared" si="726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7"/>
        <v>11865</v>
      </c>
      <c r="BYV16" s="211">
        <f t="shared" si="728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29"/>
        <v>3233</v>
      </c>
      <c r="BZD16" s="184">
        <f t="shared" si="730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1"/>
        <v>9833</v>
      </c>
      <c r="BZL16" s="184">
        <f t="shared" si="732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3"/>
        <v>12687</v>
      </c>
      <c r="BZT16" s="68">
        <f t="shared" si="734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5"/>
        <v>12703</v>
      </c>
      <c r="CAB16" s="68">
        <f t="shared" si="736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7"/>
        <v>5402</v>
      </c>
      <c r="CAJ16" s="68">
        <f t="shared" si="738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39"/>
        <v>16293</v>
      </c>
      <c r="CAR16" s="184">
        <f t="shared" si="740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1"/>
        <v>4858</v>
      </c>
      <c r="CAZ16" s="211">
        <f t="shared" si="742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3"/>
        <v>3700</v>
      </c>
      <c r="CBH16" s="211">
        <f t="shared" si="744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5"/>
        <v>11747</v>
      </c>
      <c r="CBP16" s="184">
        <f t="shared" si="746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7"/>
        <v>4951</v>
      </c>
      <c r="CBX16" s="68">
        <f t="shared" si="748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49"/>
        <v>5521</v>
      </c>
      <c r="CCF16" s="68">
        <f t="shared" si="750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1"/>
        <v>4854</v>
      </c>
      <c r="CCN16" s="68">
        <f t="shared" si="752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3"/>
        <v>8935</v>
      </c>
      <c r="CCV16" s="68">
        <f t="shared" si="754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5"/>
        <v>10599</v>
      </c>
      <c r="CDD16" s="68">
        <f t="shared" si="756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7"/>
        <v>12603</v>
      </c>
      <c r="CDL16" s="68">
        <f t="shared" si="758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59"/>
        <v>7378</v>
      </c>
      <c r="CDT16" s="68">
        <f t="shared" si="760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1"/>
        <v>8009</v>
      </c>
      <c r="CEB16" s="68">
        <f t="shared" si="762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3"/>
        <v>11415</v>
      </c>
      <c r="CEJ16" s="68">
        <f t="shared" si="764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5"/>
        <v>6606</v>
      </c>
      <c r="CER16" s="68">
        <f t="shared" si="766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7"/>
        <v>12355</v>
      </c>
      <c r="CEZ16" s="68">
        <f t="shared" si="768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69"/>
        <v>7537</v>
      </c>
      <c r="CFH16" s="68">
        <f t="shared" si="770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1"/>
        <v>8547</v>
      </c>
      <c r="CFP16" s="68">
        <f t="shared" si="772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3"/>
        <v>9131</v>
      </c>
      <c r="CFX16" s="68">
        <f t="shared" si="774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5"/>
        <v>8532</v>
      </c>
      <c r="CGF16" s="68">
        <f t="shared" si="776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7"/>
        <v>14462</v>
      </c>
      <c r="CGN16" s="68">
        <f t="shared" si="778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79"/>
        <v>9250</v>
      </c>
      <c r="CGV16" s="68">
        <f t="shared" si="780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1"/>
        <v>7288</v>
      </c>
      <c r="CHD16" s="68">
        <f t="shared" si="782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3"/>
        <v>15127</v>
      </c>
      <c r="CHL16" s="68">
        <f t="shared" si="784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5"/>
        <v>10064</v>
      </c>
      <c r="CHT16" s="68">
        <f t="shared" si="786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7"/>
        <v>17750</v>
      </c>
      <c r="CIB16" s="68">
        <f t="shared" si="788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89"/>
        <v>16852</v>
      </c>
      <c r="CIJ16" s="68">
        <f t="shared" si="790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1"/>
        <v>7410</v>
      </c>
      <c r="CIR16" s="68">
        <f t="shared" si="792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3"/>
        <v>3219</v>
      </c>
      <c r="CIZ16" s="68">
        <f t="shared" si="794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5"/>
        <v>3238</v>
      </c>
      <c r="CJH16" s="68">
        <f t="shared" si="796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7"/>
        <v>5181</v>
      </c>
      <c r="CJP16" s="68">
        <f t="shared" si="798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799"/>
        <v>5621</v>
      </c>
      <c r="CJX16" s="68">
        <f t="shared" si="800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1"/>
        <v>11115</v>
      </c>
      <c r="CKF16" s="68">
        <f t="shared" si="802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3"/>
        <v>15114</v>
      </c>
      <c r="CKN16" s="68">
        <f t="shared" si="804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5"/>
        <v>14599</v>
      </c>
      <c r="CKV16" s="68">
        <f t="shared" si="806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7"/>
        <v>3231</v>
      </c>
      <c r="CLD16" s="68">
        <f t="shared" si="808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09"/>
        <v>13572</v>
      </c>
      <c r="CLL16" s="68">
        <f t="shared" si="810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1"/>
        <v>3966</v>
      </c>
      <c r="CLT16" s="184">
        <f t="shared" si="812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3"/>
        <v>7610</v>
      </c>
      <c r="CMB16" s="68">
        <f t="shared" si="814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5"/>
        <v>12435</v>
      </c>
      <c r="CMJ16" s="68">
        <f t="shared" si="816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7"/>
        <v>6986</v>
      </c>
      <c r="CMR16" s="68">
        <f t="shared" si="818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19"/>
        <v>8132</v>
      </c>
      <c r="CMZ16" s="68">
        <f t="shared" si="820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1"/>
        <v>12378</v>
      </c>
      <c r="CNH16" s="68">
        <f t="shared" si="822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3"/>
        <v>9035</v>
      </c>
      <c r="CNP16" s="68">
        <f t="shared" si="824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5"/>
        <v>15260</v>
      </c>
      <c r="CNX16" s="68">
        <f t="shared" si="826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7"/>
        <v>15597</v>
      </c>
      <c r="COF16" s="68">
        <f t="shared" si="828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29"/>
        <v>1808</v>
      </c>
      <c r="CON16" s="68">
        <f t="shared" si="830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1"/>
        <v>8739</v>
      </c>
      <c r="COV16" s="68">
        <f t="shared" si="832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3"/>
        <v>6850</v>
      </c>
      <c r="CPD16" s="68">
        <f t="shared" si="834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5"/>
        <v>14927</v>
      </c>
      <c r="CPL16" s="68">
        <f t="shared" si="836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7"/>
        <v>9563</v>
      </c>
      <c r="CPT16" s="68">
        <f t="shared" si="838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39"/>
        <v>5298</v>
      </c>
      <c r="CQB16" s="68">
        <f t="shared" si="840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1"/>
        <v>10888</v>
      </c>
      <c r="CQJ16" s="68">
        <f t="shared" si="842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3"/>
        <v>9986</v>
      </c>
      <c r="CQR16" s="68">
        <f t="shared" si="844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190</v>
      </c>
      <c r="CQX16" s="49">
        <v>1438</v>
      </c>
      <c r="CQY16" s="67">
        <f t="shared" si="845"/>
        <v>7407</v>
      </c>
      <c r="CQZ16" s="68">
        <f t="shared" si="846"/>
        <v>1234.5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7"/>
        <v>17999</v>
      </c>
      <c r="CRH16" s="68">
        <f t="shared" si="848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49"/>
        <v>9646</v>
      </c>
      <c r="CRP16" s="68">
        <f t="shared" si="850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1"/>
        <v>7692</v>
      </c>
      <c r="CRX16" s="68">
        <f t="shared" si="852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44"/>
        <v>8908</v>
      </c>
      <c r="CSF16" s="68">
        <f t="shared" si="1245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5"/>
        <v>12117</v>
      </c>
      <c r="CSN16" s="68">
        <f t="shared" si="856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7"/>
        <v>9968</v>
      </c>
      <c r="CSV16" s="68">
        <f t="shared" si="858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59"/>
        <v>15474</v>
      </c>
      <c r="CTD16" s="68">
        <f t="shared" si="860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1"/>
        <v>3314</v>
      </c>
      <c r="CTL16" s="68">
        <f t="shared" si="862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3"/>
        <v>8714</v>
      </c>
      <c r="CTT16" s="68">
        <f t="shared" si="864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5"/>
        <v>18457</v>
      </c>
      <c r="CUB16" s="68">
        <f t="shared" si="866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7"/>
        <v>8765</v>
      </c>
      <c r="CUJ16" s="68">
        <f t="shared" si="868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69"/>
        <v>5266</v>
      </c>
      <c r="CUR16" s="68">
        <f t="shared" si="870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1"/>
        <v>16884</v>
      </c>
      <c r="CUZ16" s="68">
        <f t="shared" si="872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3"/>
        <v>5696</v>
      </c>
      <c r="CVH16" s="68">
        <f t="shared" si="874"/>
        <v>949.33333333333337</v>
      </c>
      <c r="CVI16" s="48">
        <v>2412</v>
      </c>
      <c r="CVJ16" s="49">
        <f>SUMIF(SUMPK!$B:$B,$B:$B,SUMPK!$O:$O)</f>
        <v>190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5"/>
        <v>9177</v>
      </c>
      <c r="CVP16" s="68">
        <f t="shared" si="876"/>
        <v>1529.5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7"/>
        <v>4385</v>
      </c>
      <c r="CVX16" s="68">
        <f t="shared" si="878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79"/>
        <v>7820</v>
      </c>
      <c r="CWF16" s="68">
        <f t="shared" si="880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1"/>
        <v>7049</v>
      </c>
      <c r="CWN16" s="68">
        <f t="shared" si="882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3"/>
        <v>9208</v>
      </c>
      <c r="CWV16" s="43">
        <f t="shared" si="884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5"/>
        <v>6349</v>
      </c>
      <c r="CXD16" s="43">
        <f t="shared" si="886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7"/>
        <v>13176</v>
      </c>
      <c r="CXL16" s="43">
        <f t="shared" si="888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89"/>
        <v>7284</v>
      </c>
      <c r="CXT16" s="43">
        <f t="shared" si="890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1"/>
        <v>13130</v>
      </c>
      <c r="CYB16" s="43">
        <f t="shared" si="892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3"/>
        <v>6935</v>
      </c>
      <c r="CYJ16" s="43">
        <f t="shared" si="894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5"/>
        <v>13376</v>
      </c>
      <c r="CYR16" s="43">
        <f t="shared" si="896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7"/>
        <v>13953</v>
      </c>
      <c r="CYZ16" s="43">
        <f t="shared" si="898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899"/>
        <v>5577</v>
      </c>
      <c r="CZH16" s="43">
        <f t="shared" si="900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1"/>
        <v>7785</v>
      </c>
      <c r="CZP16" s="43">
        <f t="shared" si="902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3"/>
        <v>8358</v>
      </c>
      <c r="CZX16" s="43">
        <f t="shared" si="904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5"/>
        <v>11100</v>
      </c>
      <c r="DAF16" s="43">
        <f t="shared" si="906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7"/>
        <v>10493</v>
      </c>
      <c r="DAN16" s="43">
        <f t="shared" si="908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09"/>
        <v>13042</v>
      </c>
      <c r="DAV16" s="68">
        <f t="shared" si="910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1"/>
        <v>10073</v>
      </c>
      <c r="DBD16" s="68">
        <f t="shared" si="912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3"/>
        <v>3084</v>
      </c>
      <c r="DBL16" s="68">
        <f t="shared" si="914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5"/>
        <v>11525</v>
      </c>
      <c r="DBT16" s="68">
        <f t="shared" si="916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7"/>
        <v>12210</v>
      </c>
      <c r="DCB16" s="184">
        <f t="shared" si="918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19"/>
        <v>7927</v>
      </c>
      <c r="DCJ16" s="211">
        <f t="shared" si="920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1"/>
        <v>7883</v>
      </c>
      <c r="DCR16" s="211">
        <f t="shared" si="922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3"/>
        <v>12602</v>
      </c>
      <c r="DCZ16" s="184">
        <f t="shared" si="924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5"/>
        <v>11154</v>
      </c>
      <c r="DDH16" s="211">
        <f t="shared" si="926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7"/>
        <v>7710</v>
      </c>
      <c r="DDP16" s="184">
        <f t="shared" si="928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29"/>
        <v>15517</v>
      </c>
      <c r="DDX16" s="211">
        <f t="shared" si="930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1"/>
        <v>13881</v>
      </c>
      <c r="DEF16" s="214">
        <f t="shared" si="932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3"/>
        <v>4871</v>
      </c>
      <c r="DEN16" s="101">
        <f t="shared" si="934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5"/>
        <v>6190</v>
      </c>
      <c r="DEV16" s="101">
        <f t="shared" si="936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7"/>
        <v>9256</v>
      </c>
      <c r="DFD16" s="43">
        <f t="shared" si="938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39"/>
        <v>5005</v>
      </c>
      <c r="DFL16" s="43">
        <f t="shared" si="940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1"/>
        <v>11473</v>
      </c>
      <c r="DFT16" s="43">
        <f t="shared" si="942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3"/>
        <v>7275</v>
      </c>
      <c r="DGB16" s="43">
        <f t="shared" si="944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5"/>
        <v>3913</v>
      </c>
      <c r="DGJ16" s="68">
        <f t="shared" si="946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7"/>
        <v>13638</v>
      </c>
      <c r="DGR16" s="68">
        <f t="shared" si="948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49"/>
        <v>6837</v>
      </c>
      <c r="DGZ16" s="68">
        <f t="shared" si="950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1"/>
        <v>9134</v>
      </c>
      <c r="DHH16" s="68">
        <f t="shared" si="952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3"/>
        <v>12423</v>
      </c>
      <c r="DHP16" s="68">
        <f t="shared" si="954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5"/>
        <v>10286</v>
      </c>
      <c r="DHX16" s="68">
        <f t="shared" si="956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7"/>
        <v>9237</v>
      </c>
      <c r="DIF16" s="68">
        <f t="shared" si="958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59"/>
        <v>8762</v>
      </c>
      <c r="DIN16" s="68">
        <f t="shared" si="960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1"/>
        <v>6552</v>
      </c>
      <c r="DIV16" s="68">
        <f t="shared" si="962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3"/>
        <v>9081</v>
      </c>
      <c r="DJD16" s="68">
        <f t="shared" si="964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5"/>
        <v>11873</v>
      </c>
      <c r="DJL16" s="68">
        <f t="shared" si="966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7"/>
        <v>9238</v>
      </c>
      <c r="DJT16" s="68">
        <f t="shared" si="968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69"/>
        <v>10064</v>
      </c>
      <c r="DKB16" s="68">
        <f t="shared" si="970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1"/>
        <v>14806</v>
      </c>
      <c r="DKJ16" s="68">
        <f t="shared" si="972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3"/>
        <v>7333</v>
      </c>
      <c r="DKR16" s="68">
        <f t="shared" si="974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5"/>
        <v>8268</v>
      </c>
      <c r="DKZ16" s="68">
        <f t="shared" si="976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7"/>
        <v>12159</v>
      </c>
      <c r="DLH16" s="68">
        <f t="shared" si="978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79"/>
        <v>10362</v>
      </c>
      <c r="DLP16" s="68">
        <f t="shared" si="980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1"/>
        <v>19378</v>
      </c>
      <c r="DLX16" s="68">
        <f t="shared" si="982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3"/>
        <v>18221</v>
      </c>
      <c r="DMF16" s="68">
        <f t="shared" si="984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5"/>
        <v>6869</v>
      </c>
      <c r="DMN16" s="68">
        <f t="shared" si="986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7"/>
        <v>12205</v>
      </c>
      <c r="DMV16" s="68">
        <f t="shared" si="988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89"/>
        <v>7739</v>
      </c>
      <c r="DND16" s="68">
        <f t="shared" si="990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1"/>
        <v>7005</v>
      </c>
      <c r="DNL16" s="68">
        <f t="shared" si="992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3"/>
        <v>5191</v>
      </c>
      <c r="DNT16" s="68">
        <f t="shared" si="994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5"/>
        <v>8822</v>
      </c>
      <c r="DOB16" s="68">
        <f t="shared" si="996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7"/>
        <v>7186</v>
      </c>
      <c r="DOJ16" s="68">
        <f t="shared" si="998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999"/>
        <v>8928</v>
      </c>
      <c r="DOR16" s="68">
        <f t="shared" si="1000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1"/>
        <v>7024</v>
      </c>
      <c r="DOZ16" s="68">
        <f t="shared" si="1002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3"/>
        <v>10608</v>
      </c>
      <c r="DPH16" s="68">
        <f t="shared" si="1004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5"/>
        <v>10004</v>
      </c>
      <c r="DPP16" s="68">
        <f t="shared" si="1006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7"/>
        <v>15514</v>
      </c>
      <c r="DPX16" s="68">
        <f t="shared" si="1008"/>
        <v>2585.6666666666665</v>
      </c>
      <c r="DPY16" s="63">
        <v>0</v>
      </c>
      <c r="DPZ16" s="64">
        <v>0</v>
      </c>
      <c r="DQA16" s="64">
        <f>SUMIF(SUMPK!$B:$B,$B:$B,SUMPK!$O:$O)</f>
        <v>190</v>
      </c>
      <c r="DQB16" s="64">
        <v>6258</v>
      </c>
      <c r="DQC16" s="64">
        <v>2242</v>
      </c>
      <c r="DQD16" s="64">
        <v>549</v>
      </c>
      <c r="DQE16" s="64">
        <f t="shared" si="1009"/>
        <v>9239</v>
      </c>
      <c r="DQF16" s="68">
        <f t="shared" si="1010"/>
        <v>1539.8333333333333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1"/>
        <v>12329</v>
      </c>
      <c r="DQN16" s="68">
        <f t="shared" si="1012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3"/>
        <v>9711</v>
      </c>
      <c r="DQV16" s="68">
        <f t="shared" si="1014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5"/>
        <v>2076</v>
      </c>
      <c r="DRD16" s="68">
        <f t="shared" si="1016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7"/>
        <v>15108</v>
      </c>
      <c r="DRL16" s="68">
        <f t="shared" si="1018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19"/>
        <v>4598</v>
      </c>
      <c r="DRT16" s="68">
        <f t="shared" si="1020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1"/>
        <v>7572</v>
      </c>
      <c r="DSB16" s="68">
        <f t="shared" si="1022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3"/>
        <v>13687</v>
      </c>
      <c r="DSJ16" s="68">
        <f t="shared" si="1024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5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6"/>
        <v>5442</v>
      </c>
      <c r="DSZ16" s="68">
        <f t="shared" si="1027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28"/>
        <v>11368</v>
      </c>
      <c r="DTH16" s="68">
        <f t="shared" si="1029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0"/>
        <v>4084</v>
      </c>
      <c r="DTP16" s="68">
        <f t="shared" si="1031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2"/>
        <v>8803</v>
      </c>
      <c r="DTX16" s="68">
        <f t="shared" si="1033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4"/>
        <v>14040</v>
      </c>
      <c r="DUF16" s="68">
        <f t="shared" si="1035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6"/>
        <v>6433</v>
      </c>
      <c r="DUN16" s="68">
        <f t="shared" si="1037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38"/>
        <v>6012</v>
      </c>
      <c r="DUV16" s="68">
        <f t="shared" si="1039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0"/>
        <v>4183</v>
      </c>
      <c r="DVD16" s="68">
        <f t="shared" si="1041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2"/>
        <v>11326</v>
      </c>
      <c r="DVL16" s="68">
        <f t="shared" si="1043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4"/>
        <v>9019</v>
      </c>
      <c r="DVT16" s="68">
        <f t="shared" si="1045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6"/>
        <v>8800</v>
      </c>
      <c r="DWB16" s="68">
        <f t="shared" si="1047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48"/>
        <v>6276</v>
      </c>
      <c r="DWJ16" s="68">
        <f t="shared" si="1049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0"/>
        <v>15623</v>
      </c>
      <c r="DWR16" s="68">
        <f t="shared" si="1051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2"/>
        <v>11360</v>
      </c>
      <c r="DWZ16" s="68">
        <f t="shared" si="1053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4"/>
        <v>10604</v>
      </c>
      <c r="DXH16" s="68">
        <f t="shared" si="1055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6"/>
        <v>10338</v>
      </c>
      <c r="DXP16" s="68">
        <f t="shared" si="1057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58"/>
        <v>14551</v>
      </c>
      <c r="DXX16" s="68">
        <f t="shared" si="1059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0"/>
        <v>8946</v>
      </c>
      <c r="DYF16" s="68">
        <f t="shared" si="1061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2"/>
        <v>12994</v>
      </c>
      <c r="DYN16" s="68">
        <f t="shared" si="1063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4"/>
        <v>11622</v>
      </c>
      <c r="DYV16" s="68">
        <f t="shared" si="1065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6"/>
        <v>11481</v>
      </c>
      <c r="DZD16" s="68">
        <f t="shared" si="1067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68"/>
        <v>16628</v>
      </c>
      <c r="DZL16" s="68">
        <f t="shared" si="1069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0"/>
        <v>13461</v>
      </c>
      <c r="DZT16" s="68">
        <f t="shared" si="1071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2"/>
        <v>4930</v>
      </c>
      <c r="EAB16" s="68">
        <f t="shared" si="1073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4"/>
        <v>12965</v>
      </c>
      <c r="EAJ16" s="68">
        <f t="shared" si="1075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6"/>
        <v>8081</v>
      </c>
      <c r="EAR16" s="68">
        <f t="shared" si="1077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78"/>
        <v>5282</v>
      </c>
      <c r="EAZ16" s="68">
        <f t="shared" si="1079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0"/>
        <v>9560</v>
      </c>
      <c r="EBH16" s="68">
        <f t="shared" si="1081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2"/>
        <v>10287</v>
      </c>
      <c r="EBP16" s="68">
        <f t="shared" si="1083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4"/>
        <v>6677</v>
      </c>
      <c r="EBX16" s="68">
        <f t="shared" si="1085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6"/>
        <v>5704</v>
      </c>
      <c r="ECF16" s="68">
        <f t="shared" si="1087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88"/>
        <v>5374</v>
      </c>
      <c r="ECN16" s="68">
        <f t="shared" si="1089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0"/>
        <v>6787</v>
      </c>
      <c r="ECV16" s="68">
        <f t="shared" si="1091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2"/>
        <v>7988</v>
      </c>
      <c r="EDD16" s="68">
        <f t="shared" si="1093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4"/>
        <v>5759</v>
      </c>
      <c r="EDL16" s="68">
        <f t="shared" si="1095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6"/>
        <v>11135</v>
      </c>
      <c r="EDT16" s="68">
        <f t="shared" si="1097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098"/>
        <v>8107</v>
      </c>
      <c r="EEB16" s="68">
        <f t="shared" si="1099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0"/>
        <v>12834</v>
      </c>
      <c r="EEJ16" s="68">
        <f t="shared" si="1101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2"/>
        <v>13424</v>
      </c>
      <c r="EER16" s="68">
        <f t="shared" si="1103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4"/>
        <v>3722</v>
      </c>
      <c r="EEZ16" s="68">
        <f t="shared" si="1105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6"/>
        <v>18435</v>
      </c>
      <c r="EFH16" s="68">
        <f t="shared" si="1107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08"/>
        <v>16164</v>
      </c>
      <c r="EFP16" s="68">
        <f t="shared" si="1109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0"/>
        <v>13413</v>
      </c>
      <c r="EFX16" s="68">
        <f t="shared" si="1111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2"/>
        <v>13135</v>
      </c>
      <c r="EGF16" s="68">
        <f t="shared" si="1113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4"/>
        <v>4643</v>
      </c>
      <c r="EGN16" s="68">
        <f t="shared" si="1115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6"/>
        <v>8470</v>
      </c>
      <c r="EGV16" s="68">
        <f t="shared" si="1117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18"/>
        <v>5132</v>
      </c>
      <c r="EHD16" s="68">
        <f t="shared" si="1119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0"/>
        <v>9910</v>
      </c>
      <c r="EHL16" s="68">
        <f t="shared" si="1121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2"/>
        <v>9545</v>
      </c>
      <c r="EHT16" s="68">
        <f t="shared" si="1123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4"/>
        <v>11658</v>
      </c>
      <c r="EIB16" s="68">
        <f t="shared" si="1125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6"/>
        <v>5635</v>
      </c>
      <c r="EIJ16" s="68">
        <f t="shared" si="1127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28"/>
        <v>6455</v>
      </c>
      <c r="EIR16" s="68">
        <f t="shared" si="1129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0"/>
        <v>8646</v>
      </c>
      <c r="EIZ16" s="68">
        <f t="shared" si="1131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2"/>
        <v>13184</v>
      </c>
      <c r="EJH16" s="68">
        <f t="shared" si="1133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4"/>
        <v>6261</v>
      </c>
      <c r="EJP16" s="68">
        <f t="shared" si="1135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6"/>
        <v>9752</v>
      </c>
      <c r="EJX16" s="68">
        <f t="shared" si="1137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38"/>
        <v>18596</v>
      </c>
      <c r="EKF16" s="68">
        <f t="shared" si="1139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0"/>
        <v>5541</v>
      </c>
      <c r="EKN16" s="68">
        <f t="shared" si="1141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2"/>
        <v>10366</v>
      </c>
      <c r="EKV16" s="68">
        <f t="shared" si="1143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4"/>
        <v>6388</v>
      </c>
      <c r="ELD16" s="68">
        <f t="shared" si="1145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6"/>
        <v>9492</v>
      </c>
      <c r="ELL16" s="184">
        <f t="shared" si="1147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48"/>
        <v>12362</v>
      </c>
      <c r="ELU16" s="211">
        <f t="shared" si="1149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0"/>
        <v>10119</v>
      </c>
      <c r="EMC16" s="211">
        <f t="shared" si="1151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2"/>
        <v>7995</v>
      </c>
      <c r="EMK16" s="211">
        <f t="shared" si="1153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4"/>
        <v>9552</v>
      </c>
      <c r="EMS16" s="211">
        <f t="shared" si="1155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6"/>
        <v>7177</v>
      </c>
      <c r="ENA16" s="211">
        <f t="shared" si="1157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58"/>
        <v>12831</v>
      </c>
      <c r="ENI16" s="211">
        <f t="shared" si="1159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0"/>
        <v>10010</v>
      </c>
      <c r="ENQ16" s="211">
        <f t="shared" si="1161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2"/>
        <v>4728</v>
      </c>
      <c r="ENY16" s="211">
        <f t="shared" si="1163"/>
        <v>788</v>
      </c>
      <c r="ENZ16" s="244">
        <f>SUMIF(SUMPK!$B:$B,$B:$B,SUMPK!$O:$O)</f>
        <v>190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4"/>
        <v>7146</v>
      </c>
      <c r="EOG16" s="211">
        <f t="shared" si="1165"/>
        <v>1191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6"/>
        <v>13487</v>
      </c>
      <c r="EOO16" s="211">
        <f t="shared" si="1167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68"/>
        <v>3200</v>
      </c>
      <c r="EOW16" s="211">
        <f t="shared" si="1169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0"/>
        <v>12666</v>
      </c>
      <c r="EPE16" s="211">
        <f t="shared" si="1171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2"/>
        <v>6367</v>
      </c>
      <c r="EPM16" s="211">
        <f t="shared" si="1173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4"/>
        <v>14855</v>
      </c>
      <c r="EPU16" s="211">
        <f t="shared" si="1175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6"/>
        <v>12605</v>
      </c>
      <c r="EQC16" s="211">
        <f t="shared" si="1177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78"/>
        <v>9208</v>
      </c>
      <c r="EQK16" s="211">
        <f t="shared" si="1179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0"/>
        <v>6862</v>
      </c>
      <c r="EQS16" s="211">
        <f t="shared" si="1181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2"/>
        <v>11719</v>
      </c>
      <c r="ERA16" s="211">
        <f t="shared" si="1183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4"/>
        <v>4195</v>
      </c>
      <c r="ERI16" s="211">
        <f t="shared" si="1185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6"/>
        <v>13693</v>
      </c>
      <c r="ERQ16" s="211">
        <f t="shared" si="1187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88"/>
        <v>7890</v>
      </c>
      <c r="ERY16" s="211">
        <f t="shared" si="1189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0"/>
        <v>4545</v>
      </c>
      <c r="ESG16" s="211">
        <f t="shared" si="1191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2"/>
        <v>8509</v>
      </c>
      <c r="ESO16" s="211">
        <f t="shared" si="1193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4"/>
        <v>9100</v>
      </c>
      <c r="ESW16" s="211">
        <f t="shared" si="1195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6"/>
        <v>7615</v>
      </c>
      <c r="ETE16" s="736">
        <f t="shared" si="1197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198"/>
        <v>7446</v>
      </c>
      <c r="ETM16" s="211">
        <f t="shared" si="1199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0"/>
        <v>9155</v>
      </c>
      <c r="ETU16" s="211">
        <f t="shared" si="1201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2"/>
        <v>9316</v>
      </c>
      <c r="EUC16" s="211">
        <f t="shared" si="1203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4"/>
        <v>4518</v>
      </c>
      <c r="EUK16" s="211">
        <f t="shared" si="1205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6"/>
        <v>5360</v>
      </c>
      <c r="EUS16" s="211">
        <f t="shared" si="1207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08"/>
        <v>12000</v>
      </c>
      <c r="EVA16" s="211">
        <f t="shared" si="1209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0"/>
        <v>4597</v>
      </c>
      <c r="EVI16" s="211">
        <f t="shared" si="1211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2"/>
        <v>8194</v>
      </c>
      <c r="EVQ16" s="211">
        <f t="shared" si="1213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4"/>
        <v>11589</v>
      </c>
      <c r="EVY16" s="211">
        <f t="shared" si="1215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6"/>
        <v>15840</v>
      </c>
      <c r="EWG16" s="211">
        <f t="shared" si="1217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18"/>
        <v>14187</v>
      </c>
      <c r="EWO16" s="211">
        <f t="shared" si="1219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0"/>
        <v>5146</v>
      </c>
      <c r="EWW16" s="211">
        <f t="shared" si="1221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2"/>
        <v>8250</v>
      </c>
      <c r="EXE16" s="211">
        <f t="shared" si="1223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4"/>
        <v>13399</v>
      </c>
      <c r="EXM16" s="211">
        <f t="shared" si="1225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6"/>
        <v>9278</v>
      </c>
      <c r="EXU16" s="211">
        <f t="shared" si="1227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28"/>
        <v>6785</v>
      </c>
      <c r="EYC16" s="211">
        <f t="shared" si="1229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0"/>
        <v>13120</v>
      </c>
      <c r="EYK16" s="211">
        <f t="shared" si="1231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2"/>
        <v>7906</v>
      </c>
      <c r="EYS16" s="211">
        <f t="shared" si="1233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4"/>
        <v>10241</v>
      </c>
      <c r="EZA16" s="211">
        <f t="shared" si="1235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6"/>
        <v>13643</v>
      </c>
      <c r="EZI16" s="211">
        <f t="shared" si="1237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38"/>
        <v>12329</v>
      </c>
      <c r="EZQ16" s="873">
        <f t="shared" si="1239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0"/>
        <v>12849</v>
      </c>
      <c r="EZY16" s="873">
        <f t="shared" si="1241"/>
        <v>2141.5</v>
      </c>
      <c r="EZZ16" s="195">
        <v>0</v>
      </c>
      <c r="FAA16" s="49">
        <v>0</v>
      </c>
      <c r="FAB16" s="49">
        <v>2213</v>
      </c>
      <c r="FAC16" s="49"/>
      <c r="FAD16" s="49"/>
      <c r="FAE16" s="49"/>
      <c r="FAF16" s="872">
        <f t="shared" si="1242"/>
        <v>2213</v>
      </c>
      <c r="FAG16" s="873">
        <f t="shared" si="1243"/>
        <v>368.83333333333331</v>
      </c>
    </row>
    <row r="17" spans="1:4089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36313</v>
      </c>
      <c r="G17" s="24"/>
      <c r="H17" s="24"/>
      <c r="I17" s="24"/>
      <c r="J17" s="360">
        <f>SUMIF(SUMPK!$B:$B,$B:$B,SUMPK!$O:$O)+355</f>
        <v>6308</v>
      </c>
      <c r="K17" s="24"/>
      <c r="L17" s="24">
        <f>F17+H17-J17</f>
        <v>30005</v>
      </c>
      <c r="M17" s="24">
        <f t="shared" si="568"/>
        <v>30005</v>
      </c>
      <c r="N17" s="15">
        <v>5902.5</v>
      </c>
      <c r="O17" s="276">
        <f t="shared" si="0"/>
        <v>5.0834392206692076</v>
      </c>
      <c r="P17" s="15">
        <v>4783.5</v>
      </c>
      <c r="Q17" s="276">
        <f t="shared" si="569"/>
        <v>37.635622452179369</v>
      </c>
      <c r="R17" s="277">
        <f t="shared" si="570"/>
        <v>7023.0769230769229</v>
      </c>
      <c r="S17" s="222">
        <v>182600</v>
      </c>
      <c r="T17" s="276">
        <f t="shared" si="571"/>
        <v>4.2723439211391021</v>
      </c>
      <c r="U17" s="278"/>
      <c r="V17" s="277">
        <f t="shared" si="1"/>
        <v>4.2723439211391021</v>
      </c>
      <c r="W17" s="279">
        <f t="shared" si="1246"/>
        <v>1</v>
      </c>
      <c r="X17" s="299"/>
      <c r="Y17" s="280" t="e">
        <f>#REF!+#REF!</f>
        <v>#REF!</v>
      </c>
      <c r="Z17" s="280" t="e">
        <f t="shared" si="1251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2"/>
        <v>17791</v>
      </c>
      <c r="BAV17" s="43">
        <f t="shared" si="573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4"/>
        <v>27518</v>
      </c>
      <c r="BBD17" s="43">
        <f t="shared" si="575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6"/>
        <v>24099</v>
      </c>
      <c r="BBL17" s="43">
        <f t="shared" si="577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78"/>
        <v>20201</v>
      </c>
      <c r="BBT17" s="43">
        <f t="shared" si="579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0"/>
        <v>36995</v>
      </c>
      <c r="BCB17" s="43">
        <f t="shared" si="581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2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3"/>
        <v>24618</v>
      </c>
      <c r="BCR17" s="43">
        <f t="shared" si="584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5"/>
        <v>28240</v>
      </c>
      <c r="BCZ17" s="43">
        <f t="shared" si="586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7"/>
        <v>18578</v>
      </c>
      <c r="BDH17" s="43">
        <f t="shared" si="588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89"/>
        <v>20255</v>
      </c>
      <c r="BDP17" s="43">
        <f t="shared" si="590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1"/>
        <v>22247</v>
      </c>
      <c r="BDX17" s="43">
        <f t="shared" si="592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3"/>
        <v>20721</v>
      </c>
      <c r="BEF17" s="43">
        <f t="shared" si="594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5"/>
        <v>23310</v>
      </c>
      <c r="BEN17" s="43">
        <f t="shared" si="596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7"/>
        <v>27843</v>
      </c>
      <c r="BEV17" s="43">
        <f t="shared" si="598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599"/>
        <v>25765</v>
      </c>
      <c r="BFD17" s="43">
        <f t="shared" si="600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1"/>
        <v>27721</v>
      </c>
      <c r="BFL17" s="68">
        <f t="shared" si="602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3"/>
        <v>27942</v>
      </c>
      <c r="BFT17" s="68">
        <f t="shared" si="604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5"/>
        <v>33051</v>
      </c>
      <c r="BGB17" s="68">
        <f t="shared" si="606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7"/>
        <v>30276</v>
      </c>
      <c r="BGJ17" s="68">
        <f t="shared" si="608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09"/>
        <v>30507</v>
      </c>
      <c r="BGR17" s="68">
        <f t="shared" si="610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1"/>
        <v>17757</v>
      </c>
      <c r="BGZ17" s="68">
        <f t="shared" si="612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3"/>
        <v>28684</v>
      </c>
      <c r="BHH17" s="68">
        <f t="shared" si="614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5"/>
        <v>28532</v>
      </c>
      <c r="BHP17" s="184">
        <f t="shared" si="616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7"/>
        <v>29262</v>
      </c>
      <c r="BHX17" s="211">
        <f t="shared" si="618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19"/>
        <v>30471</v>
      </c>
      <c r="BIF17" s="184">
        <f t="shared" si="620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1"/>
        <v>21043</v>
      </c>
      <c r="BIN17" s="184">
        <f t="shared" si="622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3"/>
        <v>26724</v>
      </c>
      <c r="BIV17" s="211">
        <f t="shared" si="624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5"/>
        <v>20995</v>
      </c>
      <c r="BJD17" s="211">
        <f t="shared" si="626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7"/>
        <v>15242</v>
      </c>
      <c r="BJL17" s="211">
        <f t="shared" si="628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29"/>
        <v>25541</v>
      </c>
      <c r="BJT17" s="184">
        <f t="shared" si="630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1"/>
        <v>33005</v>
      </c>
      <c r="BKB17" s="184">
        <f t="shared" si="632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3"/>
        <v>26142</v>
      </c>
      <c r="BKJ17" s="184">
        <f t="shared" si="634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5"/>
        <v>12775</v>
      </c>
      <c r="BKR17" s="184">
        <f t="shared" si="636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7"/>
        <v>22446</v>
      </c>
      <c r="BKZ17" s="211">
        <f t="shared" si="638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39"/>
        <v>16740</v>
      </c>
      <c r="BLH17" s="211">
        <f t="shared" si="640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1"/>
        <v>19259</v>
      </c>
      <c r="BLP17" s="184">
        <f t="shared" si="642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3"/>
        <v>18467</v>
      </c>
      <c r="BLX17" s="184">
        <f t="shared" si="644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5"/>
        <v>22884</v>
      </c>
      <c r="BMF17" s="68">
        <f t="shared" si="646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7"/>
        <v>30363</v>
      </c>
      <c r="BMN17" s="68">
        <f t="shared" si="648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49"/>
        <v>21649</v>
      </c>
      <c r="BMV17" s="68">
        <f t="shared" si="650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1"/>
        <v>36522</v>
      </c>
      <c r="BND17" s="68">
        <f t="shared" si="652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3"/>
        <v>17011</v>
      </c>
      <c r="BNL17" s="68">
        <f t="shared" si="654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5"/>
        <v>21547</v>
      </c>
      <c r="BNT17" s="68">
        <f t="shared" si="656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7"/>
        <v>27373</v>
      </c>
      <c r="BOB17" s="184">
        <f t="shared" si="658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59"/>
        <v>21189</v>
      </c>
      <c r="BOJ17" s="184">
        <f t="shared" si="660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1"/>
        <v>30936</v>
      </c>
      <c r="BOR17" s="68">
        <f t="shared" si="662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3"/>
        <v>28614</v>
      </c>
      <c r="BOZ17" s="68">
        <f t="shared" si="664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5"/>
        <v>32543</v>
      </c>
      <c r="BPH17" s="68">
        <f t="shared" si="666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7"/>
        <v>30867</v>
      </c>
      <c r="BPP17" s="68">
        <f t="shared" si="668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69"/>
        <v>26245</v>
      </c>
      <c r="BPX17" s="68">
        <f t="shared" si="670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1"/>
        <v>30564</v>
      </c>
      <c r="BQF17" s="68">
        <f t="shared" si="672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3"/>
        <v>49225</v>
      </c>
      <c r="BQN17" s="68">
        <f t="shared" si="674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5"/>
        <v>43319</v>
      </c>
      <c r="BQV17" s="68">
        <f t="shared" si="676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7"/>
        <v>30790</v>
      </c>
      <c r="BRD17" s="68">
        <f t="shared" si="678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79"/>
        <v>33251</v>
      </c>
      <c r="BRL17" s="68">
        <f t="shared" si="680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1"/>
        <v>67180</v>
      </c>
      <c r="BRT17" s="68">
        <f t="shared" si="682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3"/>
        <v>55771</v>
      </c>
      <c r="BSB17" s="68">
        <f t="shared" si="684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5"/>
        <v>39421</v>
      </c>
      <c r="BSJ17" s="68">
        <f t="shared" si="686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7"/>
        <v>21084</v>
      </c>
      <c r="BSR17" s="68">
        <f t="shared" si="688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89"/>
        <v>33174</v>
      </c>
      <c r="BSZ17" s="68">
        <f t="shared" si="690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1"/>
        <v>54916</v>
      </c>
      <c r="BTH17" s="68">
        <f t="shared" si="692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3"/>
        <v>17636</v>
      </c>
      <c r="BTP17" s="68">
        <f t="shared" si="694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5"/>
        <v>17524</v>
      </c>
      <c r="BTX17" s="184">
        <f t="shared" si="696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7"/>
        <v>36788</v>
      </c>
      <c r="BUF17" s="184">
        <f t="shared" si="698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699"/>
        <v>29651</v>
      </c>
      <c r="BUN17" s="211">
        <f t="shared" si="700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1"/>
        <v>26813</v>
      </c>
      <c r="BUV17" s="211">
        <f t="shared" si="702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3"/>
        <v>36427</v>
      </c>
      <c r="BVD17" s="211">
        <f t="shared" si="704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5"/>
        <v>27524</v>
      </c>
      <c r="BVL17" s="184">
        <f t="shared" si="706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7"/>
        <v>38355</v>
      </c>
      <c r="BVT17" s="211">
        <f t="shared" si="708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09"/>
        <v>47139</v>
      </c>
      <c r="BWB17" s="184">
        <f t="shared" si="710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1"/>
        <v>29652</v>
      </c>
      <c r="BWJ17" s="184">
        <f t="shared" si="712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3"/>
        <v>16067</v>
      </c>
      <c r="BWR17" s="211">
        <f t="shared" si="714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5"/>
        <v>34639</v>
      </c>
      <c r="BWZ17" s="211">
        <f t="shared" si="716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7"/>
        <v>22541</v>
      </c>
      <c r="BXH17" s="211">
        <f t="shared" si="718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19"/>
        <v>37858</v>
      </c>
      <c r="BXP17" s="184">
        <f t="shared" si="720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1"/>
        <v>30462</v>
      </c>
      <c r="BXX17" s="184">
        <f t="shared" si="722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3"/>
        <v>32585</v>
      </c>
      <c r="BYF17" s="211">
        <f t="shared" si="724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5"/>
        <v>31578</v>
      </c>
      <c r="BYN17" s="184">
        <f t="shared" si="726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7"/>
        <v>35616</v>
      </c>
      <c r="BYV17" s="211">
        <f t="shared" si="728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29"/>
        <v>35376</v>
      </c>
      <c r="BZD17" s="184">
        <f t="shared" si="730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1"/>
        <v>44348</v>
      </c>
      <c r="BZL17" s="184">
        <f t="shared" si="732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4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5"/>
        <v>43204</v>
      </c>
      <c r="CAB17" s="68">
        <f t="shared" si="736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7"/>
        <v>46349</v>
      </c>
      <c r="CAJ17" s="68">
        <f t="shared" si="738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39"/>
        <v>45899</v>
      </c>
      <c r="CAR17" s="184">
        <f t="shared" si="740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1"/>
        <v>39285</v>
      </c>
      <c r="CAZ17" s="211">
        <f t="shared" si="742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3"/>
        <v>41667</v>
      </c>
      <c r="CBH17" s="211">
        <f t="shared" si="744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5"/>
        <v>42524</v>
      </c>
      <c r="CBP17" s="184">
        <f t="shared" si="746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7"/>
        <v>45459</v>
      </c>
      <c r="CBX17" s="68">
        <f t="shared" si="748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49"/>
        <v>48282</v>
      </c>
      <c r="CCF17" s="68">
        <f t="shared" si="750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1"/>
        <v>32889</v>
      </c>
      <c r="CCN17" s="68">
        <f t="shared" si="752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3"/>
        <v>44265</v>
      </c>
      <c r="CCV17" s="68">
        <f t="shared" si="754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5"/>
        <v>52953</v>
      </c>
      <c r="CDD17" s="68">
        <f t="shared" si="756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7"/>
        <v>42482</v>
      </c>
      <c r="CDL17" s="68">
        <f t="shared" si="758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59"/>
        <v>17312</v>
      </c>
      <c r="CDT17" s="68">
        <f t="shared" si="760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1"/>
        <v>41389</v>
      </c>
      <c r="CEB17" s="68">
        <f t="shared" si="762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3"/>
        <v>31945</v>
      </c>
      <c r="CEJ17" s="68">
        <f t="shared" si="764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5"/>
        <v>40863</v>
      </c>
      <c r="CER17" s="68">
        <f t="shared" si="766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7"/>
        <v>30406</v>
      </c>
      <c r="CEZ17" s="68">
        <f t="shared" si="768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69"/>
        <v>51550</v>
      </c>
      <c r="CFH17" s="68">
        <f t="shared" si="770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1"/>
        <v>31243</v>
      </c>
      <c r="CFP17" s="68">
        <f t="shared" si="772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3"/>
        <v>26795</v>
      </c>
      <c r="CFX17" s="68">
        <f t="shared" si="774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5"/>
        <v>40332</v>
      </c>
      <c r="CGF17" s="68">
        <f t="shared" si="776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7"/>
        <v>32164</v>
      </c>
      <c r="CGN17" s="68">
        <f t="shared" si="778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79"/>
        <v>46479</v>
      </c>
      <c r="CGV17" s="68">
        <f t="shared" si="780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1"/>
        <v>31593</v>
      </c>
      <c r="CHD17" s="68">
        <f t="shared" si="782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3"/>
        <v>44473</v>
      </c>
      <c r="CHL17" s="68">
        <f t="shared" si="784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5"/>
        <v>37293</v>
      </c>
      <c r="CHT17" s="68">
        <f t="shared" si="786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7"/>
        <v>40912</v>
      </c>
      <c r="CIB17" s="68">
        <f t="shared" si="788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89"/>
        <v>44505</v>
      </c>
      <c r="CIJ17" s="68">
        <f t="shared" si="790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1"/>
        <v>38026</v>
      </c>
      <c r="CIR17" s="68">
        <f t="shared" si="792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3"/>
        <v>52037</v>
      </c>
      <c r="CIZ17" s="68">
        <f t="shared" si="794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5"/>
        <v>25543</v>
      </c>
      <c r="CJH17" s="68">
        <f t="shared" si="796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7"/>
        <v>53394</v>
      </c>
      <c r="CJP17" s="68">
        <f t="shared" si="798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799"/>
        <v>28999</v>
      </c>
      <c r="CJX17" s="68">
        <f t="shared" si="800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1"/>
        <v>53637</v>
      </c>
      <c r="CKF17" s="68">
        <f t="shared" si="802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3"/>
        <v>49370</v>
      </c>
      <c r="CKN17" s="68">
        <f t="shared" si="804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5"/>
        <v>30809</v>
      </c>
      <c r="CKV17" s="68">
        <f t="shared" si="806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7"/>
        <v>43304</v>
      </c>
      <c r="CLD17" s="68">
        <f t="shared" si="808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09"/>
        <v>33114</v>
      </c>
      <c r="CLL17" s="68">
        <f t="shared" si="810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1"/>
        <v>25940</v>
      </c>
      <c r="CLT17" s="184">
        <f t="shared" si="812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3"/>
        <v>41369</v>
      </c>
      <c r="CMB17" s="68">
        <f t="shared" si="814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5"/>
        <v>25615</v>
      </c>
      <c r="CMJ17" s="68">
        <f t="shared" si="816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7"/>
        <v>34399</v>
      </c>
      <c r="CMR17" s="68">
        <f t="shared" si="818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19"/>
        <v>50340</v>
      </c>
      <c r="CMZ17" s="68">
        <f t="shared" si="820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1"/>
        <v>36065</v>
      </c>
      <c r="CNH17" s="68">
        <f t="shared" si="822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3"/>
        <v>43826</v>
      </c>
      <c r="CNP17" s="68">
        <f t="shared" si="824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5"/>
        <v>31634</v>
      </c>
      <c r="CNX17" s="68">
        <f t="shared" si="826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7"/>
        <v>25828</v>
      </c>
      <c r="COF17" s="68">
        <f t="shared" si="828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29"/>
        <v>45136</v>
      </c>
      <c r="CON17" s="68">
        <f t="shared" si="830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1"/>
        <v>24104</v>
      </c>
      <c r="COV17" s="68">
        <f t="shared" si="832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3"/>
        <v>30271</v>
      </c>
      <c r="CPD17" s="68">
        <f t="shared" si="834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5"/>
        <v>36160</v>
      </c>
      <c r="CPL17" s="68">
        <f t="shared" si="836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7"/>
        <v>11497</v>
      </c>
      <c r="CPT17" s="68">
        <f t="shared" si="838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39"/>
        <v>26931</v>
      </c>
      <c r="CQB17" s="68">
        <f t="shared" si="840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1"/>
        <v>37852</v>
      </c>
      <c r="CQJ17" s="68">
        <f t="shared" si="842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3"/>
        <v>30306</v>
      </c>
      <c r="CQR17" s="68">
        <f t="shared" si="844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5953</v>
      </c>
      <c r="CQX17" s="49">
        <v>1654</v>
      </c>
      <c r="CQY17" s="67">
        <f t="shared" si="845"/>
        <v>21802</v>
      </c>
      <c r="CQZ17" s="68">
        <f t="shared" si="846"/>
        <v>3633.6666666666665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7"/>
        <v>22337</v>
      </c>
      <c r="CRH17" s="68">
        <f t="shared" si="848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49"/>
        <v>34846</v>
      </c>
      <c r="CRP17" s="68">
        <f t="shared" si="850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1"/>
        <v>28431</v>
      </c>
      <c r="CRX17" s="68">
        <f t="shared" si="852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44"/>
        <v>35954</v>
      </c>
      <c r="CSF17" s="68">
        <f t="shared" si="1245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5"/>
        <v>27927</v>
      </c>
      <c r="CSN17" s="68">
        <f t="shared" si="856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7"/>
        <v>40348</v>
      </c>
      <c r="CSV17" s="68">
        <f t="shared" si="858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59"/>
        <v>33801</v>
      </c>
      <c r="CTD17" s="68">
        <f t="shared" si="860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1"/>
        <v>30260</v>
      </c>
      <c r="CTL17" s="68">
        <f t="shared" si="862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3"/>
        <v>39063</v>
      </c>
      <c r="CTT17" s="68">
        <f t="shared" si="864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5"/>
        <v>23769</v>
      </c>
      <c r="CUB17" s="68">
        <f t="shared" si="866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7"/>
        <v>40896</v>
      </c>
      <c r="CUJ17" s="68">
        <f t="shared" si="868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69"/>
        <v>26213</v>
      </c>
      <c r="CUR17" s="68">
        <f t="shared" si="870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1"/>
        <v>40552</v>
      </c>
      <c r="CUZ17" s="68">
        <f t="shared" si="872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3"/>
        <v>32915</v>
      </c>
      <c r="CVH17" s="68">
        <f t="shared" si="874"/>
        <v>5485.833333333333</v>
      </c>
      <c r="CVI17" s="48">
        <v>0</v>
      </c>
      <c r="CVJ17" s="49">
        <f>SUMIF(SUMPK!$B:$B,$B:$B,SUMPK!$O:$O)</f>
        <v>5953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5"/>
        <v>22640</v>
      </c>
      <c r="CVP17" s="68">
        <f t="shared" si="876"/>
        <v>3773.3333333333335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7"/>
        <v>38927</v>
      </c>
      <c r="CVX17" s="68">
        <f t="shared" si="878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79"/>
        <v>50849</v>
      </c>
      <c r="CWF17" s="68">
        <f t="shared" si="880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1"/>
        <v>54321</v>
      </c>
      <c r="CWN17" s="68">
        <f t="shared" si="882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3"/>
        <v>41945</v>
      </c>
      <c r="CWV17" s="43">
        <f t="shared" si="884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5"/>
        <v>46688</v>
      </c>
      <c r="CXD17" s="43">
        <f t="shared" si="886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7"/>
        <v>52045</v>
      </c>
      <c r="CXL17" s="43">
        <f t="shared" si="888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89"/>
        <v>45332</v>
      </c>
      <c r="CXT17" s="43">
        <f t="shared" si="890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1"/>
        <v>36260</v>
      </c>
      <c r="CYB17" s="43">
        <f t="shared" si="892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3"/>
        <v>41487</v>
      </c>
      <c r="CYJ17" s="43">
        <f t="shared" si="894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5"/>
        <v>40972</v>
      </c>
      <c r="CYR17" s="43">
        <f t="shared" si="896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7"/>
        <v>48265</v>
      </c>
      <c r="CYZ17" s="43">
        <f t="shared" si="898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899"/>
        <v>25434</v>
      </c>
      <c r="CZH17" s="43">
        <f t="shared" si="900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1"/>
        <v>41798</v>
      </c>
      <c r="CZP17" s="43">
        <f t="shared" si="902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3"/>
        <v>37416</v>
      </c>
      <c r="CZX17" s="43">
        <f t="shared" si="904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5"/>
        <v>23289</v>
      </c>
      <c r="DAF17" s="43">
        <f t="shared" si="906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7"/>
        <v>22112</v>
      </c>
      <c r="DAN17" s="43">
        <f t="shared" si="908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09"/>
        <v>28471</v>
      </c>
      <c r="DAV17" s="68">
        <f t="shared" si="910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1"/>
        <v>33358</v>
      </c>
      <c r="DBD17" s="68">
        <f t="shared" si="912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3"/>
        <v>23147</v>
      </c>
      <c r="DBL17" s="68">
        <f t="shared" si="914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5"/>
        <v>41981</v>
      </c>
      <c r="DBT17" s="68">
        <f t="shared" si="916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7"/>
        <v>32483</v>
      </c>
      <c r="DCB17" s="184">
        <f t="shared" si="918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19"/>
        <v>46740</v>
      </c>
      <c r="DCJ17" s="211">
        <f t="shared" si="920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1"/>
        <v>43327</v>
      </c>
      <c r="DCR17" s="211">
        <f t="shared" si="922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3"/>
        <v>28600</v>
      </c>
      <c r="DCZ17" s="184">
        <f t="shared" si="924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5"/>
        <v>41509</v>
      </c>
      <c r="DDH17" s="211">
        <f t="shared" si="926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7"/>
        <v>45141</v>
      </c>
      <c r="DDP17" s="184">
        <f t="shared" si="928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29"/>
        <v>35196</v>
      </c>
      <c r="DDX17" s="211">
        <f t="shared" si="930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1"/>
        <v>40847</v>
      </c>
      <c r="DEF17" s="214">
        <f t="shared" si="932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3"/>
        <v>33360</v>
      </c>
      <c r="DEN17" s="101">
        <f t="shared" si="934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5"/>
        <v>31355</v>
      </c>
      <c r="DEV17" s="101">
        <f t="shared" si="936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7"/>
        <v>34828</v>
      </c>
      <c r="DFD17" s="43">
        <f t="shared" si="938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39"/>
        <v>40203</v>
      </c>
      <c r="DFL17" s="43">
        <f t="shared" si="940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1"/>
        <v>27900</v>
      </c>
      <c r="DFT17" s="43">
        <f t="shared" si="942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3"/>
        <v>37243</v>
      </c>
      <c r="DGB17" s="43">
        <f t="shared" si="944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5"/>
        <v>40159</v>
      </c>
      <c r="DGJ17" s="68">
        <f t="shared" si="946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7"/>
        <v>31517</v>
      </c>
      <c r="DGR17" s="68">
        <f t="shared" si="948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49"/>
        <v>41000</v>
      </c>
      <c r="DGZ17" s="68">
        <f t="shared" si="950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1"/>
        <v>45372</v>
      </c>
      <c r="DHH17" s="68">
        <f t="shared" si="952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3"/>
        <v>32922</v>
      </c>
      <c r="DHP17" s="68">
        <f t="shared" si="954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5"/>
        <v>37163</v>
      </c>
      <c r="DHX17" s="68">
        <f t="shared" si="956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7"/>
        <v>24037</v>
      </c>
      <c r="DIF17" s="68">
        <f t="shared" si="958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59"/>
        <v>26115</v>
      </c>
      <c r="DIN17" s="68">
        <f t="shared" si="960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1"/>
        <v>41183</v>
      </c>
      <c r="DIV17" s="68">
        <f t="shared" si="962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3"/>
        <v>22008</v>
      </c>
      <c r="DJD17" s="68">
        <f t="shared" si="964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5"/>
        <v>40684</v>
      </c>
      <c r="DJL17" s="68">
        <f t="shared" si="966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7"/>
        <v>51597</v>
      </c>
      <c r="DJT17" s="68">
        <f t="shared" si="968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69"/>
        <v>41354</v>
      </c>
      <c r="DKB17" s="68">
        <f t="shared" si="970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1"/>
        <v>49116</v>
      </c>
      <c r="DKJ17" s="68">
        <f t="shared" si="972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3"/>
        <v>35355</v>
      </c>
      <c r="DKR17" s="68">
        <f t="shared" si="974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5"/>
        <v>36163</v>
      </c>
      <c r="DKZ17" s="68">
        <f t="shared" si="976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7"/>
        <v>47709</v>
      </c>
      <c r="DLH17" s="68">
        <f t="shared" si="978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79"/>
        <v>36645</v>
      </c>
      <c r="DLP17" s="68">
        <f t="shared" si="980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1"/>
        <v>36540</v>
      </c>
      <c r="DLX17" s="68">
        <f t="shared" si="982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3"/>
        <v>23401</v>
      </c>
      <c r="DMF17" s="68">
        <f t="shared" si="984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5"/>
        <v>41249</v>
      </c>
      <c r="DMN17" s="68">
        <f t="shared" si="986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7"/>
        <v>45931</v>
      </c>
      <c r="DMV17" s="68">
        <f t="shared" si="988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89"/>
        <v>44973</v>
      </c>
      <c r="DND17" s="68">
        <f t="shared" si="990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1"/>
        <v>34540</v>
      </c>
      <c r="DNL17" s="68">
        <f t="shared" si="992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3"/>
        <v>40550</v>
      </c>
      <c r="DNT17" s="68">
        <f t="shared" si="994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5"/>
        <v>50040</v>
      </c>
      <c r="DOB17" s="68">
        <f t="shared" si="996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7"/>
        <v>50554</v>
      </c>
      <c r="DOJ17" s="68">
        <f t="shared" si="998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999"/>
        <v>40554</v>
      </c>
      <c r="DOR17" s="68">
        <f t="shared" si="1000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1"/>
        <v>59155</v>
      </c>
      <c r="DOZ17" s="68">
        <f t="shared" si="1002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3"/>
        <v>57281</v>
      </c>
      <c r="DPH17" s="68">
        <f t="shared" si="1004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5"/>
        <v>51225</v>
      </c>
      <c r="DPP17" s="68">
        <f t="shared" si="1006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7"/>
        <v>59285</v>
      </c>
      <c r="DPX17" s="68">
        <f t="shared" si="1008"/>
        <v>9880.8333333333339</v>
      </c>
      <c r="DPY17" s="63">
        <v>10901</v>
      </c>
      <c r="DPZ17" s="64">
        <v>12899</v>
      </c>
      <c r="DQA17" s="64">
        <f>SUMIF(SUMPK!$B:$B,$B:$B,SUMPK!$O:$O)</f>
        <v>5953</v>
      </c>
      <c r="DQB17" s="64">
        <v>13806</v>
      </c>
      <c r="DQC17" s="64">
        <v>11605</v>
      </c>
      <c r="DQD17" s="64">
        <v>6543</v>
      </c>
      <c r="DQE17" s="64">
        <f t="shared" si="1009"/>
        <v>61707</v>
      </c>
      <c r="DQF17" s="68">
        <f t="shared" si="1010"/>
        <v>10284.5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1"/>
        <v>70706</v>
      </c>
      <c r="DQN17" s="68">
        <f t="shared" si="1012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3"/>
        <v>55499</v>
      </c>
      <c r="DQV17" s="68">
        <f t="shared" si="1014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5"/>
        <v>42932</v>
      </c>
      <c r="DRD17" s="68">
        <f t="shared" si="1016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7"/>
        <v>25460</v>
      </c>
      <c r="DRL17" s="68">
        <f t="shared" si="1018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19"/>
        <v>35949</v>
      </c>
      <c r="DRT17" s="68">
        <f t="shared" si="1020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1"/>
        <v>43749</v>
      </c>
      <c r="DSB17" s="68">
        <f t="shared" si="1022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3"/>
        <v>27905</v>
      </c>
      <c r="DSJ17" s="68">
        <f t="shared" si="1024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5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6"/>
        <v>41149</v>
      </c>
      <c r="DSZ17" s="68">
        <f t="shared" si="1027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28"/>
        <v>29606</v>
      </c>
      <c r="DTH17" s="68">
        <f t="shared" si="1029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0"/>
        <v>31667</v>
      </c>
      <c r="DTP17" s="68">
        <f t="shared" si="1031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2"/>
        <v>41718</v>
      </c>
      <c r="DTX17" s="68">
        <f t="shared" si="1033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4"/>
        <v>33747</v>
      </c>
      <c r="DUF17" s="68">
        <f t="shared" si="1035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6"/>
        <v>46047</v>
      </c>
      <c r="DUN17" s="68">
        <f t="shared" si="1037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38"/>
        <v>40769</v>
      </c>
      <c r="DUV17" s="68">
        <f t="shared" si="1039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0"/>
        <v>19959</v>
      </c>
      <c r="DVD17" s="68">
        <f t="shared" si="1041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2"/>
        <v>25641</v>
      </c>
      <c r="DVL17" s="68">
        <f t="shared" si="1043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4"/>
        <v>38926</v>
      </c>
      <c r="DVT17" s="68">
        <f t="shared" si="1045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6"/>
        <v>9574</v>
      </c>
      <c r="DWB17" s="68">
        <f t="shared" si="1047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48"/>
        <v>24276</v>
      </c>
      <c r="DWJ17" s="68">
        <f t="shared" si="1049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0"/>
        <v>32427</v>
      </c>
      <c r="DWR17" s="68">
        <f t="shared" si="1051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2"/>
        <v>24354</v>
      </c>
      <c r="DWZ17" s="68">
        <f t="shared" si="1053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4"/>
        <v>23168</v>
      </c>
      <c r="DXH17" s="68">
        <f t="shared" si="1055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6"/>
        <v>24128</v>
      </c>
      <c r="DXP17" s="68">
        <f t="shared" si="1057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58"/>
        <v>19784</v>
      </c>
      <c r="DXX17" s="68">
        <f t="shared" si="1059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0"/>
        <v>38889</v>
      </c>
      <c r="DYF17" s="68">
        <f t="shared" si="1061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2"/>
        <v>28462</v>
      </c>
      <c r="DYN17" s="68">
        <f t="shared" si="1063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4"/>
        <v>42333</v>
      </c>
      <c r="DYV17" s="68">
        <f t="shared" si="1065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6"/>
        <v>34364</v>
      </c>
      <c r="DZD17" s="68">
        <f t="shared" si="1067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68"/>
        <v>39249</v>
      </c>
      <c r="DZL17" s="68">
        <f t="shared" si="1069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0"/>
        <v>47947</v>
      </c>
      <c r="DZT17" s="68">
        <f t="shared" si="1071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2"/>
        <v>42553</v>
      </c>
      <c r="EAB17" s="68">
        <f t="shared" si="1073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4"/>
        <v>52615</v>
      </c>
      <c r="EAJ17" s="68">
        <f t="shared" si="1075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6"/>
        <v>50013</v>
      </c>
      <c r="EAR17" s="68">
        <f t="shared" si="1077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78"/>
        <v>41859</v>
      </c>
      <c r="EAZ17" s="68">
        <f t="shared" si="1079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0"/>
        <v>37350</v>
      </c>
      <c r="EBH17" s="68">
        <f t="shared" si="1081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2"/>
        <v>43121</v>
      </c>
      <c r="EBP17" s="68">
        <f t="shared" si="1083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4"/>
        <v>37263</v>
      </c>
      <c r="EBX17" s="68">
        <f t="shared" si="1085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6"/>
        <v>45740</v>
      </c>
      <c r="ECF17" s="68">
        <f t="shared" si="1087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88"/>
        <v>48891</v>
      </c>
      <c r="ECN17" s="68">
        <f t="shared" si="1089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0"/>
        <v>36830</v>
      </c>
      <c r="ECV17" s="68">
        <f t="shared" si="1091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2"/>
        <v>39314</v>
      </c>
      <c r="EDD17" s="68">
        <f t="shared" si="1093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4"/>
        <v>21394</v>
      </c>
      <c r="EDL17" s="68">
        <f t="shared" si="1095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6"/>
        <v>33768</v>
      </c>
      <c r="EDT17" s="68">
        <f t="shared" si="1097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098"/>
        <v>21027</v>
      </c>
      <c r="EEB17" s="68">
        <f t="shared" si="1099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0"/>
        <v>29172</v>
      </c>
      <c r="EEJ17" s="68">
        <f t="shared" si="1101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2"/>
        <v>15003</v>
      </c>
      <c r="EER17" s="68">
        <f t="shared" si="1103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4"/>
        <v>35791</v>
      </c>
      <c r="EEZ17" s="68">
        <f t="shared" si="1105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6"/>
        <v>10818</v>
      </c>
      <c r="EFH17" s="68">
        <f t="shared" si="1107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08"/>
        <v>28819</v>
      </c>
      <c r="EFP17" s="68">
        <f t="shared" si="1109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0"/>
        <v>25388</v>
      </c>
      <c r="EFX17" s="68">
        <f t="shared" si="1111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2"/>
        <v>18094</v>
      </c>
      <c r="EGF17" s="68">
        <f t="shared" si="1113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4"/>
        <v>30580</v>
      </c>
      <c r="EGN17" s="68">
        <f t="shared" si="1115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6"/>
        <v>18461</v>
      </c>
      <c r="EGV17" s="68">
        <f t="shared" si="1117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18"/>
        <v>30933</v>
      </c>
      <c r="EHD17" s="68">
        <f t="shared" si="1119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0"/>
        <v>20831</v>
      </c>
      <c r="EHL17" s="68">
        <f t="shared" si="1121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2"/>
        <v>27826</v>
      </c>
      <c r="EHT17" s="68">
        <f t="shared" si="1123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4"/>
        <v>36297</v>
      </c>
      <c r="EIB17" s="68">
        <f t="shared" si="1125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6"/>
        <v>37066</v>
      </c>
      <c r="EIJ17" s="68">
        <f t="shared" si="1127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28"/>
        <v>27100</v>
      </c>
      <c r="EIR17" s="68">
        <f t="shared" si="1129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0"/>
        <v>21955</v>
      </c>
      <c r="EIZ17" s="68">
        <f t="shared" si="1131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2"/>
        <v>20335</v>
      </c>
      <c r="EJH17" s="68">
        <f t="shared" si="1133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4"/>
        <v>33929</v>
      </c>
      <c r="EJP17" s="68">
        <f t="shared" si="1135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6"/>
        <v>21786</v>
      </c>
      <c r="EJX17" s="68">
        <f t="shared" si="1137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38"/>
        <v>22192</v>
      </c>
      <c r="EKF17" s="68">
        <f t="shared" si="1139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0"/>
        <v>28017</v>
      </c>
      <c r="EKN17" s="68">
        <f t="shared" si="1141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2"/>
        <v>25696</v>
      </c>
      <c r="EKV17" s="68">
        <f t="shared" si="1143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4"/>
        <v>32682</v>
      </c>
      <c r="ELD17" s="68">
        <f t="shared" si="1145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6"/>
        <v>15381</v>
      </c>
      <c r="ELL17" s="184">
        <f t="shared" si="1147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48"/>
        <v>28812</v>
      </c>
      <c r="ELU17" s="211">
        <f t="shared" si="1149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0"/>
        <v>24594</v>
      </c>
      <c r="EMC17" s="211">
        <f t="shared" si="1151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2"/>
        <v>26293</v>
      </c>
      <c r="EMK17" s="211">
        <f t="shared" si="1153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4"/>
        <v>36060</v>
      </c>
      <c r="EMS17" s="211">
        <f t="shared" si="1155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6"/>
        <v>20244</v>
      </c>
      <c r="ENA17" s="211">
        <f t="shared" si="1157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58"/>
        <v>24439</v>
      </c>
      <c r="ENI17" s="211">
        <f t="shared" si="1159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0"/>
        <v>30326</v>
      </c>
      <c r="ENQ17" s="211">
        <f t="shared" si="1161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2"/>
        <v>19943</v>
      </c>
      <c r="ENY17" s="211">
        <f t="shared" si="1163"/>
        <v>3323.8333333333335</v>
      </c>
      <c r="ENZ17" s="244">
        <f>SUMIF(SUMPK!$B:$B,$B:$B,SUMPK!$O:$O)</f>
        <v>5953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4"/>
        <v>25993</v>
      </c>
      <c r="EOG17" s="211">
        <f t="shared" si="1165"/>
        <v>4332.166666666667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6"/>
        <v>24782</v>
      </c>
      <c r="EOO17" s="211">
        <f t="shared" si="1167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68"/>
        <v>18389</v>
      </c>
      <c r="EOW17" s="211">
        <f t="shared" si="1169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0"/>
        <v>27255</v>
      </c>
      <c r="EPE17" s="211">
        <f t="shared" si="1171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2"/>
        <v>28701</v>
      </c>
      <c r="EPM17" s="211">
        <f t="shared" si="1173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4"/>
        <v>26639</v>
      </c>
      <c r="EPU17" s="211">
        <f t="shared" si="1175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6"/>
        <v>44000</v>
      </c>
      <c r="EQC17" s="211">
        <f t="shared" si="1177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78"/>
        <v>24642</v>
      </c>
      <c r="EQK17" s="211">
        <f t="shared" si="1179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0"/>
        <v>24473</v>
      </c>
      <c r="EQS17" s="211">
        <f t="shared" si="1181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2"/>
        <v>25280</v>
      </c>
      <c r="ERA17" s="211">
        <f t="shared" si="1183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4"/>
        <v>28862</v>
      </c>
      <c r="ERI17" s="211">
        <f t="shared" si="1185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6"/>
        <v>36591</v>
      </c>
      <c r="ERQ17" s="211">
        <f t="shared" si="1187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88"/>
        <v>33630</v>
      </c>
      <c r="ERY17" s="211">
        <f t="shared" si="1189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0"/>
        <v>42387</v>
      </c>
      <c r="ESG17" s="211">
        <f t="shared" si="1191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2"/>
        <v>28979</v>
      </c>
      <c r="ESO17" s="211">
        <f t="shared" si="1193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4"/>
        <v>32853</v>
      </c>
      <c r="ESW17" s="211">
        <f t="shared" si="1195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6"/>
        <v>36865</v>
      </c>
      <c r="ETE17" s="736">
        <f t="shared" si="1197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198"/>
        <v>29749</v>
      </c>
      <c r="ETM17" s="211">
        <f t="shared" si="1199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0"/>
        <v>37212</v>
      </c>
      <c r="ETU17" s="211">
        <f t="shared" si="1201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2"/>
        <v>42100</v>
      </c>
      <c r="EUC17" s="211">
        <f t="shared" si="1203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4"/>
        <v>44207</v>
      </c>
      <c r="EUK17" s="211">
        <f t="shared" si="1205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6"/>
        <v>22862</v>
      </c>
      <c r="EUS17" s="211">
        <f t="shared" si="1207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08"/>
        <v>39021</v>
      </c>
      <c r="EVA17" s="211">
        <f t="shared" si="1209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0"/>
        <v>36034</v>
      </c>
      <c r="EVI17" s="211">
        <f t="shared" si="1211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2"/>
        <v>26224</v>
      </c>
      <c r="EVQ17" s="211">
        <f t="shared" si="1213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4"/>
        <v>23543</v>
      </c>
      <c r="EVY17" s="211">
        <f t="shared" si="1215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6"/>
        <v>36255</v>
      </c>
      <c r="EWG17" s="211">
        <f t="shared" si="1217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18"/>
        <v>26713</v>
      </c>
      <c r="EWO17" s="211">
        <f t="shared" si="1219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0"/>
        <v>44763</v>
      </c>
      <c r="EWW17" s="211">
        <f t="shared" si="1221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2"/>
        <v>30146</v>
      </c>
      <c r="EXE17" s="211">
        <f t="shared" si="1223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4"/>
        <v>29857</v>
      </c>
      <c r="EXM17" s="211">
        <f t="shared" si="1225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6"/>
        <v>23608</v>
      </c>
      <c r="EXU17" s="211">
        <f t="shared" si="1227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28"/>
        <v>30120</v>
      </c>
      <c r="EYC17" s="211">
        <f t="shared" si="1229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0"/>
        <v>34950</v>
      </c>
      <c r="EYK17" s="211">
        <f t="shared" si="1231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2"/>
        <v>22772</v>
      </c>
      <c r="EYS17" s="211">
        <f t="shared" si="1233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4"/>
        <v>36857</v>
      </c>
      <c r="EZA17" s="211">
        <f t="shared" si="1235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6"/>
        <v>30906</v>
      </c>
      <c r="EZI17" s="211">
        <f t="shared" si="1237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38"/>
        <v>37224</v>
      </c>
      <c r="EZQ17" s="873">
        <f t="shared" si="1239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0"/>
        <v>35415</v>
      </c>
      <c r="EZY17" s="873">
        <f t="shared" si="1241"/>
        <v>5902.5</v>
      </c>
      <c r="EZZ17" s="195">
        <v>6879</v>
      </c>
      <c r="FAA17" s="49">
        <v>4311</v>
      </c>
      <c r="FAB17" s="49">
        <v>4530</v>
      </c>
      <c r="FAC17" s="49"/>
      <c r="FAD17" s="49"/>
      <c r="FAE17" s="49"/>
      <c r="FAF17" s="872">
        <f t="shared" si="1242"/>
        <v>15720</v>
      </c>
      <c r="FAG17" s="873">
        <f t="shared" si="1243"/>
        <v>2620</v>
      </c>
    </row>
    <row r="18" spans="1:4089" ht="15" customHeight="1" x14ac:dyDescent="0.2">
      <c r="A18" s="21">
        <v>12</v>
      </c>
      <c r="B18" s="21" t="s">
        <v>539</v>
      </c>
      <c r="C18" s="275" t="s">
        <v>532</v>
      </c>
      <c r="D18" s="21">
        <v>50</v>
      </c>
      <c r="E18" s="24"/>
      <c r="F18" s="24">
        <v>10572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10572</v>
      </c>
      <c r="M18" s="24">
        <f t="shared" ref="M18" si="1252">K18+L18</f>
        <v>10572</v>
      </c>
      <c r="N18" s="15">
        <v>0</v>
      </c>
      <c r="O18" s="276">
        <f t="shared" si="0"/>
        <v>0</v>
      </c>
      <c r="P18" s="15"/>
      <c r="Q18" s="276">
        <f t="shared" si="569"/>
        <v>0</v>
      </c>
      <c r="R18" s="277">
        <f t="shared" si="570"/>
        <v>684.61538461538464</v>
      </c>
      <c r="S18" s="222">
        <v>17800</v>
      </c>
      <c r="T18" s="276">
        <f t="shared" si="571"/>
        <v>15.442247191011235</v>
      </c>
      <c r="U18" s="278"/>
      <c r="V18" s="277">
        <f t="shared" si="1"/>
        <v>15.442247191011235</v>
      </c>
      <c r="W18" s="279">
        <f t="shared" si="1246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38"/>
        <v>0</v>
      </c>
      <c r="EZQ18" s="873">
        <f t="shared" si="1239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0"/>
        <v>0</v>
      </c>
      <c r="EZY18" s="873">
        <f t="shared" si="1241"/>
        <v>0</v>
      </c>
      <c r="EZZ18" s="195">
        <v>0</v>
      </c>
      <c r="FAA18" s="49">
        <v>0</v>
      </c>
      <c r="FAB18" s="49">
        <v>0</v>
      </c>
      <c r="FAC18" s="49"/>
      <c r="FAD18" s="49"/>
      <c r="FAE18" s="49"/>
      <c r="FAF18" s="872">
        <f t="shared" si="1242"/>
        <v>0</v>
      </c>
      <c r="FAG18" s="873">
        <f t="shared" si="1243"/>
        <v>0</v>
      </c>
    </row>
    <row r="19" spans="1:4089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24084</v>
      </c>
      <c r="G19" s="24"/>
      <c r="H19" s="24"/>
      <c r="I19" s="24"/>
      <c r="J19" s="360">
        <f>SUMIF(SUMPK!$B:$B,$B:$B,SUMPK!$O:$O)</f>
        <v>7568</v>
      </c>
      <c r="K19" s="24"/>
      <c r="L19" s="24">
        <f t="shared" si="567"/>
        <v>16516</v>
      </c>
      <c r="M19" s="24">
        <f t="shared" si="568"/>
        <v>16516</v>
      </c>
      <c r="N19" s="15">
        <v>5986.666666666667</v>
      </c>
      <c r="O19" s="276">
        <f t="shared" si="0"/>
        <v>2.758797327394209</v>
      </c>
      <c r="P19" s="15">
        <v>6028.5</v>
      </c>
      <c r="Q19" s="276">
        <f t="shared" si="569"/>
        <v>16.437919880567307</v>
      </c>
      <c r="R19" s="277">
        <f t="shared" si="570"/>
        <v>4876.9230769230771</v>
      </c>
      <c r="S19" s="222">
        <v>126800</v>
      </c>
      <c r="T19" s="276">
        <f t="shared" si="571"/>
        <v>3.3865615141955834</v>
      </c>
      <c r="U19" s="278"/>
      <c r="V19" s="277">
        <f t="shared" si="1"/>
        <v>3.3865615141955834</v>
      </c>
      <c r="W19" s="279">
        <f t="shared" si="1246"/>
        <v>1</v>
      </c>
      <c r="X19" s="299"/>
      <c r="Y19" s="280" t="e">
        <f>#REF!+#REF!</f>
        <v>#REF!</v>
      </c>
      <c r="Z19" s="280" t="e">
        <f t="shared" si="1251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2"/>
        <v>24470</v>
      </c>
      <c r="BAV19" s="43">
        <f t="shared" si="573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4"/>
        <v>13245</v>
      </c>
      <c r="BBD19" s="43">
        <f t="shared" si="575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6"/>
        <v>16772</v>
      </c>
      <c r="BBL19" s="43">
        <f t="shared" si="577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78"/>
        <v>16403</v>
      </c>
      <c r="BBT19" s="43">
        <f t="shared" si="579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0"/>
        <v>29601</v>
      </c>
      <c r="BCB19" s="43">
        <f t="shared" si="581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2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3"/>
        <v>27305</v>
      </c>
      <c r="BCR19" s="43">
        <f t="shared" si="584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5"/>
        <v>15490</v>
      </c>
      <c r="BCZ19" s="43">
        <f t="shared" si="586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7"/>
        <v>28927</v>
      </c>
      <c r="BDH19" s="43">
        <f t="shared" si="588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89"/>
        <v>14090</v>
      </c>
      <c r="BDP19" s="43">
        <f t="shared" si="590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1"/>
        <v>23318</v>
      </c>
      <c r="BDX19" s="43">
        <f t="shared" si="592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3"/>
        <v>27395</v>
      </c>
      <c r="BEF19" s="43">
        <f t="shared" si="594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5"/>
        <v>16784</v>
      </c>
      <c r="BEN19" s="43">
        <f t="shared" si="596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7"/>
        <v>18999</v>
      </c>
      <c r="BEV19" s="43">
        <f t="shared" si="598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599"/>
        <v>20186</v>
      </c>
      <c r="BFD19" s="43">
        <f t="shared" si="600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1"/>
        <v>27121</v>
      </c>
      <c r="BFL19" s="68">
        <f t="shared" si="602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3"/>
        <v>15380</v>
      </c>
      <c r="BFT19" s="68">
        <f t="shared" si="604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5"/>
        <v>28129</v>
      </c>
      <c r="BGB19" s="68">
        <f t="shared" si="606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7"/>
        <v>25118</v>
      </c>
      <c r="BGJ19" s="68">
        <f t="shared" si="608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09"/>
        <v>22471</v>
      </c>
      <c r="BGR19" s="68">
        <f t="shared" si="610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1"/>
        <v>25328</v>
      </c>
      <c r="BGZ19" s="68">
        <f t="shared" si="612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3"/>
        <v>13371</v>
      </c>
      <c r="BHH19" s="68">
        <f t="shared" si="614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5"/>
        <v>11060</v>
      </c>
      <c r="BHP19" s="184">
        <f t="shared" si="616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7"/>
        <v>38444</v>
      </c>
      <c r="BHX19" s="211">
        <f t="shared" si="618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19"/>
        <v>21223</v>
      </c>
      <c r="BIF19" s="184">
        <f t="shared" si="620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1"/>
        <v>6488</v>
      </c>
      <c r="BIN19" s="184">
        <f t="shared" si="622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3"/>
        <v>18075</v>
      </c>
      <c r="BIV19" s="211">
        <f t="shared" si="624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5"/>
        <v>36464</v>
      </c>
      <c r="BJD19" s="211">
        <f t="shared" si="626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7"/>
        <v>9099</v>
      </c>
      <c r="BJL19" s="211">
        <f t="shared" si="628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29"/>
        <v>15920</v>
      </c>
      <c r="BJT19" s="184">
        <f t="shared" si="630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1"/>
        <v>17732</v>
      </c>
      <c r="BKB19" s="184">
        <f t="shared" si="632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3"/>
        <v>26004</v>
      </c>
      <c r="BKJ19" s="184">
        <f t="shared" si="634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5"/>
        <v>4930</v>
      </c>
      <c r="BKR19" s="184">
        <f t="shared" si="636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7"/>
        <v>18468</v>
      </c>
      <c r="BKZ19" s="211">
        <f t="shared" si="638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39"/>
        <v>25295</v>
      </c>
      <c r="BLH19" s="211">
        <f t="shared" si="640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1"/>
        <v>8981</v>
      </c>
      <c r="BLP19" s="184">
        <f t="shared" si="642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3"/>
        <v>18566</v>
      </c>
      <c r="BLX19" s="184">
        <f t="shared" si="644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5"/>
        <v>18403</v>
      </c>
      <c r="BMF19" s="68">
        <f t="shared" si="646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7"/>
        <v>17711</v>
      </c>
      <c r="BMN19" s="68">
        <f t="shared" si="648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49"/>
        <v>27968</v>
      </c>
      <c r="BMV19" s="68">
        <f t="shared" si="650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1"/>
        <v>30982</v>
      </c>
      <c r="BND19" s="68">
        <f t="shared" si="652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3"/>
        <v>20418</v>
      </c>
      <c r="BNL19" s="68">
        <f t="shared" si="654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5"/>
        <v>18735</v>
      </c>
      <c r="BNT19" s="68">
        <f t="shared" si="656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7"/>
        <v>26288</v>
      </c>
      <c r="BOB19" s="184">
        <f t="shared" si="658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59"/>
        <v>16616</v>
      </c>
      <c r="BOJ19" s="184">
        <f t="shared" si="660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1"/>
        <v>31174</v>
      </c>
      <c r="BOR19" s="68">
        <f t="shared" si="662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3"/>
        <v>22392</v>
      </c>
      <c r="BOZ19" s="68">
        <f t="shared" si="664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5"/>
        <v>32385</v>
      </c>
      <c r="BPH19" s="68">
        <f t="shared" si="666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7"/>
        <v>33349</v>
      </c>
      <c r="BPP19" s="68">
        <f t="shared" si="668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69"/>
        <v>28826</v>
      </c>
      <c r="BPX19" s="68">
        <f t="shared" si="670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1"/>
        <v>22706</v>
      </c>
      <c r="BQF19" s="68">
        <f t="shared" si="672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3"/>
        <v>39181</v>
      </c>
      <c r="BQN19" s="68">
        <f t="shared" si="674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5"/>
        <v>32277</v>
      </c>
      <c r="BQV19" s="68">
        <f t="shared" si="676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7"/>
        <v>25185</v>
      </c>
      <c r="BRD19" s="68">
        <f t="shared" si="678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79"/>
        <v>25817</v>
      </c>
      <c r="BRL19" s="68">
        <f t="shared" si="680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1"/>
        <v>29666</v>
      </c>
      <c r="BRT19" s="68">
        <f t="shared" si="682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3"/>
        <v>36002</v>
      </c>
      <c r="BSB19" s="68">
        <f t="shared" si="684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5"/>
        <v>16234</v>
      </c>
      <c r="BSJ19" s="68">
        <f t="shared" si="686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7"/>
        <v>24893</v>
      </c>
      <c r="BSR19" s="68">
        <f t="shared" si="688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89"/>
        <v>12563</v>
      </c>
      <c r="BSZ19" s="68">
        <f t="shared" si="690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1"/>
        <v>35599</v>
      </c>
      <c r="BTH19" s="68">
        <f t="shared" si="692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3"/>
        <v>27549</v>
      </c>
      <c r="BTP19" s="68">
        <f t="shared" si="694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5"/>
        <v>23875</v>
      </c>
      <c r="BTX19" s="184">
        <f t="shared" si="696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7"/>
        <v>27543</v>
      </c>
      <c r="BUF19" s="184">
        <f t="shared" si="698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699"/>
        <v>27136</v>
      </c>
      <c r="BUN19" s="211">
        <f t="shared" si="700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1"/>
        <v>30055</v>
      </c>
      <c r="BUV19" s="211">
        <f t="shared" si="702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3"/>
        <v>26988</v>
      </c>
      <c r="BVD19" s="211">
        <f t="shared" si="704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5"/>
        <v>37213</v>
      </c>
      <c r="BVL19" s="184">
        <f t="shared" si="706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7"/>
        <v>24932</v>
      </c>
      <c r="BVT19" s="211">
        <f t="shared" si="708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09"/>
        <v>18270</v>
      </c>
      <c r="BWB19" s="184">
        <f t="shared" si="710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1"/>
        <v>31582</v>
      </c>
      <c r="BWJ19" s="184">
        <f t="shared" si="712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3"/>
        <v>8539</v>
      </c>
      <c r="BWR19" s="211">
        <f t="shared" si="714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5"/>
        <v>29437</v>
      </c>
      <c r="BWZ19" s="211">
        <f t="shared" si="716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7"/>
        <v>32066</v>
      </c>
      <c r="BXH19" s="211">
        <f t="shared" si="718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19"/>
        <v>27820</v>
      </c>
      <c r="BXP19" s="184">
        <f t="shared" si="720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1"/>
        <v>25313</v>
      </c>
      <c r="BXX19" s="184">
        <f t="shared" si="722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3"/>
        <v>30263</v>
      </c>
      <c r="BYF19" s="211">
        <f t="shared" si="724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5"/>
        <v>6687</v>
      </c>
      <c r="BYN19" s="184">
        <f t="shared" si="726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7"/>
        <v>34266</v>
      </c>
      <c r="BYV19" s="211">
        <f t="shared" si="728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29"/>
        <v>30417</v>
      </c>
      <c r="BZD19" s="184">
        <f t="shared" si="730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1"/>
        <v>29297</v>
      </c>
      <c r="BZL19" s="184">
        <f t="shared" si="732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3"/>
        <v>33458</v>
      </c>
      <c r="BZT19" s="68">
        <f t="shared" si="734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5"/>
        <v>9009</v>
      </c>
      <c r="CAB19" s="68">
        <f t="shared" si="736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7"/>
        <v>28320</v>
      </c>
      <c r="CAJ19" s="68">
        <f t="shared" si="738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39"/>
        <v>29010</v>
      </c>
      <c r="CAR19" s="184">
        <f t="shared" si="740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1"/>
        <v>32477</v>
      </c>
      <c r="CAZ19" s="211">
        <f t="shared" si="742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3"/>
        <v>25773</v>
      </c>
      <c r="CBH19" s="211">
        <f t="shared" si="744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5"/>
        <v>31764</v>
      </c>
      <c r="CBP19" s="184">
        <f t="shared" si="746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7"/>
        <v>25504</v>
      </c>
      <c r="CBX19" s="68">
        <f t="shared" si="748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49"/>
        <v>40496</v>
      </c>
      <c r="CCF19" s="68">
        <f t="shared" si="750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1"/>
        <v>25310</v>
      </c>
      <c r="CCN19" s="68">
        <f t="shared" si="752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3"/>
        <v>40020</v>
      </c>
      <c r="CCV19" s="68">
        <f t="shared" si="754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5"/>
        <v>30428</v>
      </c>
      <c r="CDD19" s="68">
        <f t="shared" si="756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7"/>
        <v>26745</v>
      </c>
      <c r="CDL19" s="68">
        <f t="shared" si="758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59"/>
        <v>36033</v>
      </c>
      <c r="CDT19" s="68">
        <f t="shared" si="760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1"/>
        <v>18743</v>
      </c>
      <c r="CEB19" s="68">
        <f t="shared" si="762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3"/>
        <v>26862</v>
      </c>
      <c r="CEJ19" s="68">
        <f t="shared" si="764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5"/>
        <v>27907</v>
      </c>
      <c r="CER19" s="68">
        <f t="shared" si="766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7"/>
        <v>23626</v>
      </c>
      <c r="CEZ19" s="68">
        <f t="shared" si="768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69"/>
        <v>25478</v>
      </c>
      <c r="CFH19" s="68">
        <f t="shared" si="770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1"/>
        <v>22130</v>
      </c>
      <c r="CFP19" s="68">
        <f t="shared" si="772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3"/>
        <v>29852</v>
      </c>
      <c r="CFX19" s="68">
        <f t="shared" si="774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5"/>
        <v>31148</v>
      </c>
      <c r="CGF19" s="68">
        <f t="shared" si="776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7"/>
        <v>21192</v>
      </c>
      <c r="CGN19" s="68">
        <f t="shared" si="778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79"/>
        <v>32988</v>
      </c>
      <c r="CGV19" s="68">
        <f t="shared" si="780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1"/>
        <v>27987</v>
      </c>
      <c r="CHD19" s="68">
        <f t="shared" si="782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3"/>
        <v>37067</v>
      </c>
      <c r="CHL19" s="68">
        <f t="shared" si="784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5"/>
        <v>35769</v>
      </c>
      <c r="CHT19" s="68">
        <f t="shared" si="786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7"/>
        <v>43748</v>
      </c>
      <c r="CIB19" s="68">
        <f t="shared" si="788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89"/>
        <v>28870</v>
      </c>
      <c r="CIJ19" s="68">
        <f t="shared" si="790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1"/>
        <v>49068</v>
      </c>
      <c r="CIR19" s="68">
        <f t="shared" si="792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3"/>
        <v>34374</v>
      </c>
      <c r="CIZ19" s="68">
        <f t="shared" si="794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5"/>
        <v>28065</v>
      </c>
      <c r="CJH19" s="68">
        <f t="shared" si="796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7"/>
        <v>21005</v>
      </c>
      <c r="CJP19" s="68">
        <f t="shared" si="798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799"/>
        <v>25920</v>
      </c>
      <c r="CJX19" s="68">
        <f t="shared" si="800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1"/>
        <v>35838</v>
      </c>
      <c r="CKF19" s="68">
        <f t="shared" si="802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3"/>
        <v>30474</v>
      </c>
      <c r="CKN19" s="68">
        <f t="shared" si="804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5"/>
        <v>20775</v>
      </c>
      <c r="CKV19" s="68">
        <f t="shared" si="806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7"/>
        <v>30713</v>
      </c>
      <c r="CLD19" s="68">
        <f t="shared" si="808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09"/>
        <v>32107</v>
      </c>
      <c r="CLL19" s="68">
        <f t="shared" si="810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1"/>
        <v>41469</v>
      </c>
      <c r="CLT19" s="184">
        <f t="shared" si="812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3"/>
        <v>25103</v>
      </c>
      <c r="CMB19" s="68">
        <f t="shared" si="814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5"/>
        <v>25041</v>
      </c>
      <c r="CMJ19" s="68">
        <f t="shared" si="816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7"/>
        <v>35799</v>
      </c>
      <c r="CMR19" s="68">
        <f t="shared" si="818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19"/>
        <v>23647</v>
      </c>
      <c r="CMZ19" s="68">
        <f t="shared" si="820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1"/>
        <v>36654</v>
      </c>
      <c r="CNH19" s="68">
        <f t="shared" si="822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3"/>
        <v>35034</v>
      </c>
      <c r="CNP19" s="68">
        <f t="shared" si="824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5"/>
        <v>27027</v>
      </c>
      <c r="CNX19" s="68">
        <f t="shared" si="826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7"/>
        <v>31113</v>
      </c>
      <c r="COF19" s="68">
        <f t="shared" si="828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29"/>
        <v>29248</v>
      </c>
      <c r="CON19" s="68">
        <f t="shared" si="830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1"/>
        <v>37466</v>
      </c>
      <c r="COV19" s="68">
        <f t="shared" si="832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3"/>
        <v>25613</v>
      </c>
      <c r="CPD19" s="68">
        <f t="shared" si="834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5"/>
        <v>28352</v>
      </c>
      <c r="CPL19" s="68">
        <f t="shared" si="836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7"/>
        <v>15515</v>
      </c>
      <c r="CPT19" s="68">
        <f t="shared" si="838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39"/>
        <v>20395</v>
      </c>
      <c r="CQB19" s="68">
        <f t="shared" si="840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1"/>
        <v>25943</v>
      </c>
      <c r="CQJ19" s="68">
        <f t="shared" si="842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3"/>
        <v>32773</v>
      </c>
      <c r="CQR19" s="68">
        <f t="shared" si="844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7568</v>
      </c>
      <c r="CQX19" s="49">
        <v>1747</v>
      </c>
      <c r="CQY19" s="67">
        <f t="shared" si="845"/>
        <v>28263</v>
      </c>
      <c r="CQZ19" s="68">
        <f t="shared" si="846"/>
        <v>4710.5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7"/>
        <v>33385</v>
      </c>
      <c r="CRH19" s="68">
        <f t="shared" si="848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49"/>
        <v>24404</v>
      </c>
      <c r="CRP19" s="68">
        <f t="shared" si="850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1"/>
        <v>31476</v>
      </c>
      <c r="CRX19" s="68">
        <f t="shared" si="852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44"/>
        <v>29131</v>
      </c>
      <c r="CSF19" s="68">
        <f t="shared" si="1245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5"/>
        <v>33113</v>
      </c>
      <c r="CSN19" s="68">
        <f t="shared" si="856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7"/>
        <v>28867</v>
      </c>
      <c r="CSV19" s="68">
        <f t="shared" si="858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59"/>
        <v>25461</v>
      </c>
      <c r="CTD19" s="68">
        <f t="shared" si="860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1"/>
        <v>28285</v>
      </c>
      <c r="CTL19" s="68">
        <f t="shared" si="862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3"/>
        <v>26377</v>
      </c>
      <c r="CTT19" s="68">
        <f t="shared" si="864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5"/>
        <v>24911</v>
      </c>
      <c r="CUB19" s="68">
        <f t="shared" si="866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7"/>
        <v>41546</v>
      </c>
      <c r="CUJ19" s="68">
        <f t="shared" si="868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69"/>
        <v>27242</v>
      </c>
      <c r="CUR19" s="68">
        <f t="shared" si="870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1"/>
        <v>33498</v>
      </c>
      <c r="CUZ19" s="68">
        <f t="shared" si="872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3"/>
        <v>22094</v>
      </c>
      <c r="CVH19" s="68">
        <f t="shared" si="874"/>
        <v>3682.3333333333335</v>
      </c>
      <c r="CVI19" s="48">
        <v>11040</v>
      </c>
      <c r="CVJ19" s="49">
        <f>SUMIF(SUMPK!$B:$B,$B:$B,SUMPK!$O:$O)</f>
        <v>7568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5"/>
        <v>33028</v>
      </c>
      <c r="CVP19" s="68">
        <f t="shared" si="876"/>
        <v>5504.666666666667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7"/>
        <v>34367</v>
      </c>
      <c r="CVX19" s="68">
        <f t="shared" si="878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79"/>
        <v>42109</v>
      </c>
      <c r="CWF19" s="68">
        <f t="shared" si="880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1"/>
        <v>7951</v>
      </c>
      <c r="CWN19" s="68">
        <f t="shared" si="882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3"/>
        <v>48045</v>
      </c>
      <c r="CWV19" s="43">
        <f t="shared" si="884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5"/>
        <v>22285</v>
      </c>
      <c r="CXD19" s="43">
        <f t="shared" si="886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7"/>
        <v>14816</v>
      </c>
      <c r="CXL19" s="43">
        <f t="shared" si="888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89"/>
        <v>21330</v>
      </c>
      <c r="CXT19" s="43">
        <f t="shared" si="890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1"/>
        <v>26383</v>
      </c>
      <c r="CYB19" s="43">
        <f t="shared" si="892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3"/>
        <v>21321</v>
      </c>
      <c r="CYJ19" s="43">
        <f t="shared" si="894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5"/>
        <v>30332</v>
      </c>
      <c r="CYR19" s="43">
        <f t="shared" si="896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7"/>
        <v>23344</v>
      </c>
      <c r="CYZ19" s="43">
        <f t="shared" si="898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899"/>
        <v>31898</v>
      </c>
      <c r="CZH19" s="43">
        <f t="shared" si="900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1"/>
        <v>30063</v>
      </c>
      <c r="CZP19" s="43">
        <f t="shared" si="902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3"/>
        <v>26044</v>
      </c>
      <c r="CZX19" s="43">
        <f t="shared" si="904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5"/>
        <v>18198</v>
      </c>
      <c r="DAF19" s="43">
        <f t="shared" si="906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7"/>
        <v>32617</v>
      </c>
      <c r="DAN19" s="43">
        <f t="shared" si="908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09"/>
        <v>22496</v>
      </c>
      <c r="DAV19" s="68">
        <f t="shared" si="910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1"/>
        <v>30529</v>
      </c>
      <c r="DBD19" s="68">
        <f t="shared" si="912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3"/>
        <v>29580</v>
      </c>
      <c r="DBL19" s="68">
        <f t="shared" si="914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5"/>
        <v>36410</v>
      </c>
      <c r="DBT19" s="68">
        <f t="shared" si="916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7"/>
        <v>34434</v>
      </c>
      <c r="DCB19" s="184">
        <f t="shared" si="918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19"/>
        <v>29398</v>
      </c>
      <c r="DCJ19" s="211">
        <f t="shared" si="920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1"/>
        <v>35197</v>
      </c>
      <c r="DCR19" s="211">
        <f t="shared" si="922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3"/>
        <v>35194</v>
      </c>
      <c r="DCZ19" s="184">
        <f t="shared" si="924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5"/>
        <v>37251</v>
      </c>
      <c r="DDH19" s="211">
        <f t="shared" si="926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7"/>
        <v>46024</v>
      </c>
      <c r="DDP19" s="184">
        <f t="shared" si="928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29"/>
        <v>38106</v>
      </c>
      <c r="DDX19" s="211">
        <f t="shared" si="930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1"/>
        <v>24706</v>
      </c>
      <c r="DEF19" s="214">
        <f t="shared" si="932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3"/>
        <v>26143</v>
      </c>
      <c r="DEN19" s="101">
        <f t="shared" si="934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5"/>
        <v>36759</v>
      </c>
      <c r="DEV19" s="101">
        <f t="shared" si="936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7"/>
        <v>40110</v>
      </c>
      <c r="DFD19" s="43">
        <f t="shared" si="938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39"/>
        <v>37138</v>
      </c>
      <c r="DFL19" s="43">
        <f t="shared" si="940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1"/>
        <v>28625</v>
      </c>
      <c r="DFT19" s="43">
        <f t="shared" si="942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3"/>
        <v>32318</v>
      </c>
      <c r="DGB19" s="43">
        <f t="shared" si="944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5"/>
        <v>30452</v>
      </c>
      <c r="DGJ19" s="68">
        <f t="shared" si="946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7"/>
        <v>34229</v>
      </c>
      <c r="DGR19" s="68">
        <f t="shared" si="948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49"/>
        <v>23190</v>
      </c>
      <c r="DGZ19" s="68">
        <f t="shared" si="950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1"/>
        <v>29639</v>
      </c>
      <c r="DHH19" s="68">
        <f t="shared" si="952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3"/>
        <v>29236</v>
      </c>
      <c r="DHP19" s="68">
        <f t="shared" si="954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5"/>
        <v>30446</v>
      </c>
      <c r="DHX19" s="68">
        <f t="shared" si="956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7"/>
        <v>27797</v>
      </c>
      <c r="DIF19" s="68">
        <f t="shared" si="958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59"/>
        <v>37552</v>
      </c>
      <c r="DIN19" s="68">
        <f t="shared" si="960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1"/>
        <v>28528</v>
      </c>
      <c r="DIV19" s="68">
        <f t="shared" si="962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3"/>
        <v>25926</v>
      </c>
      <c r="DJD19" s="68">
        <f t="shared" si="964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5"/>
        <v>35835</v>
      </c>
      <c r="DJL19" s="68">
        <f t="shared" si="966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7"/>
        <v>24014</v>
      </c>
      <c r="DJT19" s="68">
        <f t="shared" si="968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69"/>
        <v>48594</v>
      </c>
      <c r="DKB19" s="68">
        <f t="shared" si="970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1"/>
        <v>33593</v>
      </c>
      <c r="DKJ19" s="68">
        <f t="shared" si="972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3"/>
        <v>29585</v>
      </c>
      <c r="DKR19" s="68">
        <f t="shared" si="974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5"/>
        <v>26908</v>
      </c>
      <c r="DKZ19" s="68">
        <f t="shared" si="976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7"/>
        <v>33643</v>
      </c>
      <c r="DLH19" s="68">
        <f t="shared" si="978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79"/>
        <v>34712</v>
      </c>
      <c r="DLP19" s="68">
        <f t="shared" si="980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1"/>
        <v>31640</v>
      </c>
      <c r="DLX19" s="68">
        <f t="shared" si="982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3"/>
        <v>40199</v>
      </c>
      <c r="DMF19" s="68">
        <f t="shared" si="984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5"/>
        <v>22829</v>
      </c>
      <c r="DMN19" s="68">
        <f t="shared" si="986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7"/>
        <v>34659</v>
      </c>
      <c r="DMV19" s="68">
        <f t="shared" si="988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89"/>
        <v>40907</v>
      </c>
      <c r="DND19" s="68">
        <f t="shared" si="990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1"/>
        <v>42254</v>
      </c>
      <c r="DNL19" s="68">
        <f t="shared" si="992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3"/>
        <v>48834</v>
      </c>
      <c r="DNT19" s="68">
        <f t="shared" si="994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5"/>
        <v>39620</v>
      </c>
      <c r="DOB19" s="68">
        <f t="shared" si="996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7"/>
        <v>37266</v>
      </c>
      <c r="DOJ19" s="68">
        <f t="shared" si="998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999"/>
        <v>32614</v>
      </c>
      <c r="DOR19" s="68">
        <f t="shared" si="1000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1"/>
        <v>29143</v>
      </c>
      <c r="DOZ19" s="68">
        <f t="shared" si="1002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3"/>
        <v>47461</v>
      </c>
      <c r="DPH19" s="68">
        <f t="shared" si="1004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5"/>
        <v>39987</v>
      </c>
      <c r="DPP19" s="68">
        <f t="shared" si="1006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7"/>
        <v>30813</v>
      </c>
      <c r="DPX19" s="68">
        <f t="shared" si="1008"/>
        <v>5135.5</v>
      </c>
      <c r="DPY19" s="63">
        <v>3791</v>
      </c>
      <c r="DPZ19" s="64">
        <v>9928</v>
      </c>
      <c r="DQA19" s="64">
        <f>SUMIF(SUMPK!$B:$B,$B:$B,SUMPK!$O:$O)</f>
        <v>7568</v>
      </c>
      <c r="DQB19" s="64">
        <v>8279</v>
      </c>
      <c r="DQC19" s="64">
        <v>5946</v>
      </c>
      <c r="DQD19" s="64">
        <v>3847</v>
      </c>
      <c r="DQE19" s="64">
        <f t="shared" si="1009"/>
        <v>39359</v>
      </c>
      <c r="DQF19" s="68">
        <f t="shared" si="1010"/>
        <v>6559.833333333333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1"/>
        <v>26543</v>
      </c>
      <c r="DQN19" s="68">
        <f t="shared" si="1012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3"/>
        <v>27382</v>
      </c>
      <c r="DQV19" s="68">
        <f t="shared" si="1014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5"/>
        <v>39215</v>
      </c>
      <c r="DRD19" s="68">
        <f t="shared" si="1016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7"/>
        <v>21745</v>
      </c>
      <c r="DRL19" s="68">
        <f t="shared" si="1018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19"/>
        <v>21922</v>
      </c>
      <c r="DRT19" s="68">
        <f t="shared" si="1020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1"/>
        <v>30361</v>
      </c>
      <c r="DSB19" s="68">
        <f t="shared" si="1022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3"/>
        <v>25453</v>
      </c>
      <c r="DSJ19" s="68">
        <f t="shared" si="1024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5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6"/>
        <v>44815</v>
      </c>
      <c r="DSZ19" s="68">
        <f t="shared" si="1027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28"/>
        <v>19378</v>
      </c>
      <c r="DTH19" s="68">
        <f t="shared" si="1029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0"/>
        <v>32461</v>
      </c>
      <c r="DTP19" s="68">
        <f t="shared" si="1031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2"/>
        <v>45418</v>
      </c>
      <c r="DTX19" s="68">
        <f t="shared" si="1033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4"/>
        <v>26515</v>
      </c>
      <c r="DUF19" s="68">
        <f t="shared" si="1035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6"/>
        <v>21317</v>
      </c>
      <c r="DUN19" s="68">
        <f t="shared" si="1037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38"/>
        <v>41977</v>
      </c>
      <c r="DUV19" s="68">
        <f t="shared" si="1039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0"/>
        <v>25867</v>
      </c>
      <c r="DVD19" s="68">
        <f t="shared" si="1041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2"/>
        <v>15987</v>
      </c>
      <c r="DVL19" s="68">
        <f t="shared" si="1043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4"/>
        <v>31619</v>
      </c>
      <c r="DVT19" s="68">
        <f t="shared" si="1045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6"/>
        <v>31220</v>
      </c>
      <c r="DWB19" s="68">
        <f t="shared" si="1047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48"/>
        <v>33524</v>
      </c>
      <c r="DWJ19" s="68">
        <f t="shared" si="1049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0"/>
        <v>22123</v>
      </c>
      <c r="DWR19" s="68">
        <f t="shared" si="1051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2"/>
        <v>31757</v>
      </c>
      <c r="DWZ19" s="68">
        <f t="shared" si="1053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4"/>
        <v>28327</v>
      </c>
      <c r="DXH19" s="68">
        <f t="shared" si="1055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6"/>
        <v>37475</v>
      </c>
      <c r="DXP19" s="68">
        <f t="shared" si="1057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58"/>
        <v>28482</v>
      </c>
      <c r="DXX19" s="68">
        <f t="shared" si="1059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0"/>
        <v>42536</v>
      </c>
      <c r="DYF19" s="68">
        <f t="shared" si="1061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2"/>
        <v>40316</v>
      </c>
      <c r="DYN19" s="68">
        <f t="shared" si="1063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4"/>
        <v>34735</v>
      </c>
      <c r="DYV19" s="68">
        <f t="shared" si="1065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6"/>
        <v>21033</v>
      </c>
      <c r="DZD19" s="68">
        <f t="shared" si="1067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68"/>
        <v>47428</v>
      </c>
      <c r="DZL19" s="68">
        <f t="shared" si="1069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0"/>
        <v>37842</v>
      </c>
      <c r="DZT19" s="68">
        <f t="shared" si="1071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2"/>
        <v>34002</v>
      </c>
      <c r="EAB19" s="68">
        <f t="shared" si="1073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4"/>
        <v>39319</v>
      </c>
      <c r="EAJ19" s="68">
        <f t="shared" si="1075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6"/>
        <v>30217</v>
      </c>
      <c r="EAR19" s="68">
        <f t="shared" si="1077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78"/>
        <v>34966</v>
      </c>
      <c r="EAZ19" s="68">
        <f t="shared" si="1079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0"/>
        <v>23855</v>
      </c>
      <c r="EBH19" s="68">
        <f t="shared" si="1081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2"/>
        <v>24889</v>
      </c>
      <c r="EBP19" s="68">
        <f t="shared" si="1083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4"/>
        <v>39751</v>
      </c>
      <c r="EBX19" s="68">
        <f t="shared" si="1085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6"/>
        <v>27177</v>
      </c>
      <c r="ECF19" s="68">
        <f t="shared" si="1087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88"/>
        <v>35050</v>
      </c>
      <c r="ECN19" s="68">
        <f t="shared" si="1089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0"/>
        <v>24057</v>
      </c>
      <c r="ECV19" s="68">
        <f t="shared" si="1091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2"/>
        <v>24758</v>
      </c>
      <c r="EDD19" s="68">
        <f t="shared" si="1093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4"/>
        <v>29009</v>
      </c>
      <c r="EDL19" s="68">
        <f t="shared" si="1095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6"/>
        <v>15731</v>
      </c>
      <c r="EDT19" s="68">
        <f t="shared" si="1097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098"/>
        <v>26152</v>
      </c>
      <c r="EEB19" s="68">
        <f t="shared" si="1099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0"/>
        <v>6169</v>
      </c>
      <c r="EEJ19" s="68">
        <f t="shared" si="1101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2"/>
        <v>16912</v>
      </c>
      <c r="EER19" s="68">
        <f t="shared" si="1103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4"/>
        <v>27744</v>
      </c>
      <c r="EEZ19" s="68">
        <f t="shared" si="1105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6"/>
        <v>41138</v>
      </c>
      <c r="EFH19" s="68">
        <f t="shared" si="1107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08"/>
        <v>32417</v>
      </c>
      <c r="EFP19" s="68">
        <f t="shared" si="1109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0"/>
        <v>52541</v>
      </c>
      <c r="EFX19" s="68">
        <f t="shared" si="1111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2"/>
        <v>39903</v>
      </c>
      <c r="EGF19" s="68">
        <f t="shared" si="1113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4"/>
        <v>22485</v>
      </c>
      <c r="EGN19" s="68">
        <f t="shared" si="1115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6"/>
        <v>30020</v>
      </c>
      <c r="EGV19" s="68">
        <f t="shared" si="1117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18"/>
        <v>46867</v>
      </c>
      <c r="EHD19" s="68">
        <f t="shared" si="1119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0"/>
        <v>34216</v>
      </c>
      <c r="EHL19" s="68">
        <f t="shared" si="1121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2"/>
        <v>39928</v>
      </c>
      <c r="EHT19" s="68">
        <f t="shared" si="1123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4"/>
        <v>30910</v>
      </c>
      <c r="EIB19" s="68">
        <f t="shared" si="1125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6"/>
        <v>29797</v>
      </c>
      <c r="EIJ19" s="68">
        <f t="shared" si="1127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28"/>
        <v>32998</v>
      </c>
      <c r="EIR19" s="68">
        <f t="shared" si="1129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0"/>
        <v>29517</v>
      </c>
      <c r="EIZ19" s="68">
        <f t="shared" si="1131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2"/>
        <v>22035</v>
      </c>
      <c r="EJH19" s="68">
        <f t="shared" si="1133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4"/>
        <v>27049</v>
      </c>
      <c r="EJP19" s="68">
        <f t="shared" si="1135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6"/>
        <v>37317</v>
      </c>
      <c r="EJX19" s="68">
        <f t="shared" si="1137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38"/>
        <v>39394</v>
      </c>
      <c r="EKF19" s="68">
        <f t="shared" si="1139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0"/>
        <v>22820</v>
      </c>
      <c r="EKN19" s="68">
        <f t="shared" si="1141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2"/>
        <v>28955</v>
      </c>
      <c r="EKV19" s="68">
        <f t="shared" si="1143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4"/>
        <v>35256</v>
      </c>
      <c r="ELD19" s="68">
        <f t="shared" si="1145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6"/>
        <v>38084</v>
      </c>
      <c r="ELL19" s="184">
        <f t="shared" si="1147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48"/>
        <v>18189</v>
      </c>
      <c r="ELU19" s="211">
        <f t="shared" si="1149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0"/>
        <v>17591</v>
      </c>
      <c r="EMC19" s="211">
        <f t="shared" si="1151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2"/>
        <v>33064</v>
      </c>
      <c r="EMK19" s="211">
        <f t="shared" si="1153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4"/>
        <v>24156</v>
      </c>
      <c r="EMS19" s="211">
        <f t="shared" si="1155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6"/>
        <v>27548</v>
      </c>
      <c r="ENA19" s="211">
        <f t="shared" si="1157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58"/>
        <v>13040</v>
      </c>
      <c r="ENI19" s="211">
        <f t="shared" si="1159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0"/>
        <v>25355</v>
      </c>
      <c r="ENQ19" s="211">
        <f t="shared" si="1161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2"/>
        <v>32189</v>
      </c>
      <c r="ENY19" s="211">
        <f t="shared" si="1163"/>
        <v>5364.833333333333</v>
      </c>
      <c r="ENZ19" s="244">
        <f>SUMIF(SUMPK!$B:$B,$B:$B,SUMPK!$O:$O)</f>
        <v>7568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4"/>
        <v>27415</v>
      </c>
      <c r="EOG19" s="211">
        <f t="shared" si="1165"/>
        <v>4569.166666666667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6"/>
        <v>19345</v>
      </c>
      <c r="EOO19" s="211">
        <f t="shared" si="1167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68"/>
        <v>21438</v>
      </c>
      <c r="EOW19" s="211">
        <f t="shared" si="1169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0"/>
        <v>29439</v>
      </c>
      <c r="EPE19" s="211">
        <f t="shared" si="1171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2"/>
        <v>36171</v>
      </c>
      <c r="EPM19" s="211">
        <f t="shared" si="1173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4"/>
        <v>33734</v>
      </c>
      <c r="EPU19" s="211">
        <f t="shared" si="1175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6"/>
        <v>26559</v>
      </c>
      <c r="EQC19" s="211">
        <f t="shared" si="1177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78"/>
        <v>25827</v>
      </c>
      <c r="EQK19" s="211">
        <f t="shared" si="1179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0"/>
        <v>28942</v>
      </c>
      <c r="EQS19" s="211">
        <f t="shared" si="1181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2"/>
        <v>40532</v>
      </c>
      <c r="ERA19" s="211">
        <f t="shared" si="1183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4"/>
        <v>35074</v>
      </c>
      <c r="ERI19" s="211">
        <f t="shared" si="1185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6"/>
        <v>29509</v>
      </c>
      <c r="ERQ19" s="211">
        <f t="shared" si="1187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88"/>
        <v>29082</v>
      </c>
      <c r="ERY19" s="211">
        <f t="shared" si="1189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0"/>
        <v>39383</v>
      </c>
      <c r="ESG19" s="211">
        <f t="shared" si="1191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2"/>
        <v>37706</v>
      </c>
      <c r="ESO19" s="211">
        <f t="shared" si="1193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4"/>
        <v>36320</v>
      </c>
      <c r="ESW19" s="211">
        <f t="shared" si="1195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6"/>
        <v>31833</v>
      </c>
      <c r="ETE19" s="736">
        <f t="shared" si="1197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198"/>
        <v>33422</v>
      </c>
      <c r="ETM19" s="211">
        <f t="shared" si="1199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0"/>
        <v>19181</v>
      </c>
      <c r="ETU19" s="211">
        <f t="shared" si="1201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2"/>
        <v>24983</v>
      </c>
      <c r="EUC19" s="211">
        <f t="shared" si="1203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4"/>
        <v>23181</v>
      </c>
      <c r="EUK19" s="211">
        <f t="shared" si="1205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6"/>
        <v>40221</v>
      </c>
      <c r="EUS19" s="211">
        <f t="shared" si="1207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08"/>
        <v>26199</v>
      </c>
      <c r="EVA19" s="211">
        <f t="shared" si="1209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0"/>
        <v>32944</v>
      </c>
      <c r="EVI19" s="211">
        <f t="shared" si="1211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2"/>
        <v>17964</v>
      </c>
      <c r="EVQ19" s="211">
        <f t="shared" si="1213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4"/>
        <v>28329</v>
      </c>
      <c r="EVY19" s="211">
        <f t="shared" si="1215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6"/>
        <v>15662</v>
      </c>
      <c r="EWG19" s="211">
        <f t="shared" si="1217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18"/>
        <v>34333</v>
      </c>
      <c r="EWO19" s="211">
        <f t="shared" si="1219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0"/>
        <v>37185</v>
      </c>
      <c r="EWW19" s="211">
        <f t="shared" si="1221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2"/>
        <v>28711</v>
      </c>
      <c r="EXE19" s="211">
        <f t="shared" si="1223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4"/>
        <v>19818</v>
      </c>
      <c r="EXM19" s="211">
        <f t="shared" si="1225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6"/>
        <v>33916</v>
      </c>
      <c r="EXU19" s="211">
        <f t="shared" si="1227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28"/>
        <v>23935</v>
      </c>
      <c r="EYC19" s="211">
        <f t="shared" si="1229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0"/>
        <v>31917</v>
      </c>
      <c r="EYK19" s="211">
        <f t="shared" si="1231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2"/>
        <v>44880</v>
      </c>
      <c r="EYS19" s="211">
        <f t="shared" si="1233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4"/>
        <v>21395</v>
      </c>
      <c r="EZA19" s="211">
        <f t="shared" si="1235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6"/>
        <v>33304</v>
      </c>
      <c r="EZI19" s="211">
        <f t="shared" si="1237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38"/>
        <v>41010</v>
      </c>
      <c r="EZQ19" s="873">
        <f t="shared" si="1239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0"/>
        <v>35920</v>
      </c>
      <c r="EZY19" s="873">
        <f t="shared" si="1241"/>
        <v>5986.666666666667</v>
      </c>
      <c r="EZZ19" s="195">
        <v>2519</v>
      </c>
      <c r="FAA19" s="49">
        <v>13140</v>
      </c>
      <c r="FAB19" s="49">
        <v>6470</v>
      </c>
      <c r="FAC19" s="49"/>
      <c r="FAD19" s="49"/>
      <c r="FAE19" s="49"/>
      <c r="FAF19" s="872">
        <f t="shared" si="1242"/>
        <v>22129</v>
      </c>
      <c r="FAG19" s="873">
        <f t="shared" si="1243"/>
        <v>3688.1666666666665</v>
      </c>
    </row>
    <row r="20" spans="1:4089" ht="15" customHeight="1" x14ac:dyDescent="0.2">
      <c r="A20" s="21">
        <v>14</v>
      </c>
      <c r="B20" s="21" t="s">
        <v>345</v>
      </c>
      <c r="C20" s="275" t="s">
        <v>346</v>
      </c>
      <c r="D20" s="21">
        <v>50</v>
      </c>
      <c r="E20" s="24">
        <v>0</v>
      </c>
      <c r="F20" s="24">
        <v>20322</v>
      </c>
      <c r="G20" s="24"/>
      <c r="H20" s="24"/>
      <c r="I20" s="24"/>
      <c r="J20" s="360">
        <f>SUMIF(SUMPK!$B:$B,$B:$B,SUMPK!$O:$O)</f>
        <v>152</v>
      </c>
      <c r="K20" s="24"/>
      <c r="L20" s="24">
        <f t="shared" ref="L20" si="1253">F20+H20-J20</f>
        <v>20170</v>
      </c>
      <c r="M20" s="24">
        <f t="shared" ref="M20" si="1254">K20+L20</f>
        <v>20170</v>
      </c>
      <c r="N20" s="15">
        <v>1327.3333333333333</v>
      </c>
      <c r="O20" s="276">
        <f t="shared" si="0"/>
        <v>15.195881466599699</v>
      </c>
      <c r="P20" s="15">
        <v>1616.5</v>
      </c>
      <c r="Q20" s="276">
        <f t="shared" si="569"/>
        <v>74.865450046396546</v>
      </c>
      <c r="R20" s="277">
        <f t="shared" si="570"/>
        <v>1000</v>
      </c>
      <c r="S20" s="222">
        <v>26000</v>
      </c>
      <c r="T20" s="276">
        <f t="shared" si="571"/>
        <v>20.170000000000002</v>
      </c>
      <c r="U20" s="278"/>
      <c r="V20" s="277">
        <f t="shared" si="1"/>
        <v>20.170000000000002</v>
      </c>
      <c r="W20" s="279">
        <f t="shared" si="1246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58"/>
        <v>10730</v>
      </c>
      <c r="ENI20" s="211">
        <f t="shared" si="1159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0"/>
        <v>11306</v>
      </c>
      <c r="ENQ20" s="211">
        <f t="shared" si="1161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2"/>
        <v>8802</v>
      </c>
      <c r="ENY20" s="211">
        <f t="shared" si="1163"/>
        <v>1467</v>
      </c>
      <c r="ENZ20" s="244">
        <f>SUMIF(SUMPK!$B:$B,$B:$B,SUMPK!$O:$O)</f>
        <v>152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4"/>
        <v>7354</v>
      </c>
      <c r="EOG20" s="211">
        <f t="shared" si="1165"/>
        <v>1225.6666666666667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6"/>
        <v>14257</v>
      </c>
      <c r="EOO20" s="211">
        <f t="shared" si="1167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68"/>
        <v>11745</v>
      </c>
      <c r="EOW20" s="211">
        <f t="shared" si="1169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0"/>
        <v>5217</v>
      </c>
      <c r="EPE20" s="211">
        <f t="shared" si="1171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2"/>
        <v>9699</v>
      </c>
      <c r="EPM20" s="211">
        <f t="shared" si="1173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4"/>
        <v>8448</v>
      </c>
      <c r="EPU20" s="211">
        <f t="shared" si="1175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6"/>
        <v>7604</v>
      </c>
      <c r="EQC20" s="211">
        <f t="shared" si="1177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78"/>
        <v>10424</v>
      </c>
      <c r="EQK20" s="211">
        <f t="shared" si="1179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0"/>
        <v>12555</v>
      </c>
      <c r="EQS20" s="211">
        <f t="shared" si="1181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2"/>
        <v>13526</v>
      </c>
      <c r="ERA20" s="211">
        <f t="shared" si="1183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4"/>
        <v>14925</v>
      </c>
      <c r="ERI20" s="211">
        <f t="shared" si="1185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6"/>
        <v>11686</v>
      </c>
      <c r="ERQ20" s="211">
        <f t="shared" si="1187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88"/>
        <v>9266</v>
      </c>
      <c r="ERY20" s="211">
        <f t="shared" si="1189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0"/>
        <v>12934</v>
      </c>
      <c r="ESG20" s="211">
        <f t="shared" si="1191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2"/>
        <v>15943</v>
      </c>
      <c r="ESO20" s="211">
        <f t="shared" si="1193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4"/>
        <v>5700</v>
      </c>
      <c r="ESW20" s="211">
        <f t="shared" si="1195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6"/>
        <v>13351</v>
      </c>
      <c r="ETE20" s="736">
        <f t="shared" si="1197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198"/>
        <v>10265</v>
      </c>
      <c r="ETM20" s="211">
        <f t="shared" si="1199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0"/>
        <v>6593</v>
      </c>
      <c r="ETU20" s="211">
        <f t="shared" si="1201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2"/>
        <v>14898</v>
      </c>
      <c r="EUC20" s="211">
        <f t="shared" si="1203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4"/>
        <v>11897</v>
      </c>
      <c r="EUK20" s="211">
        <f t="shared" si="1205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6"/>
        <v>1100</v>
      </c>
      <c r="EUS20" s="211">
        <f t="shared" si="1207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08"/>
        <v>0</v>
      </c>
      <c r="EVA20" s="211">
        <f t="shared" si="1209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0"/>
        <v>540</v>
      </c>
      <c r="EVI20" s="211">
        <f t="shared" si="1211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2"/>
        <v>0</v>
      </c>
      <c r="EVQ20" s="211">
        <f t="shared" si="1213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4"/>
        <v>0</v>
      </c>
      <c r="EVY20" s="211">
        <f t="shared" si="1215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6"/>
        <v>0</v>
      </c>
      <c r="EWG20" s="211">
        <f t="shared" si="1217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18"/>
        <v>0</v>
      </c>
      <c r="EWO20" s="211">
        <f t="shared" si="1219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0"/>
        <v>0</v>
      </c>
      <c r="EWW20" s="211">
        <f t="shared" si="1221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2"/>
        <v>0</v>
      </c>
      <c r="EXE20" s="211">
        <f t="shared" si="1223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4"/>
        <v>0</v>
      </c>
      <c r="EXM20" s="211">
        <f t="shared" si="1225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6"/>
        <v>5751</v>
      </c>
      <c r="EXU20" s="211">
        <f t="shared" si="1227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28"/>
        <v>3384</v>
      </c>
      <c r="EYC20" s="211">
        <f t="shared" si="1229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0"/>
        <v>8134</v>
      </c>
      <c r="EYK20" s="211">
        <f t="shared" si="1231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2"/>
        <v>957</v>
      </c>
      <c r="EYS20" s="211">
        <f t="shared" si="1233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4"/>
        <v>10327</v>
      </c>
      <c r="EZA20" s="211">
        <f t="shared" si="1235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6"/>
        <v>12231</v>
      </c>
      <c r="EZI20" s="211">
        <f t="shared" si="1237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38"/>
        <v>2621</v>
      </c>
      <c r="EZQ20" s="873">
        <f t="shared" si="1239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0"/>
        <v>7964</v>
      </c>
      <c r="EZY20" s="873">
        <f t="shared" si="1241"/>
        <v>1327.3333333333333</v>
      </c>
      <c r="EZZ20" s="195">
        <v>216</v>
      </c>
      <c r="FAA20" s="49">
        <v>1432</v>
      </c>
      <c r="FAB20" s="49">
        <v>144</v>
      </c>
      <c r="FAC20" s="49"/>
      <c r="FAD20" s="49"/>
      <c r="FAE20" s="49"/>
      <c r="FAF20" s="872">
        <f t="shared" si="1242"/>
        <v>1792</v>
      </c>
      <c r="FAG20" s="873">
        <f t="shared" si="1243"/>
        <v>298.66666666666669</v>
      </c>
    </row>
    <row r="21" spans="1:4089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10168</v>
      </c>
      <c r="G21" s="24"/>
      <c r="H21" s="24"/>
      <c r="I21" s="24"/>
      <c r="J21" s="360">
        <f>SUMIF(SUMPK!$B:$B,$B:$B,SUMPK!$O:$O)</f>
        <v>0</v>
      </c>
      <c r="K21" s="24"/>
      <c r="L21" s="24">
        <f t="shared" si="567"/>
        <v>10168</v>
      </c>
      <c r="M21" s="24">
        <f t="shared" si="568"/>
        <v>10168</v>
      </c>
      <c r="N21" s="15">
        <v>560.66666666666663</v>
      </c>
      <c r="O21" s="276">
        <f t="shared" si="0"/>
        <v>18.135552913198573</v>
      </c>
      <c r="P21" s="15">
        <v>751.16666666666663</v>
      </c>
      <c r="Q21" s="276">
        <f t="shared" si="569"/>
        <v>81.217661415575776</v>
      </c>
      <c r="R21" s="277">
        <f t="shared" si="570"/>
        <v>800</v>
      </c>
      <c r="S21" s="222">
        <v>20800</v>
      </c>
      <c r="T21" s="276">
        <f t="shared" si="571"/>
        <v>12.71</v>
      </c>
      <c r="U21" s="278"/>
      <c r="V21" s="277">
        <f t="shared" si="1"/>
        <v>12.71</v>
      </c>
      <c r="W21" s="279">
        <f t="shared" si="1246"/>
        <v>1</v>
      </c>
      <c r="X21" s="299"/>
      <c r="Y21" s="280" t="e">
        <f>#REF!+#REF!</f>
        <v>#REF!</v>
      </c>
      <c r="Z21" s="280" t="e">
        <f t="shared" si="1251"/>
        <v>#REF!</v>
      </c>
      <c r="AA21" s="280" t="e">
        <f t="shared" ref="AA21:AA23" si="1255">M21/Z21</f>
        <v>#REF!</v>
      </c>
      <c r="AB21" s="280" t="e">
        <f t="shared" ref="AB21:AB23" si="1256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2"/>
        <v>1335</v>
      </c>
      <c r="BAV21" s="43">
        <f t="shared" si="573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4"/>
        <v>3074</v>
      </c>
      <c r="BBD21" s="43">
        <f t="shared" si="575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6"/>
        <v>294</v>
      </c>
      <c r="BBL21" s="43">
        <f t="shared" si="577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78"/>
        <v>838</v>
      </c>
      <c r="BBT21" s="43">
        <f t="shared" si="579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0"/>
        <v>1663</v>
      </c>
      <c r="BCB21" s="43">
        <f t="shared" si="581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2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3"/>
        <v>4199</v>
      </c>
      <c r="BCR21" s="43">
        <f t="shared" si="584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5"/>
        <v>2549</v>
      </c>
      <c r="BCZ21" s="43">
        <f t="shared" si="586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7"/>
        <v>1483</v>
      </c>
      <c r="BDH21" s="43">
        <f t="shared" si="588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89"/>
        <v>843</v>
      </c>
      <c r="BDP21" s="43">
        <f t="shared" si="590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1"/>
        <v>4664</v>
      </c>
      <c r="BDX21" s="43">
        <f t="shared" si="592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3"/>
        <v>2251</v>
      </c>
      <c r="BEF21" s="43">
        <f t="shared" si="594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5"/>
        <v>2045</v>
      </c>
      <c r="BEN21" s="43">
        <f t="shared" si="596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7"/>
        <v>3675</v>
      </c>
      <c r="BEV21" s="43">
        <f t="shared" si="598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599"/>
        <v>3381</v>
      </c>
      <c r="BFD21" s="43">
        <f t="shared" si="600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1"/>
        <v>122</v>
      </c>
      <c r="BFL21" s="68">
        <f t="shared" si="602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3"/>
        <v>3367</v>
      </c>
      <c r="BFT21" s="68">
        <f t="shared" si="604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5"/>
        <v>1669</v>
      </c>
      <c r="BGB21" s="68">
        <f t="shared" si="606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7"/>
        <v>1634</v>
      </c>
      <c r="BGJ21" s="68">
        <f t="shared" si="608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09"/>
        <v>2003</v>
      </c>
      <c r="BGR21" s="68">
        <f t="shared" si="610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1"/>
        <v>1680</v>
      </c>
      <c r="BGZ21" s="68">
        <f t="shared" si="612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3"/>
        <v>5250</v>
      </c>
      <c r="BHH21" s="68">
        <f t="shared" si="614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5"/>
        <v>3392</v>
      </c>
      <c r="BHP21" s="184">
        <f t="shared" si="616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7"/>
        <v>1654</v>
      </c>
      <c r="BHX21" s="211">
        <f t="shared" si="618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19"/>
        <v>3349</v>
      </c>
      <c r="BIF21" s="184">
        <f t="shared" si="620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1"/>
        <v>2505</v>
      </c>
      <c r="BIN21" s="184">
        <f t="shared" si="622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3"/>
        <v>3335</v>
      </c>
      <c r="BIV21" s="211">
        <f t="shared" si="624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5"/>
        <v>3517</v>
      </c>
      <c r="BJD21" s="211">
        <f t="shared" si="626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7"/>
        <v>3700</v>
      </c>
      <c r="BJL21" s="211">
        <f t="shared" si="628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29"/>
        <v>3387</v>
      </c>
      <c r="BJT21" s="184">
        <f t="shared" si="630"/>
        <v>564.5</v>
      </c>
      <c r="BJU21" s="195"/>
      <c r="BJV21" s="49"/>
      <c r="BJW21" s="49"/>
      <c r="BJX21" s="49"/>
      <c r="BJY21" s="49"/>
      <c r="BJZ21" s="49"/>
      <c r="BKA21" s="67">
        <f t="shared" si="631"/>
        <v>0</v>
      </c>
      <c r="BKB21" s="184">
        <f t="shared" si="632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3"/>
        <v>3349</v>
      </c>
      <c r="BKJ21" s="184">
        <f t="shared" si="634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5"/>
        <v>3313</v>
      </c>
      <c r="BKR21" s="184">
        <f t="shared" si="636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7"/>
        <v>2336</v>
      </c>
      <c r="BKZ21" s="211">
        <f t="shared" si="638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39"/>
        <v>2818</v>
      </c>
      <c r="BLH21" s="211">
        <f t="shared" si="640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1"/>
        <v>3483</v>
      </c>
      <c r="BLP21" s="184">
        <f t="shared" si="642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3"/>
        <v>0</v>
      </c>
      <c r="BLX21" s="184">
        <f t="shared" si="644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5"/>
        <v>3248</v>
      </c>
      <c r="BMF21" s="68">
        <f t="shared" si="646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7"/>
        <v>3412</v>
      </c>
      <c r="BMN21" s="68">
        <f t="shared" si="648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49"/>
        <v>1677</v>
      </c>
      <c r="BMV21" s="68">
        <f t="shared" si="650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1"/>
        <v>1719</v>
      </c>
      <c r="BND21" s="68">
        <f t="shared" si="652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3"/>
        <v>1329</v>
      </c>
      <c r="BNL21" s="68">
        <f t="shared" si="654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5"/>
        <v>3830</v>
      </c>
      <c r="BNT21" s="68">
        <f t="shared" si="656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7"/>
        <v>2837</v>
      </c>
      <c r="BOB21" s="184">
        <f t="shared" si="658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59"/>
        <v>2179</v>
      </c>
      <c r="BOJ21" s="184">
        <f t="shared" si="660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1"/>
        <v>3491</v>
      </c>
      <c r="BOR21" s="68">
        <f t="shared" si="662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3"/>
        <v>3373</v>
      </c>
      <c r="BOZ21" s="68">
        <f t="shared" si="664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5"/>
        <v>3670</v>
      </c>
      <c r="BPH21" s="68">
        <f t="shared" si="666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7"/>
        <v>3262</v>
      </c>
      <c r="BPP21" s="68">
        <f t="shared" si="668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69"/>
        <v>3404</v>
      </c>
      <c r="BPX21" s="68">
        <f t="shared" si="670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1"/>
        <v>37</v>
      </c>
      <c r="BQF21" s="68">
        <f t="shared" si="672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3"/>
        <v>3686</v>
      </c>
      <c r="BQN21" s="68">
        <f t="shared" si="674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5"/>
        <v>2970</v>
      </c>
      <c r="BQV21" s="68">
        <f t="shared" si="676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7"/>
        <v>129</v>
      </c>
      <c r="BRD21" s="68">
        <f t="shared" si="678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79"/>
        <v>3496</v>
      </c>
      <c r="BRL21" s="68">
        <f t="shared" si="680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1"/>
        <v>3253</v>
      </c>
      <c r="BRT21" s="68">
        <f t="shared" si="682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3"/>
        <v>2692</v>
      </c>
      <c r="BSB21" s="68">
        <f t="shared" si="684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5"/>
        <v>3694</v>
      </c>
      <c r="BSJ21" s="68">
        <f t="shared" si="686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7"/>
        <v>209</v>
      </c>
      <c r="BSR21" s="68">
        <f t="shared" si="688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89"/>
        <v>5795</v>
      </c>
      <c r="BSZ21" s="68">
        <f t="shared" si="690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1"/>
        <v>233</v>
      </c>
      <c r="BTH21" s="68">
        <f t="shared" si="692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3"/>
        <v>1186</v>
      </c>
      <c r="BTP21" s="68">
        <f t="shared" si="694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5"/>
        <v>74</v>
      </c>
      <c r="BTX21" s="184">
        <f t="shared" si="696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7"/>
        <v>1685</v>
      </c>
      <c r="BUF21" s="184">
        <f t="shared" si="698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699"/>
        <v>3461</v>
      </c>
      <c r="BUN21" s="211">
        <f t="shared" si="700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1"/>
        <v>2882</v>
      </c>
      <c r="BUV21" s="211">
        <f t="shared" si="702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3"/>
        <v>3880</v>
      </c>
      <c r="BVD21" s="211">
        <f t="shared" si="704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5"/>
        <v>1386</v>
      </c>
      <c r="BVL21" s="184">
        <f t="shared" si="706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7"/>
        <v>2717</v>
      </c>
      <c r="BVT21" s="211">
        <f t="shared" si="708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09"/>
        <v>1656</v>
      </c>
      <c r="BWB21" s="184">
        <f t="shared" si="710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1"/>
        <v>1180</v>
      </c>
      <c r="BWJ21" s="184">
        <f t="shared" si="712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3"/>
        <v>4324</v>
      </c>
      <c r="BWR21" s="211">
        <f t="shared" si="714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5"/>
        <v>2470</v>
      </c>
      <c r="BWZ21" s="211">
        <f t="shared" si="716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7"/>
        <v>648</v>
      </c>
      <c r="BXH21" s="211">
        <f t="shared" si="718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19"/>
        <v>2423</v>
      </c>
      <c r="BXP21" s="184">
        <f t="shared" si="720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1"/>
        <v>2502</v>
      </c>
      <c r="BXX21" s="184">
        <f t="shared" si="722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3"/>
        <v>2534</v>
      </c>
      <c r="BYF21" s="211">
        <f t="shared" si="724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5"/>
        <v>3544</v>
      </c>
      <c r="BYN21" s="184">
        <f t="shared" si="726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7"/>
        <v>4718</v>
      </c>
      <c r="BYV21" s="211">
        <f t="shared" si="728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29"/>
        <v>2520</v>
      </c>
      <c r="BZD21" s="184">
        <f t="shared" si="730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1"/>
        <v>1610</v>
      </c>
      <c r="BZL21" s="184">
        <f t="shared" si="732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3"/>
        <v>4443</v>
      </c>
      <c r="BZT21" s="68">
        <f t="shared" si="734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5"/>
        <v>2554</v>
      </c>
      <c r="CAB21" s="68">
        <f t="shared" si="736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7"/>
        <v>1242</v>
      </c>
      <c r="CAJ21" s="68">
        <f t="shared" si="738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39"/>
        <v>1798</v>
      </c>
      <c r="CAR21" s="184">
        <f t="shared" si="740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1"/>
        <v>6408</v>
      </c>
      <c r="CAZ21" s="211">
        <f t="shared" si="742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3"/>
        <v>3200</v>
      </c>
      <c r="CBH21" s="211">
        <f t="shared" si="744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5"/>
        <v>2742</v>
      </c>
      <c r="CBP21" s="184">
        <f t="shared" si="746"/>
        <v>457</v>
      </c>
      <c r="CBQ21" s="63"/>
      <c r="CBR21" s="64"/>
      <c r="CBS21" s="64"/>
      <c r="CBT21" s="64"/>
      <c r="CBU21" s="64"/>
      <c r="CBV21" s="64"/>
      <c r="CBW21" s="67">
        <f t="shared" si="747"/>
        <v>0</v>
      </c>
      <c r="CBX21" s="68">
        <f t="shared" si="748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49"/>
        <v>2862</v>
      </c>
      <c r="CCF21" s="68">
        <f t="shared" si="750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1"/>
        <v>2641</v>
      </c>
      <c r="CCN21" s="68">
        <f t="shared" si="752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3"/>
        <v>2115</v>
      </c>
      <c r="CCV21" s="68">
        <f t="shared" si="754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5"/>
        <v>2151</v>
      </c>
      <c r="CDD21" s="68">
        <f t="shared" si="756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7"/>
        <v>3167</v>
      </c>
      <c r="CDL21" s="68">
        <f t="shared" si="758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59"/>
        <v>1760</v>
      </c>
      <c r="CDT21" s="68">
        <f t="shared" si="760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1"/>
        <v>1560</v>
      </c>
      <c r="CEB21" s="68">
        <f t="shared" si="762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3"/>
        <v>3695</v>
      </c>
      <c r="CEJ21" s="68">
        <f t="shared" si="764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5"/>
        <v>487</v>
      </c>
      <c r="CER21" s="68">
        <f t="shared" si="766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7"/>
        <v>1642</v>
      </c>
      <c r="CEZ21" s="68">
        <f t="shared" si="768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69"/>
        <v>2342</v>
      </c>
      <c r="CFH21" s="68">
        <f t="shared" si="770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1"/>
        <v>1360</v>
      </c>
      <c r="CFP21" s="68">
        <f t="shared" si="772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3"/>
        <v>2021</v>
      </c>
      <c r="CFX21" s="68">
        <f t="shared" si="774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5"/>
        <v>2538</v>
      </c>
      <c r="CGF21" s="68">
        <f t="shared" si="776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7"/>
        <v>2919</v>
      </c>
      <c r="CGN21" s="68">
        <f t="shared" si="778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79"/>
        <v>833</v>
      </c>
      <c r="CGV21" s="68">
        <f t="shared" si="780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1"/>
        <v>4295</v>
      </c>
      <c r="CHD21" s="68">
        <f t="shared" si="782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3"/>
        <v>2217</v>
      </c>
      <c r="CHL21" s="68">
        <f t="shared" si="784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5"/>
        <v>1719</v>
      </c>
      <c r="CHT21" s="68">
        <f t="shared" si="786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7"/>
        <v>252</v>
      </c>
      <c r="CIB21" s="68">
        <f t="shared" si="788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89"/>
        <v>2664</v>
      </c>
      <c r="CIJ21" s="68">
        <f t="shared" si="790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1"/>
        <v>3519</v>
      </c>
      <c r="CIR21" s="68">
        <f t="shared" si="792"/>
        <v>586.5</v>
      </c>
      <c r="CIS21" s="63"/>
      <c r="CIT21" s="64"/>
      <c r="CIU21" s="64"/>
      <c r="CIV21" s="64"/>
      <c r="CIW21" s="64"/>
      <c r="CIX21" s="64"/>
      <c r="CIY21" s="67">
        <f t="shared" si="793"/>
        <v>0</v>
      </c>
      <c r="CIZ21" s="68">
        <f t="shared" si="794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5"/>
        <v>1820</v>
      </c>
      <c r="CJH21" s="68">
        <f t="shared" si="796"/>
        <v>303.33333333333331</v>
      </c>
      <c r="CJI21" s="63"/>
      <c r="CJJ21" s="64"/>
      <c r="CJK21" s="64"/>
      <c r="CJL21" s="64"/>
      <c r="CJM21" s="64"/>
      <c r="CJN21" s="64"/>
      <c r="CJO21" s="67">
        <f t="shared" si="797"/>
        <v>0</v>
      </c>
      <c r="CJP21" s="68">
        <f t="shared" si="798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799"/>
        <v>3424</v>
      </c>
      <c r="CJX21" s="68">
        <f t="shared" si="800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1"/>
        <v>2176</v>
      </c>
      <c r="CKF21" s="68">
        <f t="shared" si="802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3"/>
        <v>1675</v>
      </c>
      <c r="CKN21" s="68">
        <f t="shared" si="804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5"/>
        <v>2986</v>
      </c>
      <c r="CKV21" s="68">
        <f t="shared" si="806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7"/>
        <v>43</v>
      </c>
      <c r="CLD21" s="68">
        <f t="shared" si="808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09"/>
        <v>2676</v>
      </c>
      <c r="CLL21" s="68">
        <f t="shared" si="810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1"/>
        <v>1596</v>
      </c>
      <c r="CLT21" s="184">
        <f t="shared" si="812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3"/>
        <v>2059</v>
      </c>
      <c r="CMB21" s="68">
        <f t="shared" si="814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5"/>
        <v>2558</v>
      </c>
      <c r="CMJ21" s="68">
        <f t="shared" si="816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7"/>
        <v>3132</v>
      </c>
      <c r="CMR21" s="68">
        <f t="shared" si="818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19"/>
        <v>845</v>
      </c>
      <c r="CMZ21" s="68">
        <f t="shared" si="820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1"/>
        <v>4657</v>
      </c>
      <c r="CNH21" s="68">
        <f t="shared" si="822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3"/>
        <v>2721</v>
      </c>
      <c r="CNP21" s="68">
        <f t="shared" si="824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5"/>
        <v>3032</v>
      </c>
      <c r="CNX21" s="68">
        <f t="shared" si="826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7"/>
        <v>2714</v>
      </c>
      <c r="COF21" s="68">
        <f t="shared" si="828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29"/>
        <v>3176</v>
      </c>
      <c r="CON21" s="68">
        <f t="shared" si="830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1"/>
        <v>3356</v>
      </c>
      <c r="COV21" s="68">
        <f t="shared" si="832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3"/>
        <v>1783</v>
      </c>
      <c r="CPD21" s="68">
        <f t="shared" si="834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5"/>
        <v>2820</v>
      </c>
      <c r="CPL21" s="68">
        <f t="shared" si="836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7"/>
        <v>1690</v>
      </c>
      <c r="CPT21" s="68">
        <f t="shared" si="838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39"/>
        <v>6003</v>
      </c>
      <c r="CQB21" s="68">
        <f t="shared" si="840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1"/>
        <v>638</v>
      </c>
      <c r="CQJ21" s="68">
        <f t="shared" si="842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3"/>
        <v>2068</v>
      </c>
      <c r="CQR21" s="68">
        <f t="shared" si="844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0</v>
      </c>
      <c r="CQX21" s="49">
        <v>0</v>
      </c>
      <c r="CQY21" s="67">
        <f t="shared" si="845"/>
        <v>3784</v>
      </c>
      <c r="CQZ21" s="68">
        <f t="shared" si="846"/>
        <v>630.66666666666663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7"/>
        <v>4411</v>
      </c>
      <c r="CRH21" s="68">
        <f t="shared" si="848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49"/>
        <v>0</v>
      </c>
      <c r="CRP21" s="68">
        <f t="shared" si="850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1"/>
        <v>4951</v>
      </c>
      <c r="CRX21" s="68">
        <f t="shared" si="852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44"/>
        <v>2639</v>
      </c>
      <c r="CSF21" s="68">
        <f t="shared" si="1245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5"/>
        <v>3361</v>
      </c>
      <c r="CSN21" s="68">
        <f t="shared" si="856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7"/>
        <v>4226</v>
      </c>
      <c r="CSV21" s="68">
        <f t="shared" si="858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59"/>
        <v>1823</v>
      </c>
      <c r="CTD21" s="68">
        <f t="shared" si="860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1"/>
        <v>3416</v>
      </c>
      <c r="CTL21" s="68">
        <f t="shared" si="862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3"/>
        <v>2545</v>
      </c>
      <c r="CTT21" s="68">
        <f t="shared" si="864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5"/>
        <v>2049</v>
      </c>
      <c r="CUB21" s="68">
        <f t="shared" si="866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7"/>
        <v>0</v>
      </c>
      <c r="CUJ21" s="68">
        <f t="shared" si="868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69"/>
        <v>4883</v>
      </c>
      <c r="CUR21" s="68">
        <f t="shared" si="870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1"/>
        <v>1690</v>
      </c>
      <c r="CUZ21" s="68">
        <f t="shared" si="872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3"/>
        <v>2191</v>
      </c>
      <c r="CVH21" s="68">
        <f t="shared" si="874"/>
        <v>365.16666666666669</v>
      </c>
      <c r="CVI21" s="48">
        <v>1026</v>
      </c>
      <c r="CVJ21" s="49">
        <f>SUMIF(SUMPK!$B:$B,$B:$B,SUMPK!$O:$O)</f>
        <v>0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5"/>
        <v>4391</v>
      </c>
      <c r="CVP21" s="68">
        <f t="shared" si="876"/>
        <v>731.83333333333337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7"/>
        <v>2530</v>
      </c>
      <c r="CVX21" s="68">
        <f t="shared" si="878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79"/>
        <v>2577</v>
      </c>
      <c r="CWF21" s="68">
        <f t="shared" si="880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1"/>
        <v>3110</v>
      </c>
      <c r="CWN21" s="68">
        <f t="shared" si="882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3"/>
        <v>4867</v>
      </c>
      <c r="CWV21" s="43">
        <f t="shared" si="884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5"/>
        <v>3430</v>
      </c>
      <c r="CXD21" s="43">
        <f t="shared" si="886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7"/>
        <v>2038</v>
      </c>
      <c r="CXL21" s="43">
        <f t="shared" si="888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89"/>
        <v>4310</v>
      </c>
      <c r="CXT21" s="43">
        <f t="shared" si="890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1"/>
        <v>4358</v>
      </c>
      <c r="CYB21" s="43">
        <f t="shared" si="892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3"/>
        <v>4201</v>
      </c>
      <c r="CYJ21" s="43">
        <f t="shared" si="894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5"/>
        <v>4402</v>
      </c>
      <c r="CYR21" s="43">
        <f t="shared" si="896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7"/>
        <v>5653</v>
      </c>
      <c r="CYZ21" s="43">
        <f t="shared" si="898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899"/>
        <v>42</v>
      </c>
      <c r="CZH21" s="43">
        <f t="shared" si="900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1"/>
        <v>4241</v>
      </c>
      <c r="CZP21" s="43">
        <f t="shared" si="902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3"/>
        <v>3421</v>
      </c>
      <c r="CZX21" s="43">
        <f t="shared" si="904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5"/>
        <v>3591</v>
      </c>
      <c r="DAF21" s="43">
        <f t="shared" si="906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7"/>
        <v>3628</v>
      </c>
      <c r="DAN21" s="43">
        <f t="shared" si="908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09"/>
        <v>3526</v>
      </c>
      <c r="DAV21" s="68">
        <f t="shared" si="910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1"/>
        <v>2555</v>
      </c>
      <c r="DBD21" s="68">
        <f t="shared" si="912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3"/>
        <v>2542</v>
      </c>
      <c r="DBL21" s="68">
        <f t="shared" si="914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5"/>
        <v>3715</v>
      </c>
      <c r="DBT21" s="68">
        <f t="shared" si="916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7"/>
        <v>1981</v>
      </c>
      <c r="DCB21" s="184">
        <f t="shared" si="918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19"/>
        <v>3487</v>
      </c>
      <c r="DCJ21" s="211">
        <f t="shared" si="920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1"/>
        <v>3555</v>
      </c>
      <c r="DCR21" s="211">
        <f t="shared" si="922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3"/>
        <v>2846</v>
      </c>
      <c r="DCZ21" s="184">
        <f t="shared" si="924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5"/>
        <v>2938</v>
      </c>
      <c r="DDH21" s="211">
        <f t="shared" si="926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7"/>
        <v>3368</v>
      </c>
      <c r="DDP21" s="184">
        <f t="shared" si="928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29"/>
        <v>2765</v>
      </c>
      <c r="DDX21" s="211">
        <f t="shared" si="930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1"/>
        <v>4778</v>
      </c>
      <c r="DEF21" s="214">
        <f t="shared" si="932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3"/>
        <v>3367</v>
      </c>
      <c r="DEN21" s="101">
        <f t="shared" si="934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5"/>
        <v>4274</v>
      </c>
      <c r="DEV21" s="101">
        <f t="shared" si="936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7"/>
        <v>0</v>
      </c>
      <c r="DFD21" s="43">
        <f t="shared" si="938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39"/>
        <v>5759</v>
      </c>
      <c r="DFL21" s="43">
        <f t="shared" si="940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1"/>
        <v>1531</v>
      </c>
      <c r="DFT21" s="43">
        <f t="shared" si="942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3"/>
        <v>3813</v>
      </c>
      <c r="DGB21" s="43">
        <f t="shared" si="944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5"/>
        <v>3472</v>
      </c>
      <c r="DGJ21" s="68">
        <f t="shared" si="946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7"/>
        <v>1695</v>
      </c>
      <c r="DGR21" s="68">
        <f t="shared" si="948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49"/>
        <v>4617</v>
      </c>
      <c r="DGZ21" s="68">
        <f t="shared" si="950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1"/>
        <v>3438</v>
      </c>
      <c r="DHH21" s="68">
        <f t="shared" si="952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3"/>
        <v>5635</v>
      </c>
      <c r="DHP21" s="68">
        <f t="shared" si="954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5"/>
        <v>51</v>
      </c>
      <c r="DHX21" s="68">
        <f t="shared" si="956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7"/>
        <v>2602</v>
      </c>
      <c r="DIF21" s="68">
        <f t="shared" si="958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59"/>
        <v>4156</v>
      </c>
      <c r="DIN21" s="68">
        <f t="shared" si="960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1"/>
        <v>4489</v>
      </c>
      <c r="DIV21" s="68">
        <f t="shared" si="962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3"/>
        <v>3669</v>
      </c>
      <c r="DJD21" s="68">
        <f t="shared" si="964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5"/>
        <v>0</v>
      </c>
      <c r="DJL21" s="68">
        <f t="shared" si="966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7"/>
        <v>6806</v>
      </c>
      <c r="DJT21" s="68">
        <f t="shared" si="968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69"/>
        <v>17</v>
      </c>
      <c r="DKB21" s="68">
        <f t="shared" si="970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1"/>
        <v>6839</v>
      </c>
      <c r="DKJ21" s="68">
        <f t="shared" si="972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3"/>
        <v>3183</v>
      </c>
      <c r="DKR21" s="68">
        <f t="shared" si="974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5"/>
        <v>4251</v>
      </c>
      <c r="DKZ21" s="68">
        <f t="shared" si="976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7"/>
        <v>42</v>
      </c>
      <c r="DLH21" s="68">
        <f t="shared" si="978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79"/>
        <v>5180</v>
      </c>
      <c r="DLP21" s="68">
        <f t="shared" si="980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1"/>
        <v>0</v>
      </c>
      <c r="DLX21" s="68">
        <f t="shared" si="982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3"/>
        <v>3599</v>
      </c>
      <c r="DMF21" s="68">
        <f t="shared" si="984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5"/>
        <v>2524</v>
      </c>
      <c r="DMN21" s="68">
        <f t="shared" si="986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7"/>
        <v>3475</v>
      </c>
      <c r="DMV21" s="68">
        <f t="shared" si="988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89"/>
        <v>2698</v>
      </c>
      <c r="DND21" s="68">
        <f t="shared" si="990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1"/>
        <v>4030</v>
      </c>
      <c r="DNL21" s="68">
        <f t="shared" si="992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3"/>
        <v>2485</v>
      </c>
      <c r="DNT21" s="68">
        <f t="shared" si="994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5"/>
        <v>4250</v>
      </c>
      <c r="DOB21" s="68">
        <f t="shared" si="996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7"/>
        <v>2184</v>
      </c>
      <c r="DOJ21" s="68">
        <f t="shared" si="998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999"/>
        <v>4752</v>
      </c>
      <c r="DOR21" s="68">
        <f t="shared" si="1000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1"/>
        <v>4290</v>
      </c>
      <c r="DOZ21" s="68">
        <f t="shared" si="1002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3"/>
        <v>3325</v>
      </c>
      <c r="DPH21" s="68">
        <f t="shared" si="1004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5"/>
        <v>3315</v>
      </c>
      <c r="DPP21" s="68">
        <f t="shared" si="1006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7"/>
        <v>1620</v>
      </c>
      <c r="DPX21" s="68">
        <f t="shared" si="1008"/>
        <v>270</v>
      </c>
      <c r="DPY21" s="63">
        <v>0</v>
      </c>
      <c r="DPZ21" s="64">
        <v>0</v>
      </c>
      <c r="DQA21" s="64">
        <f>SUMIF(SUMPK!$B:$B,$B:$B,SUMPK!$O:$O)</f>
        <v>0</v>
      </c>
      <c r="DQB21" s="64">
        <v>0</v>
      </c>
      <c r="DQC21" s="64">
        <v>2544</v>
      </c>
      <c r="DQD21" s="64">
        <v>1040</v>
      </c>
      <c r="DQE21" s="64">
        <f t="shared" si="1009"/>
        <v>3584</v>
      </c>
      <c r="DQF21" s="68">
        <f t="shared" si="1010"/>
        <v>597.33333333333337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1"/>
        <v>4592</v>
      </c>
      <c r="DQN21" s="68">
        <f t="shared" si="1012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3"/>
        <v>2418</v>
      </c>
      <c r="DQV21" s="68">
        <f t="shared" si="1014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5"/>
        <v>0</v>
      </c>
      <c r="DRD21" s="68">
        <f t="shared" si="1016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7"/>
        <v>3610</v>
      </c>
      <c r="DRL21" s="68">
        <f t="shared" si="1018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19"/>
        <v>2897</v>
      </c>
      <c r="DRT21" s="68">
        <f t="shared" si="1020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1"/>
        <v>4702</v>
      </c>
      <c r="DSB21" s="68">
        <f t="shared" si="1022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3"/>
        <v>2784</v>
      </c>
      <c r="DSJ21" s="68">
        <f t="shared" si="1024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5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6"/>
        <v>1050</v>
      </c>
      <c r="DSZ21" s="68">
        <f t="shared" si="1027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28"/>
        <v>3314</v>
      </c>
      <c r="DTH21" s="68">
        <f t="shared" si="1029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0"/>
        <v>4976</v>
      </c>
      <c r="DTP21" s="68">
        <f t="shared" si="1031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2"/>
        <v>1737</v>
      </c>
      <c r="DTX21" s="68">
        <f t="shared" si="1033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4"/>
        <v>4380</v>
      </c>
      <c r="DUF21" s="68">
        <f t="shared" si="1035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6"/>
        <v>2853</v>
      </c>
      <c r="DUN21" s="68">
        <f t="shared" si="1037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38"/>
        <v>1958</v>
      </c>
      <c r="DUV21" s="68">
        <f t="shared" si="1039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0"/>
        <v>2572</v>
      </c>
      <c r="DVD21" s="68">
        <f t="shared" si="1041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2"/>
        <v>2831</v>
      </c>
      <c r="DVL21" s="68">
        <f t="shared" si="1043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4"/>
        <v>2544</v>
      </c>
      <c r="DVT21" s="68">
        <f t="shared" si="1045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6"/>
        <v>3591</v>
      </c>
      <c r="DWB21" s="68">
        <f t="shared" si="1047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48"/>
        <v>3011</v>
      </c>
      <c r="DWJ21" s="68">
        <f t="shared" si="1049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0"/>
        <v>3789</v>
      </c>
      <c r="DWR21" s="68">
        <f t="shared" si="1051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2"/>
        <v>3852</v>
      </c>
      <c r="DWZ21" s="68">
        <f t="shared" si="1053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4"/>
        <v>3160</v>
      </c>
      <c r="DXH21" s="68">
        <f t="shared" si="1055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6"/>
        <v>2242</v>
      </c>
      <c r="DXP21" s="68">
        <f t="shared" si="1057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58"/>
        <v>4042</v>
      </c>
      <c r="DXX21" s="68">
        <f t="shared" si="1059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0"/>
        <v>2138</v>
      </c>
      <c r="DYF21" s="68">
        <f t="shared" si="1061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2"/>
        <v>7717</v>
      </c>
      <c r="DYN21" s="68">
        <f t="shared" si="1063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4"/>
        <v>1207</v>
      </c>
      <c r="DYV21" s="68">
        <f t="shared" si="1065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6"/>
        <v>6983</v>
      </c>
      <c r="DZD21" s="68">
        <f t="shared" si="1067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68"/>
        <v>40</v>
      </c>
      <c r="DZL21" s="68">
        <f t="shared" si="1069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0"/>
        <v>7594</v>
      </c>
      <c r="DZT21" s="68">
        <f t="shared" si="1071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2"/>
        <v>191</v>
      </c>
      <c r="EAB21" s="68">
        <f t="shared" si="1073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4"/>
        <v>3603</v>
      </c>
      <c r="EAJ21" s="68">
        <f t="shared" si="1075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6"/>
        <v>6824</v>
      </c>
      <c r="EAR21" s="68">
        <f t="shared" si="1077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78"/>
        <v>997</v>
      </c>
      <c r="EAZ21" s="68">
        <f t="shared" si="1079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0"/>
        <v>5463</v>
      </c>
      <c r="EBH21" s="68">
        <f t="shared" si="1081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2"/>
        <v>6479</v>
      </c>
      <c r="EBP21" s="68">
        <f t="shared" si="1083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4"/>
        <v>175</v>
      </c>
      <c r="EBX21" s="68">
        <f t="shared" si="1085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6"/>
        <v>6695</v>
      </c>
      <c r="ECF21" s="68">
        <f t="shared" si="1087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88"/>
        <v>1931</v>
      </c>
      <c r="ECN21" s="68">
        <f t="shared" si="1089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0"/>
        <v>5235</v>
      </c>
      <c r="ECV21" s="68">
        <f t="shared" si="1091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2"/>
        <v>3885</v>
      </c>
      <c r="EDD21" s="68">
        <f t="shared" si="1093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4"/>
        <v>3436</v>
      </c>
      <c r="EDL21" s="68">
        <f t="shared" si="1095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6"/>
        <v>5344</v>
      </c>
      <c r="EDT21" s="68">
        <f t="shared" si="1097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098"/>
        <v>909</v>
      </c>
      <c r="EEB21" s="68">
        <f t="shared" si="1099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0"/>
        <v>5805</v>
      </c>
      <c r="EEJ21" s="68">
        <f t="shared" si="1101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2"/>
        <v>3454</v>
      </c>
      <c r="EER21" s="68">
        <f t="shared" si="1103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4"/>
        <v>1710</v>
      </c>
      <c r="EEZ21" s="68">
        <f t="shared" si="1105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6"/>
        <v>4989</v>
      </c>
      <c r="EFH21" s="68">
        <f t="shared" si="1107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08"/>
        <v>5317</v>
      </c>
      <c r="EFP21" s="68">
        <f t="shared" si="1109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0"/>
        <v>3768</v>
      </c>
      <c r="EFX21" s="68">
        <f t="shared" si="1111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2"/>
        <v>2712</v>
      </c>
      <c r="EGF21" s="68">
        <f t="shared" si="1113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4"/>
        <v>3800</v>
      </c>
      <c r="EGN21" s="68">
        <f t="shared" si="1115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6"/>
        <v>3389</v>
      </c>
      <c r="EGV21" s="68">
        <f t="shared" si="1117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18"/>
        <v>4767</v>
      </c>
      <c r="EHD21" s="68">
        <f t="shared" si="1119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0"/>
        <v>4068</v>
      </c>
      <c r="EHL21" s="68">
        <f t="shared" si="1121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2"/>
        <v>2020</v>
      </c>
      <c r="EHT21" s="68">
        <f t="shared" si="1123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4"/>
        <v>4917</v>
      </c>
      <c r="EIB21" s="68">
        <f t="shared" si="1125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6"/>
        <v>1914</v>
      </c>
      <c r="EIJ21" s="68">
        <f t="shared" si="1127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28"/>
        <v>6763</v>
      </c>
      <c r="EIR21" s="68">
        <f t="shared" si="1129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0"/>
        <v>2666</v>
      </c>
      <c r="EIZ21" s="68">
        <f t="shared" si="1131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2"/>
        <v>4629</v>
      </c>
      <c r="EJH21" s="68">
        <f t="shared" si="1133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4"/>
        <v>3183</v>
      </c>
      <c r="EJP21" s="68">
        <f t="shared" si="1135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6"/>
        <v>3751</v>
      </c>
      <c r="EJX21" s="68">
        <f t="shared" si="1137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38"/>
        <v>7093</v>
      </c>
      <c r="EKF21" s="68">
        <f t="shared" si="1139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0"/>
        <v>4366</v>
      </c>
      <c r="EKN21" s="68">
        <f t="shared" si="1141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2"/>
        <v>500</v>
      </c>
      <c r="EKV21" s="68">
        <f t="shared" si="1143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4"/>
        <v>4387</v>
      </c>
      <c r="ELD21" s="68">
        <f t="shared" si="1145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6"/>
        <v>7302</v>
      </c>
      <c r="ELL21" s="184">
        <f t="shared" si="1147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48"/>
        <v>2080</v>
      </c>
      <c r="ELU21" s="211">
        <f t="shared" si="1149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0"/>
        <v>3939</v>
      </c>
      <c r="EMC21" s="211">
        <f t="shared" si="1151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2"/>
        <v>4529</v>
      </c>
      <c r="EMK21" s="211">
        <f t="shared" si="1153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4"/>
        <v>4544</v>
      </c>
      <c r="EMS21" s="211">
        <f t="shared" si="1155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6"/>
        <v>0</v>
      </c>
      <c r="ENA21" s="211">
        <f t="shared" si="1157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58"/>
        <v>6441</v>
      </c>
      <c r="ENI21" s="211">
        <f t="shared" si="1159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0"/>
        <v>3342</v>
      </c>
      <c r="ENQ21" s="211">
        <f t="shared" si="1161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2"/>
        <v>4353</v>
      </c>
      <c r="ENY21" s="211">
        <f t="shared" si="1163"/>
        <v>725.5</v>
      </c>
      <c r="ENZ21" s="244">
        <f>SUMIF(SUMPK!$B:$B,$B:$B,SUMPK!$O:$O)</f>
        <v>0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4"/>
        <v>3395</v>
      </c>
      <c r="EOG21" s="211">
        <f t="shared" si="1165"/>
        <v>565.83333333333337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6"/>
        <v>4437</v>
      </c>
      <c r="EOO21" s="211">
        <f t="shared" si="1167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68"/>
        <v>2669</v>
      </c>
      <c r="EOW21" s="211">
        <f t="shared" si="1169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0"/>
        <v>4853</v>
      </c>
      <c r="EPE21" s="211">
        <f t="shared" si="1171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2"/>
        <v>4507</v>
      </c>
      <c r="EPM21" s="211">
        <f t="shared" si="1173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4"/>
        <v>5992</v>
      </c>
      <c r="EPU21" s="211">
        <f t="shared" si="1175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6"/>
        <v>6257</v>
      </c>
      <c r="EQC21" s="211">
        <f t="shared" si="1177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78"/>
        <v>2777</v>
      </c>
      <c r="EQK21" s="211">
        <f t="shared" si="1179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0"/>
        <v>5828</v>
      </c>
      <c r="EQS21" s="211">
        <f t="shared" si="1181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2"/>
        <v>4349</v>
      </c>
      <c r="ERA21" s="211">
        <f t="shared" si="1183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4"/>
        <v>3327</v>
      </c>
      <c r="ERI21" s="211">
        <f t="shared" si="1185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6"/>
        <v>4205</v>
      </c>
      <c r="ERQ21" s="211">
        <f t="shared" si="1187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88"/>
        <v>4837</v>
      </c>
      <c r="ERY21" s="211">
        <f t="shared" si="1189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0"/>
        <v>4505</v>
      </c>
      <c r="ESG21" s="211">
        <f t="shared" si="1191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2"/>
        <v>4217</v>
      </c>
      <c r="ESO21" s="211">
        <f t="shared" si="1193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4"/>
        <v>4894</v>
      </c>
      <c r="ESW21" s="211">
        <f t="shared" si="1195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6"/>
        <v>7206</v>
      </c>
      <c r="ETE21" s="736">
        <f t="shared" si="1197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198"/>
        <v>3905</v>
      </c>
      <c r="ETM21" s="211">
        <f t="shared" si="1199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0"/>
        <v>5022</v>
      </c>
      <c r="ETU21" s="211">
        <f t="shared" si="1201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2"/>
        <v>2462</v>
      </c>
      <c r="EUC21" s="211">
        <f t="shared" si="1203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4"/>
        <v>3868</v>
      </c>
      <c r="EUK21" s="211">
        <f t="shared" si="1205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6"/>
        <v>3566</v>
      </c>
      <c r="EUS21" s="211">
        <f t="shared" si="1207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08"/>
        <v>5001</v>
      </c>
      <c r="EVA21" s="211">
        <f t="shared" si="1209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0"/>
        <v>5061</v>
      </c>
      <c r="EVI21" s="211">
        <f t="shared" si="1211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2"/>
        <v>4277</v>
      </c>
      <c r="EVQ21" s="211">
        <f t="shared" si="1213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4"/>
        <v>2188</v>
      </c>
      <c r="EVY21" s="211">
        <f t="shared" si="1215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6"/>
        <v>5817</v>
      </c>
      <c r="EWG21" s="211">
        <f t="shared" si="1217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18"/>
        <v>6302</v>
      </c>
      <c r="EWO21" s="211">
        <f t="shared" si="1219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0"/>
        <v>0</v>
      </c>
      <c r="EWW21" s="211">
        <f t="shared" si="1221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2"/>
        <v>3353</v>
      </c>
      <c r="EXE21" s="211">
        <f t="shared" si="1223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4"/>
        <v>5070</v>
      </c>
      <c r="EXM21" s="211">
        <f t="shared" si="1225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6"/>
        <v>5027</v>
      </c>
      <c r="EXU21" s="211">
        <f t="shared" si="1227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28"/>
        <v>5188</v>
      </c>
      <c r="EYC21" s="211">
        <f t="shared" si="1229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0"/>
        <v>3870</v>
      </c>
      <c r="EYK21" s="211">
        <f t="shared" si="1231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2"/>
        <v>4513</v>
      </c>
      <c r="EYS21" s="211">
        <f t="shared" si="1233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4"/>
        <v>1932</v>
      </c>
      <c r="EZA21" s="211">
        <f t="shared" si="1235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6"/>
        <v>4217</v>
      </c>
      <c r="EZI21" s="211">
        <f t="shared" si="1237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38"/>
        <v>3669</v>
      </c>
      <c r="EZQ21" s="873">
        <f t="shared" si="1239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0"/>
        <v>3364</v>
      </c>
      <c r="EZY21" s="873">
        <f t="shared" si="1241"/>
        <v>560.66666666666663</v>
      </c>
      <c r="EZZ21" s="195">
        <v>1308</v>
      </c>
      <c r="FAA21" s="49">
        <v>0</v>
      </c>
      <c r="FAB21" s="49">
        <v>1293</v>
      </c>
      <c r="FAC21" s="49"/>
      <c r="FAD21" s="49"/>
      <c r="FAE21" s="49"/>
      <c r="FAF21" s="872">
        <f t="shared" si="1242"/>
        <v>2601</v>
      </c>
      <c r="FAG21" s="873">
        <f t="shared" si="1243"/>
        <v>433.5</v>
      </c>
    </row>
    <row r="22" spans="1:4089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4925</v>
      </c>
      <c r="G22" s="24"/>
      <c r="H22" s="24"/>
      <c r="I22" s="24"/>
      <c r="J22" s="360">
        <f>SUMIF(SUMPK!$B:$B,$B:$B,SUMPK!$O:$O)</f>
        <v>146</v>
      </c>
      <c r="K22" s="24"/>
      <c r="L22" s="24">
        <f t="shared" si="567"/>
        <v>4779</v>
      </c>
      <c r="M22" s="24">
        <f t="shared" si="568"/>
        <v>4779</v>
      </c>
      <c r="N22" s="15">
        <v>250.5</v>
      </c>
      <c r="O22" s="276">
        <f t="shared" si="0"/>
        <v>19.077844311377245</v>
      </c>
      <c r="P22" s="15">
        <v>193.33333333333334</v>
      </c>
      <c r="Q22" s="276">
        <f t="shared" ref="Q22:Q23" si="1257">IF(P22=0,0,M22/P22*6)</f>
        <v>148.31379310344829</v>
      </c>
      <c r="R22" s="277">
        <f t="shared" si="570"/>
        <v>147.69230769230768</v>
      </c>
      <c r="S22" s="222">
        <v>3840</v>
      </c>
      <c r="T22" s="276">
        <f t="shared" si="571"/>
        <v>32.357812500000001</v>
      </c>
      <c r="U22" s="278"/>
      <c r="V22" s="277">
        <f t="shared" si="1"/>
        <v>32.357812500000001</v>
      </c>
      <c r="W22" s="279">
        <f t="shared" si="1246"/>
        <v>1</v>
      </c>
      <c r="X22" s="299"/>
      <c r="Y22" s="280" t="e">
        <f>#REF!+#REF!</f>
        <v>#REF!</v>
      </c>
      <c r="Z22" s="280" t="e">
        <f t="shared" si="1251"/>
        <v>#REF!</v>
      </c>
      <c r="AA22" s="280" t="e">
        <f t="shared" si="1255"/>
        <v>#REF!</v>
      </c>
      <c r="AB22" s="280" t="e">
        <f t="shared" si="1256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2"/>
        <v>4654</v>
      </c>
      <c r="BAV22" s="43">
        <f t="shared" si="573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4"/>
        <v>1099</v>
      </c>
      <c r="BBD22" s="43">
        <f t="shared" si="575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6"/>
        <v>31</v>
      </c>
      <c r="BBL22" s="43">
        <f t="shared" si="577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78"/>
        <v>943</v>
      </c>
      <c r="BBT22" s="43">
        <f t="shared" si="579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0"/>
        <v>861</v>
      </c>
      <c r="BCB22" s="43">
        <f t="shared" si="581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2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3"/>
        <v>503</v>
      </c>
      <c r="BCR22" s="43">
        <f t="shared" si="584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5"/>
        <v>1079</v>
      </c>
      <c r="BCZ22" s="43">
        <f t="shared" si="586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7"/>
        <v>745</v>
      </c>
      <c r="BDH22" s="43">
        <f t="shared" si="588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89"/>
        <v>1845</v>
      </c>
      <c r="BDP22" s="43">
        <f t="shared" si="590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1"/>
        <v>65</v>
      </c>
      <c r="BDX22" s="43">
        <f t="shared" si="592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3"/>
        <v>341</v>
      </c>
      <c r="BEF22" s="43">
        <f t="shared" si="594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5"/>
        <v>309</v>
      </c>
      <c r="BEN22" s="43">
        <f t="shared" si="596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7"/>
        <v>430</v>
      </c>
      <c r="BEV22" s="43">
        <f t="shared" si="598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599"/>
        <v>539</v>
      </c>
      <c r="BFD22" s="43">
        <f t="shared" si="600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1"/>
        <v>709</v>
      </c>
      <c r="BFL22" s="68">
        <f t="shared" si="602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3"/>
        <v>1623</v>
      </c>
      <c r="BFT22" s="68">
        <f t="shared" si="604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5"/>
        <v>1137</v>
      </c>
      <c r="BGB22" s="68">
        <f t="shared" si="606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7"/>
        <v>2324</v>
      </c>
      <c r="BGJ22" s="68">
        <f t="shared" si="608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09"/>
        <v>1071</v>
      </c>
      <c r="BGR22" s="68">
        <f t="shared" si="610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1"/>
        <v>532</v>
      </c>
      <c r="BGZ22" s="68">
        <f t="shared" si="612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3"/>
        <v>684</v>
      </c>
      <c r="BHH22" s="68">
        <f t="shared" si="614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5"/>
        <v>1720</v>
      </c>
      <c r="BHP22" s="184">
        <f t="shared" si="616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7"/>
        <v>582</v>
      </c>
      <c r="BHX22" s="211">
        <f t="shared" si="618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19"/>
        <v>1153</v>
      </c>
      <c r="BIF22" s="184">
        <f t="shared" si="620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1"/>
        <v>1516</v>
      </c>
      <c r="BIN22" s="184">
        <f t="shared" si="622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3"/>
        <v>1994</v>
      </c>
      <c r="BIV22" s="211">
        <f t="shared" si="624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5"/>
        <v>1026</v>
      </c>
      <c r="BJD22" s="211">
        <f t="shared" si="626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7"/>
        <v>2066</v>
      </c>
      <c r="BJL22" s="211">
        <f t="shared" si="628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29"/>
        <v>1917</v>
      </c>
      <c r="BJT22" s="184">
        <f t="shared" si="630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1"/>
        <v>2057</v>
      </c>
      <c r="BKB22" s="184">
        <f t="shared" si="632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3"/>
        <v>1420</v>
      </c>
      <c r="BKJ22" s="184">
        <f t="shared" si="634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5"/>
        <v>563</v>
      </c>
      <c r="BKR22" s="184">
        <f t="shared" si="636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7"/>
        <v>540</v>
      </c>
      <c r="BKZ22" s="211">
        <f t="shared" si="638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39"/>
        <v>1064</v>
      </c>
      <c r="BLH22" s="211">
        <f t="shared" si="640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1"/>
        <v>130</v>
      </c>
      <c r="BLP22" s="184">
        <f t="shared" si="642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3"/>
        <v>2077</v>
      </c>
      <c r="BLX22" s="184">
        <f t="shared" si="644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5"/>
        <v>697</v>
      </c>
      <c r="BMF22" s="68">
        <f t="shared" si="646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7"/>
        <v>1481</v>
      </c>
      <c r="BMN22" s="68">
        <f t="shared" si="648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49"/>
        <v>396</v>
      </c>
      <c r="BMV22" s="68">
        <f t="shared" si="650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1"/>
        <v>1409</v>
      </c>
      <c r="BND22" s="68">
        <f t="shared" si="652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3"/>
        <v>406</v>
      </c>
      <c r="BNL22" s="68">
        <f t="shared" si="654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5"/>
        <v>1700</v>
      </c>
      <c r="BNT22" s="68">
        <f t="shared" si="656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7"/>
        <v>335</v>
      </c>
      <c r="BOB22" s="184">
        <f t="shared" si="658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59"/>
        <v>1157</v>
      </c>
      <c r="BOJ22" s="184">
        <f t="shared" si="660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1"/>
        <v>913</v>
      </c>
      <c r="BOR22" s="68">
        <f t="shared" si="662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3"/>
        <v>1824</v>
      </c>
      <c r="BOZ22" s="68">
        <f t="shared" si="664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5"/>
        <v>1863</v>
      </c>
      <c r="BPH22" s="68">
        <f t="shared" si="666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7"/>
        <v>700</v>
      </c>
      <c r="BPP22" s="68">
        <f t="shared" si="668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69"/>
        <v>2482</v>
      </c>
      <c r="BPX22" s="68">
        <f t="shared" si="670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1"/>
        <v>1244</v>
      </c>
      <c r="BQF22" s="68">
        <f t="shared" si="672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3"/>
        <v>1087</v>
      </c>
      <c r="BQN22" s="68">
        <f t="shared" si="674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5"/>
        <v>132</v>
      </c>
      <c r="BQV22" s="68">
        <f t="shared" si="676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7"/>
        <v>1193</v>
      </c>
      <c r="BRD22" s="68">
        <f t="shared" si="678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79"/>
        <v>157</v>
      </c>
      <c r="BRL22" s="68">
        <f t="shared" si="680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1"/>
        <v>1951</v>
      </c>
      <c r="BRT22" s="68">
        <f t="shared" si="682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3"/>
        <v>178</v>
      </c>
      <c r="BSB22" s="68">
        <f t="shared" si="684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5"/>
        <v>3126</v>
      </c>
      <c r="BSJ22" s="68">
        <f t="shared" si="686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7"/>
        <v>347</v>
      </c>
      <c r="BSR22" s="68">
        <f t="shared" si="688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89"/>
        <v>3124</v>
      </c>
      <c r="BSZ22" s="68">
        <f t="shared" si="690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1"/>
        <v>1505</v>
      </c>
      <c r="BTH22" s="68">
        <f t="shared" si="692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3"/>
        <v>1823</v>
      </c>
      <c r="BTP22" s="68">
        <f t="shared" si="694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5"/>
        <v>226</v>
      </c>
      <c r="BTX22" s="184">
        <f t="shared" si="696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7"/>
        <v>240</v>
      </c>
      <c r="BUF22" s="184">
        <f t="shared" si="698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699"/>
        <v>151</v>
      </c>
      <c r="BUN22" s="211">
        <f t="shared" si="700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1"/>
        <v>412</v>
      </c>
      <c r="BUV22" s="211">
        <f t="shared" si="702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3"/>
        <v>1352</v>
      </c>
      <c r="BVD22" s="211">
        <f t="shared" si="704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5"/>
        <v>2330</v>
      </c>
      <c r="BVL22" s="184">
        <f t="shared" si="706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7"/>
        <v>1490</v>
      </c>
      <c r="BVT22" s="211">
        <f t="shared" si="708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09"/>
        <v>623</v>
      </c>
      <c r="BWB22" s="184">
        <f t="shared" si="710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1"/>
        <v>3075</v>
      </c>
      <c r="BWJ22" s="184">
        <f t="shared" si="712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3"/>
        <v>758</v>
      </c>
      <c r="BWR22" s="211">
        <f t="shared" si="714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5"/>
        <v>1544</v>
      </c>
      <c r="BWZ22" s="211">
        <f t="shared" si="716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7"/>
        <v>379</v>
      </c>
      <c r="BXH22" s="211">
        <f t="shared" si="718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19"/>
        <v>1001</v>
      </c>
      <c r="BXP22" s="184">
        <f t="shared" si="720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1"/>
        <v>1347</v>
      </c>
      <c r="BXX22" s="184">
        <f t="shared" si="722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3"/>
        <v>1436</v>
      </c>
      <c r="BYF22" s="211">
        <f t="shared" si="724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5"/>
        <v>1295</v>
      </c>
      <c r="BYN22" s="184">
        <f t="shared" si="726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7"/>
        <v>1645</v>
      </c>
      <c r="BYV22" s="211">
        <f t="shared" si="728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29"/>
        <v>1511</v>
      </c>
      <c r="BZD22" s="184">
        <f t="shared" si="730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1"/>
        <v>1246</v>
      </c>
      <c r="BZL22" s="184">
        <f t="shared" si="732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3"/>
        <v>410</v>
      </c>
      <c r="BZT22" s="68">
        <f t="shared" si="734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5"/>
        <v>2178</v>
      </c>
      <c r="CAB22" s="68">
        <f t="shared" si="736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7"/>
        <v>513</v>
      </c>
      <c r="CAJ22" s="68">
        <f t="shared" si="738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39"/>
        <v>2981</v>
      </c>
      <c r="CAR22" s="184">
        <f t="shared" si="740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1"/>
        <v>864</v>
      </c>
      <c r="CAZ22" s="211">
        <f t="shared" si="742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3"/>
        <v>1406</v>
      </c>
      <c r="CBH22" s="211">
        <f t="shared" si="744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5"/>
        <v>852</v>
      </c>
      <c r="CBP22" s="184">
        <f t="shared" si="746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7"/>
        <v>52</v>
      </c>
      <c r="CBX22" s="68">
        <f t="shared" si="748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49"/>
        <v>1501</v>
      </c>
      <c r="CCF22" s="68">
        <f t="shared" si="750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1"/>
        <v>2318</v>
      </c>
      <c r="CCN22" s="68">
        <f t="shared" si="752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3"/>
        <v>1174</v>
      </c>
      <c r="CCV22" s="68">
        <f t="shared" si="754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5"/>
        <v>683</v>
      </c>
      <c r="CDD22" s="68">
        <f t="shared" si="756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7"/>
        <v>1061</v>
      </c>
      <c r="CDL22" s="68">
        <f t="shared" si="758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59"/>
        <v>644</v>
      </c>
      <c r="CDT22" s="68">
        <f t="shared" si="760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1"/>
        <v>3235</v>
      </c>
      <c r="CEB22" s="68">
        <f t="shared" si="762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3"/>
        <v>1290</v>
      </c>
      <c r="CEJ22" s="68">
        <f t="shared" si="764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5"/>
        <v>869</v>
      </c>
      <c r="CER22" s="68">
        <f t="shared" si="766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7"/>
        <v>1940</v>
      </c>
      <c r="CEZ22" s="68">
        <f t="shared" si="768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69"/>
        <v>541</v>
      </c>
      <c r="CFH22" s="68">
        <f t="shared" si="770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1"/>
        <v>2472</v>
      </c>
      <c r="CFP22" s="68">
        <f t="shared" si="772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3"/>
        <v>2589</v>
      </c>
      <c r="CFX22" s="68">
        <f t="shared" si="774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5"/>
        <v>721</v>
      </c>
      <c r="CGF22" s="68">
        <f t="shared" si="776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7"/>
        <v>1342</v>
      </c>
      <c r="CGN22" s="68">
        <f t="shared" si="778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79"/>
        <v>2504</v>
      </c>
      <c r="CGV22" s="68">
        <f t="shared" si="780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1"/>
        <v>1639</v>
      </c>
      <c r="CHD22" s="68">
        <f t="shared" si="782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3"/>
        <v>1141</v>
      </c>
      <c r="CHL22" s="68">
        <f t="shared" si="784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5"/>
        <v>1110</v>
      </c>
      <c r="CHT22" s="68">
        <f t="shared" si="786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7"/>
        <v>1636</v>
      </c>
      <c r="CIB22" s="68">
        <f t="shared" si="788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89"/>
        <v>144</v>
      </c>
      <c r="CIJ22" s="68">
        <f t="shared" si="790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1"/>
        <v>1380</v>
      </c>
      <c r="CIR22" s="68">
        <f t="shared" si="792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3"/>
        <v>1688</v>
      </c>
      <c r="CIZ22" s="68">
        <f t="shared" si="794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5"/>
        <v>1449</v>
      </c>
      <c r="CJH22" s="68">
        <f t="shared" si="796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7"/>
        <v>737</v>
      </c>
      <c r="CJP22" s="68">
        <f t="shared" si="798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799"/>
        <v>1401</v>
      </c>
      <c r="CJX22" s="68">
        <f t="shared" si="800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1"/>
        <v>1131</v>
      </c>
      <c r="CKF22" s="68">
        <f t="shared" si="802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3"/>
        <v>1583</v>
      </c>
      <c r="CKN22" s="68">
        <f t="shared" si="804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5"/>
        <v>2180</v>
      </c>
      <c r="CKV22" s="68">
        <f t="shared" si="806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7"/>
        <v>10</v>
      </c>
      <c r="CLD22" s="68">
        <f t="shared" si="808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09"/>
        <v>2606</v>
      </c>
      <c r="CLL22" s="68">
        <f t="shared" si="810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1"/>
        <v>646</v>
      </c>
      <c r="CLT22" s="184">
        <f t="shared" si="812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3"/>
        <v>1221</v>
      </c>
      <c r="CMB22" s="68">
        <f t="shared" si="814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5"/>
        <v>2554</v>
      </c>
      <c r="CMJ22" s="68">
        <f t="shared" si="816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7"/>
        <v>1627</v>
      </c>
      <c r="CMR22" s="68">
        <f t="shared" si="818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19"/>
        <v>760</v>
      </c>
      <c r="CMZ22" s="68">
        <f t="shared" si="820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1"/>
        <v>1107</v>
      </c>
      <c r="CNH22" s="68">
        <f t="shared" si="822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3"/>
        <v>1288</v>
      </c>
      <c r="CNP22" s="68">
        <f t="shared" si="824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5"/>
        <v>1791</v>
      </c>
      <c r="CNX22" s="68">
        <f t="shared" si="826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7"/>
        <v>1199</v>
      </c>
      <c r="COF22" s="68">
        <f t="shared" si="828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29"/>
        <v>1830</v>
      </c>
      <c r="CON22" s="68">
        <f t="shared" si="830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1"/>
        <v>1635</v>
      </c>
      <c r="COV22" s="68">
        <f t="shared" si="832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3"/>
        <v>1473</v>
      </c>
      <c r="CPD22" s="68">
        <f t="shared" si="834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5"/>
        <v>1393</v>
      </c>
      <c r="CPL22" s="68">
        <f t="shared" si="836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7"/>
        <v>2264</v>
      </c>
      <c r="CPT22" s="68">
        <f t="shared" si="838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39"/>
        <v>756</v>
      </c>
      <c r="CQB22" s="68">
        <f t="shared" si="840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1"/>
        <v>0</v>
      </c>
      <c r="CQJ22" s="68">
        <f t="shared" si="842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3"/>
        <v>2307</v>
      </c>
      <c r="CQR22" s="68">
        <f t="shared" si="844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146</v>
      </c>
      <c r="CQX22" s="49">
        <v>1106</v>
      </c>
      <c r="CQY22" s="67">
        <f t="shared" si="845"/>
        <v>2411</v>
      </c>
      <c r="CQZ22" s="68">
        <f t="shared" si="846"/>
        <v>401.83333333333331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7"/>
        <v>1402</v>
      </c>
      <c r="CRH22" s="68">
        <f t="shared" si="848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49"/>
        <v>108</v>
      </c>
      <c r="CRP22" s="68">
        <f t="shared" si="850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1"/>
        <v>1213</v>
      </c>
      <c r="CRX22" s="68">
        <f t="shared" si="852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44"/>
        <v>1488</v>
      </c>
      <c r="CSF22" s="68">
        <f t="shared" si="1245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5"/>
        <v>4329</v>
      </c>
      <c r="CSN22" s="68">
        <f t="shared" si="856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7"/>
        <v>412</v>
      </c>
      <c r="CSV22" s="68">
        <f t="shared" si="858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59"/>
        <v>0</v>
      </c>
      <c r="CTD22" s="68">
        <f t="shared" si="860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1"/>
        <v>0</v>
      </c>
      <c r="CTL22" s="68">
        <f t="shared" si="862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3"/>
        <v>59</v>
      </c>
      <c r="CTT22" s="68">
        <f t="shared" si="864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5"/>
        <v>336</v>
      </c>
      <c r="CUB22" s="68">
        <f t="shared" si="866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7"/>
        <v>1204</v>
      </c>
      <c r="CUJ22" s="68">
        <f t="shared" si="868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69"/>
        <v>1221</v>
      </c>
      <c r="CUR22" s="68">
        <f t="shared" si="870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1"/>
        <v>1295</v>
      </c>
      <c r="CUZ22" s="68">
        <f t="shared" si="872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3"/>
        <v>715</v>
      </c>
      <c r="CVH22" s="68">
        <f t="shared" si="874"/>
        <v>119.16666666666667</v>
      </c>
      <c r="CVI22" s="48">
        <v>204</v>
      </c>
      <c r="CVJ22" s="49">
        <f>SUMIF(SUMPK!$B:$B,$B:$B,SUMPK!$O:$O)</f>
        <v>146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5"/>
        <v>1758</v>
      </c>
      <c r="CVP22" s="68">
        <f t="shared" si="876"/>
        <v>293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7"/>
        <v>1236</v>
      </c>
      <c r="CVX22" s="68">
        <f t="shared" si="878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79"/>
        <v>1021</v>
      </c>
      <c r="CWF22" s="68">
        <f t="shared" si="880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1"/>
        <v>3000</v>
      </c>
      <c r="CWN22" s="68">
        <f t="shared" si="882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3"/>
        <v>804</v>
      </c>
      <c r="CWV22" s="43">
        <f t="shared" si="884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5"/>
        <v>1664</v>
      </c>
      <c r="CXD22" s="43">
        <f t="shared" si="886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7"/>
        <v>1426</v>
      </c>
      <c r="CXL22" s="43">
        <f t="shared" si="888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89"/>
        <v>597</v>
      </c>
      <c r="CXT22" s="43">
        <f t="shared" si="890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1"/>
        <v>1377</v>
      </c>
      <c r="CYB22" s="43">
        <f t="shared" si="892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3"/>
        <v>1077</v>
      </c>
      <c r="CYJ22" s="43">
        <f t="shared" si="894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5"/>
        <v>2847</v>
      </c>
      <c r="CYR22" s="43">
        <f t="shared" si="896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7"/>
        <v>1380</v>
      </c>
      <c r="CYZ22" s="43">
        <f t="shared" si="898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899"/>
        <v>846</v>
      </c>
      <c r="CZH22" s="43">
        <f t="shared" si="900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1"/>
        <v>1418</v>
      </c>
      <c r="CZP22" s="43">
        <f t="shared" si="902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3"/>
        <v>1532</v>
      </c>
      <c r="CZX22" s="43">
        <f t="shared" si="904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5"/>
        <v>906</v>
      </c>
      <c r="DAF22" s="43">
        <f t="shared" si="906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7"/>
        <v>1553</v>
      </c>
      <c r="DAN22" s="43">
        <f t="shared" si="908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09"/>
        <v>1076</v>
      </c>
      <c r="DAV22" s="68">
        <f t="shared" si="910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1"/>
        <v>2267</v>
      </c>
      <c r="DBD22" s="68">
        <f t="shared" si="912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3"/>
        <v>230</v>
      </c>
      <c r="DBL22" s="68">
        <f t="shared" si="914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5"/>
        <v>124</v>
      </c>
      <c r="DBT22" s="68">
        <f t="shared" si="916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7"/>
        <v>2345</v>
      </c>
      <c r="DCB22" s="184">
        <f t="shared" si="918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19"/>
        <v>988</v>
      </c>
      <c r="DCJ22" s="211">
        <f t="shared" si="920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1"/>
        <v>1471</v>
      </c>
      <c r="DCR22" s="211">
        <f t="shared" si="922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3"/>
        <v>1052</v>
      </c>
      <c r="DCZ22" s="184">
        <f t="shared" si="924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5"/>
        <v>1459</v>
      </c>
      <c r="DDH22" s="211">
        <f t="shared" si="926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7"/>
        <v>1160</v>
      </c>
      <c r="DDP22" s="184">
        <f t="shared" si="928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29"/>
        <v>1819</v>
      </c>
      <c r="DDX22" s="211">
        <f t="shared" si="930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1"/>
        <v>1648</v>
      </c>
      <c r="DEF22" s="214">
        <f t="shared" si="932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3"/>
        <v>871</v>
      </c>
      <c r="DEN22" s="101">
        <f t="shared" si="934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5"/>
        <v>1214</v>
      </c>
      <c r="DEV22" s="101">
        <f t="shared" si="936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7"/>
        <v>648</v>
      </c>
      <c r="DFD22" s="43">
        <f t="shared" si="938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39"/>
        <v>2528</v>
      </c>
      <c r="DFL22" s="43">
        <f t="shared" si="940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1"/>
        <v>337</v>
      </c>
      <c r="DFT22" s="43">
        <f t="shared" si="942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3"/>
        <v>1141</v>
      </c>
      <c r="DGB22" s="43">
        <f t="shared" si="944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5"/>
        <v>1925</v>
      </c>
      <c r="DGJ22" s="68">
        <f t="shared" si="946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7"/>
        <v>481</v>
      </c>
      <c r="DGR22" s="68">
        <f t="shared" si="948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49"/>
        <v>421</v>
      </c>
      <c r="DGZ22" s="68">
        <f t="shared" si="950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1"/>
        <v>1423</v>
      </c>
      <c r="DHH22" s="68">
        <f t="shared" si="952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3"/>
        <v>1305</v>
      </c>
      <c r="DHP22" s="68">
        <f t="shared" si="954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5"/>
        <v>1435</v>
      </c>
      <c r="DHX22" s="68">
        <f t="shared" si="956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7"/>
        <v>866</v>
      </c>
      <c r="DIF22" s="68">
        <f t="shared" si="958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59"/>
        <v>808</v>
      </c>
      <c r="DIN22" s="68">
        <f t="shared" si="960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1"/>
        <v>989</v>
      </c>
      <c r="DIV22" s="68">
        <f t="shared" si="962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3"/>
        <v>716</v>
      </c>
      <c r="DJD22" s="68">
        <f t="shared" si="964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5"/>
        <v>2132</v>
      </c>
      <c r="DJL22" s="68">
        <f t="shared" si="966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7"/>
        <v>1297</v>
      </c>
      <c r="DJT22" s="68">
        <f t="shared" si="968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69"/>
        <v>1228</v>
      </c>
      <c r="DKB22" s="68">
        <f t="shared" si="970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1"/>
        <v>1047</v>
      </c>
      <c r="DKJ22" s="68">
        <f t="shared" si="972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3"/>
        <v>3015</v>
      </c>
      <c r="DKR22" s="68">
        <f t="shared" si="974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5"/>
        <v>3251</v>
      </c>
      <c r="DKZ22" s="68">
        <f t="shared" si="976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7"/>
        <v>617</v>
      </c>
      <c r="DLH22" s="68">
        <f t="shared" si="978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79"/>
        <v>899</v>
      </c>
      <c r="DLP22" s="68">
        <f t="shared" si="980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1"/>
        <v>2247</v>
      </c>
      <c r="DLX22" s="68">
        <f t="shared" si="982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3"/>
        <v>1149</v>
      </c>
      <c r="DMF22" s="68">
        <f t="shared" si="984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5"/>
        <v>504</v>
      </c>
      <c r="DMN22" s="68">
        <f t="shared" si="986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7"/>
        <v>2786</v>
      </c>
      <c r="DMV22" s="68">
        <f t="shared" si="988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89"/>
        <v>2238</v>
      </c>
      <c r="DND22" s="68">
        <f t="shared" si="990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1"/>
        <v>810</v>
      </c>
      <c r="DNL22" s="68">
        <f t="shared" si="992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3"/>
        <v>782</v>
      </c>
      <c r="DNT22" s="68">
        <f t="shared" si="994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5"/>
        <v>0</v>
      </c>
      <c r="DOB22" s="68">
        <f t="shared" si="996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7"/>
        <v>1408</v>
      </c>
      <c r="DOJ22" s="68">
        <f t="shared" si="998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999"/>
        <v>1749</v>
      </c>
      <c r="DOR22" s="68">
        <f t="shared" si="1000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1"/>
        <v>1823</v>
      </c>
      <c r="DOZ22" s="68">
        <f t="shared" si="1002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3"/>
        <v>334</v>
      </c>
      <c r="DPH22" s="68">
        <f t="shared" si="1004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5"/>
        <v>2333</v>
      </c>
      <c r="DPP22" s="68">
        <f t="shared" si="1006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7"/>
        <v>1226</v>
      </c>
      <c r="DPX22" s="68">
        <f t="shared" si="1008"/>
        <v>204.33333333333334</v>
      </c>
      <c r="DPY22" s="63">
        <v>90</v>
      </c>
      <c r="DPZ22" s="64">
        <v>0</v>
      </c>
      <c r="DQA22" s="64">
        <f>SUMIF(SUMPK!$B:$B,$B:$B,SUMPK!$O:$O)</f>
        <v>146</v>
      </c>
      <c r="DQB22" s="64">
        <v>0</v>
      </c>
      <c r="DQC22" s="64">
        <v>0</v>
      </c>
      <c r="DQD22" s="64">
        <v>781</v>
      </c>
      <c r="DQE22" s="64">
        <f t="shared" si="1009"/>
        <v>1017</v>
      </c>
      <c r="DQF22" s="68">
        <f t="shared" si="1010"/>
        <v>169.5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1"/>
        <v>351</v>
      </c>
      <c r="DQN22" s="68">
        <f t="shared" si="1012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3"/>
        <v>3318</v>
      </c>
      <c r="DQV22" s="68">
        <f t="shared" si="1014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5"/>
        <v>2069</v>
      </c>
      <c r="DRD22" s="68">
        <f t="shared" si="1016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7"/>
        <v>512</v>
      </c>
      <c r="DRL22" s="68">
        <f t="shared" si="1018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19"/>
        <v>1429</v>
      </c>
      <c r="DRT22" s="68">
        <f t="shared" si="1020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1"/>
        <v>1017</v>
      </c>
      <c r="DSB22" s="68">
        <f t="shared" si="1022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3"/>
        <v>1368</v>
      </c>
      <c r="DSJ22" s="68">
        <f t="shared" si="1024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5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6"/>
        <v>1834</v>
      </c>
      <c r="DSZ22" s="68">
        <f t="shared" si="1027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28"/>
        <v>1916</v>
      </c>
      <c r="DTH22" s="68">
        <f t="shared" si="1029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0"/>
        <v>1583</v>
      </c>
      <c r="DTP22" s="68">
        <f t="shared" si="1031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2"/>
        <v>1257</v>
      </c>
      <c r="DTX22" s="68">
        <f t="shared" si="1033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4"/>
        <v>1314</v>
      </c>
      <c r="DUF22" s="68">
        <f t="shared" si="1035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6"/>
        <v>2367</v>
      </c>
      <c r="DUN22" s="68">
        <f t="shared" si="1037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38"/>
        <v>1679</v>
      </c>
      <c r="DUV22" s="68">
        <f t="shared" si="1039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0"/>
        <v>760</v>
      </c>
      <c r="DVD22" s="68">
        <f t="shared" si="1041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2"/>
        <v>2393</v>
      </c>
      <c r="DVL22" s="68">
        <f t="shared" si="1043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4"/>
        <v>1000</v>
      </c>
      <c r="DVT22" s="68">
        <f t="shared" si="1045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6"/>
        <v>1</v>
      </c>
      <c r="DWB22" s="68">
        <f t="shared" si="1047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48"/>
        <v>1945</v>
      </c>
      <c r="DWJ22" s="68">
        <f t="shared" si="1049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0"/>
        <v>1697</v>
      </c>
      <c r="DWR22" s="68">
        <f t="shared" si="1051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2"/>
        <v>541</v>
      </c>
      <c r="DWZ22" s="68">
        <f t="shared" si="1053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4"/>
        <v>1860</v>
      </c>
      <c r="DXH22" s="68">
        <f t="shared" si="1055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6"/>
        <v>2088</v>
      </c>
      <c r="DXP22" s="68">
        <f t="shared" si="1057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58"/>
        <v>1739</v>
      </c>
      <c r="DXX22" s="68">
        <f t="shared" si="1059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0"/>
        <v>1158</v>
      </c>
      <c r="DYF22" s="68">
        <f t="shared" si="1061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2"/>
        <v>1948</v>
      </c>
      <c r="DYN22" s="68">
        <f t="shared" si="1063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4"/>
        <v>708</v>
      </c>
      <c r="DYV22" s="68">
        <f t="shared" si="1065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6"/>
        <v>263</v>
      </c>
      <c r="DZD22" s="68">
        <f t="shared" si="1067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68"/>
        <v>1030</v>
      </c>
      <c r="DZL22" s="68">
        <f t="shared" si="1069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0"/>
        <v>918</v>
      </c>
      <c r="DZT22" s="68">
        <f t="shared" si="1071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2"/>
        <v>459</v>
      </c>
      <c r="EAB22" s="68">
        <f t="shared" si="1073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4"/>
        <v>1211</v>
      </c>
      <c r="EAJ22" s="68">
        <f t="shared" si="1075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6"/>
        <v>433</v>
      </c>
      <c r="EAR22" s="68">
        <f t="shared" si="1077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78"/>
        <v>2030</v>
      </c>
      <c r="EAZ22" s="68">
        <f t="shared" si="1079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0"/>
        <v>1910</v>
      </c>
      <c r="EBH22" s="68">
        <f t="shared" si="1081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2"/>
        <v>2181</v>
      </c>
      <c r="EBP22" s="68">
        <f t="shared" si="1083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4"/>
        <v>1956</v>
      </c>
      <c r="EBX22" s="68">
        <f t="shared" si="1085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6"/>
        <v>382</v>
      </c>
      <c r="ECF22" s="68">
        <f t="shared" si="1087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88"/>
        <v>321</v>
      </c>
      <c r="ECN22" s="68">
        <f t="shared" si="1089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0"/>
        <v>1621</v>
      </c>
      <c r="ECV22" s="68">
        <f t="shared" si="1091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2"/>
        <v>938</v>
      </c>
      <c r="EDD22" s="68">
        <f t="shared" si="1093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4"/>
        <v>1166</v>
      </c>
      <c r="EDL22" s="68">
        <f t="shared" si="1095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6"/>
        <v>1133</v>
      </c>
      <c r="EDT22" s="68">
        <f t="shared" si="1097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098"/>
        <v>2015</v>
      </c>
      <c r="EEB22" s="68">
        <f t="shared" si="1099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0"/>
        <v>997</v>
      </c>
      <c r="EEJ22" s="68">
        <f t="shared" si="1101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2"/>
        <v>1235</v>
      </c>
      <c r="EER22" s="68">
        <f t="shared" si="1103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4"/>
        <v>1810</v>
      </c>
      <c r="EEZ22" s="68">
        <f t="shared" si="1105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6"/>
        <v>960</v>
      </c>
      <c r="EFH22" s="68">
        <f t="shared" si="1107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08"/>
        <v>30</v>
      </c>
      <c r="EFP22" s="68">
        <f t="shared" si="1109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0"/>
        <v>3507</v>
      </c>
      <c r="EFX22" s="68">
        <f t="shared" si="1111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2"/>
        <v>1691</v>
      </c>
      <c r="EGF22" s="68">
        <f t="shared" si="1113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4"/>
        <v>819</v>
      </c>
      <c r="EGN22" s="68">
        <f t="shared" si="1115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6"/>
        <v>992</v>
      </c>
      <c r="EGV22" s="68">
        <f t="shared" si="1117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18"/>
        <v>1258</v>
      </c>
      <c r="EHD22" s="68">
        <f t="shared" si="1119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0"/>
        <v>1176</v>
      </c>
      <c r="EHL22" s="68">
        <f t="shared" si="1121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2"/>
        <v>613</v>
      </c>
      <c r="EHT22" s="68">
        <f t="shared" si="1123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4"/>
        <v>1222</v>
      </c>
      <c r="EIB22" s="68">
        <f t="shared" si="1125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6"/>
        <v>506</v>
      </c>
      <c r="EIJ22" s="68">
        <f t="shared" si="1127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28"/>
        <v>1540</v>
      </c>
      <c r="EIR22" s="68">
        <f t="shared" si="1129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0"/>
        <v>1009</v>
      </c>
      <c r="EIZ22" s="68">
        <f t="shared" si="1131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2"/>
        <v>60</v>
      </c>
      <c r="EJH22" s="68">
        <f t="shared" si="1133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4"/>
        <v>1978</v>
      </c>
      <c r="EJP22" s="68">
        <f t="shared" si="1135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6"/>
        <v>1452</v>
      </c>
      <c r="EJX22" s="68">
        <f t="shared" si="1137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38"/>
        <v>622</v>
      </c>
      <c r="EKF22" s="68">
        <f t="shared" si="1139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0"/>
        <v>260</v>
      </c>
      <c r="EKN22" s="68">
        <f t="shared" si="1141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2"/>
        <v>1092</v>
      </c>
      <c r="EKV22" s="68">
        <f t="shared" si="1143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4"/>
        <v>937</v>
      </c>
      <c r="ELD22" s="68">
        <f t="shared" si="1145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6"/>
        <v>1276</v>
      </c>
      <c r="ELL22" s="184">
        <f t="shared" si="1147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48"/>
        <v>2378</v>
      </c>
      <c r="ELU22" s="211">
        <f t="shared" si="1149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0"/>
        <v>817</v>
      </c>
      <c r="EMC22" s="211">
        <f t="shared" si="1151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2"/>
        <v>812</v>
      </c>
      <c r="EMK22" s="211">
        <f t="shared" si="1153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4"/>
        <v>398</v>
      </c>
      <c r="EMS22" s="211">
        <f t="shared" si="1155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6"/>
        <v>919</v>
      </c>
      <c r="ENA22" s="211">
        <f t="shared" si="1157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58"/>
        <v>571</v>
      </c>
      <c r="ENI22" s="211">
        <f t="shared" si="1159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0"/>
        <v>1044</v>
      </c>
      <c r="ENQ22" s="211">
        <f t="shared" si="1161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2"/>
        <v>1475</v>
      </c>
      <c r="ENY22" s="211">
        <f t="shared" si="1163"/>
        <v>245.83333333333334</v>
      </c>
      <c r="ENZ22" s="244">
        <f>SUMIF(SUMPK!$B:$B,$B:$B,SUMPK!$O:$O)</f>
        <v>146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4"/>
        <v>1325</v>
      </c>
      <c r="EOG22" s="211">
        <f t="shared" si="1165"/>
        <v>220.83333333333334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6"/>
        <v>1345</v>
      </c>
      <c r="EOO22" s="211">
        <f t="shared" si="1167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68"/>
        <v>936</v>
      </c>
      <c r="EOW22" s="211">
        <f t="shared" si="1169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0"/>
        <v>503</v>
      </c>
      <c r="EPE22" s="211">
        <f t="shared" si="1171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2"/>
        <v>1160</v>
      </c>
      <c r="EPM22" s="211">
        <f t="shared" si="1173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4"/>
        <v>703</v>
      </c>
      <c r="EPU22" s="211">
        <f t="shared" si="1175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6"/>
        <v>1020</v>
      </c>
      <c r="EQC22" s="211">
        <f t="shared" si="1177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78"/>
        <v>937</v>
      </c>
      <c r="EQK22" s="211">
        <f t="shared" si="1179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0"/>
        <v>538</v>
      </c>
      <c r="EQS22" s="211">
        <f t="shared" si="1181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2"/>
        <v>1516</v>
      </c>
      <c r="ERA22" s="211">
        <f t="shared" si="1183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4"/>
        <v>1132</v>
      </c>
      <c r="ERI22" s="211">
        <f t="shared" si="1185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6"/>
        <v>951</v>
      </c>
      <c r="ERQ22" s="211">
        <f t="shared" si="1187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88"/>
        <v>514</v>
      </c>
      <c r="ERY22" s="211">
        <f t="shared" si="1189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0"/>
        <v>673</v>
      </c>
      <c r="ESG22" s="211">
        <f t="shared" si="1191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2"/>
        <v>1452</v>
      </c>
      <c r="ESO22" s="211">
        <f t="shared" si="1193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4"/>
        <v>888</v>
      </c>
      <c r="ESW22" s="211">
        <f t="shared" si="1195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6"/>
        <v>320</v>
      </c>
      <c r="ETE22" s="736">
        <f t="shared" si="1197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198"/>
        <v>1055</v>
      </c>
      <c r="ETM22" s="211">
        <f t="shared" si="1199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0"/>
        <v>1332</v>
      </c>
      <c r="ETU22" s="211">
        <f t="shared" si="1201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2"/>
        <v>149</v>
      </c>
      <c r="EUC22" s="211">
        <f t="shared" si="1203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4"/>
        <v>191</v>
      </c>
      <c r="EUK22" s="211">
        <f t="shared" si="1205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6"/>
        <v>1389</v>
      </c>
      <c r="EUS22" s="211">
        <f t="shared" si="1207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08"/>
        <v>1201</v>
      </c>
      <c r="EVA22" s="211">
        <f t="shared" si="1209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0"/>
        <v>1140</v>
      </c>
      <c r="EVI22" s="211">
        <f t="shared" si="1211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2"/>
        <v>1305</v>
      </c>
      <c r="EVQ22" s="211">
        <f t="shared" si="1213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4"/>
        <v>637</v>
      </c>
      <c r="EVY22" s="211">
        <f t="shared" si="1215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6"/>
        <v>1199</v>
      </c>
      <c r="EWG22" s="211">
        <f t="shared" si="1217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18"/>
        <v>891</v>
      </c>
      <c r="EWO22" s="211">
        <f t="shared" si="1219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0"/>
        <v>363</v>
      </c>
      <c r="EWW22" s="211">
        <f t="shared" si="1221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2"/>
        <v>626</v>
      </c>
      <c r="EXE22" s="211">
        <f t="shared" si="1223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4"/>
        <v>989</v>
      </c>
      <c r="EXM22" s="211">
        <f t="shared" si="1225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6"/>
        <v>555</v>
      </c>
      <c r="EXU22" s="211">
        <f t="shared" si="1227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28"/>
        <v>1131</v>
      </c>
      <c r="EYC22" s="211">
        <f t="shared" si="1229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0"/>
        <v>2087</v>
      </c>
      <c r="EYK22" s="211">
        <f t="shared" si="1231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2"/>
        <v>193</v>
      </c>
      <c r="EYS22" s="211">
        <f t="shared" si="1233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4"/>
        <v>7</v>
      </c>
      <c r="EZA22" s="211">
        <f t="shared" si="1235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6"/>
        <v>1368</v>
      </c>
      <c r="EZI22" s="211">
        <f t="shared" si="1237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38"/>
        <v>368</v>
      </c>
      <c r="EZQ22" s="873">
        <f t="shared" si="1239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0"/>
        <v>1503</v>
      </c>
      <c r="EZY22" s="873">
        <f t="shared" si="1241"/>
        <v>250.5</v>
      </c>
      <c r="EZZ22" s="195">
        <v>408</v>
      </c>
      <c r="FAA22" s="49">
        <v>54</v>
      </c>
      <c r="FAB22" s="49">
        <v>0</v>
      </c>
      <c r="FAC22" s="49"/>
      <c r="FAD22" s="49"/>
      <c r="FAE22" s="49"/>
      <c r="FAF22" s="872">
        <f t="shared" si="1242"/>
        <v>462</v>
      </c>
      <c r="FAG22" s="873">
        <f t="shared" si="1243"/>
        <v>77</v>
      </c>
    </row>
    <row r="23" spans="1:4089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8401</v>
      </c>
      <c r="G23" s="24"/>
      <c r="H23" s="24"/>
      <c r="I23" s="24"/>
      <c r="J23" s="360">
        <f>SUMIF(SUMPK!$B:$B,$B:$B,SUMPK!$O:$O)</f>
        <v>591</v>
      </c>
      <c r="K23" s="24"/>
      <c r="L23" s="24">
        <f t="shared" si="567"/>
        <v>7810</v>
      </c>
      <c r="M23" s="24">
        <f t="shared" si="568"/>
        <v>7810</v>
      </c>
      <c r="N23" s="15">
        <v>445.16666666666669</v>
      </c>
      <c r="O23" s="276">
        <f t="shared" si="0"/>
        <v>17.543991014601271</v>
      </c>
      <c r="P23" s="15">
        <v>326.5</v>
      </c>
      <c r="Q23" s="276">
        <f t="shared" si="1257"/>
        <v>143.52220520673814</v>
      </c>
      <c r="R23" s="277">
        <f t="shared" si="570"/>
        <v>500</v>
      </c>
      <c r="S23" s="222">
        <v>13000</v>
      </c>
      <c r="T23" s="276">
        <f t="shared" si="571"/>
        <v>15.62</v>
      </c>
      <c r="U23" s="278"/>
      <c r="V23" s="277">
        <f t="shared" si="1"/>
        <v>15.62</v>
      </c>
      <c r="W23" s="279">
        <f t="shared" si="1246"/>
        <v>1</v>
      </c>
      <c r="X23" s="299"/>
      <c r="Y23" s="280" t="e">
        <f>#REF!+#REF!</f>
        <v>#REF!</v>
      </c>
      <c r="Z23" s="280" t="e">
        <f t="shared" si="1251"/>
        <v>#REF!</v>
      </c>
      <c r="AA23" s="280" t="e">
        <f t="shared" si="1255"/>
        <v>#REF!</v>
      </c>
      <c r="AB23" s="280" t="e">
        <f t="shared" si="1256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58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59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0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2"/>
        <v>12942</v>
      </c>
      <c r="BAV23" s="53">
        <f t="shared" si="573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4"/>
        <v>4303</v>
      </c>
      <c r="BBD23" s="53">
        <f t="shared" si="575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6"/>
        <v>3623</v>
      </c>
      <c r="BBL23" s="53">
        <f t="shared" si="577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78"/>
        <v>5006</v>
      </c>
      <c r="BBT23" s="53">
        <f t="shared" si="579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0"/>
        <v>943</v>
      </c>
      <c r="BCB23" s="53">
        <f t="shared" si="581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2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3"/>
        <v>6388</v>
      </c>
      <c r="BCR23" s="53">
        <f t="shared" si="584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5"/>
        <v>3437</v>
      </c>
      <c r="BCZ23" s="53">
        <f t="shared" si="586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7"/>
        <v>2809</v>
      </c>
      <c r="BDH23" s="53">
        <f t="shared" si="588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89"/>
        <v>3290</v>
      </c>
      <c r="BDP23" s="53">
        <f t="shared" si="590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1"/>
        <v>3670</v>
      </c>
      <c r="BDX23" s="53">
        <f t="shared" si="592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3"/>
        <v>5432</v>
      </c>
      <c r="BEF23" s="53">
        <f t="shared" si="594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5"/>
        <v>7122</v>
      </c>
      <c r="BEN23" s="53">
        <f t="shared" si="596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7"/>
        <v>753</v>
      </c>
      <c r="BEV23" s="53">
        <f t="shared" si="598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599"/>
        <v>2162</v>
      </c>
      <c r="BFD23" s="53">
        <f t="shared" si="600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1"/>
        <v>7790</v>
      </c>
      <c r="BFL23" s="70">
        <f t="shared" si="602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3"/>
        <v>4666</v>
      </c>
      <c r="BFT23" s="70">
        <f t="shared" si="604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5"/>
        <v>6468</v>
      </c>
      <c r="BGB23" s="70">
        <f t="shared" si="606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7"/>
        <v>4739</v>
      </c>
      <c r="BGJ23" s="70">
        <f t="shared" si="608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09"/>
        <v>4388</v>
      </c>
      <c r="BGR23" s="70">
        <f t="shared" si="610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1"/>
        <v>1784</v>
      </c>
      <c r="BGZ23" s="70">
        <f t="shared" si="612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3"/>
        <v>1157</v>
      </c>
      <c r="BHH23" s="70">
        <f t="shared" si="614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5"/>
        <v>6711</v>
      </c>
      <c r="BHP23" s="210">
        <f t="shared" si="616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18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19"/>
        <v>4031</v>
      </c>
      <c r="BIF23" s="199">
        <f t="shared" si="620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1"/>
        <v>3684</v>
      </c>
      <c r="BIN23" s="199">
        <f t="shared" si="622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3"/>
        <v>5354</v>
      </c>
      <c r="BIV23" s="212">
        <f t="shared" si="624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5"/>
        <v>3795</v>
      </c>
      <c r="BJD23" s="212">
        <f t="shared" si="626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7"/>
        <v>1697</v>
      </c>
      <c r="BJL23" s="212">
        <f t="shared" si="628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29"/>
        <v>3949</v>
      </c>
      <c r="BJT23" s="199">
        <f t="shared" si="630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1"/>
        <v>5890</v>
      </c>
      <c r="BKB23" s="199">
        <f t="shared" si="632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3"/>
        <v>9121</v>
      </c>
      <c r="BKJ23" s="199">
        <f t="shared" si="634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5"/>
        <v>1542</v>
      </c>
      <c r="BKR23" s="184">
        <f t="shared" si="636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7"/>
        <v>3256</v>
      </c>
      <c r="BKZ23" s="212">
        <f t="shared" si="638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1">SUM(BLA23:BLE23)</f>
        <v>8813</v>
      </c>
      <c r="BLH23" s="211">
        <f t="shared" si="640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1"/>
        <v>1962</v>
      </c>
      <c r="BLP23" s="199">
        <f t="shared" si="642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3"/>
        <v>226</v>
      </c>
      <c r="BLX23" s="184">
        <f t="shared" si="644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5"/>
        <v>2381</v>
      </c>
      <c r="BMF23" s="70">
        <f t="shared" si="646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7"/>
        <v>4448</v>
      </c>
      <c r="BMN23" s="70">
        <f t="shared" si="648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49"/>
        <v>5965</v>
      </c>
      <c r="BMV23" s="70">
        <f t="shared" si="650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1"/>
        <v>5975</v>
      </c>
      <c r="BND23" s="70">
        <f t="shared" si="652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3"/>
        <v>3322</v>
      </c>
      <c r="BNL23" s="70">
        <f t="shared" si="654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5"/>
        <v>1380</v>
      </c>
      <c r="BNT23" s="70">
        <f t="shared" si="656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7"/>
        <v>7533</v>
      </c>
      <c r="BOB23" s="210">
        <f t="shared" si="658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2">SUM(BOC23:BOG23)</f>
        <v>6687</v>
      </c>
      <c r="BOJ23" s="199">
        <f t="shared" si="660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1"/>
        <v>930</v>
      </c>
      <c r="BOR23" s="70">
        <f t="shared" si="662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3"/>
        <v>4354</v>
      </c>
      <c r="BOZ23" s="70">
        <f t="shared" si="664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5"/>
        <v>4321</v>
      </c>
      <c r="BPH23" s="70">
        <f t="shared" si="666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7"/>
        <v>2460</v>
      </c>
      <c r="BPP23" s="68">
        <f t="shared" si="668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69"/>
        <v>3346</v>
      </c>
      <c r="BPX23" s="70">
        <f t="shared" si="670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1"/>
        <v>1891</v>
      </c>
      <c r="BQF23" s="70">
        <f t="shared" si="672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3"/>
        <v>3006</v>
      </c>
      <c r="BQN23" s="70">
        <f t="shared" si="674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5"/>
        <v>1162</v>
      </c>
      <c r="BQV23" s="70">
        <f t="shared" si="676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7"/>
        <v>2526</v>
      </c>
      <c r="BRD23" s="70">
        <f t="shared" si="678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79"/>
        <v>3555</v>
      </c>
      <c r="BRL23" s="70">
        <f t="shared" si="680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1"/>
        <v>5791</v>
      </c>
      <c r="BRT23" s="68">
        <f t="shared" si="682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3"/>
        <v>7795</v>
      </c>
      <c r="BSB23" s="70">
        <f t="shared" si="684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5"/>
        <v>10927</v>
      </c>
      <c r="BSJ23" s="68">
        <f t="shared" si="686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7"/>
        <v>957</v>
      </c>
      <c r="BSR23" s="70">
        <f t="shared" si="688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89"/>
        <v>7607</v>
      </c>
      <c r="BSZ23" s="70">
        <f t="shared" si="690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1"/>
        <v>2467</v>
      </c>
      <c r="BTH23" s="70">
        <f t="shared" si="692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3"/>
        <v>2426</v>
      </c>
      <c r="BTP23" s="68">
        <f t="shared" si="694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5"/>
        <v>1146</v>
      </c>
      <c r="BTX23" s="210">
        <f t="shared" si="696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7"/>
        <v>3916</v>
      </c>
      <c r="BUF23" s="184">
        <f t="shared" si="698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699"/>
        <v>3161</v>
      </c>
      <c r="BUN23" s="212">
        <f t="shared" si="700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1"/>
        <v>4600</v>
      </c>
      <c r="BUV23" s="211">
        <f t="shared" si="702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3"/>
        <v>4072</v>
      </c>
      <c r="BVD23" s="212">
        <f t="shared" si="704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5"/>
        <v>4181</v>
      </c>
      <c r="BVL23" s="199">
        <f t="shared" si="706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7"/>
        <v>3781</v>
      </c>
      <c r="BVT23" s="212">
        <f t="shared" si="708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09"/>
        <v>5707</v>
      </c>
      <c r="BWB23" s="184">
        <f t="shared" si="710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1"/>
        <v>4548</v>
      </c>
      <c r="BWJ23" s="199">
        <f t="shared" si="712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3"/>
        <v>1435</v>
      </c>
      <c r="BWR23" s="212">
        <f t="shared" si="714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5"/>
        <v>4047</v>
      </c>
      <c r="BWZ23" s="212">
        <f t="shared" si="716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7"/>
        <v>899</v>
      </c>
      <c r="BXH23" s="212">
        <f t="shared" si="718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19"/>
        <v>3329</v>
      </c>
      <c r="BXP23" s="199">
        <f t="shared" si="720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1"/>
        <v>4341</v>
      </c>
      <c r="BXX23" s="199">
        <f t="shared" si="722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3"/>
        <v>3478</v>
      </c>
      <c r="BYF23" s="212">
        <f t="shared" si="724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5"/>
        <v>6166</v>
      </c>
      <c r="BYN23" s="199">
        <f t="shared" si="726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7"/>
        <v>5551</v>
      </c>
      <c r="BYV23" s="212">
        <f t="shared" si="728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29"/>
        <v>3444</v>
      </c>
      <c r="BZD23" s="199">
        <f t="shared" si="730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1"/>
        <v>3446</v>
      </c>
      <c r="BZL23" s="199">
        <f t="shared" si="732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3"/>
        <v>3202</v>
      </c>
      <c r="BZT23" s="70">
        <f t="shared" si="734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5"/>
        <v>3120</v>
      </c>
      <c r="CAB23" s="70">
        <f t="shared" si="736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7"/>
        <v>225</v>
      </c>
      <c r="CAJ23" s="70">
        <f t="shared" si="738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39"/>
        <v>4830</v>
      </c>
      <c r="CAR23" s="210">
        <f t="shared" si="740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1"/>
        <v>5888</v>
      </c>
      <c r="CAZ23" s="212">
        <f t="shared" si="742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3"/>
        <v>4850</v>
      </c>
      <c r="CBH23" s="211">
        <f t="shared" si="744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5"/>
        <v>3237</v>
      </c>
      <c r="CBP23" s="199">
        <f t="shared" si="746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7"/>
        <v>3032</v>
      </c>
      <c r="CBX23" s="70">
        <f t="shared" si="748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49"/>
        <v>3900</v>
      </c>
      <c r="CCF23" s="70">
        <f t="shared" si="750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1"/>
        <v>3151</v>
      </c>
      <c r="CCN23" s="70">
        <f t="shared" si="752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3"/>
        <v>3922</v>
      </c>
      <c r="CCV23" s="70">
        <f t="shared" si="754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5"/>
        <v>4806</v>
      </c>
      <c r="CDD23" s="70">
        <f t="shared" si="756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7"/>
        <v>3637</v>
      </c>
      <c r="CDL23" s="68">
        <f t="shared" si="758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59"/>
        <v>4397</v>
      </c>
      <c r="CDT23" s="70">
        <f t="shared" si="760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1"/>
        <v>1446</v>
      </c>
      <c r="CEB23" s="70">
        <f t="shared" si="762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3"/>
        <v>8070</v>
      </c>
      <c r="CEJ23" s="68">
        <f t="shared" si="764"/>
        <v>1345</v>
      </c>
      <c r="CEK23" s="65"/>
      <c r="CEL23" s="66"/>
      <c r="CEM23" s="66"/>
      <c r="CEN23" s="66"/>
      <c r="CEO23" s="66"/>
      <c r="CEP23" s="66"/>
      <c r="CEQ23" s="69">
        <f t="shared" si="765"/>
        <v>0</v>
      </c>
      <c r="CER23" s="70">
        <f t="shared" si="766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7"/>
        <v>3642</v>
      </c>
      <c r="CEZ23" s="70">
        <f t="shared" si="768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69"/>
        <v>4337</v>
      </c>
      <c r="CFH23" s="70">
        <f t="shared" si="770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1"/>
        <v>3924</v>
      </c>
      <c r="CFP23" s="70">
        <f t="shared" si="772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3"/>
        <v>5550</v>
      </c>
      <c r="CFX23" s="68">
        <f t="shared" si="774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5"/>
        <v>2991</v>
      </c>
      <c r="CGF23" s="68">
        <f t="shared" si="776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7"/>
        <v>6805</v>
      </c>
      <c r="CGN23" s="70">
        <f t="shared" si="778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79"/>
        <v>3859</v>
      </c>
      <c r="CGV23" s="70">
        <f t="shared" si="780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1"/>
        <v>7341</v>
      </c>
      <c r="CHD23" s="70">
        <f t="shared" si="782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3"/>
        <v>3505</v>
      </c>
      <c r="CHL23" s="70">
        <f t="shared" si="784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5"/>
        <v>9224</v>
      </c>
      <c r="CHT23" s="70">
        <f t="shared" si="786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7"/>
        <v>6320</v>
      </c>
      <c r="CIB23" s="70">
        <f t="shared" si="788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89"/>
        <v>4135</v>
      </c>
      <c r="CIJ23" s="70">
        <f t="shared" si="790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1"/>
        <v>5404</v>
      </c>
      <c r="CIR23" s="70">
        <f t="shared" si="792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3"/>
        <v>7139</v>
      </c>
      <c r="CIZ23" s="70">
        <f t="shared" si="794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5"/>
        <v>3663</v>
      </c>
      <c r="CJH23" s="70">
        <f t="shared" si="796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7"/>
        <v>7845</v>
      </c>
      <c r="CJP23" s="70">
        <f t="shared" si="798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799"/>
        <v>2568</v>
      </c>
      <c r="CJX23" s="70">
        <f t="shared" si="800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1"/>
        <v>3551</v>
      </c>
      <c r="CKF23" s="70">
        <f t="shared" si="802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3"/>
        <v>4861</v>
      </c>
      <c r="CKN23" s="68">
        <f t="shared" si="804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5"/>
        <v>4244</v>
      </c>
      <c r="CKV23" s="70">
        <f t="shared" si="806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7"/>
        <v>4020</v>
      </c>
      <c r="CLD23" s="70">
        <f t="shared" si="808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09"/>
        <v>4722</v>
      </c>
      <c r="CLL23" s="70">
        <f t="shared" si="810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1"/>
        <v>4576</v>
      </c>
      <c r="CLT23" s="210">
        <f t="shared" si="812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3"/>
        <v>4404</v>
      </c>
      <c r="CMB23" s="70">
        <f t="shared" si="814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5"/>
        <v>6464</v>
      </c>
      <c r="CMJ23" s="70">
        <f t="shared" si="816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7"/>
        <v>2020</v>
      </c>
      <c r="CMR23" s="70">
        <f t="shared" si="818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19"/>
        <v>3972</v>
      </c>
      <c r="CMZ23" s="70">
        <f t="shared" si="820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1"/>
        <v>5686</v>
      </c>
      <c r="CNH23" s="70">
        <f t="shared" si="822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3"/>
        <v>4097</v>
      </c>
      <c r="CNP23" s="70">
        <f t="shared" si="824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5"/>
        <v>3902</v>
      </c>
      <c r="CNX23" s="70">
        <f t="shared" si="826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7"/>
        <v>3489</v>
      </c>
      <c r="COF23" s="70">
        <f t="shared" si="828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29"/>
        <v>4109</v>
      </c>
      <c r="CON23" s="70">
        <f t="shared" si="830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1"/>
        <v>3227</v>
      </c>
      <c r="COV23" s="70">
        <f t="shared" si="832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3"/>
        <v>4912</v>
      </c>
      <c r="CPD23" s="70">
        <f t="shared" si="834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5"/>
        <v>3723</v>
      </c>
      <c r="CPL23" s="70">
        <f t="shared" si="836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7"/>
        <v>1848</v>
      </c>
      <c r="CPT23" s="70">
        <f t="shared" si="838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39"/>
        <v>3765</v>
      </c>
      <c r="CQB23" s="70">
        <f t="shared" si="840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1"/>
        <v>6800</v>
      </c>
      <c r="CQJ23" s="70">
        <f t="shared" si="842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3"/>
        <v>1082</v>
      </c>
      <c r="CQR23" s="70">
        <f t="shared" si="844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591</v>
      </c>
      <c r="CQX23" s="51">
        <v>533</v>
      </c>
      <c r="CQY23" s="69">
        <f t="shared" si="845"/>
        <v>3653</v>
      </c>
      <c r="CQZ23" s="70">
        <f t="shared" si="846"/>
        <v>608.83333333333337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7"/>
        <v>4361</v>
      </c>
      <c r="CRH23" s="70">
        <f t="shared" si="848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49"/>
        <v>1997</v>
      </c>
      <c r="CRP23" s="70">
        <f t="shared" si="850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1"/>
        <v>3997</v>
      </c>
      <c r="CRX23" s="70">
        <f t="shared" si="852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44"/>
        <v>4910</v>
      </c>
      <c r="CSF23" s="70">
        <f t="shared" si="1245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5"/>
        <v>4593</v>
      </c>
      <c r="CSN23" s="70">
        <f t="shared" si="856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7"/>
        <v>4336</v>
      </c>
      <c r="CSV23" s="70">
        <f t="shared" si="858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59"/>
        <v>817</v>
      </c>
      <c r="CTD23" s="70">
        <f t="shared" si="860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1"/>
        <v>3749</v>
      </c>
      <c r="CTL23" s="70">
        <f t="shared" si="862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3"/>
        <v>7713</v>
      </c>
      <c r="CTT23" s="70">
        <f t="shared" si="864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5"/>
        <v>3020</v>
      </c>
      <c r="CUB23" s="70">
        <f t="shared" si="866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7"/>
        <v>5371</v>
      </c>
      <c r="CUJ23" s="70">
        <f t="shared" si="868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69"/>
        <v>1066</v>
      </c>
      <c r="CUR23" s="70">
        <f t="shared" si="870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1"/>
        <v>6431</v>
      </c>
      <c r="CUZ23" s="70">
        <f t="shared" si="872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3"/>
        <v>1647</v>
      </c>
      <c r="CVH23" s="70">
        <f t="shared" si="874"/>
        <v>274.5</v>
      </c>
      <c r="CVI23" s="50">
        <v>1451</v>
      </c>
      <c r="CVJ23" s="51">
        <f>SUMIF(SUMPK!$B:$B,$B:$B,SUMPK!$O:$O)</f>
        <v>591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5"/>
        <v>3694</v>
      </c>
      <c r="CVP23" s="70">
        <f t="shared" si="876"/>
        <v>615.66666666666663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7"/>
        <v>4730</v>
      </c>
      <c r="CVX23" s="70">
        <f t="shared" si="878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79"/>
        <v>4478</v>
      </c>
      <c r="CWF23" s="70">
        <f t="shared" si="880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1"/>
        <v>6022</v>
      </c>
      <c r="CWN23" s="70">
        <f t="shared" si="882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3"/>
        <v>3016</v>
      </c>
      <c r="CWV23" s="53">
        <f t="shared" si="884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5"/>
        <v>4057</v>
      </c>
      <c r="CXD23" s="53">
        <f t="shared" si="886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7"/>
        <v>5356</v>
      </c>
      <c r="CXL23" s="43">
        <f t="shared" si="888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89"/>
        <v>4646</v>
      </c>
      <c r="CXT23" s="53">
        <f t="shared" si="890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1"/>
        <v>6375</v>
      </c>
      <c r="CYB23" s="53">
        <f t="shared" si="892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3"/>
        <v>4168</v>
      </c>
      <c r="CYJ23" s="43">
        <f t="shared" si="894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5"/>
        <v>7005</v>
      </c>
      <c r="CYR23" s="53">
        <f t="shared" si="896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7"/>
        <v>9155</v>
      </c>
      <c r="CYZ23" s="43">
        <f t="shared" si="898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899"/>
        <v>3634</v>
      </c>
      <c r="CZH23" s="53">
        <f t="shared" si="900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1"/>
        <v>4335</v>
      </c>
      <c r="CZP23" s="53">
        <f t="shared" si="902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3"/>
        <v>3453</v>
      </c>
      <c r="CZX23" s="53">
        <f t="shared" si="904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5"/>
        <v>4966</v>
      </c>
      <c r="DAF23" s="53">
        <f t="shared" si="906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7"/>
        <v>2467</v>
      </c>
      <c r="DAN23" s="53">
        <f t="shared" si="908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09"/>
        <v>1649</v>
      </c>
      <c r="DAV23" s="70">
        <f t="shared" si="910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1"/>
        <v>3204</v>
      </c>
      <c r="DBD23" s="70">
        <f t="shared" si="912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3"/>
        <v>4486</v>
      </c>
      <c r="DBL23" s="70">
        <f t="shared" si="914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5"/>
        <v>3614</v>
      </c>
      <c r="DBT23" s="70">
        <f t="shared" si="916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7"/>
        <v>4025</v>
      </c>
      <c r="DCB23" s="210">
        <f t="shared" si="918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19"/>
        <v>5317</v>
      </c>
      <c r="DCJ23" s="212">
        <f t="shared" si="920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1"/>
        <v>4562</v>
      </c>
      <c r="DCR23" s="212">
        <f t="shared" si="922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3"/>
        <v>2867</v>
      </c>
      <c r="DCZ23" s="184">
        <f t="shared" si="924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5"/>
        <v>4853</v>
      </c>
      <c r="DDH23" s="212">
        <f t="shared" si="926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7"/>
        <v>4513</v>
      </c>
      <c r="DDP23" s="199">
        <f t="shared" si="928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29"/>
        <v>3673</v>
      </c>
      <c r="DDX23" s="212">
        <f t="shared" si="930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1"/>
        <v>2671</v>
      </c>
      <c r="DEF23" s="214">
        <f t="shared" si="932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3"/>
        <v>4771</v>
      </c>
      <c r="DEN23" s="101">
        <f t="shared" si="934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5"/>
        <v>1814</v>
      </c>
      <c r="DEV23" s="220">
        <f t="shared" si="936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7"/>
        <v>4318</v>
      </c>
      <c r="DFD23" s="53">
        <f t="shared" si="938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39"/>
        <v>3564</v>
      </c>
      <c r="DFL23" s="53">
        <f t="shared" si="940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1"/>
        <v>2365</v>
      </c>
      <c r="DFT23" s="53">
        <f t="shared" si="942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3"/>
        <v>4433</v>
      </c>
      <c r="DGB23" s="53">
        <f t="shared" si="944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5"/>
        <v>5240</v>
      </c>
      <c r="DGJ23" s="70">
        <f t="shared" si="946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7"/>
        <v>2529</v>
      </c>
      <c r="DGR23" s="70">
        <f t="shared" si="948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49"/>
        <v>4802</v>
      </c>
      <c r="DGZ23" s="70">
        <f t="shared" si="950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1"/>
        <v>2033</v>
      </c>
      <c r="DHH23" s="70">
        <f t="shared" si="952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3"/>
        <v>5402</v>
      </c>
      <c r="DHP23" s="70">
        <f t="shared" si="954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5"/>
        <v>4551</v>
      </c>
      <c r="DHX23" s="70">
        <f t="shared" si="956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7"/>
        <v>2414</v>
      </c>
      <c r="DIF23" s="70">
        <f t="shared" si="958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59"/>
        <v>4849</v>
      </c>
      <c r="DIN23" s="70">
        <f t="shared" si="960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1"/>
        <v>4339</v>
      </c>
      <c r="DIV23" s="70">
        <f t="shared" si="962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3"/>
        <v>589</v>
      </c>
      <c r="DJD23" s="70">
        <f t="shared" si="964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5"/>
        <v>4202</v>
      </c>
      <c r="DJL23" s="70">
        <f t="shared" si="966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7"/>
        <v>6135</v>
      </c>
      <c r="DJT23" s="70">
        <f t="shared" si="968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69"/>
        <v>2316</v>
      </c>
      <c r="DKB23" s="70">
        <f t="shared" si="970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1"/>
        <v>6519</v>
      </c>
      <c r="DKJ23" s="68">
        <f t="shared" si="972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3"/>
        <v>8194</v>
      </c>
      <c r="DKR23" s="68">
        <f t="shared" si="974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5"/>
        <v>2018</v>
      </c>
      <c r="DKZ23" s="70">
        <f t="shared" si="976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7"/>
        <v>7933</v>
      </c>
      <c r="DLH23" s="70">
        <f t="shared" si="978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79"/>
        <v>4060</v>
      </c>
      <c r="DLP23" s="70">
        <f t="shared" si="980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1"/>
        <v>3110</v>
      </c>
      <c r="DLX23" s="70">
        <f t="shared" si="982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3"/>
        <v>4727</v>
      </c>
      <c r="DMF23" s="70">
        <f t="shared" si="984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5"/>
        <v>5564</v>
      </c>
      <c r="DMN23" s="70">
        <f t="shared" si="986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7"/>
        <v>2810</v>
      </c>
      <c r="DMV23" s="70">
        <f t="shared" si="988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89"/>
        <v>4666</v>
      </c>
      <c r="DND23" s="70">
        <f t="shared" si="990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1"/>
        <v>3018</v>
      </c>
      <c r="DNL23" s="70">
        <f t="shared" si="992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3"/>
        <v>3390</v>
      </c>
      <c r="DNT23" s="70">
        <f t="shared" si="994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5"/>
        <v>4514</v>
      </c>
      <c r="DOB23" s="70">
        <f t="shared" si="996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7"/>
        <v>2708</v>
      </c>
      <c r="DOJ23" s="70">
        <f t="shared" si="998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999"/>
        <v>4598</v>
      </c>
      <c r="DOR23" s="70">
        <f t="shared" si="1000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1"/>
        <v>3746</v>
      </c>
      <c r="DOZ23" s="70">
        <f t="shared" si="1002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3"/>
        <v>5843</v>
      </c>
      <c r="DPH23" s="70">
        <f t="shared" si="1004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5"/>
        <v>5401</v>
      </c>
      <c r="DPP23" s="70">
        <f t="shared" si="1006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7"/>
        <v>2134</v>
      </c>
      <c r="DPX23" s="68">
        <f t="shared" si="1008"/>
        <v>355.66666666666669</v>
      </c>
      <c r="DPY23" s="65">
        <v>279</v>
      </c>
      <c r="DPZ23" s="66">
        <v>0</v>
      </c>
      <c r="DQA23" s="66">
        <f>SUMIF(SUMPK!$B:$B,$B:$B,SUMPK!$O:$O)</f>
        <v>591</v>
      </c>
      <c r="DQB23" s="66">
        <v>2614</v>
      </c>
      <c r="DQC23" s="66">
        <v>0</v>
      </c>
      <c r="DQD23" s="66">
        <v>1432</v>
      </c>
      <c r="DQE23" s="66">
        <f t="shared" si="1009"/>
        <v>4916</v>
      </c>
      <c r="DQF23" s="70">
        <f t="shared" si="1010"/>
        <v>819.33333333333337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1"/>
        <v>6006</v>
      </c>
      <c r="DQN23" s="68">
        <f t="shared" si="1012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3"/>
        <v>6537</v>
      </c>
      <c r="DQV23" s="70">
        <f t="shared" si="1014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5"/>
        <v>7170</v>
      </c>
      <c r="DRD23" s="70">
        <f t="shared" si="1016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7"/>
        <v>2157</v>
      </c>
      <c r="DRL23" s="70">
        <f t="shared" si="1018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19"/>
        <v>3568</v>
      </c>
      <c r="DRT23" s="70">
        <f t="shared" si="1020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1"/>
        <v>2053</v>
      </c>
      <c r="DSB23" s="70">
        <f t="shared" si="1022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3"/>
        <v>3305</v>
      </c>
      <c r="DSJ23" s="70">
        <f t="shared" si="1024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5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6"/>
        <v>4923</v>
      </c>
      <c r="DSZ23" s="70">
        <f t="shared" si="1027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28"/>
        <v>5242</v>
      </c>
      <c r="DTH23" s="70">
        <f t="shared" si="1029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0"/>
        <v>4590</v>
      </c>
      <c r="DTP23" s="70">
        <f t="shared" si="1031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2"/>
        <v>3050</v>
      </c>
      <c r="DTX23" s="70">
        <f t="shared" si="1033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4"/>
        <v>3150</v>
      </c>
      <c r="DUF23" s="70">
        <f t="shared" si="1035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6"/>
        <v>5193</v>
      </c>
      <c r="DUN23" s="70">
        <f t="shared" si="1037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38"/>
        <v>4002</v>
      </c>
      <c r="DUV23" s="70">
        <f t="shared" si="1039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0"/>
        <v>3998</v>
      </c>
      <c r="DVD23" s="70">
        <f t="shared" si="1041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2"/>
        <v>4607</v>
      </c>
      <c r="DVL23" s="70">
        <f t="shared" si="1043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4"/>
        <v>4909</v>
      </c>
      <c r="DVT23" s="70">
        <f t="shared" si="1045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6"/>
        <v>2081</v>
      </c>
      <c r="DWB23" s="70">
        <f t="shared" si="1047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48"/>
        <v>5275</v>
      </c>
      <c r="DWJ23" s="70">
        <f t="shared" si="1049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0"/>
        <v>3131</v>
      </c>
      <c r="DWR23" s="70">
        <f t="shared" si="1051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2"/>
        <v>1087</v>
      </c>
      <c r="DWZ23" s="70">
        <f t="shared" si="1053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4"/>
        <v>4352</v>
      </c>
      <c r="DXH23" s="70">
        <f t="shared" si="1055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6"/>
        <v>4915</v>
      </c>
      <c r="DXP23" s="70">
        <f t="shared" si="1057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58"/>
        <v>3700</v>
      </c>
      <c r="DXX23" s="70">
        <f t="shared" si="1059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0"/>
        <v>4727</v>
      </c>
      <c r="DYF23" s="70">
        <f t="shared" si="1061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2"/>
        <v>3250</v>
      </c>
      <c r="DYN23" s="70">
        <f t="shared" si="1063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4"/>
        <v>2783</v>
      </c>
      <c r="DYV23" s="70">
        <f t="shared" si="1065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6"/>
        <v>3245</v>
      </c>
      <c r="DZD23" s="68">
        <f t="shared" si="1067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68"/>
        <v>1401</v>
      </c>
      <c r="DZL23" s="70">
        <f t="shared" si="1069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0"/>
        <v>2440</v>
      </c>
      <c r="DZT23" s="68">
        <f t="shared" si="1071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2"/>
        <v>5086</v>
      </c>
      <c r="EAB23" s="70">
        <f t="shared" si="1073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4"/>
        <v>1277</v>
      </c>
      <c r="EAJ23" s="70">
        <f t="shared" si="1075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6"/>
        <v>3936</v>
      </c>
      <c r="EAR23" s="70">
        <f t="shared" si="1077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78"/>
        <v>2940</v>
      </c>
      <c r="EAZ23" s="70">
        <f t="shared" si="1079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0"/>
        <v>4686</v>
      </c>
      <c r="EBH23" s="70">
        <f t="shared" si="1081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2"/>
        <v>2931</v>
      </c>
      <c r="EBP23" s="70">
        <f t="shared" si="1083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4"/>
        <v>3829</v>
      </c>
      <c r="EBX23" s="70">
        <f t="shared" si="1085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6"/>
        <v>2216</v>
      </c>
      <c r="ECF23" s="70">
        <f t="shared" si="1087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88"/>
        <v>4661</v>
      </c>
      <c r="ECN23" s="70">
        <f t="shared" si="1089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0"/>
        <v>1494</v>
      </c>
      <c r="ECV23" s="70">
        <f t="shared" si="1091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2"/>
        <v>4707</v>
      </c>
      <c r="EDD23" s="70">
        <f t="shared" si="1093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4"/>
        <v>4921</v>
      </c>
      <c r="EDL23" s="70">
        <f t="shared" si="1095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6"/>
        <v>3214</v>
      </c>
      <c r="EDT23" s="70">
        <f t="shared" si="1097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098"/>
        <v>4802</v>
      </c>
      <c r="EEB23" s="70">
        <f t="shared" si="1099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0"/>
        <v>809</v>
      </c>
      <c r="EEJ23" s="70">
        <f t="shared" si="1101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2"/>
        <v>4743</v>
      </c>
      <c r="EER23" s="70">
        <f t="shared" si="1103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4"/>
        <v>2140</v>
      </c>
      <c r="EEZ23" s="70">
        <f t="shared" si="1105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6"/>
        <v>3897</v>
      </c>
      <c r="EFH23" s="70">
        <f t="shared" si="1107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08"/>
        <v>4747</v>
      </c>
      <c r="EFP23" s="70">
        <f t="shared" si="1109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0"/>
        <v>8525</v>
      </c>
      <c r="EFX23" s="70">
        <f t="shared" si="1111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2"/>
        <v>5570</v>
      </c>
      <c r="EGF23" s="70">
        <f t="shared" si="1113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4"/>
        <v>3506</v>
      </c>
      <c r="EGN23" s="70">
        <f t="shared" si="1115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6"/>
        <v>1489</v>
      </c>
      <c r="EGV23" s="70">
        <f t="shared" si="1117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18"/>
        <v>3322</v>
      </c>
      <c r="EHD23" s="70">
        <f t="shared" si="1119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0"/>
        <v>2067</v>
      </c>
      <c r="EHL23" s="68">
        <f t="shared" si="1121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2"/>
        <v>2012</v>
      </c>
      <c r="EHT23" s="70">
        <f t="shared" si="1123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4"/>
        <v>1544</v>
      </c>
      <c r="EIB23" s="70">
        <f t="shared" si="1125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6"/>
        <v>2353</v>
      </c>
      <c r="EIJ23" s="70">
        <f t="shared" si="1127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28"/>
        <v>2179</v>
      </c>
      <c r="EIR23" s="70">
        <f t="shared" si="1129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0"/>
        <v>2393</v>
      </c>
      <c r="EIZ23" s="70">
        <f t="shared" si="1131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2"/>
        <v>4019</v>
      </c>
      <c r="EJH23" s="70">
        <f t="shared" si="1133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4"/>
        <v>2914</v>
      </c>
      <c r="EJP23" s="70">
        <f t="shared" si="1135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6"/>
        <v>3450</v>
      </c>
      <c r="EJX23" s="70">
        <f t="shared" si="1137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38"/>
        <v>2546</v>
      </c>
      <c r="EKF23" s="70">
        <f t="shared" si="1139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0"/>
        <v>1741</v>
      </c>
      <c r="EKN23" s="70">
        <f t="shared" si="1141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2"/>
        <v>4245</v>
      </c>
      <c r="EKV23" s="70">
        <f t="shared" si="1143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4"/>
        <v>1450</v>
      </c>
      <c r="ELD23" s="70">
        <f t="shared" si="1145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6"/>
        <v>1631</v>
      </c>
      <c r="ELL23" s="210">
        <f t="shared" si="1147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48"/>
        <v>4621</v>
      </c>
      <c r="ELU23" s="212">
        <f t="shared" si="1149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0"/>
        <v>2123</v>
      </c>
      <c r="EMC23" s="212">
        <f t="shared" si="1151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2"/>
        <v>3469</v>
      </c>
      <c r="EMK23" s="212">
        <f t="shared" si="1153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4"/>
        <v>1136</v>
      </c>
      <c r="EMS23" s="212">
        <f t="shared" si="1155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6"/>
        <v>3419</v>
      </c>
      <c r="ENA23" s="212">
        <f t="shared" si="1157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58"/>
        <v>2014</v>
      </c>
      <c r="ENI23" s="212">
        <f t="shared" si="1159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0"/>
        <v>3414</v>
      </c>
      <c r="ENQ23" s="212">
        <f t="shared" si="1161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2"/>
        <v>3231</v>
      </c>
      <c r="ENY23" s="211">
        <f t="shared" si="1163"/>
        <v>538.5</v>
      </c>
      <c r="ENZ23" s="245">
        <f>SUMIF(SUMPK!$B:$B,$B:$B,SUMPK!$O:$O)</f>
        <v>591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4"/>
        <v>2929</v>
      </c>
      <c r="EOG23" s="212">
        <f t="shared" si="1165"/>
        <v>488.16666666666669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6"/>
        <v>1687</v>
      </c>
      <c r="EOO23" s="212">
        <f t="shared" si="1167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68"/>
        <v>1933</v>
      </c>
      <c r="EOW23" s="212">
        <f t="shared" si="1169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0"/>
        <v>3677</v>
      </c>
      <c r="EPE23" s="212">
        <f t="shared" si="1171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2"/>
        <v>1959</v>
      </c>
      <c r="EPM23" s="212">
        <f t="shared" si="1173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4"/>
        <v>2911</v>
      </c>
      <c r="EPU23" s="212">
        <f t="shared" si="1175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6"/>
        <v>4276</v>
      </c>
      <c r="EQC23" s="212">
        <f t="shared" si="1177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78"/>
        <v>3502</v>
      </c>
      <c r="EQK23" s="212">
        <f t="shared" si="1179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0"/>
        <v>2768</v>
      </c>
      <c r="EQS23" s="212">
        <f t="shared" si="1181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2"/>
        <v>1233</v>
      </c>
      <c r="ERA23" s="211">
        <f t="shared" si="1183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4"/>
        <v>3805</v>
      </c>
      <c r="ERI23" s="212">
        <f t="shared" si="1185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6"/>
        <v>2428</v>
      </c>
      <c r="ERQ23" s="212">
        <f t="shared" si="1187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88"/>
        <v>1431</v>
      </c>
      <c r="ERY23" s="212">
        <f t="shared" si="1189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0"/>
        <v>2943</v>
      </c>
      <c r="ESG23" s="212">
        <f t="shared" si="1191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2"/>
        <v>3632</v>
      </c>
      <c r="ESO23" s="212">
        <f t="shared" si="1193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4"/>
        <v>3325</v>
      </c>
      <c r="ESW23" s="212">
        <f t="shared" si="1195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6"/>
        <v>2694</v>
      </c>
      <c r="ETE23" s="738">
        <f t="shared" si="1197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198"/>
        <v>2372</v>
      </c>
      <c r="ETM23" s="212">
        <f t="shared" si="1199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0"/>
        <v>2736</v>
      </c>
      <c r="ETU23" s="212">
        <f t="shared" si="1201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2"/>
        <v>3156</v>
      </c>
      <c r="EUC23" s="212">
        <f t="shared" si="1203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4"/>
        <v>3660</v>
      </c>
      <c r="EUK23" s="212">
        <f t="shared" si="1205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6"/>
        <v>2176</v>
      </c>
      <c r="EUS23" s="212">
        <f t="shared" si="1207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08"/>
        <v>3375</v>
      </c>
      <c r="EVA23" s="212">
        <f t="shared" si="1209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0"/>
        <v>2838</v>
      </c>
      <c r="EVI23" s="212">
        <f t="shared" si="1211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2"/>
        <v>2900</v>
      </c>
      <c r="EVQ23" s="212">
        <f t="shared" si="1213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4"/>
        <v>4091</v>
      </c>
      <c r="EVY23" s="212">
        <f t="shared" si="1215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6"/>
        <v>4777</v>
      </c>
      <c r="EWG23" s="212">
        <f t="shared" si="1217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18"/>
        <v>6646</v>
      </c>
      <c r="EWO23" s="212">
        <f t="shared" si="1219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0"/>
        <v>1822</v>
      </c>
      <c r="EWW23" s="212">
        <f t="shared" si="1221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2"/>
        <v>3822</v>
      </c>
      <c r="EXE23" s="212">
        <f t="shared" si="1223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4"/>
        <v>3010</v>
      </c>
      <c r="EXM23" s="212">
        <f t="shared" si="1225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6"/>
        <v>2758</v>
      </c>
      <c r="EXU23" s="212">
        <f t="shared" si="1227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28"/>
        <v>5041</v>
      </c>
      <c r="EYC23" s="212">
        <f t="shared" si="1229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0"/>
        <v>5536</v>
      </c>
      <c r="EYK23" s="211">
        <f t="shared" si="1231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2"/>
        <v>4616</v>
      </c>
      <c r="EYS23" s="212">
        <f t="shared" si="1233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4"/>
        <v>1590</v>
      </c>
      <c r="EZA23" s="212">
        <f t="shared" si="1235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6"/>
        <v>3175</v>
      </c>
      <c r="EZI23" s="212">
        <f t="shared" si="1237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38"/>
        <v>4055</v>
      </c>
      <c r="EZQ23" s="879">
        <f t="shared" si="1239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0"/>
        <v>2671</v>
      </c>
      <c r="EZY23" s="879">
        <f t="shared" si="1241"/>
        <v>445.16666666666669</v>
      </c>
      <c r="EZZ23" s="196">
        <v>2649</v>
      </c>
      <c r="FAA23" s="197">
        <v>0</v>
      </c>
      <c r="FAB23" s="197">
        <v>0</v>
      </c>
      <c r="FAC23" s="197"/>
      <c r="FAD23" s="197"/>
      <c r="FAE23" s="197"/>
      <c r="FAF23" s="878">
        <f t="shared" si="1242"/>
        <v>2649</v>
      </c>
      <c r="FAG23" s="879">
        <f t="shared" si="1243"/>
        <v>441.5</v>
      </c>
    </row>
    <row r="24" spans="1:4089" s="8" customFormat="1" ht="30" customHeight="1" x14ac:dyDescent="0.2">
      <c r="A24" s="1008" t="s">
        <v>14</v>
      </c>
      <c r="B24" s="1009"/>
      <c r="C24" s="1009"/>
      <c r="D24" s="319">
        <v>50</v>
      </c>
      <c r="E24" s="622">
        <f>SUM(E7:E23)</f>
        <v>0</v>
      </c>
      <c r="F24" s="622">
        <f>SUM(F7:F23)</f>
        <v>250699</v>
      </c>
      <c r="G24" s="622">
        <f t="shared" ref="G24:U24" si="1263">SUM(G7:G23)</f>
        <v>0</v>
      </c>
      <c r="H24" s="622">
        <f t="shared" si="1263"/>
        <v>0</v>
      </c>
      <c r="I24" s="622">
        <f t="shared" si="1263"/>
        <v>0</v>
      </c>
      <c r="J24" s="622">
        <f t="shared" si="1263"/>
        <v>18432</v>
      </c>
      <c r="K24" s="622">
        <f t="shared" si="1263"/>
        <v>0</v>
      </c>
      <c r="L24" s="622">
        <f t="shared" si="1263"/>
        <v>232267</v>
      </c>
      <c r="M24" s="622">
        <f t="shared" si="1263"/>
        <v>232267</v>
      </c>
      <c r="N24" s="622">
        <f t="shared" si="1263"/>
        <v>24341.000000000004</v>
      </c>
      <c r="O24" s="622">
        <f t="shared" si="1263"/>
        <v>440.04196275980559</v>
      </c>
      <c r="P24" s="622">
        <f t="shared" si="1263"/>
        <v>19623.5</v>
      </c>
      <c r="Q24" s="622">
        <f t="shared" si="1263"/>
        <v>1891.924676924617</v>
      </c>
      <c r="R24" s="622">
        <f t="shared" si="1263"/>
        <v>23383.076923076922</v>
      </c>
      <c r="S24" s="622">
        <f t="shared" si="1263"/>
        <v>607960</v>
      </c>
      <c r="T24" s="622"/>
      <c r="U24" s="622">
        <f t="shared" si="1263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</row>
    <row r="25" spans="1:4089" x14ac:dyDescent="0.2">
      <c r="A25" s="12" t="s">
        <v>25</v>
      </c>
      <c r="B25" s="12"/>
      <c r="X25" s="2"/>
    </row>
    <row r="26" spans="1:4089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089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089" x14ac:dyDescent="0.2">
      <c r="C28" s="12"/>
      <c r="I28" s="448"/>
      <c r="X28" s="13"/>
      <c r="AA28" s="13"/>
      <c r="AB28" s="10"/>
      <c r="AC28" s="658"/>
    </row>
    <row r="29" spans="1:4089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089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089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089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</mergeCells>
  <conditionalFormatting sqref="Q7:Q23">
    <cfRule type="cellIs" dxfId="12" priority="1" operator="greaterThan">
      <formula>25</formula>
    </cfRule>
    <cfRule type="cellIs" dxfId="11" priority="2" operator="lessThan">
      <formula>15</formula>
    </cfRule>
    <cfRule type="cellIs" dxfId="10" priority="3" operator="between">
      <formula>15</formula>
      <formula>25</formula>
    </cfRule>
  </conditionalFormatting>
  <conditionalFormatting sqref="T7:T23">
    <cfRule type="cellIs" dxfId="9" priority="7" operator="between">
      <formula>25</formula>
      <formula>27</formula>
    </cfRule>
    <cfRule type="cellIs" dxfId="8" priority="8" operator="lessThan">
      <formula>25</formula>
    </cfRule>
    <cfRule type="cellIs" dxfId="7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topLeftCell="A9" workbookViewId="0">
      <selection activeCell="C21" sqref="C21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899" t="s">
        <v>0</v>
      </c>
      <c r="B1" s="899"/>
      <c r="C1" s="899"/>
      <c r="D1" s="899"/>
      <c r="E1" s="899"/>
      <c r="F1" s="899"/>
      <c r="G1" s="899"/>
      <c r="H1" s="899"/>
      <c r="I1" s="899"/>
      <c r="J1" s="899"/>
      <c r="K1" s="899"/>
    </row>
    <row r="2" spans="1:12" ht="15.75" x14ac:dyDescent="0.25">
      <c r="A2" s="915" t="s">
        <v>229</v>
      </c>
      <c r="B2" s="915"/>
      <c r="C2" s="915"/>
      <c r="D2" s="915"/>
      <c r="E2" s="915"/>
      <c r="F2" s="915"/>
      <c r="G2" s="915"/>
      <c r="H2" s="915"/>
      <c r="I2" s="915"/>
      <c r="J2" s="915"/>
      <c r="K2" s="915"/>
    </row>
    <row r="3" spans="1:12" s="18" customFormat="1" ht="21.75" customHeight="1" x14ac:dyDescent="0.2">
      <c r="A3" s="900" t="s">
        <v>230</v>
      </c>
      <c r="B3" s="900" t="s">
        <v>231</v>
      </c>
      <c r="C3" s="913" t="s">
        <v>232</v>
      </c>
      <c r="D3" s="914"/>
      <c r="E3" s="911" t="s">
        <v>233</v>
      </c>
      <c r="F3" s="912"/>
      <c r="G3" s="911" t="s">
        <v>234</v>
      </c>
      <c r="H3" s="912"/>
      <c r="I3" s="902" t="s">
        <v>235</v>
      </c>
      <c r="J3" s="903"/>
      <c r="K3" s="904"/>
    </row>
    <row r="4" spans="1:12" s="18" customFormat="1" ht="38.25" x14ac:dyDescent="0.2">
      <c r="A4" s="901"/>
      <c r="B4" s="901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921" t="s">
        <v>306</v>
      </c>
      <c r="B5" s="763">
        <v>5</v>
      </c>
      <c r="C5" s="157">
        <f>HIGRO!E74</f>
        <v>0</v>
      </c>
      <c r="D5" s="157">
        <f>HIGRO!F74</f>
        <v>1860</v>
      </c>
      <c r="E5" s="157">
        <f>HIGRO!G74</f>
        <v>0</v>
      </c>
      <c r="F5" s="157">
        <f>HIGRO!H74</f>
        <v>0</v>
      </c>
      <c r="G5" s="157">
        <f>HIGRO!I74</f>
        <v>0</v>
      </c>
      <c r="H5" s="157">
        <f>HIGRO!J74</f>
        <v>0</v>
      </c>
      <c r="I5" s="157">
        <f>HIGRO!K74</f>
        <v>0</v>
      </c>
      <c r="J5" s="157">
        <f>HIGRO!L74</f>
        <v>1860</v>
      </c>
      <c r="K5" s="157">
        <f>HIGRO!M74</f>
        <v>1860</v>
      </c>
      <c r="L5" s="853"/>
    </row>
    <row r="6" spans="1:12" s="1" customFormat="1" ht="15.2" customHeight="1" x14ac:dyDescent="0.2">
      <c r="A6" s="921"/>
      <c r="B6" s="35">
        <v>25</v>
      </c>
      <c r="C6" s="15">
        <f>HIGRO!E75</f>
        <v>0</v>
      </c>
      <c r="D6" s="15">
        <f>HIGRO!F75</f>
        <v>227634</v>
      </c>
      <c r="E6" s="15">
        <f>HIGRO!G75</f>
        <v>0</v>
      </c>
      <c r="F6" s="15">
        <f>HIGRO!H75</f>
        <v>0</v>
      </c>
      <c r="G6" s="15">
        <f>HIGRO!I75</f>
        <v>0</v>
      </c>
      <c r="H6" s="15">
        <f>HIGRO!J75</f>
        <v>16410</v>
      </c>
      <c r="I6" s="15">
        <f>HIGRO!K75</f>
        <v>0</v>
      </c>
      <c r="J6" s="15">
        <f>HIGRO!L75</f>
        <v>211224</v>
      </c>
      <c r="K6" s="15">
        <f>HIGRO!M75</f>
        <v>211224</v>
      </c>
      <c r="L6" s="853"/>
    </row>
    <row r="7" spans="1:12" s="1" customFormat="1" ht="15.2" customHeight="1" x14ac:dyDescent="0.2">
      <c r="A7" s="35" t="s">
        <v>307</v>
      </c>
      <c r="B7" s="35">
        <v>25</v>
      </c>
      <c r="C7" s="15">
        <f>'CP&amp;STAR'!E22</f>
        <v>0</v>
      </c>
      <c r="D7" s="15">
        <f>'CP&amp;STAR'!F22</f>
        <v>27950</v>
      </c>
      <c r="E7" s="15">
        <f>'CP&amp;STAR'!G22</f>
        <v>0</v>
      </c>
      <c r="F7" s="15">
        <f>'CP&amp;STAR'!H22</f>
        <v>0</v>
      </c>
      <c r="G7" s="15">
        <f>'CP&amp;STAR'!I22</f>
        <v>0</v>
      </c>
      <c r="H7" s="15">
        <f>'CP&amp;STAR'!J22</f>
        <v>549</v>
      </c>
      <c r="I7" s="15">
        <f>'CP&amp;STAR'!K22</f>
        <v>0</v>
      </c>
      <c r="J7" s="15">
        <f>'CP&amp;STAR'!L22</f>
        <v>27401</v>
      </c>
      <c r="K7" s="15">
        <f>'CP&amp;STAR'!M22</f>
        <v>27401</v>
      </c>
      <c r="L7" s="853"/>
    </row>
    <row r="8" spans="1:12" s="1" customFormat="1" ht="15.2" customHeight="1" x14ac:dyDescent="0.2">
      <c r="A8" s="919" t="s">
        <v>308</v>
      </c>
      <c r="B8" s="35">
        <v>25</v>
      </c>
      <c r="C8" s="15">
        <f>'CP&amp;STAR'!E60</f>
        <v>0</v>
      </c>
      <c r="D8" s="15">
        <f>'CP&amp;STAR'!F60</f>
        <v>73063</v>
      </c>
      <c r="E8" s="15">
        <f>'CP&amp;STAR'!G60</f>
        <v>0</v>
      </c>
      <c r="F8" s="15">
        <f>'CP&amp;STAR'!H60</f>
        <v>0</v>
      </c>
      <c r="G8" s="15">
        <f>'CP&amp;STAR'!I60</f>
        <v>0</v>
      </c>
      <c r="H8" s="15">
        <f>'CP&amp;STAR'!J60</f>
        <v>2476</v>
      </c>
      <c r="I8" s="15">
        <f>'CP&amp;STAR'!K60</f>
        <v>0</v>
      </c>
      <c r="J8" s="15">
        <f>'CP&amp;STAR'!L60</f>
        <v>70587</v>
      </c>
      <c r="K8" s="15">
        <f>'CP&amp;STAR'!M60</f>
        <v>70587</v>
      </c>
      <c r="L8" s="853"/>
    </row>
    <row r="9" spans="1:12" s="1" customFormat="1" ht="15.2" customHeight="1" x14ac:dyDescent="0.2">
      <c r="A9" s="920"/>
      <c r="B9" s="35">
        <v>40</v>
      </c>
      <c r="C9" s="15">
        <f>'CP&amp;STAR'!E61</f>
        <v>0</v>
      </c>
      <c r="D9" s="15">
        <f>'CP&amp;STAR'!F61</f>
        <v>3730</v>
      </c>
      <c r="E9" s="15">
        <f>'CP&amp;STAR'!G61</f>
        <v>0</v>
      </c>
      <c r="F9" s="15">
        <f>'CP&amp;STAR'!H61</f>
        <v>0</v>
      </c>
      <c r="G9" s="15">
        <f>'CP&amp;STAR'!I61</f>
        <v>0</v>
      </c>
      <c r="H9" s="15">
        <f>'CP&amp;STAR'!J61</f>
        <v>0</v>
      </c>
      <c r="I9" s="15">
        <f>'CP&amp;STAR'!K61</f>
        <v>0</v>
      </c>
      <c r="J9" s="15">
        <f>'CP&amp;STAR'!L61</f>
        <v>3730</v>
      </c>
      <c r="K9" s="15">
        <f>'CP&amp;STAR'!M61</f>
        <v>3730</v>
      </c>
      <c r="L9" s="853"/>
    </row>
    <row r="10" spans="1:12" s="1" customFormat="1" ht="15.2" customHeight="1" x14ac:dyDescent="0.2">
      <c r="A10" s="35" t="s">
        <v>309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24310</v>
      </c>
      <c r="E11" s="15">
        <f>'NASA &amp; NUVO'!G17</f>
        <v>0</v>
      </c>
      <c r="F11" s="15">
        <f>'NASA &amp; NUVO'!H17</f>
        <v>0</v>
      </c>
      <c r="G11" s="15">
        <f>'NASA &amp; NUVO'!I17</f>
        <v>0</v>
      </c>
      <c r="H11" s="15">
        <f>'NASA &amp; NUVO'!J17</f>
        <v>0</v>
      </c>
      <c r="I11" s="15">
        <f>'NASA &amp; NUVO'!K17</f>
        <v>0</v>
      </c>
      <c r="J11" s="15">
        <f>'NASA &amp; NUVO'!L17</f>
        <v>24310</v>
      </c>
      <c r="K11" s="15">
        <f>'NASA &amp; NUVO'!M17</f>
        <v>24310</v>
      </c>
      <c r="L11" s="853"/>
    </row>
    <row r="12" spans="1:12" s="1" customFormat="1" ht="15.2" customHeight="1" x14ac:dyDescent="0.2">
      <c r="A12" s="35" t="s">
        <v>502</v>
      </c>
      <c r="B12" s="631">
        <v>50</v>
      </c>
      <c r="C12" s="159">
        <f>FARM!E24</f>
        <v>0</v>
      </c>
      <c r="D12" s="159">
        <f>FARM!F24</f>
        <v>250699</v>
      </c>
      <c r="E12" s="159">
        <f>FARM!G24</f>
        <v>0</v>
      </c>
      <c r="F12" s="159">
        <f>FARM!H24</f>
        <v>0</v>
      </c>
      <c r="G12" s="159">
        <f>FARM!I24</f>
        <v>0</v>
      </c>
      <c r="H12" s="159">
        <f>FARM!J24</f>
        <v>18432</v>
      </c>
      <c r="I12" s="159">
        <f>FARM!K24</f>
        <v>0</v>
      </c>
      <c r="J12" s="159">
        <f>FARM!L24</f>
        <v>232267</v>
      </c>
      <c r="K12" s="159">
        <f>FARM!M24</f>
        <v>232267</v>
      </c>
      <c r="L12" s="853"/>
    </row>
    <row r="13" spans="1:12" s="1" customFormat="1" ht="15.2" customHeight="1" x14ac:dyDescent="0.2">
      <c r="A13" s="919" t="s">
        <v>17</v>
      </c>
      <c r="B13" s="764">
        <v>5</v>
      </c>
      <c r="C13" s="762">
        <f>C5</f>
        <v>0</v>
      </c>
      <c r="D13" s="762">
        <f>D5</f>
        <v>1860</v>
      </c>
      <c r="E13" s="762">
        <f t="shared" ref="E13:K13" si="0">E5</f>
        <v>0</v>
      </c>
      <c r="F13" s="762">
        <f t="shared" si="0"/>
        <v>0</v>
      </c>
      <c r="G13" s="762">
        <f t="shared" si="0"/>
        <v>0</v>
      </c>
      <c r="H13" s="762">
        <f t="shared" si="0"/>
        <v>0</v>
      </c>
      <c r="I13" s="762">
        <f t="shared" si="0"/>
        <v>0</v>
      </c>
      <c r="J13" s="762">
        <f t="shared" si="0"/>
        <v>1860</v>
      </c>
      <c r="K13" s="762">
        <f t="shared" si="0"/>
        <v>1860</v>
      </c>
      <c r="L13" s="853"/>
    </row>
    <row r="14" spans="1:12" s="149" customFormat="1" ht="15.2" customHeight="1" x14ac:dyDescent="0.2">
      <c r="A14" s="921"/>
      <c r="B14" s="35">
        <v>25</v>
      </c>
      <c r="C14" s="15">
        <f>C6+C7+C8+C10+C11</f>
        <v>0</v>
      </c>
      <c r="D14" s="15">
        <f>D6+D7+D8+D10+D11</f>
        <v>357887</v>
      </c>
      <c r="E14" s="15">
        <f t="shared" ref="E14:K14" si="1">E6+E7+E8+E10+E11</f>
        <v>0</v>
      </c>
      <c r="F14" s="15">
        <f t="shared" si="1"/>
        <v>0</v>
      </c>
      <c r="G14" s="15">
        <f t="shared" si="1"/>
        <v>0</v>
      </c>
      <c r="H14" s="15">
        <f t="shared" si="1"/>
        <v>19435</v>
      </c>
      <c r="I14" s="15">
        <f t="shared" si="1"/>
        <v>0</v>
      </c>
      <c r="J14" s="15">
        <f t="shared" si="1"/>
        <v>338452</v>
      </c>
      <c r="K14" s="15">
        <f t="shared" si="1"/>
        <v>338452</v>
      </c>
      <c r="L14" s="853"/>
    </row>
    <row r="15" spans="1:12" s="149" customFormat="1" ht="15.2" hidden="1" customHeight="1" x14ac:dyDescent="0.2">
      <c r="A15" s="921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921"/>
      <c r="B16" s="887">
        <v>40</v>
      </c>
      <c r="C16" s="888">
        <f>C9</f>
        <v>0</v>
      </c>
      <c r="D16" s="888">
        <f t="shared" ref="D16:K16" si="2">D9</f>
        <v>3730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0</v>
      </c>
      <c r="I16" s="888">
        <f t="shared" si="2"/>
        <v>0</v>
      </c>
      <c r="J16" s="888">
        <f t="shared" si="2"/>
        <v>3730</v>
      </c>
      <c r="K16" s="888">
        <f t="shared" si="2"/>
        <v>3730</v>
      </c>
      <c r="L16" s="853"/>
    </row>
    <row r="17" spans="1:13" s="161" customFormat="1" ht="15.2" customHeight="1" thickBot="1" x14ac:dyDescent="0.25">
      <c r="A17" s="922"/>
      <c r="B17" s="37">
        <v>50</v>
      </c>
      <c r="C17" s="160">
        <f t="shared" ref="C17:D17" si="3">C12</f>
        <v>0</v>
      </c>
      <c r="D17" s="160">
        <f t="shared" si="3"/>
        <v>250699</v>
      </c>
      <c r="E17" s="160">
        <f t="shared" ref="E17:K17" si="4">E12</f>
        <v>0</v>
      </c>
      <c r="F17" s="160">
        <f t="shared" si="4"/>
        <v>0</v>
      </c>
      <c r="G17" s="160">
        <f t="shared" si="4"/>
        <v>0</v>
      </c>
      <c r="H17" s="160">
        <f t="shared" si="4"/>
        <v>18432</v>
      </c>
      <c r="I17" s="160">
        <f t="shared" si="4"/>
        <v>0</v>
      </c>
      <c r="J17" s="160">
        <f t="shared" si="4"/>
        <v>232267</v>
      </c>
      <c r="K17" s="160">
        <f t="shared" si="4"/>
        <v>232267</v>
      </c>
      <c r="L17" s="853"/>
    </row>
    <row r="18" spans="1:13" s="149" customFormat="1" ht="27.75" customHeight="1" thickBot="1" x14ac:dyDescent="0.25">
      <c r="A18" s="907" t="s">
        <v>239</v>
      </c>
      <c r="B18" s="908"/>
      <c r="C18" s="162">
        <f>C13+C14+C16+C17</f>
        <v>0</v>
      </c>
      <c r="D18" s="162">
        <f t="shared" ref="D18:K18" si="5">D13+D14+D16+D17</f>
        <v>614176</v>
      </c>
      <c r="E18" s="162">
        <f t="shared" si="5"/>
        <v>0</v>
      </c>
      <c r="F18" s="162">
        <f t="shared" si="5"/>
        <v>0</v>
      </c>
      <c r="G18" s="162">
        <f t="shared" si="5"/>
        <v>0</v>
      </c>
      <c r="H18" s="162">
        <f t="shared" si="5"/>
        <v>37867</v>
      </c>
      <c r="I18" s="162">
        <f t="shared" si="5"/>
        <v>0</v>
      </c>
      <c r="J18" s="162">
        <f t="shared" si="5"/>
        <v>576309</v>
      </c>
      <c r="K18" s="162">
        <f t="shared" si="5"/>
        <v>576309</v>
      </c>
      <c r="L18" s="853"/>
      <c r="M18" s="150"/>
    </row>
    <row r="19" spans="1:13" s="149" customFormat="1" ht="33.75" customHeight="1" thickBot="1" x14ac:dyDescent="0.25">
      <c r="A19" s="909" t="s">
        <v>240</v>
      </c>
      <c r="B19" s="910"/>
      <c r="C19" s="916">
        <f>K18/(G18+H18)</f>
        <v>15.219293844244328</v>
      </c>
      <c r="D19" s="917"/>
      <c r="E19" s="917"/>
      <c r="F19" s="917"/>
      <c r="G19" s="917"/>
      <c r="H19" s="917"/>
      <c r="I19" s="917"/>
      <c r="J19" s="917"/>
      <c r="K19" s="918"/>
      <c r="L19" s="150"/>
    </row>
    <row r="20" spans="1:13" s="149" customFormat="1" ht="38.25" customHeight="1" thickBot="1" x14ac:dyDescent="0.25">
      <c r="A20" s="909" t="s">
        <v>241</v>
      </c>
      <c r="B20" s="910"/>
      <c r="C20" s="905">
        <f>K18/F32</f>
        <v>15.707193173717974</v>
      </c>
      <c r="D20" s="905"/>
      <c r="E20" s="905"/>
      <c r="F20" s="905"/>
      <c r="G20" s="905"/>
      <c r="H20" s="905"/>
      <c r="I20" s="905"/>
      <c r="J20" s="905"/>
      <c r="K20" s="906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923" t="s">
        <v>266</v>
      </c>
      <c r="E30" s="924"/>
      <c r="F30" s="924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5</v>
      </c>
      <c r="E32" s="235">
        <v>953960</v>
      </c>
      <c r="F32" s="235">
        <f>E32/26</f>
        <v>36690.769230769234</v>
      </c>
      <c r="H32" s="515"/>
    </row>
    <row r="33" spans="2:11" x14ac:dyDescent="0.2">
      <c r="D33" s="236">
        <v>6</v>
      </c>
      <c r="E33" s="235">
        <v>954060</v>
      </c>
      <c r="F33" s="235">
        <f t="shared" ref="F33:F34" si="6">E33/26</f>
        <v>36694.615384615383</v>
      </c>
      <c r="H33" s="515"/>
    </row>
    <row r="34" spans="2:11" x14ac:dyDescent="0.2">
      <c r="D34" s="236">
        <v>7</v>
      </c>
      <c r="E34" s="235">
        <v>945860</v>
      </c>
      <c r="F34" s="235">
        <f t="shared" si="6"/>
        <v>36379.230769230766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D30:F30"/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  <mergeCell ref="A8:A9"/>
    <mergeCell ref="A5:A6"/>
    <mergeCell ref="A13:A17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5"/>
  <sheetViews>
    <sheetView topLeftCell="C1" zoomScale="95" zoomScaleNormal="95" workbookViewId="0">
      <selection activeCell="T9" sqref="T9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491</v>
      </c>
      <c r="L1" s="770" t="s">
        <v>451</v>
      </c>
      <c r="M1" s="770" t="s">
        <v>452</v>
      </c>
      <c r="N1" s="770" t="s">
        <v>360</v>
      </c>
      <c r="O1" s="770" t="s">
        <v>442</v>
      </c>
      <c r="P1" s="770" t="s">
        <v>453</v>
      </c>
      <c r="Q1" s="771" t="s">
        <v>361</v>
      </c>
      <c r="R1" s="770" t="s">
        <v>442</v>
      </c>
      <c r="S1" s="770" t="s">
        <v>362</v>
      </c>
      <c r="T1" s="772" t="s">
        <v>440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3087</v>
      </c>
      <c r="H2" s="776"/>
      <c r="I2" s="1033"/>
      <c r="J2" s="1033"/>
      <c r="K2" s="1034"/>
      <c r="L2" s="778" t="s">
        <v>425</v>
      </c>
      <c r="M2" s="779">
        <v>3087</v>
      </c>
      <c r="N2" s="776" t="s">
        <v>363</v>
      </c>
      <c r="O2" s="779">
        <v>1280</v>
      </c>
      <c r="P2" s="780">
        <v>-1280</v>
      </c>
      <c r="Q2" s="781" t="s">
        <v>363</v>
      </c>
      <c r="R2" s="782">
        <v>1280</v>
      </c>
      <c r="S2" s="782">
        <v>-1280</v>
      </c>
      <c r="T2" s="783">
        <v>8.5</v>
      </c>
    </row>
    <row r="3" spans="1:20" x14ac:dyDescent="0.2">
      <c r="A3" s="765" t="str">
        <f t="shared" ref="A3:A73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3798</v>
      </c>
      <c r="H3" s="776"/>
      <c r="I3" s="1033"/>
      <c r="J3" s="1033"/>
      <c r="K3" s="1034"/>
      <c r="L3" s="778" t="s">
        <v>426</v>
      </c>
      <c r="M3" s="779">
        <v>3798</v>
      </c>
      <c r="N3" s="776" t="s">
        <v>516</v>
      </c>
      <c r="O3" s="779">
        <v>640</v>
      </c>
      <c r="P3" s="780">
        <v>-354</v>
      </c>
      <c r="Q3" s="785" t="s">
        <v>516</v>
      </c>
      <c r="R3" s="782">
        <v>640</v>
      </c>
      <c r="S3" s="782">
        <v>-354</v>
      </c>
      <c r="T3" s="783">
        <v>8.5</v>
      </c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957</v>
      </c>
      <c r="H4" s="776"/>
      <c r="I4" s="1033"/>
      <c r="J4" s="1033"/>
      <c r="K4" s="1034"/>
      <c r="L4" s="778" t="s">
        <v>454</v>
      </c>
      <c r="M4" s="779">
        <v>957</v>
      </c>
      <c r="N4" s="776" t="s">
        <v>364</v>
      </c>
      <c r="O4" s="779">
        <v>200</v>
      </c>
      <c r="P4" s="780">
        <v>-200</v>
      </c>
      <c r="Q4" s="781" t="s">
        <v>364</v>
      </c>
      <c r="R4" s="782">
        <v>200</v>
      </c>
      <c r="S4" s="782">
        <v>-200</v>
      </c>
      <c r="T4" s="783">
        <v>8.5</v>
      </c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1351</v>
      </c>
      <c r="H5" s="776"/>
      <c r="I5" s="1033"/>
      <c r="J5" s="1033"/>
      <c r="K5" s="1034"/>
      <c r="L5" s="778" t="s">
        <v>427</v>
      </c>
      <c r="M5" s="779">
        <v>1742</v>
      </c>
      <c r="N5" s="776" t="s">
        <v>503</v>
      </c>
      <c r="O5" s="779">
        <v>2400</v>
      </c>
      <c r="P5" s="780">
        <v>35009</v>
      </c>
      <c r="Q5" s="781" t="s">
        <v>366</v>
      </c>
      <c r="R5" s="782">
        <v>640</v>
      </c>
      <c r="S5" s="782">
        <v>-640</v>
      </c>
      <c r="T5" s="783">
        <v>8.5</v>
      </c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1899</v>
      </c>
      <c r="H6" s="776"/>
      <c r="I6" s="1033"/>
      <c r="J6" s="1033"/>
      <c r="K6" s="1034"/>
      <c r="L6" s="778" t="s">
        <v>455</v>
      </c>
      <c r="M6" s="779">
        <v>1899</v>
      </c>
      <c r="N6" s="776" t="s">
        <v>365</v>
      </c>
      <c r="O6" s="779">
        <v>8000</v>
      </c>
      <c r="P6" s="780">
        <v>29409</v>
      </c>
      <c r="Q6" s="785" t="s">
        <v>517</v>
      </c>
      <c r="R6" s="782">
        <v>42200</v>
      </c>
      <c r="S6" s="782">
        <v>-25684</v>
      </c>
      <c r="T6" s="783">
        <v>5.5</v>
      </c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444</v>
      </c>
      <c r="F7" s="776"/>
      <c r="G7" s="777">
        <f>_xlfn.XLOOKUP(E7,HIGRO!$C$1:$C$500,HIGRO!$M$1:$M$500)</f>
        <v>3323</v>
      </c>
      <c r="H7" s="776"/>
      <c r="I7" s="1033"/>
      <c r="J7" s="1033"/>
      <c r="K7" s="1033"/>
      <c r="L7" s="778" t="s">
        <v>450</v>
      </c>
      <c r="M7" s="779">
        <v>4313</v>
      </c>
      <c r="N7" s="776" t="s">
        <v>366</v>
      </c>
      <c r="O7" s="779">
        <v>640</v>
      </c>
      <c r="P7" s="780">
        <v>-640</v>
      </c>
      <c r="Q7" s="781" t="s">
        <v>380</v>
      </c>
      <c r="R7" s="782">
        <v>640</v>
      </c>
      <c r="S7" s="782">
        <v>-466</v>
      </c>
      <c r="T7" s="783">
        <v>5.5</v>
      </c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300</v>
      </c>
      <c r="F8" s="776"/>
      <c r="G8" s="777">
        <f>_xlfn.XLOOKUP(E8,HIGRO!$C$1:$C$500,HIGRO!$M$1:$M$500)</f>
        <v>4345</v>
      </c>
      <c r="H8" s="776"/>
      <c r="I8" s="1033"/>
      <c r="J8" s="1033"/>
      <c r="K8" s="1033"/>
      <c r="L8" s="778" t="s">
        <v>406</v>
      </c>
      <c r="M8" s="779">
        <v>3778</v>
      </c>
      <c r="N8" s="776" t="s">
        <v>473</v>
      </c>
      <c r="O8" s="779">
        <v>960</v>
      </c>
      <c r="P8" s="780">
        <v>1969</v>
      </c>
      <c r="Q8" s="786" t="s">
        <v>519</v>
      </c>
      <c r="R8" s="782">
        <v>41800</v>
      </c>
      <c r="S8" s="782">
        <v>-11795</v>
      </c>
      <c r="T8" s="783">
        <v>5.5</v>
      </c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342</v>
      </c>
      <c r="F9" s="776"/>
      <c r="G9" s="777">
        <f>_xlfn.XLOOKUP(E9,HIGRO!$C$1:$C$500,HIGRO!$M$1:$M$500)</f>
        <v>1700</v>
      </c>
      <c r="H9" s="776"/>
      <c r="I9" s="1033"/>
      <c r="J9" s="1033"/>
      <c r="K9" s="1033"/>
      <c r="L9" s="778" t="s">
        <v>456</v>
      </c>
      <c r="M9" s="779">
        <v>1700</v>
      </c>
      <c r="N9" s="776" t="s">
        <v>367</v>
      </c>
      <c r="O9" s="779">
        <v>1600</v>
      </c>
      <c r="P9" s="780">
        <v>1284</v>
      </c>
      <c r="Q9" s="781"/>
      <c r="R9" s="782"/>
      <c r="S9" s="782"/>
      <c r="T9" s="783"/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2491</v>
      </c>
      <c r="H10" s="776"/>
      <c r="I10" s="1033"/>
      <c r="J10" s="1033"/>
      <c r="K10" s="1033"/>
      <c r="L10" s="778" t="s">
        <v>412</v>
      </c>
      <c r="M10" s="779">
        <v>2491</v>
      </c>
      <c r="N10" s="776" t="s">
        <v>368</v>
      </c>
      <c r="O10" s="779">
        <v>320</v>
      </c>
      <c r="P10" s="780">
        <v>824</v>
      </c>
      <c r="Q10" s="781"/>
      <c r="R10" s="782"/>
      <c r="S10" s="782"/>
      <c r="T10" s="783"/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2081</v>
      </c>
      <c r="H11" s="776"/>
      <c r="I11" s="1033"/>
      <c r="J11" s="1033"/>
      <c r="K11" s="1033"/>
      <c r="L11" s="778" t="s">
        <v>407</v>
      </c>
      <c r="M11" s="779">
        <v>2081</v>
      </c>
      <c r="N11" s="776" t="s">
        <v>446</v>
      </c>
      <c r="O11" s="779">
        <v>640</v>
      </c>
      <c r="P11" s="780">
        <v>19946</v>
      </c>
      <c r="Q11" s="781"/>
      <c r="R11" s="782"/>
      <c r="S11" s="782"/>
      <c r="T11" s="783"/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14784</v>
      </c>
      <c r="H12" s="776"/>
      <c r="I12" s="1033"/>
      <c r="J12" s="1033"/>
      <c r="K12" s="1033"/>
      <c r="L12" s="778" t="s">
        <v>410</v>
      </c>
      <c r="M12" s="779">
        <v>13459</v>
      </c>
      <c r="N12" s="776" t="s">
        <v>504</v>
      </c>
      <c r="O12" s="779">
        <v>3200</v>
      </c>
      <c r="P12" s="780" t="e">
        <v>#N/A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838</v>
      </c>
      <c r="H13" s="776"/>
      <c r="I13" s="1033"/>
      <c r="J13" s="1033"/>
      <c r="K13" s="1033"/>
      <c r="L13" s="778" t="s">
        <v>447</v>
      </c>
      <c r="M13" s="779">
        <v>1083</v>
      </c>
      <c r="N13" s="776" t="s">
        <v>369</v>
      </c>
      <c r="O13" s="779">
        <v>6000</v>
      </c>
      <c r="P13" s="780">
        <v>14586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4445</v>
      </c>
      <c r="H14" s="776"/>
      <c r="I14" s="1033"/>
      <c r="J14" s="1033"/>
      <c r="K14" s="1033"/>
      <c r="L14" s="778" t="s">
        <v>413</v>
      </c>
      <c r="M14" s="779">
        <v>5091</v>
      </c>
      <c r="N14" s="776" t="s">
        <v>371</v>
      </c>
      <c r="O14" s="779">
        <v>320</v>
      </c>
      <c r="P14" s="780">
        <v>5295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348</v>
      </c>
      <c r="F15" s="776"/>
      <c r="G15" s="777">
        <f>_xlfn.XLOOKUP(E15,HIGRO!$C$1:$C$500,HIGRO!$M$1:$M$500)</f>
        <v>249</v>
      </c>
      <c r="H15" s="776"/>
      <c r="I15" s="1033"/>
      <c r="J15" s="1033"/>
      <c r="K15" s="1033"/>
      <c r="L15" s="778" t="s">
        <v>457</v>
      </c>
      <c r="M15" s="779">
        <v>1129</v>
      </c>
      <c r="N15" s="776" t="s">
        <v>372</v>
      </c>
      <c r="O15" s="779">
        <v>6800</v>
      </c>
      <c r="P15" s="780">
        <v>15881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349</v>
      </c>
      <c r="F16" s="776"/>
      <c r="G16" s="777">
        <f>_xlfn.XLOOKUP(E16,HIGRO!$C$1:$C$500,HIGRO!$M$1:$M$500)</f>
        <v>2614</v>
      </c>
      <c r="H16" s="776"/>
      <c r="I16" s="1033"/>
      <c r="J16" s="1033"/>
      <c r="K16" s="1033"/>
      <c r="L16" s="778" t="s">
        <v>458</v>
      </c>
      <c r="M16" s="779">
        <v>2614</v>
      </c>
      <c r="N16" s="776" t="s">
        <v>505</v>
      </c>
      <c r="O16" s="779">
        <v>2800</v>
      </c>
      <c r="P16" s="780" t="e">
        <v>#N/A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299</v>
      </c>
      <c r="F17" s="776"/>
      <c r="G17" s="777">
        <f>_xlfn.XLOOKUP(E17,HIGRO!$C$1:$C$500,HIGRO!$M$1:$M$500)</f>
        <v>491</v>
      </c>
      <c r="H17" s="776"/>
      <c r="I17" s="1033"/>
      <c r="J17" s="1033"/>
      <c r="K17" s="1033"/>
      <c r="L17" s="778" t="s">
        <v>448</v>
      </c>
      <c r="M17" s="779">
        <v>491</v>
      </c>
      <c r="N17" s="776" t="s">
        <v>508</v>
      </c>
      <c r="O17" s="779">
        <v>800</v>
      </c>
      <c r="P17" s="780">
        <v>21881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357</v>
      </c>
      <c r="F18" s="776"/>
      <c r="G18" s="777">
        <f>_xlfn.XLOOKUP(E18,HIGRO!$C$1:$C$500,HIGRO!$M$1:$M$500)</f>
        <v>131</v>
      </c>
      <c r="H18" s="776"/>
      <c r="I18" s="1033"/>
      <c r="J18" s="1033"/>
      <c r="K18" s="1033"/>
      <c r="L18" s="778" t="s">
        <v>492</v>
      </c>
      <c r="M18" s="779">
        <v>131</v>
      </c>
      <c r="N18" s="776" t="s">
        <v>170</v>
      </c>
      <c r="O18" s="779"/>
      <c r="P18" s="780"/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351</v>
      </c>
      <c r="F19" s="776"/>
      <c r="G19" s="777">
        <f>_xlfn.XLOOKUP(E19,HIGRO!$C$1:$C$500,HIGRO!$M$1:$M$500)</f>
        <v>627</v>
      </c>
      <c r="H19" s="776"/>
      <c r="I19" s="1033"/>
      <c r="J19" s="1033"/>
      <c r="K19" s="1033"/>
      <c r="L19" s="778" t="s">
        <v>493</v>
      </c>
      <c r="M19" s="779">
        <v>627</v>
      </c>
      <c r="N19" s="776" t="s">
        <v>373</v>
      </c>
      <c r="O19" s="779">
        <v>1920</v>
      </c>
      <c r="P19" s="780">
        <v>3181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323</v>
      </c>
      <c r="F20" s="776"/>
      <c r="G20" s="777">
        <f>_xlfn.XLOOKUP(E20,HIGRO!$C$1:$C$500,HIGRO!$M$1:$M$500)</f>
        <v>1274</v>
      </c>
      <c r="H20" s="776"/>
      <c r="I20" s="1033"/>
      <c r="J20" s="1033"/>
      <c r="K20" s="1033"/>
      <c r="L20" s="778" t="s">
        <v>449</v>
      </c>
      <c r="M20" s="779">
        <v>1274</v>
      </c>
      <c r="N20" s="776" t="s">
        <v>375</v>
      </c>
      <c r="O20" s="779">
        <v>1600</v>
      </c>
      <c r="P20" s="780">
        <v>1418</v>
      </c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359</v>
      </c>
      <c r="F21" s="776"/>
      <c r="G21" s="777">
        <f>_xlfn.XLOOKUP(E21,HIGRO!$C$1:$C$500,HIGRO!$M$1:$M$500)</f>
        <v>2952</v>
      </c>
      <c r="H21" s="776"/>
      <c r="I21" s="1033"/>
      <c r="J21" s="1033"/>
      <c r="K21" s="1033"/>
      <c r="L21" s="778" t="s">
        <v>494</v>
      </c>
      <c r="M21" s="779">
        <v>2952</v>
      </c>
      <c r="N21" s="776" t="s">
        <v>376</v>
      </c>
      <c r="O21" s="779">
        <v>6160</v>
      </c>
      <c r="P21" s="780">
        <v>14806</v>
      </c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287</v>
      </c>
      <c r="F22" s="776"/>
      <c r="G22" s="777">
        <f>_xlfn.XLOOKUP(E22,HIGRO!$C$1:$C$500,HIGRO!$M$1:$M$500)</f>
        <v>9449</v>
      </c>
      <c r="H22" s="776"/>
      <c r="I22" s="1033"/>
      <c r="J22" s="1033"/>
      <c r="K22" s="1033"/>
      <c r="L22" s="778" t="s">
        <v>414</v>
      </c>
      <c r="M22" s="779">
        <v>9449</v>
      </c>
      <c r="N22" s="776" t="s">
        <v>377</v>
      </c>
      <c r="O22" s="779">
        <v>720</v>
      </c>
      <c r="P22" s="780">
        <v>3264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288</v>
      </c>
      <c r="F23" s="776"/>
      <c r="G23" s="777">
        <f>_xlfn.XLOOKUP(E23,HIGRO!$C$1:$C$500,HIGRO!$M$1:$M$500)</f>
        <v>4924</v>
      </c>
      <c r="H23" s="776"/>
      <c r="I23" s="1033"/>
      <c r="J23" s="1033"/>
      <c r="K23" s="1033"/>
      <c r="L23" s="778" t="s">
        <v>414</v>
      </c>
      <c r="M23" s="779">
        <v>4924</v>
      </c>
      <c r="N23" s="776" t="s">
        <v>517</v>
      </c>
      <c r="O23" s="779">
        <v>42200</v>
      </c>
      <c r="P23" s="780">
        <v>-25684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1684</v>
      </c>
      <c r="H24" s="789">
        <v>3.5</v>
      </c>
      <c r="I24" s="1033"/>
      <c r="J24" s="1033"/>
      <c r="K24" s="1033"/>
      <c r="L24" s="778" t="s">
        <v>459</v>
      </c>
      <c r="M24" s="779">
        <v>1684</v>
      </c>
      <c r="N24" s="776" t="s">
        <v>439</v>
      </c>
      <c r="O24" s="779">
        <v>640</v>
      </c>
      <c r="P24" s="780">
        <v>4322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3209</v>
      </c>
      <c r="H25" s="789" t="s">
        <v>326</v>
      </c>
      <c r="I25" s="1033"/>
      <c r="J25" s="1033"/>
      <c r="K25" s="1033"/>
      <c r="L25" s="778" t="s">
        <v>424</v>
      </c>
      <c r="M25" s="779">
        <v>3889</v>
      </c>
      <c r="N25" s="776" t="s">
        <v>379</v>
      </c>
      <c r="O25" s="779">
        <v>320</v>
      </c>
      <c r="P25" s="780">
        <v>957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325</v>
      </c>
      <c r="F26" s="852"/>
      <c r="G26" s="777">
        <f>_xlfn.XLOOKUP(E26,HIGRO!$C$1:$C$500,HIGRO!$M$1:$M$500)</f>
        <v>0</v>
      </c>
      <c r="H26" s="776"/>
      <c r="I26" s="1033"/>
      <c r="J26" s="1033"/>
      <c r="K26" s="1033"/>
      <c r="L26" s="778" t="s">
        <v>416</v>
      </c>
      <c r="M26" s="779">
        <v>1699</v>
      </c>
      <c r="N26" s="776" t="s">
        <v>454</v>
      </c>
      <c r="O26" s="779">
        <v>200</v>
      </c>
      <c r="P26" s="780">
        <v>757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3486</v>
      </c>
      <c r="H27" s="776"/>
      <c r="I27" s="1033"/>
      <c r="J27" s="1033"/>
      <c r="K27" s="1033"/>
      <c r="L27" s="778" t="s">
        <v>419</v>
      </c>
      <c r="M27" s="779">
        <v>3719</v>
      </c>
      <c r="N27" s="776" t="s">
        <v>380</v>
      </c>
      <c r="O27" s="779">
        <v>640</v>
      </c>
      <c r="P27" s="780">
        <v>-466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6145</v>
      </c>
      <c r="H28" s="776"/>
      <c r="I28" s="1033"/>
      <c r="J28" s="1033"/>
      <c r="K28" s="1033"/>
      <c r="L28" s="778" t="s">
        <v>364</v>
      </c>
      <c r="M28" s="779">
        <v>233</v>
      </c>
      <c r="N28" s="776" t="s">
        <v>381</v>
      </c>
      <c r="O28" s="779">
        <v>6200</v>
      </c>
      <c r="P28" s="780">
        <v>13517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0</v>
      </c>
      <c r="H29" s="776"/>
      <c r="I29" s="1033"/>
      <c r="J29" s="1033"/>
      <c r="K29" s="1033"/>
      <c r="L29" s="778" t="s">
        <v>516</v>
      </c>
      <c r="M29" s="779">
        <v>1382</v>
      </c>
      <c r="N29" s="776" t="s">
        <v>382</v>
      </c>
      <c r="O29" s="779">
        <v>800</v>
      </c>
      <c r="P29" s="780">
        <v>3503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545</v>
      </c>
      <c r="F30" s="852"/>
      <c r="G30" s="777">
        <f>_xlfn.XLOOKUP(E30,HIGRO!$C$1:$C$500,HIGRO!$M$1:$M$500)</f>
        <v>286</v>
      </c>
      <c r="H30" s="776"/>
      <c r="I30" s="1033"/>
      <c r="J30" s="1033"/>
      <c r="K30" s="1033"/>
      <c r="L30" s="778" t="s">
        <v>367</v>
      </c>
      <c r="M30" s="779">
        <v>4118</v>
      </c>
      <c r="N30" s="776" t="s">
        <v>518</v>
      </c>
      <c r="O30" s="779">
        <v>1600</v>
      </c>
      <c r="P30" s="780">
        <v>28405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301</v>
      </c>
      <c r="F31" s="852"/>
      <c r="G31" s="777">
        <f>_xlfn.XLOOKUP(E31,HIGRO!$C$1:$C$500,HIGRO!$M$1:$M$500)</f>
        <v>0</v>
      </c>
      <c r="H31" s="776"/>
      <c r="I31" s="1033"/>
      <c r="J31" s="1033"/>
      <c r="K31" s="1033"/>
      <c r="L31" s="778" t="s">
        <v>548</v>
      </c>
      <c r="M31" s="779">
        <v>2009</v>
      </c>
      <c r="N31" s="776" t="s">
        <v>519</v>
      </c>
      <c r="O31" s="779">
        <v>41800</v>
      </c>
      <c r="P31" s="780">
        <v>-11795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2884</v>
      </c>
      <c r="H32" s="776"/>
      <c r="I32" s="1033"/>
      <c r="J32" s="1033"/>
      <c r="K32" s="1033"/>
      <c r="L32" s="778" t="s">
        <v>370</v>
      </c>
      <c r="M32" s="779">
        <v>2329</v>
      </c>
      <c r="N32" s="776" t="s">
        <v>385</v>
      </c>
      <c r="O32" s="779">
        <v>1920</v>
      </c>
      <c r="P32" s="780">
        <v>2144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546</v>
      </c>
      <c r="F33" s="852"/>
      <c r="G33" s="777">
        <f>_xlfn.XLOOKUP(E33,HIGRO!$C$1:$C$500,HIGRO!$M$1:$M$500)</f>
        <v>1390</v>
      </c>
      <c r="H33" s="776"/>
      <c r="I33" s="1033"/>
      <c r="J33" s="1033"/>
      <c r="K33" s="1033"/>
      <c r="L33" s="778" t="s">
        <v>371</v>
      </c>
      <c r="M33" s="779">
        <v>3765</v>
      </c>
      <c r="N33" s="776" t="s">
        <v>386</v>
      </c>
      <c r="O33" s="779">
        <v>320</v>
      </c>
      <c r="P33" s="780">
        <v>3833</v>
      </c>
      <c r="Q33" s="787"/>
      <c r="R33" s="788"/>
      <c r="S33" s="788"/>
    </row>
    <row r="34" spans="1:19" x14ac:dyDescent="0.2">
      <c r="A34" s="765" t="str">
        <f t="shared" si="1"/>
        <v>551X2625</v>
      </c>
      <c r="B34" s="773" t="str">
        <f t="shared" ref="B34:B65" si="2">IFERROR(TRIM(_xlfn.TEXTBEFORE(_xlfn.TEXTAFTER(E34, "-"), "-")),"")</f>
        <v>551X26</v>
      </c>
      <c r="C34" s="850" t="str">
        <f>_xlfn.XLOOKUP(E34,HIGRO!$C$1:$C$500,HIGRO!$B$1:$B$500)</f>
        <v>1290D205512625</v>
      </c>
      <c r="D34" s="851">
        <f>_xlfn.XLOOKUP(E34,HIGRO!$C$1:$C$500,HIGRO!$D$1:$D$500)</f>
        <v>25</v>
      </c>
      <c r="E34" s="852" t="s">
        <v>281</v>
      </c>
      <c r="F34" s="852"/>
      <c r="G34" s="777">
        <f>_xlfn.XLOOKUP(E34,HIGRO!$C$1:$C$500,HIGRO!$M$1:$M$500)</f>
        <v>2329</v>
      </c>
      <c r="H34" s="776"/>
      <c r="I34" s="1033"/>
      <c r="J34" s="1033"/>
      <c r="K34" s="1033"/>
      <c r="L34" s="778" t="s">
        <v>529</v>
      </c>
      <c r="M34" s="779">
        <v>1927</v>
      </c>
      <c r="N34" s="776" t="s">
        <v>387</v>
      </c>
      <c r="O34" s="779">
        <v>2240</v>
      </c>
      <c r="P34" s="780">
        <v>5963</v>
      </c>
      <c r="Q34" s="787"/>
      <c r="R34" s="788"/>
      <c r="S34" s="788"/>
    </row>
    <row r="35" spans="1:19" x14ac:dyDescent="0.2">
      <c r="A35" s="765" t="str">
        <f t="shared" si="1"/>
        <v>551Pro25</v>
      </c>
      <c r="B35" s="773" t="str">
        <f t="shared" si="2"/>
        <v>551Pro</v>
      </c>
      <c r="C35" s="850" t="str">
        <f>_xlfn.XLOOKUP(E35,HIGRO!$C$1:$C$500,HIGRO!$B$1:$B$500)</f>
        <v>1290B705511625</v>
      </c>
      <c r="D35" s="851">
        <f>_xlfn.XLOOKUP(E35,HIGRO!$C$1:$C$500,HIGRO!$D$1:$D$500)</f>
        <v>25</v>
      </c>
      <c r="E35" s="852" t="s">
        <v>302</v>
      </c>
      <c r="F35" s="852"/>
      <c r="G35" s="777">
        <f>_xlfn.XLOOKUP(E35,HIGRO!$C$1:$C$500,HIGRO!$M$1:$M$500)</f>
        <v>0</v>
      </c>
      <c r="H35" s="776"/>
      <c r="I35" s="1033"/>
      <c r="J35" s="1033"/>
      <c r="K35" s="1033"/>
      <c r="L35" s="778" t="s">
        <v>381</v>
      </c>
      <c r="M35" s="779">
        <v>15005</v>
      </c>
      <c r="N35" s="776" t="s">
        <v>389</v>
      </c>
      <c r="O35" s="779">
        <v>8000</v>
      </c>
      <c r="P35" s="780">
        <v>12170</v>
      </c>
      <c r="Q35" s="787"/>
      <c r="R35" s="788"/>
      <c r="S35" s="788"/>
    </row>
    <row r="36" spans="1:19" x14ac:dyDescent="0.2">
      <c r="A36" s="765" t="str">
        <f t="shared" si="1"/>
        <v>551GP25</v>
      </c>
      <c r="B36" s="773" t="str">
        <f t="shared" si="2"/>
        <v>551GP</v>
      </c>
      <c r="C36" s="850" t="str">
        <f>_xlfn.XLOOKUP(E36,HIGRO!$C$1:$C$500,HIGRO!$B$1:$B$500)</f>
        <v>1290D205511625</v>
      </c>
      <c r="D36" s="851">
        <f>_xlfn.XLOOKUP(E36,HIGRO!$C$1:$C$500,HIGRO!$D$1:$D$500)</f>
        <v>25</v>
      </c>
      <c r="E36" s="852" t="s">
        <v>86</v>
      </c>
      <c r="F36" s="852"/>
      <c r="G36" s="777">
        <f>_xlfn.XLOOKUP(E36,HIGRO!$C$1:$C$500,HIGRO!$M$1:$M$500)</f>
        <v>5615</v>
      </c>
      <c r="H36" s="776"/>
      <c r="I36" s="1033"/>
      <c r="J36" s="1033"/>
      <c r="K36" s="1033"/>
      <c r="L36" s="778" t="s">
        <v>379</v>
      </c>
      <c r="M36" s="779">
        <v>1277</v>
      </c>
      <c r="N36" s="776" t="s">
        <v>390</v>
      </c>
      <c r="O36" s="779">
        <v>1520</v>
      </c>
      <c r="P36" s="780">
        <v>4823</v>
      </c>
      <c r="Q36" s="787"/>
      <c r="R36" s="788"/>
      <c r="S36" s="788"/>
    </row>
    <row r="37" spans="1:19" x14ac:dyDescent="0.2">
      <c r="A37" s="765" t="str">
        <f t="shared" si="1"/>
        <v>551GPX25</v>
      </c>
      <c r="B37" s="773" t="str">
        <f t="shared" si="2"/>
        <v>551GPX</v>
      </c>
      <c r="C37" s="850" t="str">
        <f>_xlfn.XLOOKUP(E37,HIGRO!$C$1:$C$500,HIGRO!$B$1:$B$500)</f>
        <v>1290H605514925</v>
      </c>
      <c r="D37" s="851">
        <f>_xlfn.XLOOKUP(E37,HIGRO!$C$1:$C$500,HIGRO!$D$1:$D$500)</f>
        <v>25</v>
      </c>
      <c r="E37" s="852" t="s">
        <v>547</v>
      </c>
      <c r="F37" s="852"/>
      <c r="G37" s="777">
        <f>_xlfn.XLOOKUP(E37,HIGRO!$C$1:$C$500,HIGRO!$M$1:$M$500)</f>
        <v>1927</v>
      </c>
      <c r="H37" s="776"/>
      <c r="I37" s="1033"/>
      <c r="J37" s="1033"/>
      <c r="K37" s="1033"/>
      <c r="L37" s="778" t="s">
        <v>495</v>
      </c>
      <c r="M37" s="779">
        <v>174</v>
      </c>
      <c r="N37" s="776" t="s">
        <v>391</v>
      </c>
      <c r="O37" s="779">
        <v>400</v>
      </c>
      <c r="P37" s="780">
        <v>1735</v>
      </c>
      <c r="Q37" s="787"/>
      <c r="R37" s="788"/>
      <c r="S37" s="788"/>
    </row>
    <row r="38" spans="1:19" x14ac:dyDescent="0.2">
      <c r="A38" s="765" t="str">
        <f t="shared" si="1"/>
        <v>55225</v>
      </c>
      <c r="B38" s="773" t="str">
        <f t="shared" si="2"/>
        <v>552</v>
      </c>
      <c r="C38" s="850" t="str">
        <f>_xlfn.XLOOKUP(E38,HIGRO!$C$1:$C$500,HIGRO!$B$1:$B$500)</f>
        <v>1290D205520025</v>
      </c>
      <c r="D38" s="851">
        <f>_xlfn.XLOOKUP(E38,HIGRO!$C$1:$C$500,HIGRO!$D$1:$D$500)</f>
        <v>25</v>
      </c>
      <c r="E38" s="852" t="s">
        <v>88</v>
      </c>
      <c r="F38" s="852"/>
      <c r="G38" s="777">
        <f>_xlfn.XLOOKUP(E38,HIGRO!$C$1:$C$500,HIGRO!$M$1:$M$500)</f>
        <v>19717</v>
      </c>
      <c r="H38" s="776"/>
      <c r="I38" s="1033"/>
      <c r="J38" s="1033"/>
      <c r="K38" s="1033"/>
      <c r="L38" s="778" t="s">
        <v>385</v>
      </c>
      <c r="M38" s="779">
        <v>6276</v>
      </c>
      <c r="N38" s="776" t="s">
        <v>170</v>
      </c>
      <c r="O38" s="779"/>
      <c r="P38" s="780"/>
      <c r="Q38" s="787"/>
      <c r="R38" s="788"/>
      <c r="S38" s="788"/>
    </row>
    <row r="39" spans="1:19" x14ac:dyDescent="0.2">
      <c r="A39" s="765" t="str">
        <f t="shared" si="1"/>
        <v>552E25</v>
      </c>
      <c r="B39" s="773" t="str">
        <f t="shared" si="2"/>
        <v>552E</v>
      </c>
      <c r="C39" s="850" t="str">
        <f>_xlfn.XLOOKUP(E39,HIGRO!$C$1:$C$500,HIGRO!$B$1:$B$500)</f>
        <v>1290H605520525</v>
      </c>
      <c r="D39" s="851">
        <f>_xlfn.XLOOKUP(E39,HIGRO!$C$1:$C$500,HIGRO!$D$1:$D$500)</f>
        <v>25</v>
      </c>
      <c r="E39" s="852" t="s">
        <v>313</v>
      </c>
      <c r="F39" s="852"/>
      <c r="G39" s="777">
        <f>_xlfn.XLOOKUP(E39,HIGRO!$C$1:$C$500,HIGRO!$M$1:$M$500)</f>
        <v>1277</v>
      </c>
      <c r="H39" s="776"/>
      <c r="I39" s="1033"/>
      <c r="J39" s="1033"/>
      <c r="K39" s="1033"/>
      <c r="L39" s="778" t="s">
        <v>386</v>
      </c>
      <c r="M39" s="779">
        <v>4153</v>
      </c>
      <c r="N39" s="776" t="s">
        <v>393</v>
      </c>
      <c r="O39" s="779">
        <v>1920</v>
      </c>
      <c r="P39" s="780">
        <v>1758</v>
      </c>
      <c r="Q39" s="787"/>
      <c r="R39" s="788"/>
      <c r="S39" s="788"/>
    </row>
    <row r="40" spans="1:19" x14ac:dyDescent="0.2">
      <c r="A40" s="765" t="str">
        <f t="shared" si="1"/>
        <v>552Pro25</v>
      </c>
      <c r="B40" s="773" t="str">
        <f t="shared" si="2"/>
        <v>552Pro</v>
      </c>
      <c r="C40" s="850" t="str">
        <f>_xlfn.XLOOKUP(E40,HIGRO!$C$1:$C$500,HIGRO!$B$1:$B$500)</f>
        <v>1290H205521625</v>
      </c>
      <c r="D40" s="851">
        <f>_xlfn.XLOOKUP(E40,HIGRO!$C$1:$C$500,HIGRO!$D$1:$D$500)</f>
        <v>25</v>
      </c>
      <c r="E40" s="852" t="s">
        <v>177</v>
      </c>
      <c r="F40" s="852"/>
      <c r="G40" s="777">
        <f>_xlfn.XLOOKUP(E40,HIGRO!$C$1:$C$500,HIGRO!$M$1:$M$500)</f>
        <v>174</v>
      </c>
      <c r="H40" s="776"/>
      <c r="I40" s="1033"/>
      <c r="J40" s="1033"/>
      <c r="K40" s="1033"/>
      <c r="L40" s="778" t="s">
        <v>376</v>
      </c>
      <c r="M40" s="779">
        <v>23649</v>
      </c>
      <c r="N40" s="776" t="s">
        <v>394</v>
      </c>
      <c r="O40" s="779">
        <v>320</v>
      </c>
      <c r="P40" s="780">
        <v>1926</v>
      </c>
      <c r="Q40" s="787"/>
      <c r="R40" s="788"/>
      <c r="S40" s="788"/>
    </row>
    <row r="41" spans="1:19" x14ac:dyDescent="0.2">
      <c r="A41" s="765" t="str">
        <f t="shared" si="1"/>
        <v>552M25</v>
      </c>
      <c r="B41" s="773" t="str">
        <f t="shared" si="2"/>
        <v>552M</v>
      </c>
      <c r="C41" s="774" t="str">
        <f>_xlfn.XLOOKUP(E41,HIGRO!$C$1:$C$500,HIGRO!$B$1:$B$500)</f>
        <v>1290D205521325</v>
      </c>
      <c r="D41" s="775">
        <f>_xlfn.XLOOKUP(E41,HIGRO!$C$1:$C$500,HIGRO!$D$1:$D$500)</f>
        <v>25</v>
      </c>
      <c r="E41" s="776" t="s">
        <v>90</v>
      </c>
      <c r="F41" s="776"/>
      <c r="G41" s="777">
        <f>_xlfn.XLOOKUP(E41,HIGRO!$C$1:$C$500,HIGRO!$M$1:$M$500)</f>
        <v>4064</v>
      </c>
      <c r="H41" s="776"/>
      <c r="I41" s="1033"/>
      <c r="J41" s="1033"/>
      <c r="K41" s="1033"/>
      <c r="L41" s="778" t="s">
        <v>496</v>
      </c>
      <c r="M41" s="779">
        <v>3697</v>
      </c>
      <c r="N41" s="776" t="s">
        <v>520</v>
      </c>
      <c r="O41" s="779">
        <v>2400</v>
      </c>
      <c r="P41" s="780">
        <v>7768</v>
      </c>
      <c r="Q41" s="787"/>
      <c r="R41" s="788"/>
      <c r="S41" s="788"/>
    </row>
    <row r="42" spans="1:19" x14ac:dyDescent="0.2">
      <c r="A42" s="765" t="str">
        <f t="shared" si="1"/>
        <v>552MX25</v>
      </c>
      <c r="B42" s="773" t="str">
        <f t="shared" si="2"/>
        <v>552MX</v>
      </c>
      <c r="C42" s="774" t="str">
        <f>_xlfn.XLOOKUP(E42,HIGRO!$C$1:$C$500,HIGRO!$B$1:$B$500)</f>
        <v>1290D205527925</v>
      </c>
      <c r="D42" s="775">
        <f>_xlfn.XLOOKUP(E42,HIGRO!$C$1:$C$500,HIGRO!$D$1:$D$500)</f>
        <v>25</v>
      </c>
      <c r="E42" s="776" t="s">
        <v>144</v>
      </c>
      <c r="F42" s="776"/>
      <c r="G42" s="777">
        <f>_xlfn.XLOOKUP(E42,HIGRO!$C$1:$C$500,HIGRO!$M$1:$M$500)</f>
        <v>4153</v>
      </c>
      <c r="H42" s="776"/>
      <c r="I42" s="1033"/>
      <c r="J42" s="1033"/>
      <c r="K42" s="1033"/>
      <c r="L42" s="778" t="s">
        <v>373</v>
      </c>
      <c r="M42" s="779">
        <v>6414</v>
      </c>
      <c r="N42" s="776" t="s">
        <v>396</v>
      </c>
      <c r="O42" s="779">
        <v>4000</v>
      </c>
      <c r="P42" s="780">
        <v>13437</v>
      </c>
      <c r="Q42" s="787"/>
      <c r="R42" s="788"/>
      <c r="S42" s="788"/>
    </row>
    <row r="43" spans="1:19" x14ac:dyDescent="0.2">
      <c r="A43" s="765" t="str">
        <f t="shared" si="1"/>
        <v>552S25</v>
      </c>
      <c r="B43" s="773" t="str">
        <f t="shared" si="2"/>
        <v>552S</v>
      </c>
      <c r="C43" s="774" t="str">
        <f>_xlfn.XLOOKUP(E43,HIGRO!$C$1:$C$500,HIGRO!$B$1:$B$500)</f>
        <v>1290D205521925</v>
      </c>
      <c r="D43" s="775">
        <f>_xlfn.XLOOKUP(E43,HIGRO!$C$1:$C$500,HIGRO!$D$1:$D$500)</f>
        <v>25</v>
      </c>
      <c r="E43" s="776" t="s">
        <v>92</v>
      </c>
      <c r="F43" s="776"/>
      <c r="G43" s="777">
        <f>_xlfn.XLOOKUP(E43,HIGRO!$C$1:$C$500,HIGRO!$M$1:$M$500)</f>
        <v>20966</v>
      </c>
      <c r="H43" s="776"/>
      <c r="I43" s="1033"/>
      <c r="J43" s="1033"/>
      <c r="K43" s="1033"/>
      <c r="L43" s="778" t="s">
        <v>390</v>
      </c>
      <c r="M43" s="779">
        <v>6343</v>
      </c>
      <c r="N43" s="776" t="s">
        <v>397</v>
      </c>
      <c r="O43" s="779">
        <v>480</v>
      </c>
      <c r="P43" s="780">
        <v>2273</v>
      </c>
      <c r="Q43" s="787"/>
      <c r="R43" s="788"/>
      <c r="S43" s="788"/>
    </row>
    <row r="44" spans="1:19" x14ac:dyDescent="0.2">
      <c r="A44" s="765" t="str">
        <f t="shared" si="1"/>
        <v>552SPro25</v>
      </c>
      <c r="B44" s="773" t="str">
        <f t="shared" si="2"/>
        <v>552SPro</v>
      </c>
      <c r="C44" s="774" t="str">
        <f>_xlfn.XLOOKUP(E44,HIGRO!$C$1:$C$500,HIGRO!$B$1:$B$500)</f>
        <v>1290H205527525</v>
      </c>
      <c r="D44" s="775">
        <f>_xlfn.XLOOKUP(E44,HIGRO!$C$1:$C$500,HIGRO!$D$1:$D$500)</f>
        <v>25</v>
      </c>
      <c r="E44" s="776" t="s">
        <v>179</v>
      </c>
      <c r="F44" s="776"/>
      <c r="G44" s="777">
        <f>_xlfn.XLOOKUP(E44,HIGRO!$C$1:$C$500,HIGRO!$M$1:$M$500)</f>
        <v>3018</v>
      </c>
      <c r="H44" s="776"/>
      <c r="I44" s="1033"/>
      <c r="J44" s="1033"/>
      <c r="K44" s="1033"/>
      <c r="L44" s="778" t="s">
        <v>387</v>
      </c>
      <c r="M44" s="779">
        <v>9512</v>
      </c>
      <c r="N44" s="776" t="s">
        <v>398</v>
      </c>
      <c r="O44" s="779">
        <v>200</v>
      </c>
      <c r="P44" s="780">
        <v>1250</v>
      </c>
      <c r="Q44" s="787"/>
      <c r="R44" s="788"/>
      <c r="S44" s="788"/>
    </row>
    <row r="45" spans="1:19" x14ac:dyDescent="0.2">
      <c r="A45" s="765" t="str">
        <f t="shared" si="1"/>
        <v>552SX25</v>
      </c>
      <c r="B45" s="773" t="str">
        <f t="shared" si="2"/>
        <v>552SX</v>
      </c>
      <c r="C45" s="774" t="str">
        <f>_xlfn.XLOOKUP(E45,HIGRO!$C$1:$C$500,HIGRO!$B$1:$B$500)</f>
        <v>1290D205527325</v>
      </c>
      <c r="D45" s="775">
        <f>_xlfn.XLOOKUP(E45,HIGRO!$C$1:$C$500,HIGRO!$D$1:$D$500)</f>
        <v>25</v>
      </c>
      <c r="E45" s="776" t="s">
        <v>94</v>
      </c>
      <c r="F45" s="776"/>
      <c r="G45" s="777">
        <f>_xlfn.XLOOKUP(E45,HIGRO!$C$1:$C$500,HIGRO!$M$1:$M$500)</f>
        <v>5101</v>
      </c>
      <c r="H45" s="776"/>
      <c r="I45" s="1033"/>
      <c r="J45" s="1033"/>
      <c r="K45" s="1033"/>
      <c r="L45" s="778" t="s">
        <v>497</v>
      </c>
      <c r="M45" s="779">
        <v>1238</v>
      </c>
      <c r="N45" s="776" t="s">
        <v>521</v>
      </c>
      <c r="O45" s="779">
        <v>1120</v>
      </c>
      <c r="P45" s="780">
        <v>3659</v>
      </c>
      <c r="Q45" s="787"/>
      <c r="R45" s="788"/>
      <c r="S45" s="788"/>
    </row>
    <row r="46" spans="1:19" x14ac:dyDescent="0.2">
      <c r="A46" s="765" t="str">
        <f t="shared" si="1"/>
        <v>55325</v>
      </c>
      <c r="B46" s="773" t="str">
        <f t="shared" si="2"/>
        <v>553</v>
      </c>
      <c r="C46" s="774" t="str">
        <f>_xlfn.XLOOKUP(E46,HIGRO!$C$1:$C$500,HIGRO!$B$1:$B$500)</f>
        <v>1290D205530025</v>
      </c>
      <c r="D46" s="775">
        <f>_xlfn.XLOOKUP(E46,HIGRO!$C$1:$C$500,HIGRO!$D$1:$D$500)</f>
        <v>25</v>
      </c>
      <c r="E46" s="776" t="s">
        <v>96</v>
      </c>
      <c r="F46" s="776"/>
      <c r="G46" s="777">
        <f>_xlfn.XLOOKUP(E46,HIGRO!$C$1:$C$500,HIGRO!$M$1:$M$500)</f>
        <v>6343</v>
      </c>
      <c r="H46" s="776"/>
      <c r="I46" s="1033"/>
      <c r="J46" s="1033"/>
      <c r="K46" s="1033"/>
      <c r="L46" s="778" t="s">
        <v>393</v>
      </c>
      <c r="M46" s="779">
        <v>3678</v>
      </c>
      <c r="N46" s="776" t="s">
        <v>400</v>
      </c>
      <c r="O46" s="779">
        <v>800</v>
      </c>
      <c r="P46" s="780">
        <v>2974</v>
      </c>
      <c r="Q46" s="787"/>
      <c r="R46" s="788"/>
      <c r="S46" s="788"/>
    </row>
    <row r="47" spans="1:19" x14ac:dyDescent="0.2">
      <c r="A47" s="765" t="str">
        <f t="shared" si="1"/>
        <v>553S25</v>
      </c>
      <c r="B47" s="773" t="str">
        <f t="shared" si="2"/>
        <v>553S</v>
      </c>
      <c r="C47" s="774" t="str">
        <f>_xlfn.XLOOKUP(E47,HIGRO!$C$1:$C$500,HIGRO!$B$1:$B$500)</f>
        <v>1290D205531925</v>
      </c>
      <c r="D47" s="775">
        <f>_xlfn.XLOOKUP(E47,HIGRO!$C$1:$C$500,HIGRO!$D$1:$D$500)</f>
        <v>25</v>
      </c>
      <c r="E47" s="776" t="s">
        <v>98</v>
      </c>
      <c r="F47" s="776"/>
      <c r="G47" s="777">
        <f>_xlfn.XLOOKUP(E47,HIGRO!$C$1:$C$500,HIGRO!$M$1:$M$500)</f>
        <v>8203</v>
      </c>
      <c r="H47" s="776"/>
      <c r="I47" s="1033"/>
      <c r="J47" s="1033"/>
      <c r="K47" s="1033"/>
      <c r="L47" s="778" t="s">
        <v>394</v>
      </c>
      <c r="M47" s="779">
        <v>2556</v>
      </c>
      <c r="N47" s="776" t="s">
        <v>401</v>
      </c>
      <c r="O47" s="779">
        <v>160</v>
      </c>
      <c r="P47" s="780">
        <v>829</v>
      </c>
      <c r="Q47" s="787"/>
      <c r="R47" s="788"/>
      <c r="S47" s="788"/>
    </row>
    <row r="48" spans="1:19" x14ac:dyDescent="0.2">
      <c r="A48" s="765" t="str">
        <f t="shared" si="1"/>
        <v>553SPro25</v>
      </c>
      <c r="B48" s="773" t="str">
        <f t="shared" si="2"/>
        <v>553SPro</v>
      </c>
      <c r="C48" s="774" t="str">
        <f>_xlfn.XLOOKUP(E48,HIGRO!$C$1:$C$500,HIGRO!$B$1:$B$500)</f>
        <v>1290H205537525</v>
      </c>
      <c r="D48" s="775">
        <f>_xlfn.XLOOKUP(E48,HIGRO!$C$1:$C$500,HIGRO!$D$1:$D$500)</f>
        <v>25</v>
      </c>
      <c r="E48" s="776" t="s">
        <v>180</v>
      </c>
      <c r="F48" s="776"/>
      <c r="G48" s="777">
        <f>_xlfn.XLOOKUP(E48,HIGRO!$C$1:$C$500,HIGRO!$M$1:$M$500)</f>
        <v>1238</v>
      </c>
      <c r="H48" s="776"/>
      <c r="I48" s="1033"/>
      <c r="J48" s="1033"/>
      <c r="K48" s="1033"/>
      <c r="L48" s="778" t="s">
        <v>396</v>
      </c>
      <c r="M48" s="779">
        <v>17437</v>
      </c>
      <c r="N48" s="776" t="s">
        <v>402</v>
      </c>
      <c r="O48" s="779">
        <v>4080</v>
      </c>
      <c r="P48" s="780">
        <v>2116</v>
      </c>
      <c r="Q48" s="787"/>
      <c r="R48" s="788"/>
      <c r="S48" s="788"/>
    </row>
    <row r="49" spans="1:19" x14ac:dyDescent="0.2">
      <c r="A49" s="765" t="str">
        <f t="shared" si="1"/>
        <v>56225</v>
      </c>
      <c r="B49" s="773" t="str">
        <f t="shared" si="2"/>
        <v>562</v>
      </c>
      <c r="C49" s="774" t="str">
        <f>_xlfn.XLOOKUP(E49,HIGRO!$C$1:$C$500,HIGRO!$B$1:$B$500)</f>
        <v>1290D205620025</v>
      </c>
      <c r="D49" s="775">
        <f>_xlfn.XLOOKUP(E49,HIGRO!$C$1:$C$500,HIGRO!$D$1:$D$500)</f>
        <v>25</v>
      </c>
      <c r="E49" s="776" t="s">
        <v>100</v>
      </c>
      <c r="F49" s="776"/>
      <c r="G49" s="777">
        <f>_xlfn.XLOOKUP(E49,HIGRO!$C$1:$C$500,HIGRO!$M$1:$M$500)</f>
        <v>3678</v>
      </c>
      <c r="H49" s="776"/>
      <c r="I49" s="1033"/>
      <c r="J49" s="1033"/>
      <c r="K49" s="1033"/>
      <c r="L49" s="778" t="s">
        <v>400</v>
      </c>
      <c r="M49" s="779">
        <v>2567</v>
      </c>
      <c r="N49" s="776" t="s">
        <v>403</v>
      </c>
      <c r="O49" s="779">
        <v>200</v>
      </c>
      <c r="P49" s="780">
        <v>1128</v>
      </c>
      <c r="Q49" s="787"/>
      <c r="R49" s="788"/>
      <c r="S49" s="788"/>
    </row>
    <row r="50" spans="1:19" x14ac:dyDescent="0.2">
      <c r="A50" s="765" t="str">
        <f t="shared" si="1"/>
        <v>562P25</v>
      </c>
      <c r="B50" s="773" t="str">
        <f t="shared" si="2"/>
        <v>562P</v>
      </c>
      <c r="C50" s="774" t="str">
        <f>_xlfn.XLOOKUP(E50,HIGRO!$C$1:$C$500,HIGRO!$B$1:$B$500)</f>
        <v>1290D205621625</v>
      </c>
      <c r="D50" s="775">
        <f>_xlfn.XLOOKUP(E50,HIGRO!$C$1:$C$500,HIGRO!$D$1:$D$500)</f>
        <v>25</v>
      </c>
      <c r="E50" s="776" t="s">
        <v>102</v>
      </c>
      <c r="F50" s="776"/>
      <c r="G50" s="777">
        <f>_xlfn.XLOOKUP(E50,HIGRO!$C$1:$C$500,HIGRO!$M$1:$M$500)</f>
        <v>2246</v>
      </c>
      <c r="H50" s="776"/>
      <c r="I50" s="1033"/>
      <c r="J50" s="1033"/>
      <c r="K50" s="1033"/>
      <c r="L50" s="778" t="s">
        <v>402</v>
      </c>
      <c r="M50" s="779">
        <v>5963</v>
      </c>
      <c r="N50" s="776" t="s">
        <v>404</v>
      </c>
      <c r="O50" s="779">
        <v>80</v>
      </c>
      <c r="P50" s="780">
        <v>1266</v>
      </c>
      <c r="Q50" s="787"/>
      <c r="R50" s="788"/>
      <c r="S50" s="788"/>
    </row>
    <row r="51" spans="1:19" x14ac:dyDescent="0.2">
      <c r="A51" s="765" t="str">
        <f t="shared" si="1"/>
        <v>56625</v>
      </c>
      <c r="B51" s="773" t="str">
        <f t="shared" si="2"/>
        <v>566</v>
      </c>
      <c r="C51" s="774" t="str">
        <f>_xlfn.XLOOKUP(E51,HIGRO!$C$1:$C$500,HIGRO!$B$1:$B$500)</f>
        <v>1290D205660025</v>
      </c>
      <c r="D51" s="775">
        <f>_xlfn.XLOOKUP(E51,HIGRO!$C$1:$C$500,HIGRO!$D$1:$D$500)</f>
        <v>25</v>
      </c>
      <c r="E51" s="776" t="s">
        <v>104</v>
      </c>
      <c r="F51" s="776"/>
      <c r="G51" s="777">
        <f>_xlfn.XLOOKUP(E51,HIGRO!$C$1:$C$500,HIGRO!$M$1:$M$500)</f>
        <v>17437</v>
      </c>
      <c r="H51" s="776"/>
      <c r="I51" s="1033"/>
      <c r="J51" s="1033"/>
      <c r="K51" s="1033"/>
      <c r="L51" s="778" t="s">
        <v>460</v>
      </c>
      <c r="M51" s="779">
        <v>2000</v>
      </c>
      <c r="N51" s="776" t="s">
        <v>522</v>
      </c>
      <c r="O51" s="779">
        <v>2000</v>
      </c>
      <c r="P51" s="780">
        <v>5810</v>
      </c>
      <c r="Q51" s="787"/>
      <c r="R51" s="788"/>
      <c r="S51" s="788"/>
    </row>
    <row r="52" spans="1:19" x14ac:dyDescent="0.2">
      <c r="A52" s="765" t="str">
        <f t="shared" si="1"/>
        <v>56725</v>
      </c>
      <c r="B52" s="773" t="str">
        <f t="shared" si="2"/>
        <v>567</v>
      </c>
      <c r="C52" s="774" t="str">
        <f>_xlfn.XLOOKUP(E52,HIGRO!$C$1:$C$500,HIGRO!$B$1:$B$500)</f>
        <v>1290D205670025</v>
      </c>
      <c r="D52" s="775">
        <f>_xlfn.XLOOKUP(E52,HIGRO!$C$1:$C$500,HIGRO!$D$1:$D$500)</f>
        <v>25</v>
      </c>
      <c r="E52" s="776" t="s">
        <v>106</v>
      </c>
      <c r="F52" s="776"/>
      <c r="G52" s="777">
        <f>_xlfn.XLOOKUP(E52,HIGRO!$C$1:$C$500,HIGRO!$M$1:$M$500)</f>
        <v>3774</v>
      </c>
      <c r="H52" s="776"/>
      <c r="I52" s="1033"/>
      <c r="J52" s="1033"/>
      <c r="K52" s="1033"/>
      <c r="L52" s="778" t="s">
        <v>515</v>
      </c>
      <c r="M52" s="779">
        <v>961</v>
      </c>
      <c r="N52" s="776" t="s">
        <v>559</v>
      </c>
      <c r="O52" s="779">
        <v>1600</v>
      </c>
      <c r="P52" s="780" t="e">
        <v>#N/A</v>
      </c>
      <c r="Q52" s="787"/>
      <c r="R52" s="788"/>
      <c r="S52" s="788"/>
    </row>
    <row r="53" spans="1:19" x14ac:dyDescent="0.2">
      <c r="A53" s="765" t="str">
        <f t="shared" si="1"/>
        <v>567S25</v>
      </c>
      <c r="B53" s="773" t="str">
        <f t="shared" si="2"/>
        <v>567S</v>
      </c>
      <c r="C53" s="774" t="str">
        <f>_xlfn.XLOOKUP(E53,HIGRO!$C$1:$C$500,HIGRO!$B$1:$B$500)</f>
        <v>1290D205671925</v>
      </c>
      <c r="D53" s="775">
        <f>_xlfn.XLOOKUP(E53,HIGRO!$C$1:$C$500,HIGRO!$D$1:$D$500)</f>
        <v>25</v>
      </c>
      <c r="E53" s="776" t="s">
        <v>108</v>
      </c>
      <c r="F53" s="776"/>
      <c r="G53" s="777">
        <f>_xlfn.XLOOKUP(E53,HIGRO!$C$1:$C$500,HIGRO!$M$1:$M$500)</f>
        <v>6196</v>
      </c>
      <c r="H53" s="776"/>
      <c r="I53" s="1033"/>
      <c r="J53" s="1033"/>
      <c r="K53" s="1033"/>
      <c r="L53" s="778" t="s">
        <v>368</v>
      </c>
      <c r="M53" s="779">
        <v>1464</v>
      </c>
      <c r="N53" s="776" t="s">
        <v>170</v>
      </c>
      <c r="O53" s="779"/>
      <c r="P53" s="780"/>
      <c r="Q53" s="787"/>
      <c r="R53" s="788"/>
      <c r="S53" s="788"/>
    </row>
    <row r="54" spans="1:19" x14ac:dyDescent="0.2">
      <c r="A54" s="765" t="str">
        <f t="shared" si="1"/>
        <v>57125</v>
      </c>
      <c r="B54" s="773" t="str">
        <f t="shared" si="2"/>
        <v>571</v>
      </c>
      <c r="C54" s="774" t="str">
        <f>_xlfn.XLOOKUP(E54,HIGRO!$C$1:$C$500,HIGRO!$B$1:$B$500)</f>
        <v>1290K305710025</v>
      </c>
      <c r="D54" s="775">
        <f>_xlfn.XLOOKUP(E54,HIGRO!$C$1:$C$500,HIGRO!$D$1:$D$500)</f>
        <v>25</v>
      </c>
      <c r="E54" s="776" t="s">
        <v>514</v>
      </c>
      <c r="F54" s="776"/>
      <c r="G54" s="777">
        <f>_xlfn.XLOOKUP(E54,HIGRO!$C$1:$C$500,HIGRO!$M$1:$M$500)</f>
        <v>2000</v>
      </c>
      <c r="H54" s="776"/>
      <c r="I54" s="1033"/>
      <c r="J54" s="1033"/>
      <c r="K54" s="1033"/>
      <c r="L54" s="778" t="s">
        <v>382</v>
      </c>
      <c r="M54" s="779">
        <v>5076</v>
      </c>
      <c r="N54" s="776" t="s">
        <v>170</v>
      </c>
      <c r="O54" s="779"/>
      <c r="P54" s="780"/>
      <c r="Q54" s="787"/>
      <c r="R54" s="788"/>
      <c r="S54" s="788"/>
    </row>
    <row r="55" spans="1:19" x14ac:dyDescent="0.2">
      <c r="B55" s="773" t="str">
        <f t="shared" si="2"/>
        <v>584</v>
      </c>
      <c r="C55" s="774" t="str">
        <f>_xlfn.XLOOKUP(E55,HIGRO!$C$1:$C$500,HIGRO!$B$1:$B$500)</f>
        <v>1290D205840025</v>
      </c>
      <c r="D55" s="775">
        <f>_xlfn.XLOOKUP(E55,HIGRO!$C$1:$C$500,HIGRO!$D$1:$D$500)</f>
        <v>25</v>
      </c>
      <c r="E55" s="776" t="s">
        <v>53</v>
      </c>
      <c r="F55" s="776"/>
      <c r="G55" s="777">
        <f>_xlfn.XLOOKUP(E55,HIGRO!$C$1:$C$500,HIGRO!$M$1:$M$500)</f>
        <v>356</v>
      </c>
      <c r="H55" s="776"/>
      <c r="I55" s="1033"/>
      <c r="J55" s="1033"/>
      <c r="K55" s="1033"/>
      <c r="L55" s="778" t="s">
        <v>377</v>
      </c>
      <c r="M55" s="779">
        <v>4674</v>
      </c>
      <c r="N55" s="776" t="s">
        <v>170</v>
      </c>
      <c r="O55" s="779"/>
      <c r="P55" s="780"/>
      <c r="Q55" s="787"/>
      <c r="R55" s="788"/>
      <c r="S55" s="788"/>
    </row>
    <row r="56" spans="1:19" x14ac:dyDescent="0.2">
      <c r="B56" s="773" t="str">
        <f t="shared" si="2"/>
        <v>594</v>
      </c>
      <c r="C56" s="774" t="str">
        <f>_xlfn.XLOOKUP(E56,HIGRO!$C$1:$C$500,HIGRO!$B$1:$B$500)</f>
        <v>1290D205940325</v>
      </c>
      <c r="D56" s="775">
        <f>_xlfn.XLOOKUP(E56,HIGRO!$C$1:$C$500,HIGRO!$D$1:$D$500)</f>
        <v>25</v>
      </c>
      <c r="E56" s="776" t="s">
        <v>110</v>
      </c>
      <c r="F56" s="776"/>
      <c r="G56" s="777">
        <f>_xlfn.XLOOKUP(E56,HIGRO!$C$1:$C$500,HIGRO!$M$1:$M$500)</f>
        <v>2430</v>
      </c>
      <c r="H56" s="776"/>
      <c r="I56" s="1033"/>
      <c r="J56" s="1033"/>
      <c r="K56" s="1033"/>
      <c r="L56" s="778" t="s">
        <v>374</v>
      </c>
      <c r="M56" s="779">
        <v>1264</v>
      </c>
      <c r="N56" s="776" t="s">
        <v>406</v>
      </c>
      <c r="O56" s="779">
        <v>3360</v>
      </c>
      <c r="P56" s="780">
        <v>985</v>
      </c>
      <c r="Q56" s="787"/>
      <c r="R56" s="788"/>
      <c r="S56" s="788"/>
    </row>
    <row r="57" spans="1:19" x14ac:dyDescent="0.2">
      <c r="B57" s="773" t="str">
        <f t="shared" si="2"/>
        <v>595</v>
      </c>
      <c r="C57" s="774" t="str">
        <f>_xlfn.XLOOKUP(E57,HIGRO!$C$1:$C$500,HIGRO!$B$1:$B$500)</f>
        <v>1290D205950025</v>
      </c>
      <c r="D57" s="775">
        <f>_xlfn.XLOOKUP(E57,HIGRO!$C$1:$C$500,HIGRO!$D$1:$D$500)</f>
        <v>25</v>
      </c>
      <c r="E57" s="776" t="s">
        <v>112</v>
      </c>
      <c r="F57" s="776"/>
      <c r="G57" s="777">
        <f>_xlfn.XLOOKUP(E57,HIGRO!$C$1:$C$500,HIGRO!$M$1:$M$500)</f>
        <v>1716</v>
      </c>
      <c r="H57" s="776"/>
      <c r="I57" s="1033"/>
      <c r="J57" s="1033"/>
      <c r="K57" s="1033"/>
      <c r="L57" s="778" t="s">
        <v>391</v>
      </c>
      <c r="M57" s="779">
        <v>2135</v>
      </c>
      <c r="N57" s="776" t="s">
        <v>456</v>
      </c>
      <c r="O57" s="779">
        <v>320</v>
      </c>
      <c r="P57" s="780">
        <v>1380</v>
      </c>
      <c r="Q57" s="787"/>
      <c r="R57" s="788"/>
      <c r="S57" s="788"/>
    </row>
    <row r="58" spans="1:19" ht="20.25" x14ac:dyDescent="0.2">
      <c r="B58" s="773" t="str">
        <f t="shared" si="2"/>
        <v/>
      </c>
      <c r="C58" s="774"/>
      <c r="E58" s="790" t="s">
        <v>498</v>
      </c>
      <c r="F58" s="776"/>
      <c r="G58" s="777"/>
      <c r="H58" s="776"/>
      <c r="I58" s="1033"/>
      <c r="J58" s="1033"/>
      <c r="K58" s="1033"/>
      <c r="L58" s="778" t="s">
        <v>388</v>
      </c>
      <c r="M58" s="779">
        <v>1404</v>
      </c>
      <c r="N58" s="776" t="s">
        <v>509</v>
      </c>
      <c r="O58" s="779">
        <v>480</v>
      </c>
      <c r="P58" s="780" t="e">
        <v>#N/A</v>
      </c>
      <c r="Q58" s="787"/>
      <c r="R58" s="788"/>
      <c r="S58" s="788"/>
    </row>
    <row r="59" spans="1:19" ht="20.25" x14ac:dyDescent="0.2">
      <c r="B59" s="773" t="str">
        <f t="shared" si="2"/>
        <v>884</v>
      </c>
      <c r="C59" s="774" t="str">
        <f>_xlfn.XLOOKUP(E59,'CP&amp;STAR'!$C$1:$C$500, 'CP&amp;STAR'!$B$1:$B$500)</f>
        <v>1290D908840025</v>
      </c>
      <c r="D59" s="775">
        <f>_xlfn.XLOOKUP(E59,'CP&amp;STAR'!$C$1:$C$500, 'CP&amp;STAR'!$D$1:$D$500)</f>
        <v>25</v>
      </c>
      <c r="E59" s="790" t="s">
        <v>292</v>
      </c>
      <c r="F59" s="776"/>
      <c r="G59" s="777">
        <f>_xlfn.XLOOKUP(E59,'CP&amp;STAR'!$C$1:$C$500, 'CP&amp;STAR'!$M$1:$M$500)</f>
        <v>2001</v>
      </c>
      <c r="H59" s="776"/>
      <c r="I59" s="1033"/>
      <c r="J59" s="1033"/>
      <c r="K59" s="1033"/>
      <c r="L59" s="778" t="s">
        <v>397</v>
      </c>
      <c r="M59" s="779">
        <v>2753</v>
      </c>
      <c r="N59" s="776" t="s">
        <v>407</v>
      </c>
      <c r="O59" s="779">
        <v>320</v>
      </c>
      <c r="P59" s="780">
        <v>1761</v>
      </c>
      <c r="Q59" s="787"/>
      <c r="R59" s="788"/>
      <c r="S59" s="788"/>
    </row>
    <row r="60" spans="1:19" x14ac:dyDescent="0.2">
      <c r="B60" s="773" t="str">
        <f t="shared" si="2"/>
        <v>885S</v>
      </c>
      <c r="C60" s="774" t="str">
        <f>_xlfn.XLOOKUP(E60,'CP&amp;STAR'!$C$1:$C$500, 'CP&amp;STAR'!$B$1:$B$500)</f>
        <v>1290D908851925</v>
      </c>
      <c r="D60" s="775">
        <f>_xlfn.XLOOKUP(E60,'CP&amp;STAR'!$C$1:$C$500, 'CP&amp;STAR'!$D$1:$D$500)</f>
        <v>25</v>
      </c>
      <c r="E60" s="776" t="s">
        <v>293</v>
      </c>
      <c r="F60" s="776"/>
      <c r="G60" s="777">
        <f>_xlfn.XLOOKUP(E60,'CP&amp;STAR'!$C$1:$C$500, 'CP&amp;STAR'!$M$1:$M$500)</f>
        <v>1364</v>
      </c>
      <c r="H60" s="776"/>
      <c r="I60" s="1033"/>
      <c r="J60" s="1033"/>
      <c r="K60" s="1033"/>
      <c r="L60" s="778" t="s">
        <v>401</v>
      </c>
      <c r="M60" s="779">
        <v>1209</v>
      </c>
      <c r="N60" s="776" t="s">
        <v>523</v>
      </c>
      <c r="O60" s="779">
        <v>2600</v>
      </c>
      <c r="P60" s="780" t="e">
        <v>#N/A</v>
      </c>
      <c r="Q60" s="787"/>
      <c r="R60" s="788"/>
      <c r="S60" s="788"/>
    </row>
    <row r="61" spans="1:19" x14ac:dyDescent="0.2">
      <c r="B61" s="773" t="str">
        <f t="shared" si="2"/>
        <v>949</v>
      </c>
      <c r="C61" s="774" t="str">
        <f>_xlfn.XLOOKUP(E61,'CP&amp;STAR'!$C$1:$C$500, 'CP&amp;STAR'!$B$1:$B$500)</f>
        <v>1290D209490025</v>
      </c>
      <c r="D61" s="775">
        <f>_xlfn.XLOOKUP(E61,'CP&amp;STAR'!$C$1:$C$500, 'CP&amp;STAR'!$D$1:$D$500)</f>
        <v>25</v>
      </c>
      <c r="E61" s="776" t="s">
        <v>114</v>
      </c>
      <c r="F61" s="776"/>
      <c r="G61" s="777">
        <f>_xlfn.XLOOKUP(E61,'CP&amp;STAR'!$C$1:$C$500, 'CP&amp;STAR'!$M$1:$M$500)</f>
        <v>1900</v>
      </c>
      <c r="H61" s="776"/>
      <c r="I61" s="1033"/>
      <c r="J61" s="1033"/>
      <c r="K61" s="1033"/>
      <c r="L61" s="778" t="s">
        <v>403</v>
      </c>
      <c r="M61" s="779">
        <v>1328</v>
      </c>
      <c r="N61" s="776" t="s">
        <v>458</v>
      </c>
      <c r="O61" s="779">
        <v>1280</v>
      </c>
      <c r="P61" s="780">
        <v>1334</v>
      </c>
      <c r="Q61" s="787"/>
      <c r="R61" s="788"/>
      <c r="S61" s="788"/>
    </row>
    <row r="62" spans="1:19" x14ac:dyDescent="0.2">
      <c r="A62" s="765" t="str">
        <f t="shared" si="1"/>
        <v>94425</v>
      </c>
      <c r="B62" s="773" t="str">
        <f t="shared" si="2"/>
        <v>944</v>
      </c>
      <c r="C62" s="774" t="str">
        <f>_xlfn.XLOOKUP(E62,'CP&amp;STAR'!$C$1:$C$500, 'CP&amp;STAR'!$B$1:$B$500)</f>
        <v>1290H409440025</v>
      </c>
      <c r="D62" s="775">
        <f>_xlfn.XLOOKUP(E62,'CP&amp;STAR'!$C$1:$C$500, 'CP&amp;STAR'!$D$1:$D$500)</f>
        <v>25</v>
      </c>
      <c r="E62" s="776" t="s">
        <v>354</v>
      </c>
      <c r="F62" s="776"/>
      <c r="G62" s="777">
        <f>_xlfn.XLOOKUP(E62,'CP&amp;STAR'!$C$1:$C$500, 'CP&amp;STAR'!$M$1:$M$500)</f>
        <v>961</v>
      </c>
      <c r="H62" s="776"/>
      <c r="I62" s="1033"/>
      <c r="J62" s="1033"/>
      <c r="K62" s="1033"/>
      <c r="L62" s="778" t="s">
        <v>432</v>
      </c>
      <c r="M62" s="779">
        <v>731</v>
      </c>
      <c r="N62" s="776" t="s">
        <v>510</v>
      </c>
      <c r="O62" s="779">
        <v>1120</v>
      </c>
      <c r="P62" s="780" t="e">
        <v>#N/A</v>
      </c>
      <c r="Q62" s="787"/>
      <c r="R62" s="788"/>
      <c r="S62" s="788"/>
    </row>
    <row r="63" spans="1:19" ht="20.25" x14ac:dyDescent="0.2">
      <c r="A63" s="765" t="str">
        <f t="shared" si="1"/>
        <v>95125</v>
      </c>
      <c r="B63" s="773" t="str">
        <f t="shared" si="2"/>
        <v>951</v>
      </c>
      <c r="C63" s="774" t="str">
        <f>_xlfn.XLOOKUP(E63,'CP&amp;STAR'!$C$1:$C$500, 'CP&amp;STAR'!$B$1:$B$500)</f>
        <v>1290D209510025</v>
      </c>
      <c r="D63" s="775">
        <f>_xlfn.XLOOKUP(E63,'CP&amp;STAR'!$C$1:$C$500, 'CP&amp;STAR'!$D$1:$D$500)</f>
        <v>25</v>
      </c>
      <c r="E63" s="790" t="s">
        <v>116</v>
      </c>
      <c r="F63" s="776"/>
      <c r="G63" s="777">
        <f>_xlfn.XLOOKUP(E63,'CP&amp;STAR'!$C$1:$C$500, 'CP&amp;STAR'!$M$1:$M$500)</f>
        <v>1144</v>
      </c>
      <c r="H63" s="776"/>
      <c r="I63" s="1033"/>
      <c r="J63" s="1033"/>
      <c r="K63" s="1033"/>
      <c r="L63" s="778" t="s">
        <v>437</v>
      </c>
      <c r="M63" s="779">
        <v>1140</v>
      </c>
      <c r="N63" s="776" t="s">
        <v>409</v>
      </c>
      <c r="O63" s="779">
        <v>320</v>
      </c>
      <c r="P63" s="780">
        <v>5504</v>
      </c>
      <c r="Q63" s="787"/>
      <c r="R63" s="788"/>
      <c r="S63" s="788"/>
    </row>
    <row r="64" spans="1:19" ht="20.25" x14ac:dyDescent="0.2">
      <c r="A64" s="765" t="str">
        <f t="shared" si="1"/>
        <v>95225</v>
      </c>
      <c r="B64" s="773" t="str">
        <f t="shared" si="2"/>
        <v>952</v>
      </c>
      <c r="C64" s="774" t="str">
        <f>_xlfn.XLOOKUP(E64,'CP&amp;STAR'!$C$1:$C$500, 'CP&amp;STAR'!$B$1:$B$500)</f>
        <v>1290D209520025</v>
      </c>
      <c r="D64" s="775">
        <f>_xlfn.XLOOKUP(E64,'CP&amp;STAR'!$C$1:$C$500, 'CP&amp;STAR'!$D$1:$D$500)</f>
        <v>25</v>
      </c>
      <c r="E64" s="790" t="s">
        <v>118</v>
      </c>
      <c r="F64" s="776"/>
      <c r="G64" s="777">
        <f>_xlfn.XLOOKUP(E64,'CP&amp;STAR'!$C$1:$C$500, 'CP&amp;STAR'!$M$1:$M$500)</f>
        <v>4303</v>
      </c>
      <c r="H64" s="776"/>
      <c r="I64" s="1033"/>
      <c r="J64" s="1033"/>
      <c r="K64" s="1033"/>
      <c r="L64" s="778" t="s">
        <v>429</v>
      </c>
      <c r="M64" s="779">
        <v>1442</v>
      </c>
      <c r="N64" s="776" t="s">
        <v>410</v>
      </c>
      <c r="O64" s="779">
        <v>6000</v>
      </c>
      <c r="P64" s="780">
        <v>8784</v>
      </c>
      <c r="Q64" s="787"/>
      <c r="R64" s="788"/>
      <c r="S64" s="788"/>
    </row>
    <row r="65" spans="1:19" x14ac:dyDescent="0.2">
      <c r="A65" s="765" t="str">
        <f t="shared" si="1"/>
        <v>952S25</v>
      </c>
      <c r="B65" s="773" t="str">
        <f t="shared" si="2"/>
        <v>952S</v>
      </c>
      <c r="C65" s="774" t="str">
        <f>_xlfn.XLOOKUP(E65,'CP&amp;STAR'!$C$1:$C$500, 'CP&amp;STAR'!$B$1:$B$500)</f>
        <v>1290D209521925</v>
      </c>
      <c r="D65" s="775">
        <f>_xlfn.XLOOKUP(E65,'CP&amp;STAR'!$C$1:$C$500, 'CP&amp;STAR'!$D$1:$D$500)</f>
        <v>25</v>
      </c>
      <c r="E65" s="776" t="s">
        <v>120</v>
      </c>
      <c r="F65" s="776"/>
      <c r="G65" s="777">
        <f>_xlfn.XLOOKUP(E65,'CP&amp;STAR'!$C$1:$C$500, 'CP&amp;STAR'!$M$1:$M$500)</f>
        <v>3984</v>
      </c>
      <c r="H65" s="776"/>
      <c r="I65" s="1033"/>
      <c r="J65" s="1033"/>
      <c r="K65" s="1033"/>
      <c r="L65" s="778" t="s">
        <v>430</v>
      </c>
      <c r="M65" s="779">
        <v>1945</v>
      </c>
      <c r="N65" s="776" t="s">
        <v>411</v>
      </c>
      <c r="O65" s="779">
        <v>4000</v>
      </c>
      <c r="P65" s="780">
        <v>8176</v>
      </c>
      <c r="Q65" s="787"/>
      <c r="R65" s="788"/>
      <c r="S65" s="788"/>
    </row>
    <row r="66" spans="1:19" x14ac:dyDescent="0.2">
      <c r="A66" s="765" t="str">
        <f t="shared" si="1"/>
        <v>952SX25</v>
      </c>
      <c r="B66" s="773" t="str">
        <f t="shared" ref="B66:B97" si="3">IFERROR(TRIM(_xlfn.TEXTBEFORE(_xlfn.TEXTAFTER(E66, "-"), "-")),"")</f>
        <v>952SX</v>
      </c>
      <c r="C66" s="774" t="str">
        <f>_xlfn.XLOOKUP(E66,'CP&amp;STAR'!$C$1:$C$500, 'CP&amp;STAR'!$B$1:$B$500)</f>
        <v>1290D209527325</v>
      </c>
      <c r="D66" s="775">
        <f>_xlfn.XLOOKUP(E66,'CP&amp;STAR'!$C$1:$C$500, 'CP&amp;STAR'!$D$1:$D$500)</f>
        <v>25</v>
      </c>
      <c r="E66" s="776" t="s">
        <v>122</v>
      </c>
      <c r="F66" s="776"/>
      <c r="G66" s="777">
        <f>_xlfn.XLOOKUP(E66,'CP&amp;STAR'!$C$1:$C$500, 'CP&amp;STAR'!$M$1:$M$500)</f>
        <v>1264</v>
      </c>
      <c r="H66" s="776"/>
      <c r="I66" s="1033"/>
      <c r="J66" s="1033"/>
      <c r="K66" s="1033"/>
      <c r="L66" s="778" t="s">
        <v>461</v>
      </c>
      <c r="M66" s="779">
        <v>2376</v>
      </c>
      <c r="N66" s="776" t="s">
        <v>170</v>
      </c>
      <c r="O66" s="779"/>
      <c r="P66" s="780"/>
      <c r="Q66" s="787"/>
      <c r="R66" s="788"/>
      <c r="S66" s="788"/>
    </row>
    <row r="67" spans="1:19" x14ac:dyDescent="0.2">
      <c r="A67" s="765" t="str">
        <f t="shared" si="1"/>
        <v>95325</v>
      </c>
      <c r="B67" s="773" t="str">
        <f t="shared" si="3"/>
        <v>953</v>
      </c>
      <c r="C67" s="774" t="str">
        <f>_xlfn.XLOOKUP(E67,'CP&amp;STAR'!$C$1:$C$500, 'CP&amp;STAR'!$B$1:$B$500)</f>
        <v>1290D209530025</v>
      </c>
      <c r="D67" s="775">
        <f>_xlfn.XLOOKUP(E67,'CP&amp;STAR'!$C$1:$C$500, 'CP&amp;STAR'!$D$1:$D$500)</f>
        <v>25</v>
      </c>
      <c r="E67" s="776" t="s">
        <v>124</v>
      </c>
      <c r="F67" s="776"/>
      <c r="G67" s="777">
        <f>_xlfn.XLOOKUP(E67,'CP&amp;STAR'!$C$1:$C$500, 'CP&amp;STAR'!$M$1:$M$500)</f>
        <v>2135</v>
      </c>
      <c r="H67" s="776"/>
      <c r="I67" s="1033"/>
      <c r="J67" s="1033"/>
      <c r="K67" s="1033"/>
      <c r="L67" s="778" t="s">
        <v>462</v>
      </c>
      <c r="M67" s="779">
        <v>600</v>
      </c>
      <c r="N67" s="776" t="s">
        <v>447</v>
      </c>
      <c r="O67" s="779">
        <v>320</v>
      </c>
      <c r="P67" s="780">
        <v>518</v>
      </c>
      <c r="Q67" s="787"/>
      <c r="R67" s="788"/>
      <c r="S67" s="788"/>
    </row>
    <row r="68" spans="1:19" x14ac:dyDescent="0.2">
      <c r="A68" s="765" t="str">
        <f t="shared" si="1"/>
        <v>953S25</v>
      </c>
      <c r="B68" s="773" t="str">
        <f t="shared" si="3"/>
        <v>953S</v>
      </c>
      <c r="C68" s="784" t="str">
        <f>_xlfn.XLOOKUP(E68,'CP&amp;STAR'!$C$1:$C$500, 'CP&amp;STAR'!$B$1:$B$500)</f>
        <v>1290D209531925</v>
      </c>
      <c r="D68" s="775">
        <f>_xlfn.XLOOKUP(E68,'CP&amp;STAR'!$C$1:$C$500, 'CP&amp;STAR'!$D$1:$D$500)</f>
        <v>25</v>
      </c>
      <c r="E68" s="776" t="s">
        <v>126</v>
      </c>
      <c r="F68" s="776"/>
      <c r="G68" s="777">
        <f>_xlfn.XLOOKUP(E68,'CP&amp;STAR'!$C$1:$C$500, 'CP&amp;STAR'!$M$1:$M$500)</f>
        <v>1404</v>
      </c>
      <c r="H68" s="776"/>
      <c r="I68" s="1033"/>
      <c r="J68" s="1033"/>
      <c r="K68" s="1033"/>
      <c r="L68" s="778" t="s">
        <v>383</v>
      </c>
      <c r="M68" s="779">
        <v>2491</v>
      </c>
      <c r="N68" s="776" t="s">
        <v>412</v>
      </c>
      <c r="O68" s="779">
        <v>640</v>
      </c>
      <c r="P68" s="780">
        <v>1851</v>
      </c>
      <c r="Q68" s="787"/>
      <c r="R68" s="788"/>
      <c r="S68" s="788"/>
    </row>
    <row r="69" spans="1:19" x14ac:dyDescent="0.2">
      <c r="A69" s="765" t="str">
        <f t="shared" si="1"/>
        <v>96625</v>
      </c>
      <c r="B69" s="773" t="str">
        <f t="shared" si="3"/>
        <v>966</v>
      </c>
      <c r="C69" s="784" t="str">
        <f>_xlfn.XLOOKUP(E69,'CP&amp;STAR'!$C$1:$C$500, 'CP&amp;STAR'!$B$1:$B$500)</f>
        <v>1290D209660025</v>
      </c>
      <c r="D69" s="775">
        <f>_xlfn.XLOOKUP(E69,'CP&amp;STAR'!$C$1:$C$500, 'CP&amp;STAR'!$D$1:$D$500)</f>
        <v>25</v>
      </c>
      <c r="E69" s="776" t="s">
        <v>128</v>
      </c>
      <c r="F69" s="776"/>
      <c r="G69" s="777">
        <f>_xlfn.XLOOKUP(E69,'CP&amp;STAR'!$C$1:$C$500, 'CP&amp;STAR'!$M$1:$M$500)</f>
        <v>2753</v>
      </c>
      <c r="H69" s="776" t="s">
        <v>499</v>
      </c>
      <c r="I69" s="1033"/>
      <c r="J69" s="1033"/>
      <c r="K69" s="1033"/>
      <c r="L69" s="791" t="s">
        <v>463</v>
      </c>
      <c r="M69" s="779">
        <v>1193</v>
      </c>
      <c r="N69" s="776" t="s">
        <v>413</v>
      </c>
      <c r="O69" s="779">
        <v>1280</v>
      </c>
      <c r="P69" s="780">
        <v>3165</v>
      </c>
      <c r="Q69" s="787"/>
      <c r="R69" s="788"/>
      <c r="S69" s="788"/>
    </row>
    <row r="70" spans="1:19" x14ac:dyDescent="0.2">
      <c r="A70" s="765" t="str">
        <f t="shared" si="1"/>
        <v>96725</v>
      </c>
      <c r="B70" s="773" t="str">
        <f t="shared" si="3"/>
        <v>967</v>
      </c>
      <c r="C70" s="784" t="str">
        <f>_xlfn.XLOOKUP(E70,'CP&amp;STAR'!$C$1:$C$500, 'CP&amp;STAR'!$B$1:$B$500)</f>
        <v>1290D209670025</v>
      </c>
      <c r="D70" s="775">
        <f>_xlfn.XLOOKUP(E70,'CP&amp;STAR'!$C$1:$C$500, 'CP&amp;STAR'!$D$1:$D$500)</f>
        <v>25</v>
      </c>
      <c r="E70" s="776" t="s">
        <v>130</v>
      </c>
      <c r="F70" s="776"/>
      <c r="G70" s="777">
        <f>_xlfn.XLOOKUP(E70,'CP&amp;STAR'!$C$1:$C$500, 'CP&amp;STAR'!$M$1:$M$500)</f>
        <v>989</v>
      </c>
      <c r="H70" s="776" t="s">
        <v>305</v>
      </c>
      <c r="I70" s="1033"/>
      <c r="J70" s="1033"/>
      <c r="K70" s="1033"/>
      <c r="L70" s="791" t="s">
        <v>464</v>
      </c>
      <c r="M70" s="779">
        <v>3315</v>
      </c>
      <c r="N70" s="776" t="s">
        <v>170</v>
      </c>
      <c r="O70" s="779"/>
      <c r="P70" s="780"/>
      <c r="Q70" s="787"/>
      <c r="R70" s="788"/>
      <c r="S70" s="788"/>
    </row>
    <row r="71" spans="1:19" x14ac:dyDescent="0.2">
      <c r="A71" s="765" t="str">
        <f t="shared" si="1"/>
        <v>967S25</v>
      </c>
      <c r="B71" s="773" t="str">
        <f t="shared" si="3"/>
        <v>967S</v>
      </c>
      <c r="C71" s="784" t="str">
        <f>_xlfn.XLOOKUP(E71,'CP&amp;STAR'!$C$1:$C$500, 'CP&amp;STAR'!$B$1:$B$500)</f>
        <v>1290D209671925</v>
      </c>
      <c r="D71" s="775">
        <f>_xlfn.XLOOKUP(E71,'CP&amp;STAR'!$C$1:$C$500, 'CP&amp;STAR'!$D$1:$D$500)</f>
        <v>25</v>
      </c>
      <c r="E71" s="784" t="s">
        <v>132</v>
      </c>
      <c r="G71" s="792">
        <f>_xlfn.XLOOKUP(E71,'CP&amp;STAR'!$C$1:$C$500, 'CP&amp;STAR'!$M$1:$M$500)</f>
        <v>1328</v>
      </c>
      <c r="L71" s="778" t="s">
        <v>392</v>
      </c>
      <c r="M71" s="779">
        <v>2106</v>
      </c>
      <c r="N71" s="776" t="s">
        <v>170</v>
      </c>
      <c r="O71" s="779"/>
      <c r="P71" s="780"/>
      <c r="Q71" s="787"/>
      <c r="R71" s="788"/>
      <c r="S71" s="788"/>
    </row>
    <row r="72" spans="1:19" x14ac:dyDescent="0.2">
      <c r="A72" s="765" t="str">
        <f t="shared" si="1"/>
        <v>98425</v>
      </c>
      <c r="B72" s="773" t="str">
        <f t="shared" si="3"/>
        <v>984</v>
      </c>
      <c r="C72" s="784" t="str">
        <f>_xlfn.XLOOKUP(E72,'CP&amp;STAR'!$C$1:$C$500, 'CP&amp;STAR'!$B$1:$B$500)</f>
        <v>1290D209840025</v>
      </c>
      <c r="D72" s="775">
        <f>_xlfn.XLOOKUP(E72,'CP&amp;STAR'!$C$1:$C$500, 'CP&amp;STAR'!$D$1:$D$500)</f>
        <v>25</v>
      </c>
      <c r="E72" s="784" t="s">
        <v>294</v>
      </c>
      <c r="G72" s="792">
        <f>_xlfn.XLOOKUP(E72,'CP&amp;STAR'!$C$1:$C$500, 'CP&amp;STAR'!$M$1:$M$500)</f>
        <v>731</v>
      </c>
      <c r="L72" s="778" t="s">
        <v>465</v>
      </c>
      <c r="M72" s="779">
        <v>1212</v>
      </c>
      <c r="N72" s="776" t="s">
        <v>170</v>
      </c>
      <c r="O72" s="779"/>
      <c r="P72" s="780"/>
      <c r="Q72" s="787"/>
      <c r="R72" s="788"/>
      <c r="S72" s="788"/>
    </row>
    <row r="73" spans="1:19" x14ac:dyDescent="0.2">
      <c r="A73" s="765" t="str">
        <f t="shared" si="1"/>
        <v>991-1825</v>
      </c>
      <c r="B73" s="773" t="s">
        <v>160</v>
      </c>
      <c r="C73" s="784" t="str">
        <f>_xlfn.XLOOKUP(E73,'CP&amp;STAR'!$C$1:$C$500, 'CP&amp;STAR'!$B$1:$B$500)</f>
        <v>1290D209911825</v>
      </c>
      <c r="D73" s="775">
        <f>_xlfn.XLOOKUP(E73,'CP&amp;STAR'!$C$1:$C$500, 'CP&amp;STAR'!$D$1:$D$500)</f>
        <v>25</v>
      </c>
      <c r="E73" s="793" t="s">
        <v>295</v>
      </c>
      <c r="F73" s="776"/>
      <c r="G73" s="777">
        <f>_xlfn.XLOOKUP(E73,'CP&amp;STAR'!$C$1:$C$500, 'CP&amp;STAR'!$M$1:$M$500)</f>
        <v>1140</v>
      </c>
      <c r="H73" s="776"/>
      <c r="I73" s="1033"/>
      <c r="J73" s="1033"/>
      <c r="K73" s="1033"/>
      <c r="L73" s="778" t="s">
        <v>398</v>
      </c>
      <c r="M73" s="779">
        <v>1450</v>
      </c>
      <c r="N73" s="776" t="s">
        <v>484</v>
      </c>
      <c r="O73" s="779">
        <v>320</v>
      </c>
      <c r="P73" s="780">
        <v>2373</v>
      </c>
      <c r="Q73" s="787"/>
      <c r="R73" s="788"/>
      <c r="S73" s="788"/>
    </row>
    <row r="74" spans="1:19" x14ac:dyDescent="0.2">
      <c r="A74" s="765" t="str">
        <f t="shared" ref="A74:A140" si="4">+B74&amp;D74</f>
        <v>BS0425</v>
      </c>
      <c r="B74" s="773" t="str">
        <f t="shared" si="3"/>
        <v>BS04</v>
      </c>
      <c r="C74" s="784" t="str">
        <f>_xlfn.XLOOKUP(E74,'CP&amp;STAR'!$C$1:$C$500, 'CP&amp;STAR'!$B$1:$B$500)</f>
        <v>1290D913840025</v>
      </c>
      <c r="D74" s="775">
        <f>_xlfn.XLOOKUP(E74,'CP&amp;STAR'!$C$1:$C$500, 'CP&amp;STAR'!$D$1:$D$500)</f>
        <v>25</v>
      </c>
      <c r="E74" s="793" t="s">
        <v>317</v>
      </c>
      <c r="F74" s="776"/>
      <c r="G74" s="777">
        <f>_xlfn.XLOOKUP(E74,'CP&amp;STAR'!$C$1:$C$500, 'CP&amp;STAR'!$M$1:$M$500)</f>
        <v>1442</v>
      </c>
      <c r="H74" s="776"/>
      <c r="I74" s="1033"/>
      <c r="J74" s="1033"/>
      <c r="K74" s="1033"/>
      <c r="L74" s="778" t="s">
        <v>466</v>
      </c>
      <c r="M74" s="779">
        <v>982</v>
      </c>
      <c r="N74" s="776" t="s">
        <v>414</v>
      </c>
      <c r="O74" s="779">
        <v>640</v>
      </c>
      <c r="P74" s="780">
        <v>8809</v>
      </c>
      <c r="Q74" s="787"/>
      <c r="R74" s="788"/>
      <c r="S74" s="788"/>
    </row>
    <row r="75" spans="1:19" x14ac:dyDescent="0.2">
      <c r="A75" s="765" t="str">
        <f t="shared" si="4"/>
        <v>BS04A25</v>
      </c>
      <c r="B75" s="773" t="str">
        <f t="shared" si="3"/>
        <v>BS04A</v>
      </c>
      <c r="C75" s="784" t="str">
        <f>_xlfn.XLOOKUP(E75,'CP&amp;STAR'!$C$1:$C$500, 'CP&amp;STAR'!$B$1:$B$500)</f>
        <v>1290D913840125</v>
      </c>
      <c r="D75" s="775">
        <f>_xlfn.XLOOKUP(E75,'CP&amp;STAR'!$C$1:$C$500, 'CP&amp;STAR'!$D$1:$D$500)</f>
        <v>25</v>
      </c>
      <c r="E75" s="793" t="s">
        <v>316</v>
      </c>
      <c r="F75" s="776"/>
      <c r="G75" s="777">
        <f>_xlfn.XLOOKUP(E75,'CP&amp;STAR'!$C$1:$C$500, 'CP&amp;STAR'!$M$1:$M$500)</f>
        <v>1945</v>
      </c>
      <c r="H75" s="776"/>
      <c r="I75" s="1033"/>
      <c r="J75" s="1033"/>
      <c r="K75" s="1033"/>
      <c r="L75" s="778" t="s">
        <v>404</v>
      </c>
      <c r="M75" s="779">
        <v>1346</v>
      </c>
      <c r="N75" s="776" t="s">
        <v>414</v>
      </c>
      <c r="O75" s="779">
        <v>4000</v>
      </c>
      <c r="P75" s="780">
        <v>5449</v>
      </c>
      <c r="Q75" s="787"/>
      <c r="R75" s="788"/>
      <c r="S75" s="788"/>
    </row>
    <row r="76" spans="1:19" x14ac:dyDescent="0.2">
      <c r="A76" s="765" t="str">
        <f t="shared" si="4"/>
        <v>BS05S25</v>
      </c>
      <c r="B76" s="773" t="str">
        <f t="shared" si="3"/>
        <v>BS05S</v>
      </c>
      <c r="C76" s="784" t="str">
        <f>_xlfn.XLOOKUP(E76,'CP&amp;STAR'!$C$1:$C$500, 'CP&amp;STAR'!$B$1:$B$500)</f>
        <v>1290D913851925</v>
      </c>
      <c r="D76" s="775">
        <f>_xlfn.XLOOKUP(E76,'CP&amp;STAR'!$C$1:$C$500, 'CP&amp;STAR'!$D$1:$D$500)</f>
        <v>25</v>
      </c>
      <c r="E76" s="793" t="s">
        <v>328</v>
      </c>
      <c r="F76" s="776"/>
      <c r="G76" s="777">
        <f>_xlfn.XLOOKUP(E76,'CP&amp;STAR'!$C$1:$C$500, 'CP&amp;STAR'!$M$1:$M$500)</f>
        <v>0</v>
      </c>
      <c r="H76" s="776"/>
      <c r="I76" s="1033"/>
      <c r="J76" s="1033"/>
      <c r="K76" s="1033"/>
      <c r="L76" s="778" t="s">
        <v>417</v>
      </c>
      <c r="M76" s="779">
        <v>3545</v>
      </c>
      <c r="N76" s="776" t="s">
        <v>524</v>
      </c>
      <c r="O76" s="779">
        <v>1600</v>
      </c>
      <c r="P76" s="780" t="e">
        <v>#N/A</v>
      </c>
      <c r="Q76" s="787"/>
      <c r="R76" s="788"/>
      <c r="S76" s="788"/>
    </row>
    <row r="77" spans="1:19" x14ac:dyDescent="0.2">
      <c r="A77" s="765" t="str">
        <f t="shared" si="4"/>
        <v>BS1425</v>
      </c>
      <c r="B77" s="773" t="str">
        <f t="shared" si="3"/>
        <v>BS14</v>
      </c>
      <c r="C77" s="784" t="str">
        <f>_xlfn.XLOOKUP(E77,'CP&amp;STAR'!$C$1:$C$500, 'CP&amp;STAR'!$B$1:$B$500)</f>
        <v>1290D215840025</v>
      </c>
      <c r="D77" s="775">
        <f>_xlfn.XLOOKUP(E77,'CP&amp;STAR'!$C$1:$C$500, 'CP&amp;STAR'!$D$1:$D$500)</f>
        <v>25</v>
      </c>
      <c r="E77" s="793" t="s">
        <v>330</v>
      </c>
      <c r="F77" s="776"/>
      <c r="G77" s="777">
        <f>_xlfn.XLOOKUP(E77,'CP&amp;STAR'!$C$1:$C$500, 'CP&amp;STAR'!$M$1:$M$500)</f>
        <v>0</v>
      </c>
      <c r="H77" s="776"/>
      <c r="I77" s="1033"/>
      <c r="J77" s="1033"/>
      <c r="K77" s="1033"/>
      <c r="L77" s="778" t="s">
        <v>421</v>
      </c>
      <c r="M77" s="779">
        <v>4864</v>
      </c>
      <c r="N77" s="776" t="s">
        <v>170</v>
      </c>
      <c r="O77" s="779"/>
      <c r="P77" s="780"/>
      <c r="Q77" s="787"/>
      <c r="R77" s="788"/>
      <c r="S77" s="788"/>
    </row>
    <row r="78" spans="1:19" x14ac:dyDescent="0.2">
      <c r="A78" s="765" t="str">
        <f t="shared" si="4"/>
        <v>HT1125</v>
      </c>
      <c r="B78" s="773" t="str">
        <f t="shared" si="3"/>
        <v>HT11</v>
      </c>
      <c r="C78" s="784" t="str">
        <f>_xlfn.XLOOKUP(E78,'CP&amp;STAR'!$C$1:$C$500, 'CP&amp;STAR'!$B$1:$B$500)</f>
        <v>1290D215510025</v>
      </c>
      <c r="D78" s="775">
        <f>_xlfn.XLOOKUP(E78,'CP&amp;STAR'!$C$1:$C$500, 'CP&amp;STAR'!$D$1:$D$500)</f>
        <v>25</v>
      </c>
      <c r="E78" s="793" t="s">
        <v>318</v>
      </c>
      <c r="F78" s="776"/>
      <c r="G78" s="777">
        <f>_xlfn.XLOOKUP(E78,'CP&amp;STAR'!$C$1:$C$500, 'CP&amp;STAR'!$M$1:$M$500)</f>
        <v>2376</v>
      </c>
      <c r="H78" s="776"/>
      <c r="I78" s="1033"/>
      <c r="J78" s="1033"/>
      <c r="K78" s="1033"/>
      <c r="L78" s="778" t="s">
        <v>415</v>
      </c>
      <c r="M78" s="779">
        <v>9634</v>
      </c>
      <c r="N78" s="776" t="s">
        <v>416</v>
      </c>
      <c r="O78" s="779">
        <v>320</v>
      </c>
      <c r="P78" s="780">
        <v>3166</v>
      </c>
      <c r="Q78" s="787"/>
      <c r="R78" s="788"/>
      <c r="S78" s="788"/>
    </row>
    <row r="79" spans="1:19" x14ac:dyDescent="0.2">
      <c r="A79" s="765" t="str">
        <f t="shared" si="4"/>
        <v>HT11GP25</v>
      </c>
      <c r="B79" s="773" t="str">
        <f t="shared" si="3"/>
        <v>HT11GP</v>
      </c>
      <c r="C79" s="784" t="str">
        <f>_xlfn.XLOOKUP(E79,'CP&amp;STAR'!$C$1:$C$500, 'CP&amp;STAR'!$B$1:$B$500)</f>
        <v>1290D215514925</v>
      </c>
      <c r="D79" s="775">
        <f>_xlfn.XLOOKUP(E79,'CP&amp;STAR'!$C$1:$C$500, 'CP&amp;STAR'!$D$1:$D$500)</f>
        <v>25</v>
      </c>
      <c r="E79" s="793" t="s">
        <v>319</v>
      </c>
      <c r="F79" s="776"/>
      <c r="G79" s="777">
        <f>_xlfn.XLOOKUP(E79,'CP&amp;STAR'!$C$1:$C$500, 'CP&amp;STAR'!$M$1:$M$500)</f>
        <v>600</v>
      </c>
      <c r="H79" s="776"/>
      <c r="I79" s="1033"/>
      <c r="J79" s="1033"/>
      <c r="K79" s="1033"/>
      <c r="L79" s="778" t="s">
        <v>415</v>
      </c>
      <c r="M79" s="779">
        <v>3207</v>
      </c>
      <c r="N79" s="776" t="s">
        <v>417</v>
      </c>
      <c r="O79" s="779">
        <v>640</v>
      </c>
      <c r="P79" s="780">
        <v>2905</v>
      </c>
      <c r="Q79" s="787"/>
      <c r="R79" s="788"/>
      <c r="S79" s="788"/>
    </row>
    <row r="80" spans="1:19" x14ac:dyDescent="0.2">
      <c r="A80" s="765" t="str">
        <f t="shared" si="4"/>
        <v>HT1225</v>
      </c>
      <c r="B80" s="773" t="str">
        <f t="shared" si="3"/>
        <v>HT12</v>
      </c>
      <c r="C80" s="784" t="str">
        <f>_xlfn.XLOOKUP(E80,'CP&amp;STAR'!$C$1:$C$500, 'CP&amp;STAR'!$B$1:$B$500)</f>
        <v>1290D215520025</v>
      </c>
      <c r="D80" s="775">
        <f>_xlfn.XLOOKUP(E80,'CP&amp;STAR'!$C$1:$C$500, 'CP&amp;STAR'!$D$1:$D$500)</f>
        <v>25</v>
      </c>
      <c r="E80" s="793" t="s">
        <v>320</v>
      </c>
      <c r="F80" s="776"/>
      <c r="G80" s="777">
        <f>_xlfn.XLOOKUP(E80,'CP&amp;STAR'!$C$1:$C$500, 'CP&amp;STAR'!$M$1:$M$500)</f>
        <v>2491</v>
      </c>
      <c r="H80" s="776"/>
      <c r="I80" s="1033"/>
      <c r="J80" s="1033"/>
      <c r="K80" s="1033"/>
      <c r="L80" s="778" t="s">
        <v>467</v>
      </c>
      <c r="M80" s="779">
        <v>3359</v>
      </c>
      <c r="N80" s="776" t="s">
        <v>418</v>
      </c>
      <c r="O80" s="779">
        <v>480</v>
      </c>
      <c r="P80" s="780">
        <v>3545</v>
      </c>
      <c r="Q80" s="787"/>
      <c r="R80" s="788"/>
      <c r="S80" s="788"/>
    </row>
    <row r="81" spans="1:19" x14ac:dyDescent="0.2">
      <c r="A81" s="765" t="str">
        <f t="shared" si="4"/>
        <v>HT12S25</v>
      </c>
      <c r="B81" s="773" t="str">
        <f t="shared" si="3"/>
        <v>HT12S</v>
      </c>
      <c r="C81" s="784" t="str">
        <f>_xlfn.XLOOKUP(E81,'CP&amp;STAR'!$C$1:$C$500, 'CP&amp;STAR'!$B$1:$B$500)</f>
        <v>1290D215521925</v>
      </c>
      <c r="D81" s="775">
        <f>_xlfn.XLOOKUP(E81,'CP&amp;STAR'!$C$1:$C$500, 'CP&amp;STAR'!$D$1:$D$500)</f>
        <v>25</v>
      </c>
      <c r="E81" s="793" t="s">
        <v>321</v>
      </c>
      <c r="F81" s="776"/>
      <c r="G81" s="777">
        <f>_xlfn.XLOOKUP(E81,'CP&amp;STAR'!$C$1:$C$500, 'CP&amp;STAR'!$M$1:$M$500)</f>
        <v>1757</v>
      </c>
      <c r="H81" s="776"/>
      <c r="I81" s="1033"/>
      <c r="J81" s="1033"/>
      <c r="K81" s="1033"/>
      <c r="L81" s="778" t="s">
        <v>468</v>
      </c>
      <c r="M81" s="779">
        <v>2369</v>
      </c>
      <c r="N81" s="776" t="s">
        <v>419</v>
      </c>
      <c r="O81" s="779">
        <v>640</v>
      </c>
      <c r="P81" s="780">
        <v>5505</v>
      </c>
      <c r="Q81" s="787"/>
      <c r="R81" s="788"/>
      <c r="S81" s="788"/>
    </row>
    <row r="82" spans="1:19" x14ac:dyDescent="0.2">
      <c r="A82" s="765" t="str">
        <f t="shared" si="4"/>
        <v>HT12SX25</v>
      </c>
      <c r="B82" s="773" t="str">
        <f t="shared" si="3"/>
        <v>HT12SX</v>
      </c>
      <c r="C82" s="784" t="str">
        <f>_xlfn.XLOOKUP(E82,'CP&amp;STAR'!$C$1:$C$500, 'CP&amp;STAR'!$B$1:$B$500)</f>
        <v>1290D215527325</v>
      </c>
      <c r="D82" s="775">
        <f>_xlfn.XLOOKUP(E82,'CP&amp;STAR'!$C$1:$C$500, 'CP&amp;STAR'!$D$1:$D$500)</f>
        <v>25</v>
      </c>
      <c r="E82" s="793" t="s">
        <v>147</v>
      </c>
      <c r="F82" s="776"/>
      <c r="G82" s="777">
        <f>_xlfn.XLOOKUP(E82,'CP&amp;STAR'!$C$1:$C$500, 'CP&amp;STAR'!$M$1:$M$500)</f>
        <v>3315</v>
      </c>
      <c r="H82" s="776"/>
      <c r="I82" s="1033"/>
      <c r="J82" s="1033"/>
      <c r="K82" s="1033"/>
      <c r="L82" s="778" t="s">
        <v>526</v>
      </c>
      <c r="M82" s="779">
        <v>1656</v>
      </c>
      <c r="N82" s="776" t="s">
        <v>420</v>
      </c>
      <c r="O82" s="779">
        <v>640</v>
      </c>
      <c r="P82" s="780" t="e">
        <v>#N/A</v>
      </c>
      <c r="Q82" s="787"/>
      <c r="R82" s="788"/>
      <c r="S82" s="788"/>
    </row>
    <row r="83" spans="1:19" x14ac:dyDescent="0.2">
      <c r="A83" s="765" t="str">
        <f t="shared" si="4"/>
        <v>HT1325</v>
      </c>
      <c r="B83" s="773" t="str">
        <f t="shared" si="3"/>
        <v>HT13</v>
      </c>
      <c r="C83" s="784" t="str">
        <f>_xlfn.XLOOKUP(E83,'CP&amp;STAR'!$C$1:$C$500, 'CP&amp;STAR'!$B$1:$B$500)</f>
        <v>1290D215530025</v>
      </c>
      <c r="D83" s="775">
        <f>_xlfn.XLOOKUP(E83,'CP&amp;STAR'!$C$1:$C$500, 'CP&amp;STAR'!$D$1:$D$500)</f>
        <v>25</v>
      </c>
      <c r="E83" s="793" t="s">
        <v>36</v>
      </c>
      <c r="F83" s="776"/>
      <c r="G83" s="777">
        <f>_xlfn.XLOOKUP(E83,'CP&amp;STAR'!$C$1:$C$500, 'CP&amp;STAR'!$M$1:$M$500)</f>
        <v>2106</v>
      </c>
      <c r="H83" s="776"/>
      <c r="I83" s="1033"/>
      <c r="J83" s="1033"/>
      <c r="K83" s="1033"/>
      <c r="L83" s="778" t="s">
        <v>469</v>
      </c>
      <c r="M83" s="779">
        <v>1403</v>
      </c>
      <c r="N83" s="776" t="s">
        <v>421</v>
      </c>
      <c r="O83" s="779">
        <v>2880</v>
      </c>
      <c r="P83" s="780">
        <v>1764</v>
      </c>
      <c r="Q83" s="787"/>
      <c r="R83" s="788"/>
      <c r="S83" s="788"/>
    </row>
    <row r="84" spans="1:19" x14ac:dyDescent="0.2">
      <c r="A84" s="765" t="str">
        <f t="shared" si="4"/>
        <v>HT13S25</v>
      </c>
      <c r="B84" s="773" t="str">
        <f t="shared" si="3"/>
        <v>HT13S</v>
      </c>
      <c r="C84" s="784" t="str">
        <f>_xlfn.XLOOKUP(E84,'CP&amp;STAR'!$C$1:$C$500, 'CP&amp;STAR'!$B$1:$B$500)</f>
        <v>1290D215531925</v>
      </c>
      <c r="D84" s="775">
        <f>_xlfn.XLOOKUP(E84,'CP&amp;STAR'!$C$1:$C$500, 'CP&amp;STAR'!$D$1:$D$500)</f>
        <v>25</v>
      </c>
      <c r="E84" s="793" t="s">
        <v>38</v>
      </c>
      <c r="F84" s="776"/>
      <c r="G84" s="777">
        <f>_xlfn.XLOOKUP(E84,'CP&amp;STAR'!$C$1:$C$500, 'CP&amp;STAR'!$M$1:$M$500)</f>
        <v>1212</v>
      </c>
      <c r="H84" s="776"/>
      <c r="I84" s="1033"/>
      <c r="J84" s="1033"/>
      <c r="K84" s="1033"/>
      <c r="L84" s="778" t="s">
        <v>469</v>
      </c>
      <c r="M84" s="779">
        <v>1000</v>
      </c>
      <c r="N84" s="776" t="s">
        <v>422</v>
      </c>
      <c r="O84" s="779">
        <v>960</v>
      </c>
      <c r="P84" s="780">
        <v>1507</v>
      </c>
      <c r="Q84" s="787"/>
      <c r="R84" s="788"/>
      <c r="S84" s="788"/>
    </row>
    <row r="85" spans="1:19" x14ac:dyDescent="0.2">
      <c r="A85" s="765" t="str">
        <f t="shared" si="4"/>
        <v>HG1625</v>
      </c>
      <c r="B85" s="773" t="str">
        <f t="shared" si="3"/>
        <v>HG16</v>
      </c>
      <c r="C85" s="784" t="str">
        <f>_xlfn.XLOOKUP(E85,'CP&amp;STAR'!$C$1:$C$500, 'CP&amp;STAR'!$B$1:$B$500)</f>
        <v>1290D215660025</v>
      </c>
      <c r="D85" s="775">
        <f>_xlfn.XLOOKUP(E85,'CP&amp;STAR'!$C$1:$C$500, 'CP&amp;STAR'!$D$1:$D$500)</f>
        <v>25</v>
      </c>
      <c r="E85" s="793" t="s">
        <v>40</v>
      </c>
      <c r="F85" s="776"/>
      <c r="G85" s="777">
        <f>_xlfn.XLOOKUP(E85,'CP&amp;STAR'!$C$1:$C$500, 'CP&amp;STAR'!$M$1:$M$500)</f>
        <v>1450</v>
      </c>
      <c r="H85" s="776"/>
      <c r="I85" s="1033"/>
      <c r="J85" s="1033"/>
      <c r="K85" s="1033"/>
      <c r="L85" s="778" t="s">
        <v>581</v>
      </c>
      <c r="M85" s="779">
        <v>2010</v>
      </c>
      <c r="N85" s="776" t="s">
        <v>423</v>
      </c>
      <c r="O85" s="779">
        <v>2600</v>
      </c>
      <c r="P85" s="780">
        <v>7387</v>
      </c>
      <c r="Q85" s="787"/>
      <c r="R85" s="788"/>
      <c r="S85" s="788"/>
    </row>
    <row r="86" spans="1:19" x14ac:dyDescent="0.2">
      <c r="A86" s="765" t="str">
        <f t="shared" si="4"/>
        <v>HG1725</v>
      </c>
      <c r="B86" s="773" t="str">
        <f t="shared" si="3"/>
        <v>HG17</v>
      </c>
      <c r="C86" s="784" t="str">
        <f>_xlfn.XLOOKUP(E86,'CP&amp;STAR'!$C$1:$C$500, 'CP&amp;STAR'!$B$1:$B$500)</f>
        <v>1290D215670025</v>
      </c>
      <c r="D86" s="775">
        <f>_xlfn.XLOOKUP(E86,'CP&amp;STAR'!$C$1:$C$500, 'CP&amp;STAR'!$D$1:$D$500)</f>
        <v>25</v>
      </c>
      <c r="E86" s="793" t="s">
        <v>42</v>
      </c>
      <c r="F86" s="776"/>
      <c r="G86" s="777">
        <f>_xlfn.XLOOKUP(E86,'CP&amp;STAR'!$C$1:$C$500, 'CP&amp;STAR'!$M$1:$M$500)</f>
        <v>982</v>
      </c>
      <c r="H86" s="776"/>
      <c r="I86" s="1033"/>
      <c r="J86" s="1033"/>
      <c r="K86" s="1033"/>
      <c r="L86" s="778" t="s">
        <v>470</v>
      </c>
      <c r="M86" s="779">
        <v>2305</v>
      </c>
      <c r="N86" s="776" t="s">
        <v>424</v>
      </c>
      <c r="O86" s="779">
        <v>16</v>
      </c>
      <c r="P86" s="780">
        <v>3193</v>
      </c>
      <c r="Q86" s="787"/>
      <c r="R86" s="788"/>
      <c r="S86" s="788"/>
    </row>
    <row r="87" spans="1:19" x14ac:dyDescent="0.2">
      <c r="A87" s="765" t="str">
        <f t="shared" si="4"/>
        <v>HG17S25</v>
      </c>
      <c r="B87" s="773" t="str">
        <f t="shared" si="3"/>
        <v>HG17S</v>
      </c>
      <c r="C87" s="784" t="str">
        <f>_xlfn.XLOOKUP(E87,'CP&amp;STAR'!$C$1:$C$500, 'CP&amp;STAR'!$B$1:$B$500)</f>
        <v>1290D215671925</v>
      </c>
      <c r="D87" s="775">
        <f>_xlfn.XLOOKUP(E87,'CP&amp;STAR'!$C$1:$C$500, 'CP&amp;STAR'!$D$1:$D$500)</f>
        <v>25</v>
      </c>
      <c r="E87" s="793" t="s">
        <v>46</v>
      </c>
      <c r="F87" s="776"/>
      <c r="G87" s="777">
        <f>_xlfn.XLOOKUP(E87,'CP&amp;STAR'!$C$1:$C$500, 'CP&amp;STAR'!$M$1:$M$500)</f>
        <v>1346</v>
      </c>
      <c r="H87" s="776"/>
      <c r="I87" s="1033"/>
      <c r="J87" s="1033"/>
      <c r="K87" s="1033"/>
      <c r="L87" s="778" t="s">
        <v>470</v>
      </c>
      <c r="M87" s="779">
        <v>2411</v>
      </c>
      <c r="N87" s="776" t="s">
        <v>525</v>
      </c>
      <c r="O87" s="779">
        <v>12</v>
      </c>
      <c r="P87" s="780" t="e">
        <v>#N/A</v>
      </c>
      <c r="Q87" s="787"/>
      <c r="R87" s="788"/>
      <c r="S87" s="788"/>
    </row>
    <row r="88" spans="1:19" x14ac:dyDescent="0.2">
      <c r="A88" s="765" t="str">
        <f t="shared" si="4"/>
        <v>VT1125</v>
      </c>
      <c r="B88" s="773" t="str">
        <f t="shared" si="3"/>
        <v>VT11</v>
      </c>
      <c r="C88" s="784" t="str">
        <f>_xlfn.XLOOKUP(E88,'CP&amp;STAR'!$C$1:$C$500, 'CP&amp;STAR'!$B$1:$B$500)</f>
        <v>1290D215480025</v>
      </c>
      <c r="D88" s="775">
        <f>_xlfn.XLOOKUP(E88,'CP&amp;STAR'!$C$1:$C$500, 'CP&amp;STAR'!$D$1:$D$500)</f>
        <v>25</v>
      </c>
      <c r="E88" s="793" t="s">
        <v>30</v>
      </c>
      <c r="F88" s="776"/>
      <c r="G88" s="777">
        <f>_xlfn.XLOOKUP(E88,'CP&amp;STAR'!$C$1:$C$500, 'CP&amp;STAR'!$M$1:$M$500)</f>
        <v>3545</v>
      </c>
      <c r="H88" s="776"/>
      <c r="I88" s="1033"/>
      <c r="J88" s="1033"/>
      <c r="K88" s="1033"/>
      <c r="L88" s="778" t="s">
        <v>471</v>
      </c>
      <c r="M88" s="779">
        <v>4637</v>
      </c>
      <c r="N88" s="776" t="s">
        <v>170</v>
      </c>
      <c r="O88" s="779"/>
      <c r="P88" s="780"/>
      <c r="Q88" s="787"/>
      <c r="R88" s="788"/>
      <c r="S88" s="788"/>
    </row>
    <row r="89" spans="1:19" x14ac:dyDescent="0.2">
      <c r="A89" s="765" t="str">
        <f t="shared" si="4"/>
        <v>VT1225</v>
      </c>
      <c r="B89" s="773" t="str">
        <f t="shared" si="3"/>
        <v>VT12</v>
      </c>
      <c r="C89" s="784" t="str">
        <f>_xlfn.XLOOKUP(E89,'CP&amp;STAR'!$C$1:$C$500, 'CP&amp;STAR'!$B$1:$B$500)</f>
        <v>1290D215490025</v>
      </c>
      <c r="D89" s="775">
        <f>_xlfn.XLOOKUP(E89,'CP&amp;STAR'!$C$1:$C$500, 'CP&amp;STAR'!$D$1:$D$500)</f>
        <v>25</v>
      </c>
      <c r="E89" s="793" t="s">
        <v>32</v>
      </c>
      <c r="F89" s="776"/>
      <c r="G89" s="777">
        <f>_xlfn.XLOOKUP(E89,'CP&amp;STAR'!$C$1:$C$500, 'CP&amp;STAR'!$M$1:$M$500)</f>
        <v>4644</v>
      </c>
      <c r="H89" s="776"/>
      <c r="I89" s="1033"/>
      <c r="J89" s="1033"/>
      <c r="K89" s="1033"/>
      <c r="L89" s="778" t="s">
        <v>409</v>
      </c>
      <c r="M89" s="779">
        <v>6100</v>
      </c>
      <c r="N89" s="776" t="s">
        <v>425</v>
      </c>
      <c r="O89" s="779">
        <v>960</v>
      </c>
      <c r="P89" s="780">
        <v>2127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_xlfn.XLOOKUP(E90,'CP&amp;STAR'!$C$1:$C$500, 'CP&amp;STAR'!$B$1:$B$500)</f>
        <v>1290D215240025</v>
      </c>
      <c r="D90" s="775">
        <f>_xlfn.XLOOKUP(E90,'CP&amp;STAR'!$C$1:$C$500, 'CP&amp;STAR'!$D$1:$D$500)</f>
        <v>25</v>
      </c>
      <c r="E90" s="793" t="s">
        <v>310</v>
      </c>
      <c r="F90" s="776"/>
      <c r="G90" s="777">
        <f>_xlfn.XLOOKUP(E90,'CP&amp;STAR'!$C$1:$C$500, 'CP&amp;STAR'!$M$1:$M$500)</f>
        <v>9634</v>
      </c>
      <c r="H90" s="776"/>
      <c r="I90" s="1033"/>
      <c r="J90" s="1033"/>
      <c r="K90" s="1033"/>
      <c r="L90" s="778" t="s">
        <v>582</v>
      </c>
      <c r="M90" s="779">
        <v>1700</v>
      </c>
      <c r="N90" s="776" t="s">
        <v>450</v>
      </c>
      <c r="O90" s="779">
        <v>640</v>
      </c>
      <c r="P90" s="780">
        <v>2683</v>
      </c>
      <c r="Q90" s="787"/>
      <c r="R90" s="788"/>
      <c r="S90" s="788"/>
    </row>
    <row r="91" spans="1:19" x14ac:dyDescent="0.2">
      <c r="A91" s="765" t="str">
        <f t="shared" si="4"/>
        <v>GD1425</v>
      </c>
      <c r="B91" s="773" t="str">
        <f t="shared" si="3"/>
        <v>GD14</v>
      </c>
      <c r="C91" s="784" t="str">
        <f>_xlfn.XLOOKUP(E91,'CP&amp;STAR'!$C$1:$C$500, 'CP&amp;STAR'!$B$1:$B$500)</f>
        <v>1290D215240025</v>
      </c>
      <c r="D91" s="775">
        <f>_xlfn.XLOOKUP(E91,'CP&amp;STAR'!$C$1:$C$500, 'CP&amp;STAR'!$D$1:$D$500)</f>
        <v>25</v>
      </c>
      <c r="E91" s="784" t="s">
        <v>311</v>
      </c>
      <c r="F91" s="776"/>
      <c r="G91" s="777">
        <f>_xlfn.XLOOKUP(E91,'CP&amp;STAR'!$C$1:$C$500, 'CP&amp;STAR'!$M$1:$M$500)</f>
        <v>3207</v>
      </c>
      <c r="H91" s="776"/>
      <c r="I91" s="1033"/>
      <c r="J91" s="1033"/>
      <c r="K91" s="1033"/>
      <c r="L91" s="791" t="s">
        <v>583</v>
      </c>
      <c r="M91" s="779">
        <v>2965</v>
      </c>
      <c r="N91" s="776" t="s">
        <v>426</v>
      </c>
      <c r="O91" s="779">
        <v>640</v>
      </c>
      <c r="P91" s="780">
        <v>3158</v>
      </c>
      <c r="Q91" s="787"/>
      <c r="R91" s="788"/>
      <c r="S91" s="788"/>
    </row>
    <row r="92" spans="1:19" x14ac:dyDescent="0.2">
      <c r="A92" s="765" t="str">
        <f t="shared" si="4"/>
        <v>GT1125</v>
      </c>
      <c r="B92" s="773" t="str">
        <f t="shared" si="3"/>
        <v>GT11</v>
      </c>
      <c r="C92" s="784" t="str">
        <f>_xlfn.XLOOKUP(E92,'CP&amp;STAR'!$C$1:$C$500, 'CP&amp;STAR'!$B$1:$B$500)</f>
        <v>1290D215210025</v>
      </c>
      <c r="D92" s="775">
        <f>_xlfn.XLOOKUP(E92,'CP&amp;STAR'!$C$1:$C$500, 'CP&amp;STAR'!$D$1:$D$500)</f>
        <v>25</v>
      </c>
      <c r="E92" s="784" t="s">
        <v>296</v>
      </c>
      <c r="G92" s="777">
        <f>_xlfn.XLOOKUP(E92,'CP&amp;STAR'!$C$1:$C$500, 'CP&amp;STAR'!$M$1:$M$500)</f>
        <v>6217</v>
      </c>
      <c r="L92" s="778" t="s">
        <v>557</v>
      </c>
      <c r="M92" s="779">
        <v>1960</v>
      </c>
      <c r="N92" s="776" t="s">
        <v>170</v>
      </c>
      <c r="O92" s="779"/>
      <c r="P92" s="780"/>
      <c r="Q92" s="787"/>
      <c r="R92" s="788"/>
      <c r="S92" s="788"/>
    </row>
    <row r="93" spans="1:19" x14ac:dyDescent="0.2">
      <c r="A93" s="765" t="str">
        <f t="shared" si="4"/>
        <v>GT11S25</v>
      </c>
      <c r="B93" s="773" t="str">
        <f t="shared" si="3"/>
        <v>GT11S</v>
      </c>
      <c r="C93" s="784" t="str">
        <f>_xlfn.XLOOKUP(E93,'CP&amp;STAR'!$C$1:$C$500, 'CP&amp;STAR'!$B$1:$B$500)</f>
        <v>1290D215101925</v>
      </c>
      <c r="D93" s="775">
        <f>_xlfn.XLOOKUP(E93,'CP&amp;STAR'!$C$1:$C$500, 'CP&amp;STAR'!$D$1:$D$500)</f>
        <v>25</v>
      </c>
      <c r="E93" s="784" t="s">
        <v>340</v>
      </c>
      <c r="G93" s="777">
        <f>_xlfn.XLOOKUP(E93,'CP&amp;STAR'!$C$1:$C$500, 'CP&amp;STAR'!$M$1:$M$500)</f>
        <v>2369</v>
      </c>
      <c r="L93" s="778" t="s">
        <v>484</v>
      </c>
      <c r="M93" s="779">
        <v>2693</v>
      </c>
      <c r="N93" s="776" t="s">
        <v>427</v>
      </c>
      <c r="O93" s="779">
        <v>640</v>
      </c>
      <c r="P93" s="780">
        <v>711</v>
      </c>
      <c r="Q93" s="787"/>
      <c r="R93" s="788"/>
      <c r="S93" s="788"/>
    </row>
    <row r="94" spans="1:19" x14ac:dyDescent="0.2">
      <c r="A94" s="765" t="str">
        <f t="shared" si="4"/>
        <v>GT1225</v>
      </c>
      <c r="B94" s="773" t="str">
        <f t="shared" si="3"/>
        <v>GT12</v>
      </c>
      <c r="C94" s="784" t="str">
        <f>_xlfn.XLOOKUP(E94,'CP&amp;STAR'!$C$1:$C$500, 'CP&amp;STAR'!$B$1:$B$500)</f>
        <v>1290D215110025</v>
      </c>
      <c r="D94" s="775">
        <f>_xlfn.XLOOKUP(E94,'CP&amp;STAR'!$C$1:$C$500, 'CP&amp;STAR'!$D$1:$D$500)</f>
        <v>25</v>
      </c>
      <c r="E94" s="630" t="s">
        <v>291</v>
      </c>
      <c r="F94" s="776"/>
      <c r="G94" s="777">
        <f>_xlfn.XLOOKUP(E94,'CP&amp;STAR'!$C$1:$C$500, 'CP&amp;STAR'!$M$1:$M$500)</f>
        <v>996</v>
      </c>
      <c r="H94" s="776"/>
      <c r="I94" s="1035"/>
      <c r="J94" s="1036"/>
      <c r="K94" s="1037"/>
      <c r="L94" s="778" t="s">
        <v>472</v>
      </c>
      <c r="M94" s="779">
        <v>1766</v>
      </c>
      <c r="N94" s="776" t="s">
        <v>428</v>
      </c>
      <c r="O94" s="779">
        <v>320</v>
      </c>
      <c r="P94" s="780" t="e">
        <v>#N/A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_xlfn.XLOOKUP(E95,'CP&amp;STAR'!$C$1:$C$500, 'CP&amp;STAR'!$B$1:$B$500)</f>
        <v>1290D215110125</v>
      </c>
      <c r="D95" s="775">
        <f>_xlfn.XLOOKUP(E95,'CP&amp;STAR'!$C$1:$C$500, 'CP&amp;STAR'!$D$1:$D$500)</f>
        <v>25</v>
      </c>
      <c r="E95" s="630" t="s">
        <v>297</v>
      </c>
      <c r="F95" s="776"/>
      <c r="G95" s="777">
        <f>_xlfn.XLOOKUP(E95,'CP&amp;STAR'!$C$1:$C$500, 'CP&amp;STAR'!$M$1:$M$500)</f>
        <v>1403</v>
      </c>
      <c r="H95" s="776"/>
      <c r="I95" s="1038"/>
      <c r="J95" s="1039"/>
      <c r="K95" s="1040"/>
      <c r="L95" s="778" t="s">
        <v>473</v>
      </c>
      <c r="M95" s="779">
        <v>983</v>
      </c>
      <c r="N95" s="776" t="s">
        <v>549</v>
      </c>
      <c r="O95" s="779">
        <v>300</v>
      </c>
      <c r="P95" s="780" t="e">
        <v>#N/A</v>
      </c>
      <c r="Q95" s="787"/>
      <c r="R95" s="788"/>
      <c r="S95" s="788"/>
    </row>
    <row r="96" spans="1:19" x14ac:dyDescent="0.2">
      <c r="A96" s="765" t="str">
        <f t="shared" si="4"/>
        <v>GT12A25</v>
      </c>
      <c r="B96" s="773" t="str">
        <f t="shared" si="3"/>
        <v>GT12A</v>
      </c>
      <c r="C96" s="784" t="str">
        <f>_xlfn.XLOOKUP(E96,'CP&amp;STAR'!$C$1:$C$500, 'CP&amp;STAR'!$B$1:$B$500)</f>
        <v>1290D215110125</v>
      </c>
      <c r="D96" s="775">
        <f>_xlfn.XLOOKUP(E96,'CP&amp;STAR'!$C$1:$C$500, 'CP&amp;STAR'!$D$1:$D$500)</f>
        <v>25</v>
      </c>
      <c r="E96" s="630" t="s">
        <v>331</v>
      </c>
      <c r="F96" s="776"/>
      <c r="G96" s="777">
        <f>_xlfn.XLOOKUP(E96,'CP&amp;STAR'!$C$1:$C$500, 'CP&amp;STAR'!$M$1:$M$500)</f>
        <v>1000</v>
      </c>
      <c r="H96" s="776"/>
      <c r="I96" s="1038"/>
      <c r="J96" s="1039"/>
      <c r="K96" s="1040"/>
      <c r="L96" s="778" t="s">
        <v>439</v>
      </c>
      <c r="M96" s="779">
        <v>3103</v>
      </c>
      <c r="N96" s="776" t="s">
        <v>431</v>
      </c>
      <c r="O96" s="779">
        <v>240</v>
      </c>
      <c r="P96" s="780" t="e">
        <v>#N/A</v>
      </c>
      <c r="Q96" s="787"/>
      <c r="R96" s="788"/>
      <c r="S96" s="788"/>
    </row>
    <row r="97" spans="1:19" x14ac:dyDescent="0.2">
      <c r="A97" s="765" t="str">
        <f t="shared" si="4"/>
        <v>GT12S25</v>
      </c>
      <c r="B97" s="773" t="str">
        <f t="shared" si="3"/>
        <v>GT12S</v>
      </c>
      <c r="C97" s="784" t="str">
        <f>_xlfn.XLOOKUP(E97,'CP&amp;STAR'!$C$1:$C$500, 'CP&amp;STAR'!$B$1:$B$500)</f>
        <v>1290D225111925</v>
      </c>
      <c r="D97" s="775">
        <f>_xlfn.XLOOKUP(E97,'CP&amp;STAR'!$C$1:$C$500, 'CP&amp;STAR'!$D$1:$D$500)</f>
        <v>25</v>
      </c>
      <c r="E97" s="630" t="s">
        <v>333</v>
      </c>
      <c r="F97" s="776"/>
      <c r="G97" s="777">
        <f>_xlfn.XLOOKUP(E97,'CP&amp;STAR'!$C$1:$C$500, 'CP&amp;STAR'!$M$1:$M$500)</f>
        <v>2010</v>
      </c>
      <c r="H97" s="776"/>
      <c r="I97" s="1038"/>
      <c r="J97" s="1039"/>
      <c r="K97" s="1040"/>
      <c r="L97" s="778" t="s">
        <v>474</v>
      </c>
      <c r="M97" s="779">
        <v>2762</v>
      </c>
      <c r="N97" s="776" t="s">
        <v>432</v>
      </c>
      <c r="O97" s="779">
        <v>80</v>
      </c>
      <c r="P97" s="780">
        <v>651</v>
      </c>
      <c r="Q97" s="787"/>
      <c r="R97" s="788"/>
      <c r="S97" s="788"/>
    </row>
    <row r="98" spans="1:19" ht="15" x14ac:dyDescent="0.2">
      <c r="A98" s="765" t="str">
        <f t="shared" si="4"/>
        <v>GT12AS25</v>
      </c>
      <c r="B98" s="773" t="str">
        <f t="shared" ref="B98:B129" si="5">IFERROR(TRIM(_xlfn.TEXTBEFORE(_xlfn.TEXTAFTER(E98, "-"), "-")),"")</f>
        <v>GT12AS</v>
      </c>
      <c r="C98" s="784" t="str">
        <f>_xlfn.XLOOKUP(E98,'CP&amp;STAR'!$C$1:$C$500, 'CP&amp;STAR'!$B$1:$B$500)</f>
        <v>1290D215118425</v>
      </c>
      <c r="D98" s="775">
        <f>_xlfn.XLOOKUP(E98,'CP&amp;STAR'!$C$1:$C$500, 'CP&amp;STAR'!$D$1:$D$500)</f>
        <v>25</v>
      </c>
      <c r="E98" s="794" t="s">
        <v>332</v>
      </c>
      <c r="F98" s="776"/>
      <c r="G98" s="777">
        <f>_xlfn.XLOOKUP(E98,'CP&amp;STAR'!$C$1:$C$500, 'CP&amp;STAR'!$M$1:$M$500)</f>
        <v>2305</v>
      </c>
      <c r="H98" s="776"/>
      <c r="I98" s="1038"/>
      <c r="J98" s="1039"/>
      <c r="K98" s="1040"/>
      <c r="L98" s="778" t="s">
        <v>475</v>
      </c>
      <c r="M98" s="779">
        <v>658</v>
      </c>
      <c r="N98" s="776" t="s">
        <v>455</v>
      </c>
      <c r="O98" s="779">
        <v>200</v>
      </c>
      <c r="P98" s="780">
        <v>1699</v>
      </c>
      <c r="Q98" s="787"/>
      <c r="R98" s="788"/>
      <c r="S98" s="788"/>
    </row>
    <row r="99" spans="1:19" x14ac:dyDescent="0.2">
      <c r="A99" s="765" t="str">
        <f t="shared" si="4"/>
        <v>GT12AS25</v>
      </c>
      <c r="B99" s="773" t="str">
        <f t="shared" si="5"/>
        <v>GT12AS</v>
      </c>
      <c r="C99" s="784" t="str">
        <f>_xlfn.XLOOKUP(E99,'CP&amp;STAR'!$C$1:$C$500, 'CP&amp;STAR'!$B$1:$B$500)</f>
        <v>1290D215118425</v>
      </c>
      <c r="D99" s="775">
        <f>_xlfn.XLOOKUP(E99,'CP&amp;STAR'!$C$1:$C$500, 'CP&amp;STAR'!$D$1:$D$500)</f>
        <v>25</v>
      </c>
      <c r="E99" s="630" t="s">
        <v>352</v>
      </c>
      <c r="F99" s="776"/>
      <c r="G99" s="777">
        <f>_xlfn.XLOOKUP(E99,'CP&amp;STAR'!$C$1:$C$500, 'CP&amp;STAR'!$M$1:$M$500)</f>
        <v>2411</v>
      </c>
      <c r="H99" s="776"/>
      <c r="I99" s="1038"/>
      <c r="J99" s="1039"/>
      <c r="K99" s="1040"/>
      <c r="L99" s="778" t="s">
        <v>436</v>
      </c>
      <c r="M99" s="779">
        <v>1901</v>
      </c>
      <c r="N99" s="776" t="s">
        <v>550</v>
      </c>
      <c r="O99" s="779">
        <v>120</v>
      </c>
      <c r="P99" s="780" t="e">
        <v>#N/A</v>
      </c>
      <c r="Q99" s="787"/>
      <c r="R99" s="788"/>
      <c r="S99" s="788"/>
    </row>
    <row r="100" spans="1:19" x14ac:dyDescent="0.2">
      <c r="A100" s="765" t="str">
        <f t="shared" si="4"/>
        <v>GT12BS25</v>
      </c>
      <c r="B100" s="773" t="str">
        <f t="shared" si="5"/>
        <v>GT12BS</v>
      </c>
      <c r="C100" s="784" t="str">
        <f>_xlfn.XLOOKUP(E100,'CP&amp;STAR'!$C$1:$C$500, 'CP&amp;STAR'!$B$1:$B$500)</f>
        <v>1290D215117225</v>
      </c>
      <c r="D100" s="775">
        <f>_xlfn.XLOOKUP(E100,'CP&amp;STAR'!$C$1:$C$500, 'CP&amp;STAR'!$D$1:$D$500)</f>
        <v>25</v>
      </c>
      <c r="E100" s="630" t="s">
        <v>339</v>
      </c>
      <c r="F100" s="776"/>
      <c r="G100" s="777">
        <f>_xlfn.XLOOKUP(E100,'CP&amp;STAR'!$C$1:$C$500, 'CP&amp;STAR'!$M$1:$M$500)</f>
        <v>4000</v>
      </c>
      <c r="H100" s="776"/>
      <c r="I100" s="1038"/>
      <c r="J100" s="1039"/>
      <c r="K100" s="1040"/>
      <c r="L100" s="778" t="s">
        <v>507</v>
      </c>
      <c r="M100" s="779">
        <v>80</v>
      </c>
      <c r="N100" s="776" t="s">
        <v>433</v>
      </c>
      <c r="O100" s="779">
        <v>960</v>
      </c>
      <c r="P100" s="780" t="e">
        <v>#N/A</v>
      </c>
      <c r="Q100" s="787"/>
      <c r="R100" s="788"/>
      <c r="S100" s="788"/>
    </row>
    <row r="101" spans="1:19" x14ac:dyDescent="0.2">
      <c r="A101" s="765" t="str">
        <f t="shared" si="4"/>
        <v>GT12B25</v>
      </c>
      <c r="B101" s="773" t="str">
        <f t="shared" si="5"/>
        <v>GT12B</v>
      </c>
      <c r="C101" s="784" t="str">
        <f>_xlfn.XLOOKUP(E101,'CP&amp;STAR'!$C$1:$C$500, 'CP&amp;STAR'!$B$1:$B$500)</f>
        <v>1290D215110225</v>
      </c>
      <c r="D101" s="775">
        <f>_xlfn.XLOOKUP(E101,'CP&amp;STAR'!$C$1:$C$500, 'CP&amp;STAR'!$D$1:$D$500)</f>
        <v>25</v>
      </c>
      <c r="E101" s="630" t="s">
        <v>298</v>
      </c>
      <c r="F101" s="776"/>
      <c r="G101" s="777">
        <f>_xlfn.XLOOKUP(E101,'CP&amp;STAR'!$C$1:$C$500, 'CP&amp;STAR'!$M$1:$M$500)</f>
        <v>5824</v>
      </c>
      <c r="H101" s="776"/>
      <c r="I101" s="1038"/>
      <c r="J101" s="1039"/>
      <c r="K101" s="1040"/>
      <c r="L101" s="778" t="s">
        <v>476</v>
      </c>
      <c r="M101" s="779">
        <v>2170</v>
      </c>
      <c r="N101" s="776" t="s">
        <v>434</v>
      </c>
      <c r="O101" s="779">
        <v>1920</v>
      </c>
      <c r="P101" s="780" t="e">
        <v>#N/A</v>
      </c>
      <c r="Q101" s="787"/>
      <c r="R101" s="788"/>
      <c r="S101" s="788"/>
    </row>
    <row r="102" spans="1:19" x14ac:dyDescent="0.2">
      <c r="A102" s="765" t="str">
        <f t="shared" si="4"/>
        <v>BS06LD40</v>
      </c>
      <c r="B102" s="773" t="str">
        <f t="shared" si="5"/>
        <v>BS06LD</v>
      </c>
      <c r="C102" s="784" t="str">
        <f>_xlfn.XLOOKUP(E102,'CP&amp;STAR'!$C$1:$C$500, 'CP&amp;STAR'!$B$1:$B$500)</f>
        <v>1290M6BS060540</v>
      </c>
      <c r="D102" s="775">
        <f>_xlfn.XLOOKUP(E102,'CP&amp;STAR'!$C$1:$C$500, 'CP&amp;STAR'!$D$1:$D$500)</f>
        <v>40</v>
      </c>
      <c r="E102" s="630" t="s">
        <v>553</v>
      </c>
      <c r="F102" s="776"/>
      <c r="G102" s="777">
        <f>_xlfn.XLOOKUP(E102,'CP&amp;STAR'!$C$1:$C$500, 'CP&amp;STAR'!$M$1:$M$500)</f>
        <v>1700</v>
      </c>
      <c r="H102" s="776"/>
      <c r="I102" s="1038"/>
      <c r="J102" s="1039"/>
      <c r="K102" s="1040"/>
      <c r="L102" s="778" t="s">
        <v>477</v>
      </c>
      <c r="M102" s="779">
        <v>2529</v>
      </c>
      <c r="N102" s="776" t="s">
        <v>435</v>
      </c>
      <c r="O102" s="779">
        <v>640</v>
      </c>
      <c r="P102" s="780" t="e">
        <v>#N/A</v>
      </c>
      <c r="Q102" s="787"/>
      <c r="R102" s="788"/>
      <c r="S102" s="788"/>
    </row>
    <row r="103" spans="1:19" x14ac:dyDescent="0.2">
      <c r="B103" s="773" t="str">
        <f t="shared" si="5"/>
        <v>BS10LD</v>
      </c>
      <c r="C103" s="784" t="str">
        <f>_xlfn.XLOOKUP(E103,'CP&amp;STAR'!$C$1:$C$500, 'CP&amp;STAR'!$B$1:$B$500)</f>
        <v>1290M6BS100540</v>
      </c>
      <c r="D103" s="775">
        <f>_xlfn.XLOOKUP(E103,'CP&amp;STAR'!$C$1:$C$500, 'CP&amp;STAR'!$D$1:$D$500)</f>
        <v>40</v>
      </c>
      <c r="E103" s="630" t="s">
        <v>554</v>
      </c>
      <c r="F103" s="776"/>
      <c r="G103" s="777">
        <f>_xlfn.XLOOKUP(E103,'CP&amp;STAR'!$C$1:$C$500, 'CP&amp;STAR'!$M$1:$M$500)</f>
        <v>2030</v>
      </c>
      <c r="H103" s="776"/>
      <c r="I103" s="1038"/>
      <c r="J103" s="1039"/>
      <c r="K103" s="1040"/>
      <c r="L103" s="778" t="s">
        <v>478</v>
      </c>
      <c r="M103" s="779">
        <v>96</v>
      </c>
      <c r="N103" s="776" t="s">
        <v>436</v>
      </c>
      <c r="O103" s="779">
        <v>640</v>
      </c>
      <c r="P103" s="780">
        <v>1261</v>
      </c>
      <c r="Q103" s="787"/>
      <c r="R103" s="788"/>
      <c r="S103" s="788"/>
    </row>
    <row r="104" spans="1:19" ht="20.25" x14ac:dyDescent="0.2">
      <c r="B104" s="773" t="str">
        <f t="shared" si="5"/>
        <v/>
      </c>
      <c r="E104" s="867" t="s">
        <v>500</v>
      </c>
      <c r="F104" s="776"/>
      <c r="G104" s="777"/>
      <c r="H104" s="776"/>
      <c r="I104" s="1038"/>
      <c r="J104" s="1039"/>
      <c r="K104" s="1040"/>
      <c r="L104" s="778" t="s">
        <v>479</v>
      </c>
      <c r="M104" s="779">
        <v>55</v>
      </c>
      <c r="N104" s="776" t="s">
        <v>170</v>
      </c>
      <c r="O104" s="779"/>
      <c r="P104" s="780"/>
      <c r="Q104" s="787"/>
      <c r="R104" s="788"/>
      <c r="S104" s="788"/>
    </row>
    <row r="105" spans="1:19" ht="20.25" x14ac:dyDescent="0.2">
      <c r="A105" s="765" t="str">
        <f t="shared" si="4"/>
        <v>688425</v>
      </c>
      <c r="B105" s="773" t="str">
        <f t="shared" si="5"/>
        <v>6884</v>
      </c>
      <c r="C105" s="784" t="str">
        <f>_xlfn.XLOOKUP(E105,'NASA &amp; NUVO'!$C$1:$C$500,'NASA &amp; NUVO'!$B$1:$B$500)</f>
        <v>1290K468840025</v>
      </c>
      <c r="D105" s="775">
        <f>_xlfn.XLOOKUP(E105,'NASA &amp; NUVO'!$C$1:$C$500,'NASA &amp; NUVO'!$D$1:$D$500)</f>
        <v>25</v>
      </c>
      <c r="E105" s="867" t="s">
        <v>197</v>
      </c>
      <c r="F105" s="776"/>
      <c r="G105" s="777">
        <f>_xlfn.XLOOKUP(E105,'NASA &amp; NUVO'!$C$1:$C$500,'NASA &amp; NUVO'!$M$1:$M$500)</f>
        <v>2965</v>
      </c>
      <c r="H105" s="776"/>
      <c r="I105" s="1038"/>
      <c r="J105" s="1039"/>
      <c r="K105" s="1040"/>
      <c r="L105" s="778" t="s">
        <v>480</v>
      </c>
      <c r="M105" s="779">
        <v>5748</v>
      </c>
      <c r="N105" s="776" t="s">
        <v>475</v>
      </c>
      <c r="O105" s="779">
        <v>200</v>
      </c>
      <c r="P105" s="780">
        <v>458</v>
      </c>
      <c r="Q105" s="787"/>
      <c r="R105" s="788"/>
      <c r="S105" s="788"/>
    </row>
    <row r="106" spans="1:19" x14ac:dyDescent="0.2">
      <c r="B106" s="773" t="str">
        <f t="shared" si="5"/>
        <v>6895</v>
      </c>
      <c r="C106" s="784" t="str">
        <f>_xlfn.XLOOKUP(E106,'NASA &amp; NUVO'!$C$1:$C$500,'NASA &amp; NUVO'!$B$1:$B$500)</f>
        <v>1290K368950025</v>
      </c>
      <c r="D106" s="775">
        <f>_xlfn.XLOOKUP(E106,'NASA &amp; NUVO'!$C$1:$C$500,'NASA &amp; NUVO'!$D$1:$D$500)</f>
        <v>25</v>
      </c>
      <c r="E106" s="630" t="s">
        <v>198</v>
      </c>
      <c r="F106" s="776"/>
      <c r="G106" s="777">
        <f>_xlfn.XLOOKUP(E106,'NASA &amp; NUVO'!$C$1:$C$500,'NASA &amp; NUVO'!$M$1:$M$500)</f>
        <v>1714</v>
      </c>
      <c r="H106" s="776"/>
      <c r="I106" s="1038"/>
      <c r="J106" s="1039"/>
      <c r="K106" s="1040"/>
      <c r="L106" s="778" t="s">
        <v>481</v>
      </c>
      <c r="M106" s="779">
        <v>6185</v>
      </c>
      <c r="N106" s="776" t="s">
        <v>437</v>
      </c>
      <c r="O106" s="779">
        <v>200</v>
      </c>
      <c r="P106" s="780">
        <v>940</v>
      </c>
      <c r="Q106" s="787"/>
      <c r="R106" s="788"/>
      <c r="S106" s="788"/>
    </row>
    <row r="107" spans="1:19" x14ac:dyDescent="0.2">
      <c r="A107" s="765" t="str">
        <f t="shared" si="4"/>
        <v>691125</v>
      </c>
      <c r="B107" s="773" t="str">
        <f t="shared" si="5"/>
        <v>6911</v>
      </c>
      <c r="C107" s="784" t="str">
        <f>_xlfn.XLOOKUP(E107,'NASA &amp; NUVO'!$C$1:$C$500,'NASA &amp; NUVO'!$B$1:$B$500)</f>
        <v>1290D2069110025</v>
      </c>
      <c r="D107" s="775">
        <f>_xlfn.XLOOKUP(E107,'NASA &amp; NUVO'!$C$1:$C$500,'NASA &amp; NUVO'!$D$1:$D$500)</f>
        <v>25</v>
      </c>
      <c r="E107" s="868" t="s">
        <v>555</v>
      </c>
      <c r="F107" s="776"/>
      <c r="G107" s="777">
        <f>_xlfn.XLOOKUP(E107,'NASA &amp; NUVO'!$C$1:$C$500,'NASA &amp; NUVO'!$M$1:$M$500)</f>
        <v>1960</v>
      </c>
      <c r="H107" s="776"/>
      <c r="I107" s="1038"/>
      <c r="J107" s="1039"/>
      <c r="K107" s="1040"/>
      <c r="L107" s="778" t="s">
        <v>408</v>
      </c>
      <c r="M107" s="779">
        <v>6168</v>
      </c>
      <c r="N107" s="776" t="s">
        <v>170</v>
      </c>
      <c r="O107" s="779"/>
      <c r="P107" s="780"/>
      <c r="Q107" s="787"/>
      <c r="R107" s="788"/>
      <c r="S107" s="788"/>
    </row>
    <row r="108" spans="1:19" x14ac:dyDescent="0.2">
      <c r="A108" s="765" t="str">
        <f t="shared" si="4"/>
        <v>692425</v>
      </c>
      <c r="B108" s="773" t="str">
        <f t="shared" si="5"/>
        <v>6924</v>
      </c>
      <c r="C108" s="784" t="str">
        <f>_xlfn.XLOOKUP(E108,'NASA &amp; NUVO'!$C$1:$C$500,'NASA &amp; NUVO'!$B$1:$B$500)</f>
        <v>1290K369240025</v>
      </c>
      <c r="D108" s="775">
        <f>_xlfn.XLOOKUP(E108,'NASA &amp; NUVO'!$C$1:$C$500,'NASA &amp; NUVO'!$D$1:$D$500)</f>
        <v>25</v>
      </c>
      <c r="E108" s="868" t="s">
        <v>199</v>
      </c>
      <c r="F108" s="776"/>
      <c r="G108" s="777">
        <f>_xlfn.XLOOKUP(E108,'NASA &amp; NUVO'!$C$1:$C$500,'NASA &amp; NUVO'!$M$1:$M$500)</f>
        <v>2693</v>
      </c>
      <c r="H108" s="776"/>
      <c r="I108" s="1038"/>
      <c r="J108" s="1039"/>
      <c r="K108" s="1040"/>
      <c r="L108" s="778" t="s">
        <v>411</v>
      </c>
      <c r="M108" s="779">
        <v>12176</v>
      </c>
      <c r="N108" s="776"/>
      <c r="O108" s="779"/>
      <c r="P108" s="780"/>
      <c r="Q108" s="787"/>
      <c r="R108" s="788"/>
      <c r="S108" s="788"/>
    </row>
    <row r="109" spans="1:19" x14ac:dyDescent="0.2">
      <c r="A109" s="765" t="str">
        <f t="shared" si="4"/>
        <v>694925</v>
      </c>
      <c r="B109" s="773" t="str">
        <f t="shared" si="5"/>
        <v>6949</v>
      </c>
      <c r="C109" s="784" t="str">
        <f>_xlfn.XLOOKUP(E109,'NASA &amp; NUVO'!$C$1:$C$500,'NASA &amp; NUVO'!$B$1:$B$500)</f>
        <v>1290D269490025</v>
      </c>
      <c r="D109" s="775">
        <f>_xlfn.XLOOKUP(E109,'NASA &amp; NUVO'!$C$1:$C$500,'NASA &amp; NUVO'!$D$1:$D$500)</f>
        <v>25</v>
      </c>
      <c r="E109" s="869" t="s">
        <v>200</v>
      </c>
      <c r="F109" s="776"/>
      <c r="G109" s="777">
        <f>_xlfn.XLOOKUP(E109,'NASA &amp; NUVO'!$C$1:$C$500,'NASA &amp; NUVO'!$M$1:$M$500)</f>
        <v>1766</v>
      </c>
      <c r="H109" s="776"/>
      <c r="I109" s="1038"/>
      <c r="J109" s="1039"/>
      <c r="K109" s="1040"/>
      <c r="L109" s="778" t="s">
        <v>423</v>
      </c>
      <c r="M109" s="779">
        <v>11489</v>
      </c>
      <c r="N109" s="776"/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695125</v>
      </c>
      <c r="B110" s="773" t="str">
        <f t="shared" si="5"/>
        <v>6951</v>
      </c>
      <c r="C110" s="784" t="str">
        <f>_xlfn.XLOOKUP(E110,'NASA &amp; NUVO'!$C$1:$C$500,'NASA &amp; NUVO'!$B$1:$B$500)</f>
        <v>12901869510025  </v>
      </c>
      <c r="D110" s="775">
        <f>_xlfn.XLOOKUP(E110,'NASA &amp; NUVO'!$C$1:$C$500,'NASA &amp; NUVO'!$D$1:$D$500)</f>
        <v>25</v>
      </c>
      <c r="E110" s="869" t="s">
        <v>441</v>
      </c>
      <c r="F110" s="776"/>
      <c r="G110" s="777">
        <f>_xlfn.XLOOKUP(E110,'NASA &amp; NUVO'!$C$1:$C$500,'NASA &amp; NUVO'!$M$1:$M$500)</f>
        <v>2929</v>
      </c>
      <c r="H110" s="776"/>
      <c r="I110" s="1038"/>
      <c r="J110" s="1039"/>
      <c r="K110" s="1040"/>
      <c r="L110" s="778" t="s">
        <v>418</v>
      </c>
      <c r="M110" s="779">
        <v>4335</v>
      </c>
      <c r="N110" s="776"/>
      <c r="O110" s="779"/>
      <c r="P110" s="780"/>
      <c r="Q110" s="787"/>
      <c r="R110" s="788"/>
      <c r="S110" s="788"/>
    </row>
    <row r="111" spans="1:19" x14ac:dyDescent="0.2">
      <c r="A111" s="765" t="str">
        <f t="shared" si="4"/>
        <v>695225</v>
      </c>
      <c r="B111" s="773" t="str">
        <f t="shared" si="5"/>
        <v>6952</v>
      </c>
      <c r="C111" s="784" t="str">
        <f>_xlfn.XLOOKUP(E111,'NASA &amp; NUVO'!$C$1:$C$500,'NASA &amp; NUVO'!$B$1:$B$500)</f>
        <v>1290D269520025</v>
      </c>
      <c r="D111" s="775">
        <f>_xlfn.XLOOKUP(E111,'NASA &amp; NUVO'!$C$1:$C$500,'NASA &amp; NUVO'!$D$1:$D$500)</f>
        <v>25</v>
      </c>
      <c r="E111" s="869" t="s">
        <v>201</v>
      </c>
      <c r="F111" s="776"/>
      <c r="G111" s="777">
        <f>_xlfn.XLOOKUP(E111,'NASA &amp; NUVO'!$C$1:$C$500,'NASA &amp; NUVO'!$M$1:$M$500)</f>
        <v>4962</v>
      </c>
      <c r="H111" s="776"/>
      <c r="I111" s="1038"/>
      <c r="J111" s="1039"/>
      <c r="K111" s="1040"/>
      <c r="L111" s="778" t="s">
        <v>422</v>
      </c>
      <c r="M111" s="779">
        <v>2580</v>
      </c>
      <c r="N111" s="776"/>
      <c r="O111" s="779"/>
      <c r="P111" s="780"/>
      <c r="Q111" s="787"/>
      <c r="R111" s="788"/>
      <c r="S111" s="788"/>
    </row>
    <row r="112" spans="1:19" x14ac:dyDescent="0.2">
      <c r="A112" s="765" t="str">
        <f t="shared" si="4"/>
        <v>695325</v>
      </c>
      <c r="B112" s="773" t="str">
        <f t="shared" si="5"/>
        <v>6953</v>
      </c>
      <c r="C112" s="784" t="str">
        <f>_xlfn.XLOOKUP(E112,'NASA &amp; NUVO'!$C$1:$C$500,'NASA &amp; NUVO'!$B$1:$B$500)</f>
        <v>1290D269530025</v>
      </c>
      <c r="D112" s="775">
        <f>_xlfn.XLOOKUP(E112,'NASA &amp; NUVO'!$C$1:$C$500,'NASA &amp; NUVO'!$D$1:$D$500)</f>
        <v>25</v>
      </c>
      <c r="E112" s="869" t="s">
        <v>202</v>
      </c>
      <c r="F112" s="776"/>
      <c r="G112" s="777">
        <f>_xlfn.XLOOKUP(E112,'NASA &amp; NUVO'!$C$1:$C$500,'NASA &amp; NUVO'!$M$1:$M$500)</f>
        <v>2762</v>
      </c>
      <c r="H112" s="789">
        <v>3.5</v>
      </c>
      <c r="I112" s="1038"/>
      <c r="J112" s="1039"/>
      <c r="K112" s="1040"/>
      <c r="L112" s="778" t="s">
        <v>438</v>
      </c>
      <c r="M112" s="779">
        <v>30814</v>
      </c>
      <c r="N112" s="776"/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699125</v>
      </c>
      <c r="B113" s="773" t="str">
        <f t="shared" si="5"/>
        <v>6991</v>
      </c>
      <c r="C113" s="784" t="str">
        <f>_xlfn.XLOOKUP(E113,'NASA &amp; NUVO'!$C$1:$C$500,'NASA &amp; NUVO'!$B$1:$B$500)</f>
        <v>1290D269910025</v>
      </c>
      <c r="D113" s="775">
        <f>_xlfn.XLOOKUP(E113,'NASA &amp; NUVO'!$C$1:$C$500,'NASA &amp; NUVO'!$D$1:$D$500)</f>
        <v>25</v>
      </c>
      <c r="E113" s="869" t="s">
        <v>203</v>
      </c>
      <c r="F113" s="776"/>
      <c r="G113" s="777">
        <f>_xlfn.XLOOKUP(E113,'NASA &amp; NUVO'!$C$1:$C$500,'NASA &amp; NUVO'!$M$1:$M$500)</f>
        <v>658</v>
      </c>
      <c r="H113" s="789" t="s">
        <v>326</v>
      </c>
      <c r="I113" s="1038"/>
      <c r="J113" s="1039"/>
      <c r="K113" s="1040"/>
      <c r="L113" s="778" t="s">
        <v>482</v>
      </c>
      <c r="M113" s="779">
        <v>21708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699525</v>
      </c>
      <c r="B114" s="773" t="str">
        <f t="shared" si="5"/>
        <v>6995</v>
      </c>
      <c r="C114" s="774" t="str">
        <f>_xlfn.XLOOKUP(E114,'NASA &amp; NUVO'!$C$1:$C$500,'NASA &amp; NUVO'!$B$1:$B$500)</f>
        <v>1290K369950025</v>
      </c>
      <c r="D114" s="775">
        <f>_xlfn.XLOOKUP(E114,'NASA &amp; NUVO'!$C$1:$C$500,'NASA &amp; NUVO'!$D$1:$D$500)</f>
        <v>25</v>
      </c>
      <c r="E114" s="869" t="s">
        <v>204</v>
      </c>
      <c r="F114" s="776"/>
      <c r="G114" s="777">
        <f>_xlfn.XLOOKUP(E114,'NASA &amp; NUVO'!$C$1:$C$500,'NASA &amp; NUVO'!$M$1:$M$500)</f>
        <v>1901</v>
      </c>
      <c r="H114" s="776"/>
      <c r="I114" s="1038"/>
      <c r="J114" s="1039"/>
      <c r="K114" s="1040"/>
      <c r="L114" s="778" t="s">
        <v>483</v>
      </c>
      <c r="M114" s="779">
        <v>25084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965125</v>
      </c>
      <c r="B115" s="773" t="str">
        <f t="shared" si="5"/>
        <v>9651</v>
      </c>
      <c r="C115" s="774" t="str">
        <f>_xlfn.XLOOKUP(E115,'NASA &amp; NUVO'!$C$1:$C$500,'NASA &amp; NUVO'!$B$1:$B$500)</f>
        <v>1290D296510025</v>
      </c>
      <c r="D115" s="775">
        <f>_xlfn.XLOOKUP(E115,'NASA &amp; NUVO'!$C$1:$C$500,'NASA &amp; NUVO'!$D$1:$D$500)</f>
        <v>25</v>
      </c>
      <c r="E115" s="869" t="s">
        <v>136</v>
      </c>
      <c r="F115" s="776"/>
      <c r="G115" s="777">
        <f>_xlfn.XLOOKUP(E115,'NASA &amp; NUVO'!$C$1:$C$500,'NASA &amp; NUVO'!$M$1:$M$500)</f>
        <v>80</v>
      </c>
      <c r="H115" s="776"/>
      <c r="I115" s="1038"/>
      <c r="J115" s="1039"/>
      <c r="K115" s="1040"/>
      <c r="L115" s="778" t="s">
        <v>384</v>
      </c>
      <c r="M115" s="779">
        <v>31043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965225</v>
      </c>
      <c r="B116" s="773" t="str">
        <f t="shared" si="5"/>
        <v>9652</v>
      </c>
      <c r="C116" s="774" t="str">
        <f>_xlfn.XLOOKUP(E116,'NASA &amp; NUVO'!$C$1:$C$500,'NASA &amp; NUVO'!$B$1:$B$500)</f>
        <v>1290D296520025</v>
      </c>
      <c r="D116" s="775">
        <f>_xlfn.XLOOKUP(E116,'NASA &amp; NUVO'!$C$1:$C$500,'NASA &amp; NUVO'!$D$1:$D$500)</f>
        <v>25</v>
      </c>
      <c r="E116" s="795" t="s">
        <v>138</v>
      </c>
      <c r="F116" s="776"/>
      <c r="G116" s="777">
        <f>_xlfn.XLOOKUP(E116,'NASA &amp; NUVO'!$C$1:$C$500,'NASA &amp; NUVO'!$M$1:$M$500)</f>
        <v>2170</v>
      </c>
      <c r="H116" s="776" t="s">
        <v>315</v>
      </c>
      <c r="I116" s="1038"/>
      <c r="J116" s="1039"/>
      <c r="K116" s="1040"/>
      <c r="L116" s="778" t="s">
        <v>541</v>
      </c>
      <c r="M116" s="779">
        <v>10572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9652S25</v>
      </c>
      <c r="B117" s="773" t="str">
        <f t="shared" si="5"/>
        <v>9652S</v>
      </c>
      <c r="C117" s="774" t="str">
        <f>_xlfn.XLOOKUP(E117,'NASA &amp; NUVO'!$C$1:$C$500,'NASA &amp; NUVO'!$B$1:$B$500)</f>
        <v>1290D296521925</v>
      </c>
      <c r="D117" s="775">
        <f>_xlfn.XLOOKUP(E117,'NASA &amp; NUVO'!$C$1:$C$500,'NASA &amp; NUVO'!$D$1:$D$500)</f>
        <v>25</v>
      </c>
      <c r="E117" s="795" t="s">
        <v>140</v>
      </c>
      <c r="F117" s="776"/>
      <c r="G117" s="777">
        <f>_xlfn.XLOOKUP(E117,'NASA &amp; NUVO'!$C$1:$C$500,'NASA &amp; NUVO'!$M$1:$M$500)</f>
        <v>2529</v>
      </c>
      <c r="H117" s="776" t="s">
        <v>315</v>
      </c>
      <c r="I117" s="1038"/>
      <c r="J117" s="1039"/>
      <c r="K117" s="1040"/>
      <c r="L117" s="778" t="s">
        <v>378</v>
      </c>
      <c r="M117" s="779">
        <v>21680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966625</v>
      </c>
      <c r="B118" s="773" t="str">
        <f t="shared" si="5"/>
        <v>9666</v>
      </c>
      <c r="C118" s="774" t="str">
        <f>_xlfn.XLOOKUP(E118,'NASA &amp; NUVO'!$C$1:$C$500,'NASA &amp; NUVO'!$B$1:$B$500)</f>
        <v>1290D296660025</v>
      </c>
      <c r="D118" s="775">
        <f>_xlfn.XLOOKUP(E118,'NASA &amp; NUVO'!$C$1:$C$500,'NASA &amp; NUVO'!$D$1:$D$500)</f>
        <v>25</v>
      </c>
      <c r="E118" s="796" t="s">
        <v>55</v>
      </c>
      <c r="F118" s="776"/>
      <c r="G118" s="777">
        <f>_xlfn.XLOOKUP(E118,'NASA &amp; NUVO'!$C$1:$C$500,'NASA &amp; NUVO'!$M$1:$M$500)</f>
        <v>96</v>
      </c>
      <c r="H118" s="776" t="s">
        <v>315</v>
      </c>
      <c r="I118" s="1038"/>
      <c r="J118" s="1039"/>
      <c r="K118" s="1040"/>
      <c r="L118" s="778" t="s">
        <v>389</v>
      </c>
      <c r="M118" s="779">
        <v>15470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966725</v>
      </c>
      <c r="B119" s="773" t="str">
        <f t="shared" si="5"/>
        <v>9667</v>
      </c>
      <c r="C119" s="774" t="str">
        <f>_xlfn.XLOOKUP(E119,'NASA &amp; NUVO'!$C$1:$C$500,'NASA &amp; NUVO'!$B$1:$B$500)</f>
        <v>1290D296670025</v>
      </c>
      <c r="D119" s="775">
        <f>_xlfn.XLOOKUP(E119,'NASA &amp; NUVO'!$C$1:$C$500,'NASA &amp; NUVO'!$D$1:$D$500)</f>
        <v>25</v>
      </c>
      <c r="E119" s="796" t="s">
        <v>142</v>
      </c>
      <c r="F119" s="776"/>
      <c r="G119" s="777">
        <f>_xlfn.XLOOKUP(E119,'NASA &amp; NUVO'!$C$1:$C$500,'NASA &amp; NUVO'!$M$1:$M$500)</f>
        <v>55</v>
      </c>
      <c r="H119" s="776" t="s">
        <v>334</v>
      </c>
      <c r="I119" s="1038"/>
      <c r="J119" s="1039"/>
      <c r="K119" s="1040"/>
      <c r="L119" s="778" t="s">
        <v>395</v>
      </c>
      <c r="M119" s="779">
        <v>11461</v>
      </c>
      <c r="N119" s="776"/>
      <c r="O119" s="779"/>
      <c r="P119" s="780"/>
      <c r="Q119" s="787"/>
      <c r="R119" s="788"/>
      <c r="S119" s="788"/>
    </row>
    <row r="120" spans="1:19" ht="20.25" x14ac:dyDescent="0.2">
      <c r="A120" s="765" t="str">
        <f t="shared" si="4"/>
        <v/>
      </c>
      <c r="B120" s="773" t="str">
        <f t="shared" si="5"/>
        <v/>
      </c>
      <c r="C120" s="774"/>
      <c r="E120" s="863" t="s">
        <v>193</v>
      </c>
      <c r="F120" s="776"/>
      <c r="G120" s="777"/>
      <c r="H120" s="776" t="s">
        <v>315</v>
      </c>
      <c r="I120" s="1038"/>
      <c r="J120" s="1039"/>
      <c r="K120" s="1040"/>
      <c r="L120" s="778" t="s">
        <v>399</v>
      </c>
      <c r="M120" s="784">
        <v>4925</v>
      </c>
      <c r="O120" s="780"/>
      <c r="P120" s="780"/>
      <c r="Q120" s="787"/>
      <c r="R120" s="788"/>
      <c r="S120" s="788"/>
    </row>
    <row r="121" spans="1:19" ht="20.25" x14ac:dyDescent="0.2">
      <c r="A121" s="765" t="str">
        <f t="shared" si="4"/>
        <v>510NF50</v>
      </c>
      <c r="B121" s="773" t="str">
        <f t="shared" si="5"/>
        <v>510NF</v>
      </c>
      <c r="C121" s="774" t="str">
        <f>_xlfn.XLOOKUP(E121,FARM!$C$1:$C$500,FARM!$B$1:$B$500)</f>
        <v>1290BU05101450</v>
      </c>
      <c r="D121" s="775">
        <f>_xlfn.XLOOKUP(E121,FARM!$C$1:$C$500,FARM!$D$1:$D$500)</f>
        <v>50</v>
      </c>
      <c r="E121" s="863" t="s">
        <v>282</v>
      </c>
      <c r="F121" s="776"/>
      <c r="G121" s="777">
        <f>_xlfn.XLOOKUP(E121,FARM!$C$1:$C$500,FARM!$M$1:$M$500)</f>
        <v>5748</v>
      </c>
      <c r="H121" s="776" t="s">
        <v>315</v>
      </c>
      <c r="I121" s="1038"/>
      <c r="J121" s="1039"/>
      <c r="K121" s="1040"/>
      <c r="L121" s="778" t="s">
        <v>405</v>
      </c>
      <c r="M121" s="779">
        <v>4401</v>
      </c>
      <c r="N121" s="779"/>
      <c r="O121" s="780"/>
      <c r="P121" s="780"/>
      <c r="Q121" s="787"/>
      <c r="R121" s="788"/>
      <c r="S121" s="788"/>
    </row>
    <row r="122" spans="1:19" x14ac:dyDescent="0.2">
      <c r="A122" s="765" t="str">
        <f t="shared" si="4"/>
        <v>511ANF50</v>
      </c>
      <c r="B122" s="773" t="str">
        <f t="shared" si="5"/>
        <v>511ANF</v>
      </c>
      <c r="C122" s="774" t="str">
        <f>_xlfn.XLOOKUP(E122,FARM!$C$1:$C$500,FARM!$B$1:$B$500)</f>
        <v>1290BU05116950</v>
      </c>
      <c r="D122" s="775">
        <f>_xlfn.XLOOKUP(E122,FARM!$C$1:$C$500,FARM!$D$1:$D$500)</f>
        <v>50</v>
      </c>
      <c r="E122" s="796" t="s">
        <v>283</v>
      </c>
      <c r="F122" s="776"/>
      <c r="G122" s="777">
        <f>_xlfn.XLOOKUP(E122,FARM!$C$1:$C$500,FARM!$M$1:$M$500)</f>
        <v>6185</v>
      </c>
      <c r="H122" s="776" t="s">
        <v>315</v>
      </c>
      <c r="I122" s="1038"/>
      <c r="J122" s="1039"/>
      <c r="K122" s="1040"/>
      <c r="L122" s="778"/>
      <c r="M122" s="779"/>
      <c r="N122" s="779"/>
      <c r="O122" s="780"/>
      <c r="P122" s="780"/>
      <c r="Q122" s="787"/>
      <c r="R122" s="788"/>
      <c r="S122" s="788"/>
    </row>
    <row r="123" spans="1:19" x14ac:dyDescent="0.2">
      <c r="A123" s="765" t="str">
        <f t="shared" si="4"/>
        <v>511NF50</v>
      </c>
      <c r="B123" s="773" t="str">
        <f t="shared" si="5"/>
        <v>511NF</v>
      </c>
      <c r="C123" s="774" t="str">
        <f>_xlfn.XLOOKUP(E123,FARM!$C$1:$C$500,FARM!$B$1:$B$500)</f>
        <v>1290BT05111450</v>
      </c>
      <c r="D123" s="775">
        <f>_xlfn.XLOOKUP(E123,FARM!$C$1:$C$500,FARM!$D$1:$D$500)</f>
        <v>50</v>
      </c>
      <c r="E123" s="796" t="s">
        <v>214</v>
      </c>
      <c r="F123" s="776"/>
      <c r="G123" s="777">
        <f>_xlfn.XLOOKUP(E123,FARM!$C$1:$C$500,FARM!$M$1:$M$500)</f>
        <v>10983</v>
      </c>
      <c r="H123" s="776"/>
      <c r="I123" s="1038"/>
      <c r="J123" s="1039"/>
      <c r="K123" s="1040"/>
      <c r="L123" s="778"/>
      <c r="M123" s="779"/>
      <c r="N123" s="779"/>
      <c r="O123" s="780"/>
      <c r="P123" s="780"/>
      <c r="Q123" s="787"/>
      <c r="R123" s="788"/>
      <c r="S123" s="788"/>
    </row>
    <row r="124" spans="1:19" x14ac:dyDescent="0.2">
      <c r="A124" s="765" t="str">
        <f t="shared" si="4"/>
        <v>513F50</v>
      </c>
      <c r="B124" s="773" t="str">
        <f t="shared" si="5"/>
        <v>513F</v>
      </c>
      <c r="C124" s="774" t="str">
        <f>_xlfn.XLOOKUP(E124,FARM!$C$1:$C$500,FARM!$B$1:$B$500)</f>
        <v>1290BT05130050</v>
      </c>
      <c r="D124" s="775">
        <f>_xlfn.XLOOKUP(E124,FARM!$C$1:$C$500,FARM!$D$1:$D$500)</f>
        <v>50</v>
      </c>
      <c r="E124" s="796" t="s">
        <v>215</v>
      </c>
      <c r="F124" s="776"/>
      <c r="G124" s="777">
        <f>_xlfn.XLOOKUP(E124,FARM!$C$1:$C$500,FARM!$M$1:$M$500)</f>
        <v>12176</v>
      </c>
      <c r="H124" s="776"/>
      <c r="I124" s="1038"/>
      <c r="J124" s="1039"/>
      <c r="K124" s="1040"/>
      <c r="L124" s="778"/>
      <c r="M124" s="779"/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540F50</v>
      </c>
      <c r="B125" s="773" t="str">
        <f t="shared" si="5"/>
        <v>540F</v>
      </c>
      <c r="C125" s="774" t="str">
        <f>_xlfn.XLOOKUP(E125,FARM!$C$1:$C$500,FARM!$B$1:$B$500)</f>
        <v>1290BT05400050</v>
      </c>
      <c r="D125" s="775">
        <f>_xlfn.XLOOKUP(E125,FARM!$C$1:$C$500,FARM!$D$1:$D$500)</f>
        <v>50</v>
      </c>
      <c r="E125" s="796" t="s">
        <v>228</v>
      </c>
      <c r="F125" s="776"/>
      <c r="G125" s="777">
        <f>_xlfn.XLOOKUP(E125,FARM!$C$1:$C$500,FARM!$M$1:$M$500)</f>
        <v>9987</v>
      </c>
      <c r="H125" s="776"/>
      <c r="I125" s="1038"/>
      <c r="J125" s="1039"/>
      <c r="K125" s="1040"/>
      <c r="L125" s="778"/>
      <c r="M125" s="779"/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548F50</v>
      </c>
      <c r="B126" s="773" t="str">
        <f t="shared" si="5"/>
        <v>548F</v>
      </c>
      <c r="C126" s="774" t="str">
        <f>_xlfn.XLOOKUP(E126,FARM!$C$1:$C$500,FARM!$B$1:$B$500)</f>
        <v>1290BT05480050</v>
      </c>
      <c r="D126" s="775">
        <f>_xlfn.XLOOKUP(E126,FARM!$C$1:$C$500,FARM!$D$1:$D$500)</f>
        <v>50</v>
      </c>
      <c r="E126" s="894" t="s">
        <v>279</v>
      </c>
      <c r="F126" s="776"/>
      <c r="G126" s="777">
        <f>_xlfn.XLOOKUP(E126,FARM!$C$1:$C$500,FARM!$M$1:$M$500)</f>
        <v>4025</v>
      </c>
      <c r="H126" s="776"/>
      <c r="I126" s="1041"/>
      <c r="J126" s="1042"/>
      <c r="K126" s="1043"/>
      <c r="L126" s="791"/>
      <c r="M126" s="779"/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549F50</v>
      </c>
      <c r="B127" s="773" t="str">
        <f t="shared" si="5"/>
        <v>549F</v>
      </c>
      <c r="C127" s="774" t="str">
        <f>_xlfn.XLOOKUP(E127,FARM!$C$1:$C$500,FARM!$B$1:$B$500)</f>
        <v>1290BT05490050</v>
      </c>
      <c r="D127" s="775">
        <f>_xlfn.XLOOKUP(E127,FARM!$C$1:$C$500,FARM!$D$1:$D$500)</f>
        <v>50</v>
      </c>
      <c r="E127" s="894" t="s">
        <v>277</v>
      </c>
      <c r="G127" s="777">
        <f>_xlfn.XLOOKUP(E127,FARM!$C$1:$C$500,FARM!$M$1:$M$500)</f>
        <v>2467</v>
      </c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550SF50</v>
      </c>
      <c r="B128" s="773" t="str">
        <f t="shared" si="5"/>
        <v>550SF</v>
      </c>
      <c r="C128" s="774" t="str">
        <f>_xlfn.XLOOKUP(E128,FARM!$C$1:$C$500,FARM!$B$1:$B$500)</f>
        <v>1290BT05501950</v>
      </c>
      <c r="D128" s="775">
        <f>_xlfn.XLOOKUP(E128,FARM!$C$1:$C$500,FARM!$D$1:$D$500)</f>
        <v>50</v>
      </c>
      <c r="E128" s="894" t="s">
        <v>290</v>
      </c>
      <c r="G128" s="777">
        <f>_xlfn.XLOOKUP(E128,FARM!$C$1:$C$500,FARM!$M$1:$M$500)</f>
        <v>37409</v>
      </c>
      <c r="L128" s="778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551F50</v>
      </c>
      <c r="B129" s="773" t="str">
        <f t="shared" si="5"/>
        <v>551F</v>
      </c>
      <c r="C129" s="784" t="str">
        <f>_xlfn.XLOOKUP(E129,FARM!$C$1:$C$500,FARM!$B$1:$B$500)</f>
        <v>1290BT05510050</v>
      </c>
      <c r="D129" s="775">
        <f>_xlfn.XLOOKUP(E129,FARM!$C$1:$C$500,FARM!$D$1:$D$500)</f>
        <v>50</v>
      </c>
      <c r="E129" s="894" t="s">
        <v>216</v>
      </c>
      <c r="F129" s="776"/>
      <c r="G129" s="777">
        <f>_xlfn.XLOOKUP(E129,FARM!$C$1:$C$500,FARM!$M$1:$M$500)</f>
        <v>20586</v>
      </c>
      <c r="I129" s="1033"/>
      <c r="J129" s="1033"/>
      <c r="K129" s="1033"/>
      <c r="L129" s="778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551GPF50</v>
      </c>
      <c r="B130" s="773" t="str">
        <f t="shared" ref="B130:B137" si="6">IFERROR(TRIM(_xlfn.TEXTBEFORE(_xlfn.TEXTAFTER(E130, "-"), "-")),"")</f>
        <v>551GPF</v>
      </c>
      <c r="C130" s="784" t="str">
        <f>_xlfn.XLOOKUP(E130,FARM!$C$1:$C$500,FARM!$B$1:$B$500)</f>
        <v>1290BT05514950</v>
      </c>
      <c r="D130" s="775">
        <f>_xlfn.XLOOKUP(E130,FARM!$C$1:$C$500,FARM!$D$1:$D$500)</f>
        <v>50</v>
      </c>
      <c r="E130" s="894" t="s">
        <v>217</v>
      </c>
      <c r="F130" s="776"/>
      <c r="G130" s="777">
        <f>_xlfn.XLOOKUP(E130,FARM!$C$1:$C$500,FARM!$M$1:$M$500)</f>
        <v>22681</v>
      </c>
      <c r="I130" s="1033"/>
      <c r="J130" s="1033"/>
      <c r="K130" s="1033"/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552F50</v>
      </c>
      <c r="B131" s="773" t="str">
        <f t="shared" si="6"/>
        <v>552F</v>
      </c>
      <c r="C131" s="784" t="str">
        <f>_xlfn.XLOOKUP(E131,FARM!$C$1:$C$500,FARM!$B$1:$B$500)</f>
        <v>1290BT05520050</v>
      </c>
      <c r="D131" s="775">
        <f>_xlfn.XLOOKUP(E131,FARM!$C$1:$C$500,FARM!$D$1:$D$500)</f>
        <v>50</v>
      </c>
      <c r="E131" s="894" t="s">
        <v>218</v>
      </c>
      <c r="F131" s="776"/>
      <c r="G131" s="777">
        <f>_xlfn.XLOOKUP(E131,FARM!$C$1:$C$500,FARM!$M$1:$M$500)</f>
        <v>30005</v>
      </c>
      <c r="I131" s="1033"/>
      <c r="J131" s="1033"/>
      <c r="K131" s="1033"/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552WDF50</v>
      </c>
      <c r="B132" s="773" t="str">
        <f t="shared" si="6"/>
        <v>552WDF</v>
      </c>
      <c r="C132" s="784" t="str">
        <f>_xlfn.XLOOKUP(E132,FARM!$C$1:$C$500,FARM!$B$1:$B$500)</f>
        <v>1290BT05528450</v>
      </c>
      <c r="D132" s="775">
        <f>_xlfn.XLOOKUP(E132,FARM!$C$1:$C$500,FARM!$D$1:$D$500)</f>
        <v>50</v>
      </c>
      <c r="E132" s="894" t="s">
        <v>532</v>
      </c>
      <c r="F132" s="776"/>
      <c r="G132" s="777">
        <f>_xlfn.XLOOKUP(E132,FARM!$C$1:$C$500,FARM!$M$1:$M$500)</f>
        <v>10572</v>
      </c>
      <c r="I132" s="1033"/>
      <c r="J132" s="1033"/>
      <c r="K132" s="1033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552SF50</v>
      </c>
      <c r="B133" s="773" t="str">
        <f t="shared" si="6"/>
        <v>552SF</v>
      </c>
      <c r="C133" s="784" t="str">
        <f>_xlfn.XLOOKUP(E133,FARM!$C$1:$C$500,FARM!$B$1:$B$500)</f>
        <v>1290BT05521950</v>
      </c>
      <c r="D133" s="775">
        <f>_xlfn.XLOOKUP(E133,FARM!$C$1:$C$500,FARM!$D$1:$D$500)</f>
        <v>50</v>
      </c>
      <c r="E133" s="894" t="s">
        <v>219</v>
      </c>
      <c r="F133" s="776"/>
      <c r="G133" s="777">
        <f>_xlfn.XLOOKUP(E133,FARM!$C$1:$C$500,FARM!$M$1:$M$500)</f>
        <v>16516</v>
      </c>
      <c r="I133" s="1033"/>
      <c r="J133" s="1033"/>
      <c r="K133" s="1033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553MF50</v>
      </c>
      <c r="B134" s="773" t="str">
        <f t="shared" si="6"/>
        <v>553MF</v>
      </c>
      <c r="C134" s="784" t="str">
        <f>_xlfn.XLOOKUP(E134,FARM!$C$1:$C$500,FARM!$B$1:$B$500)</f>
        <v>1290BT05531350</v>
      </c>
      <c r="D134" s="775">
        <f>_xlfn.XLOOKUP(E134,FARM!$C$1:$C$500,FARM!$D$1:$D$500)</f>
        <v>50</v>
      </c>
      <c r="E134" s="894" t="s">
        <v>346</v>
      </c>
      <c r="F134" s="776"/>
      <c r="G134" s="777">
        <f>_xlfn.XLOOKUP(E134,FARM!$C$1:$C$500,FARM!$M$1:$M$500)</f>
        <v>20170</v>
      </c>
      <c r="I134" s="1033"/>
      <c r="J134" s="1033"/>
      <c r="K134" s="1033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562PF50</v>
      </c>
      <c r="B135" s="773" t="str">
        <f t="shared" si="6"/>
        <v>562PF</v>
      </c>
      <c r="C135" s="784" t="str">
        <f>_xlfn.XLOOKUP(E135,FARM!$C$1:$C$500,FARM!$B$1:$B$500)</f>
        <v>1290BT05621650</v>
      </c>
      <c r="D135" s="775">
        <f>_xlfn.XLOOKUP(E135,FARM!$C$1:$C$500,FARM!$D$1:$D$500)</f>
        <v>50</v>
      </c>
      <c r="E135" s="894" t="s">
        <v>223</v>
      </c>
      <c r="F135" s="776"/>
      <c r="G135" s="777">
        <f>_xlfn.XLOOKUP(E135,FARM!$C$1:$C$500,FARM!$M$1:$M$500)</f>
        <v>10168</v>
      </c>
      <c r="I135" s="1033"/>
      <c r="J135" s="1033"/>
      <c r="K135" s="1033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566F50</v>
      </c>
      <c r="B136" s="773" t="str">
        <f t="shared" si="6"/>
        <v>566F</v>
      </c>
      <c r="C136" s="784" t="str">
        <f>_xlfn.XLOOKUP(E136,FARM!$C$1:$C$500,FARM!$B$1:$B$500)</f>
        <v>1290BT05660050</v>
      </c>
      <c r="D136" s="775">
        <f>_xlfn.XLOOKUP(E136,FARM!$C$1:$C$500,FARM!$D$1:$D$500)</f>
        <v>50</v>
      </c>
      <c r="E136" s="894" t="s">
        <v>224</v>
      </c>
      <c r="F136" s="776"/>
      <c r="G136" s="777">
        <f>_xlfn.XLOOKUP(E136,FARM!$C$1:$C$500,FARM!$M$1:$M$500)</f>
        <v>4779</v>
      </c>
      <c r="I136" s="1033"/>
      <c r="J136" s="1033"/>
      <c r="K136" s="1033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>+B137&amp;D137</f>
        <v>567SF50</v>
      </c>
      <c r="B137" s="773" t="str">
        <f t="shared" si="6"/>
        <v>567SF</v>
      </c>
      <c r="C137" s="784" t="str">
        <f>_xlfn.XLOOKUP(E137,FARM!$C$1:$C$500,FARM!$B$1:$B$500)</f>
        <v>1290BT05671950</v>
      </c>
      <c r="D137" s="775">
        <f>_xlfn.XLOOKUP(E137,FARM!$C$1:$C$500,FARM!$D$1:$D$500)</f>
        <v>50</v>
      </c>
      <c r="E137" s="894" t="s">
        <v>220</v>
      </c>
      <c r="F137" s="776"/>
      <c r="G137" s="777">
        <f>_xlfn.XLOOKUP(E137,FARM!$C$1:$C$500,FARM!$M$1:$M$500)</f>
        <v>7810</v>
      </c>
      <c r="I137" s="1033"/>
      <c r="J137" s="1033"/>
      <c r="K137" s="1033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/>
      </c>
      <c r="B138" s="773"/>
      <c r="E138" s="894"/>
      <c r="F138" s="776"/>
      <c r="G138" s="777"/>
      <c r="I138" s="1033"/>
      <c r="J138" s="1033"/>
      <c r="K138" s="1033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 t="shared" si="4"/>
        <v/>
      </c>
      <c r="B139" s="773"/>
      <c r="E139" s="275"/>
      <c r="F139" s="776"/>
      <c r="G139" s="777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 t="shared" si="4"/>
        <v/>
      </c>
      <c r="B140" s="773"/>
      <c r="E140" s="275"/>
      <c r="F140" s="776"/>
      <c r="G140" s="777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>+B141&amp;D141</f>
        <v/>
      </c>
      <c r="B141" s="773"/>
      <c r="E141" s="275"/>
      <c r="G141" s="777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ref="A142" si="7">+B142&amp;D142</f>
        <v/>
      </c>
      <c r="B142" s="773"/>
      <c r="E142" s="275"/>
      <c r="F142" s="776"/>
      <c r="G142" s="777"/>
      <c r="I142" s="1033"/>
      <c r="J142" s="1033"/>
      <c r="K142" s="1033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 t="shared" ref="A143:A188" si="8">+B143&amp;D143</f>
        <v/>
      </c>
      <c r="B143" s="773"/>
      <c r="E143" s="309"/>
      <c r="F143" s="776"/>
      <c r="G143" s="777">
        <f>_xlfn.XLOOKUP(E143,FARM!$C$1:$C$501,FARM!$M$1:$M$501)</f>
        <v>0</v>
      </c>
      <c r="I143" s="1033"/>
      <c r="J143" s="1033"/>
      <c r="K143" s="1033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 t="shared" si="8"/>
        <v/>
      </c>
      <c r="B144" s="773"/>
      <c r="E144" s="309"/>
      <c r="F144" s="776"/>
      <c r="G144" s="777"/>
      <c r="I144" s="1033"/>
      <c r="J144" s="1033"/>
      <c r="K144" s="1033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si="8"/>
        <v/>
      </c>
      <c r="B145" s="773"/>
      <c r="E145" s="309"/>
      <c r="F145" s="776"/>
      <c r="G145" s="777"/>
      <c r="I145" s="1033"/>
      <c r="J145" s="1033"/>
      <c r="K145" s="1033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si="8"/>
        <v/>
      </c>
      <c r="B146" s="773"/>
      <c r="E146" s="309"/>
      <c r="F146" s="776"/>
      <c r="G146" s="777"/>
      <c r="I146" s="1033"/>
      <c r="J146" s="1033"/>
      <c r="K146" s="1033"/>
      <c r="L146" s="776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F147" s="776"/>
      <c r="G147" s="777"/>
      <c r="I147" s="777"/>
      <c r="L147" s="777"/>
      <c r="M147" s="779"/>
      <c r="N147" s="779"/>
      <c r="O147" s="780"/>
      <c r="P147" s="780"/>
      <c r="Q147" s="787"/>
      <c r="R147" s="788"/>
      <c r="S147" s="788"/>
    </row>
    <row r="148" spans="1:19" ht="20.25" x14ac:dyDescent="0.2">
      <c r="A148" s="765" t="str">
        <f t="shared" si="8"/>
        <v/>
      </c>
      <c r="B148" s="773" t="str">
        <f t="shared" ref="B148:B162" si="9">IFERROR(TRIM(_xlfn.TEXTBEFORE(_xlfn.TEXTAFTER(E148, "-"), "-")),"")</f>
        <v/>
      </c>
      <c r="E148" s="797"/>
      <c r="L148" s="776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 t="str">
        <f t="shared" si="9"/>
        <v/>
      </c>
      <c r="L149" s="776"/>
      <c r="M149" s="779"/>
      <c r="N149" s="779"/>
      <c r="O149" s="780"/>
      <c r="P149" s="780"/>
      <c r="Q149" s="787"/>
      <c r="R149" s="788"/>
      <c r="S149" s="788"/>
    </row>
    <row r="150" spans="1:19" x14ac:dyDescent="0.2">
      <c r="A150" s="765" t="str">
        <f t="shared" si="8"/>
        <v/>
      </c>
      <c r="B150" s="773" t="str">
        <f t="shared" si="9"/>
        <v/>
      </c>
      <c r="E150" s="798"/>
      <c r="F150" s="776"/>
      <c r="G150" s="777"/>
      <c r="I150" s="1033"/>
      <c r="J150" s="1033"/>
      <c r="K150" s="1033"/>
      <c r="L150" s="776"/>
      <c r="M150" s="779"/>
      <c r="N150" s="779"/>
      <c r="O150" s="780"/>
      <c r="P150" s="780"/>
      <c r="Q150" s="787"/>
      <c r="R150" s="788"/>
      <c r="S150" s="788"/>
    </row>
    <row r="151" spans="1:19" x14ac:dyDescent="0.2">
      <c r="A151" s="765" t="str">
        <f t="shared" si="8"/>
        <v/>
      </c>
      <c r="B151" s="773" t="str">
        <f t="shared" si="9"/>
        <v/>
      </c>
      <c r="E151" s="798"/>
      <c r="F151" s="776"/>
      <c r="G151" s="777"/>
      <c r="I151" s="1033"/>
      <c r="J151" s="1033"/>
      <c r="K151" s="1033"/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E152" s="798"/>
      <c r="F152" s="776"/>
      <c r="G152" s="777"/>
      <c r="I152" s="1033"/>
      <c r="J152" s="1033"/>
      <c r="K152" s="1033"/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1033"/>
      <c r="J153" s="1033"/>
      <c r="K153" s="1033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1033"/>
      <c r="J154" s="1033"/>
      <c r="K154" s="1033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1033"/>
      <c r="J155" s="1033"/>
      <c r="K155" s="1033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1033"/>
      <c r="J156" s="1033"/>
      <c r="K156" s="1033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1033"/>
      <c r="J157" s="1033"/>
      <c r="K157" s="1033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C158" s="799"/>
      <c r="E158" s="798"/>
      <c r="F158" s="776"/>
      <c r="G158" s="777"/>
      <c r="I158" s="1033"/>
      <c r="J158" s="1033"/>
      <c r="K158" s="1033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C159" s="800"/>
      <c r="E159" s="798"/>
      <c r="F159" s="776"/>
      <c r="G159" s="777"/>
      <c r="I159" s="1033"/>
      <c r="J159" s="1033"/>
      <c r="K159" s="1033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C160" s="800"/>
      <c r="E160" s="798"/>
      <c r="F160" s="776"/>
      <c r="G160" s="777"/>
      <c r="I160" s="1033"/>
      <c r="J160" s="1033"/>
      <c r="K160" s="1033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800"/>
      <c r="E161" s="798"/>
      <c r="F161" s="776"/>
      <c r="G161" s="777"/>
      <c r="I161" s="1033"/>
      <c r="J161" s="1033"/>
      <c r="K161" s="1033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1033"/>
      <c r="J162" s="1033"/>
      <c r="K162" s="1033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C163" s="800"/>
      <c r="E163" s="798"/>
      <c r="F163" s="776"/>
      <c r="G163" s="777"/>
      <c r="I163" s="1033"/>
      <c r="J163" s="1033"/>
      <c r="K163" s="1033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C164" s="799"/>
      <c r="E164" s="798"/>
      <c r="F164" s="776"/>
      <c r="G164" s="777"/>
      <c r="I164" s="1033"/>
      <c r="J164" s="1033"/>
      <c r="K164" s="1033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C165" s="799"/>
      <c r="E165" s="798"/>
      <c r="F165" s="776"/>
      <c r="G165" s="777"/>
      <c r="I165" s="1033"/>
      <c r="J165" s="1033"/>
      <c r="K165" s="1033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800"/>
      <c r="E166" s="798"/>
      <c r="F166" s="776"/>
      <c r="G166" s="777"/>
      <c r="I166" s="1033"/>
      <c r="J166" s="1033"/>
      <c r="K166" s="1033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800"/>
      <c r="F167" s="776"/>
      <c r="G167" s="777"/>
      <c r="I167" s="777"/>
      <c r="L167" s="777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800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E169" s="776"/>
      <c r="L169" s="776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E170" s="802"/>
      <c r="F170" s="777"/>
      <c r="L170" s="776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E171" s="803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E174" s="803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799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</row>
    <row r="177" spans="1:3" x14ac:dyDescent="0.2">
      <c r="A177" s="765" t="str">
        <f t="shared" si="8"/>
        <v/>
      </c>
      <c r="C177" s="804"/>
    </row>
    <row r="178" spans="1:3" x14ac:dyDescent="0.2">
      <c r="A178" s="765" t="str">
        <f t="shared" si="8"/>
        <v/>
      </c>
      <c r="C178" s="804"/>
    </row>
    <row r="179" spans="1:3" x14ac:dyDescent="0.2">
      <c r="A179" s="765" t="str">
        <f t="shared" si="8"/>
        <v/>
      </c>
      <c r="C179" s="804"/>
    </row>
    <row r="180" spans="1:3" x14ac:dyDescent="0.2">
      <c r="A180" s="765" t="str">
        <f t="shared" si="8"/>
        <v/>
      </c>
      <c r="C180" s="805"/>
    </row>
    <row r="181" spans="1:3" x14ac:dyDescent="0.2">
      <c r="A181" s="765" t="str">
        <f t="shared" si="8"/>
        <v/>
      </c>
      <c r="C181" s="804"/>
    </row>
    <row r="182" spans="1:3" x14ac:dyDescent="0.2">
      <c r="A182" s="765" t="str">
        <f t="shared" si="8"/>
        <v/>
      </c>
      <c r="C182" s="804"/>
    </row>
    <row r="183" spans="1:3" x14ac:dyDescent="0.2">
      <c r="A183" s="765" t="str">
        <f t="shared" si="8"/>
        <v/>
      </c>
    </row>
    <row r="184" spans="1:3" x14ac:dyDescent="0.2">
      <c r="A184" s="765" t="str">
        <f t="shared" si="8"/>
        <v/>
      </c>
    </row>
    <row r="185" spans="1:3" x14ac:dyDescent="0.2">
      <c r="A185" s="765" t="str">
        <f t="shared" si="8"/>
        <v/>
      </c>
    </row>
    <row r="186" spans="1:3" x14ac:dyDescent="0.2">
      <c r="A186" s="765" t="str">
        <f t="shared" si="8"/>
        <v/>
      </c>
    </row>
    <row r="187" spans="1:3" x14ac:dyDescent="0.2">
      <c r="A187" s="765" t="str">
        <f t="shared" si="8"/>
        <v/>
      </c>
    </row>
    <row r="188" spans="1:3" x14ac:dyDescent="0.2">
      <c r="A188" s="765" t="str">
        <f t="shared" si="8"/>
        <v/>
      </c>
    </row>
    <row r="195" spans="1:1" x14ac:dyDescent="0.2">
      <c r="A195" s="765" t="str">
        <f t="shared" ref="A195:A258" si="10">+B195&amp;D195</f>
        <v/>
      </c>
    </row>
    <row r="196" spans="1:1" x14ac:dyDescent="0.2">
      <c r="A196" s="765" t="str">
        <f t="shared" si="10"/>
        <v/>
      </c>
    </row>
    <row r="197" spans="1:1" x14ac:dyDescent="0.2">
      <c r="A197" s="765" t="str">
        <f t="shared" si="10"/>
        <v/>
      </c>
    </row>
    <row r="198" spans="1:1" x14ac:dyDescent="0.2">
      <c r="A198" s="765" t="str">
        <f t="shared" si="10"/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ref="A259:A285" si="11">+B259&amp;D259</f>
        <v/>
      </c>
    </row>
    <row r="260" spans="1:1" x14ac:dyDescent="0.2">
      <c r="A260" s="765" t="str">
        <f t="shared" si="11"/>
        <v/>
      </c>
    </row>
    <row r="261" spans="1:1" x14ac:dyDescent="0.2">
      <c r="A261" s="765" t="str">
        <f t="shared" si="11"/>
        <v/>
      </c>
    </row>
    <row r="262" spans="1:1" x14ac:dyDescent="0.2">
      <c r="A262" s="765" t="str">
        <f t="shared" si="11"/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</sheetData>
  <mergeCells count="6">
    <mergeCell ref="I150:K166"/>
    <mergeCell ref="I2:K70"/>
    <mergeCell ref="I73:K91"/>
    <mergeCell ref="I94:K126"/>
    <mergeCell ref="I129:K138"/>
    <mergeCell ref="I142:K146"/>
  </mergeCells>
  <phoneticPr fontId="50" type="noConversion"/>
  <conditionalFormatting sqref="M2:M161">
    <cfRule type="cellIs" dxfId="6" priority="3" operator="lessThan">
      <formula>100</formula>
    </cfRule>
    <cfRule type="cellIs" dxfId="5" priority="2" operator="between">
      <formula>500</formula>
      <formula>101</formula>
    </cfRule>
    <cfRule type="cellIs" dxfId="4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F26" sqref="F26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45" t="s">
        <v>355</v>
      </c>
      <c r="B1" s="1045"/>
      <c r="C1" s="1045"/>
      <c r="D1" s="1045"/>
      <c r="E1" s="1045"/>
      <c r="F1" s="1045"/>
      <c r="G1" s="1045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46" t="s">
        <v>580</v>
      </c>
      <c r="B2" s="1046"/>
      <c r="C2" s="1046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4" t="s">
        <v>193</v>
      </c>
      <c r="B3" s="1044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1408</v>
      </c>
      <c r="E5" s="483"/>
      <c r="F5" s="483"/>
      <c r="G5" s="450">
        <f>D5+E5-F5</f>
        <v>1408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355</v>
      </c>
      <c r="C6" s="855">
        <v>25</v>
      </c>
      <c r="D6" s="695">
        <v>87</v>
      </c>
      <c r="E6" s="695"/>
      <c r="F6" s="695"/>
      <c r="G6" s="450">
        <f t="shared" ref="G6:G8" si="0">D6+E6-F6</f>
        <v>87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511</v>
      </c>
      <c r="C7" s="855">
        <v>40</v>
      </c>
      <c r="D7" s="695">
        <v>605</v>
      </c>
      <c r="E7" s="695"/>
      <c r="F7" s="695"/>
      <c r="G7" s="450">
        <f t="shared" si="0"/>
        <v>605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355</v>
      </c>
      <c r="C8" s="855">
        <v>40</v>
      </c>
      <c r="D8" s="695">
        <v>645</v>
      </c>
      <c r="E8" s="695"/>
      <c r="F8" s="695">
        <v>335</v>
      </c>
      <c r="G8" s="450">
        <f t="shared" si="0"/>
        <v>310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47" t="s">
        <v>14</v>
      </c>
      <c r="B10" s="1047"/>
      <c r="C10" s="319">
        <v>25</v>
      </c>
      <c r="D10" s="451">
        <f>D5+D6</f>
        <v>1495</v>
      </c>
      <c r="E10" s="451">
        <f t="shared" ref="E10:G10" si="2">E5+E6</f>
        <v>0</v>
      </c>
      <c r="F10" s="451">
        <f t="shared" si="2"/>
        <v>0</v>
      </c>
      <c r="G10" s="451">
        <f t="shared" si="2"/>
        <v>1495</v>
      </c>
    </row>
    <row r="11" spans="1:28" ht="21.75" customHeight="1" x14ac:dyDescent="0.25">
      <c r="A11" s="1047"/>
      <c r="B11" s="1047"/>
      <c r="C11" s="319">
        <v>40</v>
      </c>
      <c r="D11" s="451">
        <f>D7+D8</f>
        <v>1250</v>
      </c>
      <c r="E11" s="451">
        <f t="shared" ref="E11:G11" si="3">E7+E8</f>
        <v>0</v>
      </c>
      <c r="F11" s="451">
        <f t="shared" si="3"/>
        <v>335</v>
      </c>
      <c r="G11" s="451">
        <f t="shared" si="3"/>
        <v>915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topLeftCell="A4" workbookViewId="0">
      <selection activeCell="A36" sqref="A36:XFD36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49"/>
      <c r="B1" s="1048" t="s">
        <v>175</v>
      </c>
      <c r="C1" s="1048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37867</v>
      </c>
    </row>
    <row r="2" spans="1:18" x14ac:dyDescent="0.2">
      <c r="A2" s="1049"/>
      <c r="B2" s="1048"/>
      <c r="C2" s="1048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ĐÃ CẮT</v>
      </c>
      <c r="B3" s="375" t="str">
        <f>VLOOKUP(C3,[1]MAP!$A$2:$D$208,3,0)</f>
        <v>1290H605020025</v>
      </c>
      <c r="C3" s="375" t="str">
        <f t="shared" ref="C3:C11" si="0">+D3&amp;E3</f>
        <v>50225</v>
      </c>
      <c r="D3" s="641" t="s">
        <v>599</v>
      </c>
      <c r="E3" s="625">
        <v>25</v>
      </c>
      <c r="F3" s="354" t="s">
        <v>600</v>
      </c>
      <c r="G3" s="354"/>
      <c r="H3" s="354"/>
      <c r="I3" s="626">
        <v>0</v>
      </c>
      <c r="J3" s="625">
        <v>0</v>
      </c>
      <c r="K3" s="626">
        <v>990</v>
      </c>
      <c r="L3" s="625">
        <v>24750</v>
      </c>
      <c r="M3" s="626">
        <v>0</v>
      </c>
      <c r="N3" s="625">
        <v>0</v>
      </c>
      <c r="O3" s="626">
        <v>990</v>
      </c>
      <c r="P3" s="625">
        <v>24750</v>
      </c>
    </row>
    <row r="4" spans="1:18" x14ac:dyDescent="0.2">
      <c r="A4" s="374" t="str">
        <f>IF(ISNA(VLOOKUP(B4,USAGE!$B$2:$F$157,2,0)),IF(B4=0,"0","CHƯA CẮT"),"ĐÃ CẮT")</f>
        <v>ĐÃ CẮT</v>
      </c>
      <c r="B4" s="375" t="str">
        <f>VLOOKUP(C4,[1]MAP!$A$2:$D$208,3,0)</f>
        <v>1290E405100025</v>
      </c>
      <c r="C4" s="375" t="str">
        <f t="shared" si="0"/>
        <v>51025</v>
      </c>
      <c r="D4" s="354" t="s">
        <v>560</v>
      </c>
      <c r="E4" s="625">
        <v>25</v>
      </c>
      <c r="F4" s="354" t="s">
        <v>561</v>
      </c>
      <c r="G4" s="354"/>
      <c r="H4" s="354"/>
      <c r="I4" s="626">
        <v>1512</v>
      </c>
      <c r="J4" s="625">
        <v>37800</v>
      </c>
      <c r="K4" s="626">
        <v>196</v>
      </c>
      <c r="L4" s="625">
        <v>4900</v>
      </c>
      <c r="M4" s="626">
        <v>0</v>
      </c>
      <c r="N4" s="625">
        <v>0</v>
      </c>
      <c r="O4" s="626">
        <v>1708</v>
      </c>
      <c r="P4" s="625">
        <v>42700</v>
      </c>
      <c r="R4" s="474"/>
    </row>
    <row r="5" spans="1:18" x14ac:dyDescent="0.2">
      <c r="A5" s="374" t="str">
        <f>IF(ISNA(VLOOKUP(B5,USAGE!$B$2:$F$157,2,0)),IF(B5=0,"0","CHƯA CẮT"),"ĐÃ CẮT")</f>
        <v>ĐÃ CẮT</v>
      </c>
      <c r="B5" s="375" t="str">
        <f>VLOOKUP(C5,[1]MAP!$A$2:$D$208,3,0)</f>
        <v>1290D205110225</v>
      </c>
      <c r="C5" s="375" t="str">
        <f t="shared" si="0"/>
        <v>511B25</v>
      </c>
      <c r="D5" s="354" t="s">
        <v>562</v>
      </c>
      <c r="E5" s="625">
        <v>25</v>
      </c>
      <c r="F5" s="354" t="s">
        <v>563</v>
      </c>
      <c r="G5" s="354"/>
      <c r="H5" s="354"/>
      <c r="I5" s="626">
        <v>880</v>
      </c>
      <c r="J5" s="625">
        <v>22000</v>
      </c>
      <c r="K5" s="626">
        <v>990</v>
      </c>
      <c r="L5" s="625">
        <v>24750</v>
      </c>
      <c r="M5" s="626">
        <v>76</v>
      </c>
      <c r="N5" s="625">
        <v>1900</v>
      </c>
      <c r="O5" s="626">
        <v>1946</v>
      </c>
      <c r="P5" s="625">
        <v>48650</v>
      </c>
      <c r="Q5" s="474"/>
      <c r="R5" s="474"/>
    </row>
    <row r="6" spans="1:18" x14ac:dyDescent="0.2">
      <c r="A6" s="374" t="str">
        <f>IF(ISNA(VLOOKUP(B6,USAGE!$B$2:$F$157,2,0)),IF(B6=0,"0","CHƯA CẮT"),"ĐÃ CẮT")</f>
        <v>ĐÃ CẮT</v>
      </c>
      <c r="B6" s="375" t="str">
        <f>VLOOKUP(C6,[1]MAP!$A$2:$D$208,3,0)</f>
        <v>1290D205111225</v>
      </c>
      <c r="C6" s="375" t="str">
        <f t="shared" si="0"/>
        <v>511L25</v>
      </c>
      <c r="D6" s="641" t="s">
        <v>601</v>
      </c>
      <c r="E6" s="625">
        <v>25</v>
      </c>
      <c r="F6" s="354" t="s">
        <v>602</v>
      </c>
      <c r="G6" s="354"/>
      <c r="H6" s="354"/>
      <c r="I6" s="626">
        <v>0</v>
      </c>
      <c r="J6" s="625">
        <v>0</v>
      </c>
      <c r="K6" s="626">
        <v>0</v>
      </c>
      <c r="L6" s="625">
        <v>0</v>
      </c>
      <c r="M6" s="626">
        <v>245</v>
      </c>
      <c r="N6" s="625">
        <v>6125</v>
      </c>
      <c r="O6" s="626">
        <v>245</v>
      </c>
      <c r="P6" s="625">
        <v>6125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1290D205111325</v>
      </c>
      <c r="C7" s="375" t="str">
        <f t="shared" si="0"/>
        <v>511M25</v>
      </c>
      <c r="D7" s="354" t="s">
        <v>603</v>
      </c>
      <c r="E7" s="625">
        <v>25</v>
      </c>
      <c r="F7" s="354" t="s">
        <v>604</v>
      </c>
      <c r="G7" s="354"/>
      <c r="H7" s="354"/>
      <c r="I7" s="626">
        <v>0</v>
      </c>
      <c r="J7" s="625">
        <v>0</v>
      </c>
      <c r="K7" s="626">
        <v>0</v>
      </c>
      <c r="L7" s="625">
        <v>0</v>
      </c>
      <c r="M7" s="626">
        <v>646</v>
      </c>
      <c r="N7" s="625">
        <v>16150</v>
      </c>
      <c r="O7" s="626">
        <v>646</v>
      </c>
      <c r="P7" s="625">
        <v>16150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1290H605111925</v>
      </c>
      <c r="C8" s="375" t="str">
        <f t="shared" si="0"/>
        <v>511S25</v>
      </c>
      <c r="D8" s="692" t="s">
        <v>605</v>
      </c>
      <c r="E8" s="625">
        <v>25</v>
      </c>
      <c r="F8" s="354" t="s">
        <v>606</v>
      </c>
      <c r="G8" s="354"/>
      <c r="H8" s="354"/>
      <c r="I8" s="626">
        <v>0</v>
      </c>
      <c r="J8" s="625">
        <v>0</v>
      </c>
      <c r="K8" s="626">
        <v>0</v>
      </c>
      <c r="L8" s="625">
        <v>0</v>
      </c>
      <c r="M8" s="626">
        <v>880</v>
      </c>
      <c r="N8" s="625">
        <v>22000</v>
      </c>
      <c r="O8" s="626">
        <v>880</v>
      </c>
      <c r="P8" s="625">
        <v>22000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1290BT05400050</v>
      </c>
      <c r="C9" s="375" t="str">
        <f t="shared" si="0"/>
        <v>540F50</v>
      </c>
      <c r="D9" s="599" t="s">
        <v>586</v>
      </c>
      <c r="E9" s="625">
        <v>50</v>
      </c>
      <c r="F9" s="354" t="s">
        <v>587</v>
      </c>
      <c r="G9" s="354"/>
      <c r="H9" s="354"/>
      <c r="I9" s="626">
        <v>0</v>
      </c>
      <c r="J9" s="625">
        <v>0</v>
      </c>
      <c r="K9" s="626">
        <v>0</v>
      </c>
      <c r="L9" s="625">
        <v>0</v>
      </c>
      <c r="M9" s="626">
        <v>918</v>
      </c>
      <c r="N9" s="625">
        <v>45900</v>
      </c>
      <c r="O9" s="626">
        <v>918</v>
      </c>
      <c r="P9" s="625">
        <v>45900</v>
      </c>
      <c r="Q9" s="474"/>
    </row>
    <row r="10" spans="1:18" x14ac:dyDescent="0.2">
      <c r="A10" s="374" t="str">
        <f>IF(ISNA(VLOOKUP(B10,USAGE!$B$2:$F$157,2,0)),IF(B10=0,"0","CHƯA CẮT"),"ĐÃ CẮT")</f>
        <v>ĐÃ CẮT</v>
      </c>
      <c r="B10" s="375" t="str">
        <f>VLOOKUP(C10,[1]MAP!$A$2:$D$208,3,0)</f>
        <v>1290BT05480050</v>
      </c>
      <c r="C10" s="375" t="str">
        <f t="shared" si="0"/>
        <v>548F50</v>
      </c>
      <c r="D10" s="599" t="s">
        <v>607</v>
      </c>
      <c r="E10" s="625">
        <v>50</v>
      </c>
      <c r="F10" s="354" t="s">
        <v>608</v>
      </c>
      <c r="G10" s="354"/>
      <c r="H10" s="354"/>
      <c r="I10" s="626">
        <v>0</v>
      </c>
      <c r="J10" s="625">
        <v>0</v>
      </c>
      <c r="K10" s="626">
        <v>0</v>
      </c>
      <c r="L10" s="625">
        <v>0</v>
      </c>
      <c r="M10" s="626">
        <v>310</v>
      </c>
      <c r="N10" s="625">
        <v>15500</v>
      </c>
      <c r="O10" s="626">
        <v>310</v>
      </c>
      <c r="P10" s="625">
        <v>15500</v>
      </c>
    </row>
    <row r="11" spans="1:18" x14ac:dyDescent="0.2">
      <c r="A11" s="374" t="str">
        <f>IF(ISNA(VLOOKUP(B11,USAGE!$B$2:$F$157,2,0)),IF(B11=0,"0","CHƯA CẮT"),"ĐÃ CẮT")</f>
        <v>ĐÃ CẮT</v>
      </c>
      <c r="B11" s="375" t="str">
        <f>VLOOKUP(C11,[1]MAP!$A$2:$D$208,3,0)</f>
        <v>1290BT05490050</v>
      </c>
      <c r="C11" s="375" t="str">
        <f t="shared" si="0"/>
        <v>549F50</v>
      </c>
      <c r="D11" s="599" t="s">
        <v>609</v>
      </c>
      <c r="E11" s="625">
        <v>50</v>
      </c>
      <c r="F11" s="354" t="s">
        <v>610</v>
      </c>
      <c r="G11" s="354"/>
      <c r="H11" s="354"/>
      <c r="I11" s="626">
        <v>113</v>
      </c>
      <c r="J11" s="625">
        <v>5650</v>
      </c>
      <c r="K11" s="626">
        <v>0</v>
      </c>
      <c r="L11" s="625">
        <v>0</v>
      </c>
      <c r="M11" s="626">
        <v>0</v>
      </c>
      <c r="N11" s="625">
        <v>0</v>
      </c>
      <c r="O11" s="626">
        <v>113</v>
      </c>
      <c r="P11" s="625">
        <v>5650</v>
      </c>
    </row>
    <row r="12" spans="1:18" x14ac:dyDescent="0.2">
      <c r="A12" s="374" t="str">
        <f>IF(ISNA(VLOOKUP(B12,USAGE!$B$2:$F$157,2,0)),IF(B12=0,"0","CHƯA CẮT"),"ĐÃ CẮT")</f>
        <v>ĐÃ CẮT</v>
      </c>
      <c r="B12" s="375" t="str">
        <f>VLOOKUP(C12,[1]MAP!$A$2:$D$208,3,0)</f>
        <v>1290B705501925</v>
      </c>
      <c r="C12" s="375" t="str">
        <f t="shared" ref="C12:C13" si="1">+D12&amp;E12</f>
        <v>550S25</v>
      </c>
      <c r="D12" s="599" t="s">
        <v>611</v>
      </c>
      <c r="E12" s="625">
        <v>25</v>
      </c>
      <c r="F12" s="354" t="s">
        <v>612</v>
      </c>
      <c r="G12" s="354"/>
      <c r="H12" s="354"/>
      <c r="I12" s="626">
        <v>0</v>
      </c>
      <c r="J12" s="625">
        <v>0</v>
      </c>
      <c r="K12" s="626">
        <v>235</v>
      </c>
      <c r="L12" s="625">
        <v>5875</v>
      </c>
      <c r="M12" s="626">
        <v>0</v>
      </c>
      <c r="N12" s="625">
        <v>0</v>
      </c>
      <c r="O12" s="626">
        <v>235</v>
      </c>
      <c r="P12" s="625">
        <v>5875</v>
      </c>
    </row>
    <row r="13" spans="1:18" x14ac:dyDescent="0.2">
      <c r="A13" s="374" t="str">
        <f>IF(ISNA(VLOOKUP(B13,USAGE!$B$2:$F$157,2,0)),IF(B13=0,"0","CHƯA CẮT"),"ĐÃ CẮT")</f>
        <v>ĐÃ CẮT</v>
      </c>
      <c r="B13" s="375" t="str">
        <f>VLOOKUP(C13,[1]MAP!$A$2:$D$208,3,0)</f>
        <v>1290BT05501950</v>
      </c>
      <c r="C13" s="375" t="str">
        <f t="shared" si="1"/>
        <v>550SF50</v>
      </c>
      <c r="D13" s="599" t="s">
        <v>527</v>
      </c>
      <c r="E13" s="625">
        <v>50</v>
      </c>
      <c r="F13" s="354" t="s">
        <v>571</v>
      </c>
      <c r="G13" s="354"/>
      <c r="H13" s="354"/>
      <c r="I13" s="626">
        <v>0</v>
      </c>
      <c r="J13" s="625">
        <v>0</v>
      </c>
      <c r="K13" s="626">
        <v>47</v>
      </c>
      <c r="L13" s="625">
        <v>2350</v>
      </c>
      <c r="M13" s="626">
        <v>0</v>
      </c>
      <c r="N13" s="625">
        <v>0</v>
      </c>
      <c r="O13" s="626">
        <v>47</v>
      </c>
      <c r="P13" s="625">
        <v>2350</v>
      </c>
      <c r="Q13" s="474"/>
    </row>
    <row r="14" spans="1:18" ht="12" customHeight="1" x14ac:dyDescent="0.2">
      <c r="A14" s="374" t="str">
        <f>IF(ISNA(VLOOKUP(B14,USAGE!$B$2:$F$157,2,0)),IF(B14=0,"0","CHƯA CẮT"),"ĐÃ CẮT")</f>
        <v>ĐÃ CẮT</v>
      </c>
      <c r="B14" s="375" t="str">
        <f>VLOOKUP(C14,[1]MAP!$A$2:$D$208,3,0)</f>
        <v>1290BT05501950</v>
      </c>
      <c r="C14" s="375" t="str">
        <f t="shared" ref="C14:C27" si="2">+D14&amp;E14</f>
        <v>550SF50</v>
      </c>
      <c r="D14" s="692" t="s">
        <v>527</v>
      </c>
      <c r="E14" s="625">
        <v>50</v>
      </c>
      <c r="F14" s="354" t="s">
        <v>540</v>
      </c>
      <c r="G14" s="354" t="s">
        <v>513</v>
      </c>
      <c r="H14" s="354"/>
      <c r="I14" s="626">
        <v>967</v>
      </c>
      <c r="J14" s="625">
        <v>48350</v>
      </c>
      <c r="K14" s="626">
        <v>0</v>
      </c>
      <c r="L14" s="625">
        <v>0</v>
      </c>
      <c r="M14" s="626">
        <v>0</v>
      </c>
      <c r="N14" s="625">
        <v>0</v>
      </c>
      <c r="O14" s="626">
        <v>967</v>
      </c>
      <c r="P14" s="625">
        <v>48350</v>
      </c>
      <c r="Q14" s="474"/>
    </row>
    <row r="15" spans="1:18" x14ac:dyDescent="0.2">
      <c r="A15" s="374" t="e">
        <f>IF(ISNA(VLOOKUP(B15,USAGE!$B$2:$F$157,2,0)),IF(B15=0,"0","CHƯA CẮT"),"ĐÃ CẮT")</f>
        <v>#N/A</v>
      </c>
      <c r="B15" s="375" t="e">
        <f>VLOOKUP(C15,[1]MAP!$A$2:$D$208,3,0)</f>
        <v>#N/A</v>
      </c>
      <c r="C15" s="375" t="str">
        <f t="shared" si="2"/>
        <v>550SX25</v>
      </c>
      <c r="D15" s="599" t="s">
        <v>613</v>
      </c>
      <c r="E15" s="625">
        <v>25</v>
      </c>
      <c r="F15" s="354" t="s">
        <v>614</v>
      </c>
      <c r="G15" s="354"/>
      <c r="H15" s="354"/>
      <c r="I15" s="626">
        <v>598</v>
      </c>
      <c r="J15" s="625">
        <v>14950</v>
      </c>
      <c r="K15" s="626">
        <v>0</v>
      </c>
      <c r="L15" s="625">
        <v>0</v>
      </c>
      <c r="M15" s="626">
        <v>0</v>
      </c>
      <c r="N15" s="625">
        <v>0</v>
      </c>
      <c r="O15" s="626">
        <v>598</v>
      </c>
      <c r="P15" s="625">
        <v>14950</v>
      </c>
      <c r="Q15" s="474"/>
    </row>
    <row r="16" spans="1:18" x14ac:dyDescent="0.2">
      <c r="A16" s="374" t="str">
        <f>IF(ISNA(VLOOKUP(B16,USAGE!$B$2:$F$157,2,0)),IF(B16=0,"0","CHƯA CẮT"),"ĐÃ CẮT")</f>
        <v>ĐÃ CẮT</v>
      </c>
      <c r="B16" s="375" t="str">
        <f>VLOOKUP(C16,[1]MAP!$A$2:$D$208,3,0)</f>
        <v>1290BT05510050</v>
      </c>
      <c r="C16" s="375" t="str">
        <f t="shared" si="2"/>
        <v>551F50</v>
      </c>
      <c r="D16" s="599" t="s">
        <v>615</v>
      </c>
      <c r="E16" s="625">
        <v>50</v>
      </c>
      <c r="F16" s="354" t="s">
        <v>616</v>
      </c>
      <c r="G16" s="354" t="s">
        <v>513</v>
      </c>
      <c r="H16" s="354"/>
      <c r="I16" s="626">
        <v>24</v>
      </c>
      <c r="J16" s="625">
        <v>1200</v>
      </c>
      <c r="K16" s="626">
        <v>0</v>
      </c>
      <c r="L16" s="625">
        <v>0</v>
      </c>
      <c r="M16" s="626">
        <v>918</v>
      </c>
      <c r="N16" s="625">
        <v>45900</v>
      </c>
      <c r="O16" s="626">
        <v>942</v>
      </c>
      <c r="P16" s="625">
        <v>47100</v>
      </c>
      <c r="Q16" s="474"/>
    </row>
    <row r="17" spans="1:16" x14ac:dyDescent="0.2">
      <c r="A17" s="374" t="str">
        <f>IF(ISNA(VLOOKUP(B17,USAGE!$B$2:$F$157,2,0)),IF(B17=0,"0","CHƯA CẮT"),"ĐÃ CẮT")</f>
        <v>ĐÃ CẮT</v>
      </c>
      <c r="B17" s="375" t="str">
        <f>VLOOKUP(C17,[1]MAP!$A$2:$D$208,3,0)</f>
        <v>1290BT05510050</v>
      </c>
      <c r="C17" s="375" t="str">
        <f t="shared" si="2"/>
        <v>551F50</v>
      </c>
      <c r="D17" s="599" t="s">
        <v>615</v>
      </c>
      <c r="E17" s="625">
        <v>50</v>
      </c>
      <c r="F17" s="354" t="s">
        <v>616</v>
      </c>
      <c r="G17" s="354" t="s">
        <v>558</v>
      </c>
      <c r="H17" s="354"/>
      <c r="I17" s="626">
        <v>0</v>
      </c>
      <c r="J17" s="625">
        <v>0</v>
      </c>
      <c r="K17" s="626">
        <v>180</v>
      </c>
      <c r="L17" s="625">
        <v>9000</v>
      </c>
      <c r="M17" s="626">
        <v>0</v>
      </c>
      <c r="N17" s="625">
        <v>0</v>
      </c>
      <c r="O17" s="626">
        <v>180</v>
      </c>
      <c r="P17" s="625">
        <v>9000</v>
      </c>
    </row>
    <row r="18" spans="1:16" x14ac:dyDescent="0.2">
      <c r="A18" s="374" t="e">
        <f>IF(ISNA(VLOOKUP(B18,USAGE!$B$2:$F$157,2,0)),IF(B18=0,"0","CHƯA CẮT"),"ĐÃ CẮT")</f>
        <v>#N/A</v>
      </c>
      <c r="B18" s="375" t="e">
        <f>VLOOKUP(C18,[1]MAP!$A$2:$D$208,3,0)</f>
        <v>#N/A</v>
      </c>
      <c r="C18" s="375" t="str">
        <f t="shared" si="2"/>
        <v>551X25</v>
      </c>
      <c r="D18" s="599" t="s">
        <v>617</v>
      </c>
      <c r="E18" s="625">
        <v>25</v>
      </c>
      <c r="F18" s="354" t="s">
        <v>618</v>
      </c>
      <c r="G18" s="354"/>
      <c r="H18" s="354"/>
      <c r="I18" s="626">
        <v>311</v>
      </c>
      <c r="J18" s="625">
        <v>7775</v>
      </c>
      <c r="K18" s="626">
        <v>0</v>
      </c>
      <c r="L18" s="625">
        <v>0</v>
      </c>
      <c r="M18" s="626">
        <v>0</v>
      </c>
      <c r="N18" s="625">
        <v>0</v>
      </c>
      <c r="O18" s="626">
        <v>311</v>
      </c>
      <c r="P18" s="625">
        <v>7775</v>
      </c>
    </row>
    <row r="19" spans="1:16" x14ac:dyDescent="0.2">
      <c r="A19" s="374" t="str">
        <f>IF(ISNA(VLOOKUP(B19,USAGE!$B$2:$F$157,2,0)),IF(B19=0,"0","CHƯA CẮT"),"ĐÃ CẮT")</f>
        <v>ĐÃ CẮT</v>
      </c>
      <c r="B19" s="375" t="str">
        <f>VLOOKUP(C19,[1]MAP!$A$2:$D$208,3,0)</f>
        <v>1290BT05514950</v>
      </c>
      <c r="C19" s="375" t="str">
        <f t="shared" si="2"/>
        <v>551GPF50</v>
      </c>
      <c r="D19" s="692" t="s">
        <v>588</v>
      </c>
      <c r="E19" s="625">
        <v>50</v>
      </c>
      <c r="F19" s="354" t="s">
        <v>589</v>
      </c>
      <c r="G19" s="354" t="s">
        <v>558</v>
      </c>
      <c r="H19" s="354"/>
      <c r="I19" s="626">
        <v>94</v>
      </c>
      <c r="J19" s="625">
        <v>4700</v>
      </c>
      <c r="K19" s="626">
        <v>96</v>
      </c>
      <c r="L19" s="625">
        <v>4800</v>
      </c>
      <c r="M19" s="626">
        <v>0</v>
      </c>
      <c r="N19" s="625">
        <v>0</v>
      </c>
      <c r="O19" s="626">
        <v>190</v>
      </c>
      <c r="P19" s="625">
        <v>9500</v>
      </c>
    </row>
    <row r="20" spans="1:16" x14ac:dyDescent="0.2">
      <c r="A20" s="374" t="str">
        <f>IF(ISNA(VLOOKUP(B20,USAGE!$B$2:$F$157,2,0)),IF(B20=0,"0","CHƯA CẮT"),"ĐÃ CẮT")</f>
        <v>ĐÃ CẮT</v>
      </c>
      <c r="B20" s="375" t="str">
        <f>VLOOKUP(C20,[1]MAP!$A$2:$D$208,3,0)</f>
        <v>1290D205520025</v>
      </c>
      <c r="C20" s="375" t="str">
        <f t="shared" si="2"/>
        <v>55225</v>
      </c>
      <c r="D20" s="599" t="s">
        <v>572</v>
      </c>
      <c r="E20" s="625">
        <v>25</v>
      </c>
      <c r="F20" s="354" t="s">
        <v>573</v>
      </c>
      <c r="G20" s="354"/>
      <c r="H20" s="354"/>
      <c r="I20" s="626">
        <v>0</v>
      </c>
      <c r="J20" s="625">
        <v>0</v>
      </c>
      <c r="K20" s="626">
        <v>0</v>
      </c>
      <c r="L20" s="625">
        <v>0</v>
      </c>
      <c r="M20" s="626">
        <v>2915</v>
      </c>
      <c r="N20" s="625">
        <v>72875</v>
      </c>
      <c r="O20" s="626">
        <v>2915</v>
      </c>
      <c r="P20" s="625">
        <v>72875</v>
      </c>
    </row>
    <row r="21" spans="1:16" x14ac:dyDescent="0.2">
      <c r="A21" s="374" t="str">
        <f>IF(ISNA(VLOOKUP(B21,USAGE!$B$2:$F$157,2,0)),IF(B21=0,"0","CHƯA CẮT"),"ĐÃ CẮT")</f>
        <v>ĐÃ CẮT</v>
      </c>
      <c r="B21" s="375" t="str">
        <f>VLOOKUP(C21,[1]MAP!$A$2:$D$208,3,0)</f>
        <v>1290BT05520050</v>
      </c>
      <c r="C21" s="375" t="str">
        <f t="shared" si="2"/>
        <v>552F50</v>
      </c>
      <c r="D21" s="599" t="s">
        <v>158</v>
      </c>
      <c r="E21" s="625">
        <v>50</v>
      </c>
      <c r="F21" s="354" t="s">
        <v>619</v>
      </c>
      <c r="G21" s="354"/>
      <c r="H21" s="354"/>
      <c r="I21" s="626">
        <v>0</v>
      </c>
      <c r="J21" s="625">
        <v>0</v>
      </c>
      <c r="K21" s="626">
        <v>2808</v>
      </c>
      <c r="L21" s="625">
        <v>140400</v>
      </c>
      <c r="M21" s="626">
        <v>183</v>
      </c>
      <c r="N21" s="625">
        <v>9150</v>
      </c>
      <c r="O21" s="626">
        <v>2991</v>
      </c>
      <c r="P21" s="625">
        <v>149550</v>
      </c>
    </row>
    <row r="22" spans="1:16" ht="22.5" customHeight="1" x14ac:dyDescent="0.2">
      <c r="A22" s="374" t="str">
        <f>IF(ISNA(VLOOKUP(B22,USAGE!$B$2:$F$157,2,0)),IF(B22=0,"0","CHƯA CẮT"),"ĐÃ CẮT")</f>
        <v>ĐÃ CẮT</v>
      </c>
      <c r="B22" s="375" t="str">
        <f>VLOOKUP(C22,[1]MAP!$A$2:$D$208,3,0)</f>
        <v>1290BT05520050</v>
      </c>
      <c r="C22" s="375" t="str">
        <f t="shared" si="2"/>
        <v>552F50</v>
      </c>
      <c r="D22" s="599" t="s">
        <v>158</v>
      </c>
      <c r="E22" s="625">
        <v>50</v>
      </c>
      <c r="F22" s="354" t="s">
        <v>564</v>
      </c>
      <c r="G22" s="354" t="s">
        <v>565</v>
      </c>
      <c r="H22" s="354"/>
      <c r="I22" s="626">
        <v>2484</v>
      </c>
      <c r="J22" s="625">
        <v>124200</v>
      </c>
      <c r="K22" s="626">
        <v>478</v>
      </c>
      <c r="L22" s="625">
        <v>23900</v>
      </c>
      <c r="M22" s="626">
        <v>0</v>
      </c>
      <c r="N22" s="625">
        <v>0</v>
      </c>
      <c r="O22" s="626">
        <v>2962</v>
      </c>
      <c r="P22" s="625">
        <v>148100</v>
      </c>
    </row>
    <row r="23" spans="1:16" x14ac:dyDescent="0.2">
      <c r="A23" s="374" t="str">
        <f>IF(ISNA(VLOOKUP(B23,USAGE!$B$2:$F$157,2,0)),IF(B23=0,"0","CHƯA CẮT"),"ĐÃ CẮT")</f>
        <v>ĐÃ CẮT</v>
      </c>
      <c r="B23" s="375" t="str">
        <f>VLOOKUP(C23,[1]MAP!$A$2:$D$208,3,0)</f>
        <v>1290D205521325</v>
      </c>
      <c r="C23" s="375" t="str">
        <f t="shared" si="2"/>
        <v>552M25</v>
      </c>
      <c r="D23" s="599" t="s">
        <v>574</v>
      </c>
      <c r="E23" s="625">
        <v>25</v>
      </c>
      <c r="F23" s="354" t="s">
        <v>575</v>
      </c>
      <c r="G23" s="354"/>
      <c r="H23" s="354"/>
      <c r="I23" s="626">
        <v>0</v>
      </c>
      <c r="J23" s="625">
        <v>0</v>
      </c>
      <c r="K23" s="626">
        <v>0</v>
      </c>
      <c r="L23" s="625">
        <v>0</v>
      </c>
      <c r="M23" s="626">
        <v>330</v>
      </c>
      <c r="N23" s="625">
        <v>8250</v>
      </c>
      <c r="O23" s="626">
        <v>330</v>
      </c>
      <c r="P23" s="625">
        <v>8250</v>
      </c>
    </row>
    <row r="24" spans="1:16" x14ac:dyDescent="0.2">
      <c r="A24" s="374" t="str">
        <f>IF(ISNA(VLOOKUP(B24,USAGE!$B$2:$F$157,2,0)),IF(B24=0,"0","CHƯA CẮT"),"ĐÃ CẮT")</f>
        <v>ĐÃ CẮT</v>
      </c>
      <c r="B24" s="375" t="str">
        <f>VLOOKUP(C24,[1]MAP!$A$2:$D$208,3,0)</f>
        <v>1290D205521925</v>
      </c>
      <c r="C24" s="375" t="str">
        <f t="shared" si="2"/>
        <v>552S25</v>
      </c>
      <c r="D24" s="692" t="s">
        <v>590</v>
      </c>
      <c r="E24" s="625">
        <v>25</v>
      </c>
      <c r="F24" s="354" t="s">
        <v>591</v>
      </c>
      <c r="G24" s="354"/>
      <c r="H24" s="354"/>
      <c r="I24" s="626">
        <v>0</v>
      </c>
      <c r="J24" s="625">
        <v>0</v>
      </c>
      <c r="K24" s="626">
        <v>0</v>
      </c>
      <c r="L24" s="625">
        <v>0</v>
      </c>
      <c r="M24" s="626">
        <v>722</v>
      </c>
      <c r="N24" s="625">
        <v>18050</v>
      </c>
      <c r="O24" s="626">
        <v>722</v>
      </c>
      <c r="P24" s="625">
        <v>18050</v>
      </c>
    </row>
    <row r="25" spans="1:16" x14ac:dyDescent="0.2">
      <c r="A25" s="374" t="str">
        <f>IF(ISNA(VLOOKUP(B25,USAGE!$B$2:$F$157,2,0)),IF(B25=0,"0","CHƯA CẮT"),"ĐÃ CẮT")</f>
        <v>ĐÃ CẮT</v>
      </c>
      <c r="B25" s="375" t="str">
        <f>VLOOKUP(C25,[1]MAP!$A$2:$D$208,3,0)</f>
        <v>1290BT05521950</v>
      </c>
      <c r="C25" s="375" t="str">
        <f t="shared" si="2"/>
        <v>552SF50</v>
      </c>
      <c r="D25" s="599" t="s">
        <v>530</v>
      </c>
      <c r="E25" s="625">
        <v>50</v>
      </c>
      <c r="F25" s="354" t="s">
        <v>620</v>
      </c>
      <c r="G25" s="354"/>
      <c r="H25" s="354"/>
      <c r="I25" s="626">
        <v>594</v>
      </c>
      <c r="J25" s="625">
        <v>29700</v>
      </c>
      <c r="K25" s="626">
        <v>5827</v>
      </c>
      <c r="L25" s="625">
        <v>291350</v>
      </c>
      <c r="M25" s="626">
        <v>620</v>
      </c>
      <c r="N25" s="625">
        <v>31000</v>
      </c>
      <c r="O25" s="626">
        <v>7041</v>
      </c>
      <c r="P25" s="625">
        <v>352050</v>
      </c>
    </row>
    <row r="26" spans="1:16" x14ac:dyDescent="0.2">
      <c r="A26" s="374" t="str">
        <f>IF(ISNA(VLOOKUP(B26,USAGE!$B$2:$F$157,2,0)),IF(B26=0,"0","CHƯA CẮT"),"ĐÃ CẮT")</f>
        <v>ĐÃ CẮT</v>
      </c>
      <c r="B26" s="375" t="str">
        <f>VLOOKUP(C26,[1]MAP!$A$2:$D$208,3,0)</f>
        <v>1290BT05521950</v>
      </c>
      <c r="C26" s="375" t="str">
        <f t="shared" si="2"/>
        <v>552SF50</v>
      </c>
      <c r="D26" s="692" t="s">
        <v>530</v>
      </c>
      <c r="E26" s="625">
        <v>50</v>
      </c>
      <c r="F26" s="354" t="s">
        <v>566</v>
      </c>
      <c r="G26" s="354" t="s">
        <v>565</v>
      </c>
      <c r="H26" s="354"/>
      <c r="I26" s="626">
        <v>527</v>
      </c>
      <c r="J26" s="625">
        <v>26350</v>
      </c>
      <c r="K26" s="626">
        <v>0</v>
      </c>
      <c r="L26" s="625">
        <v>0</v>
      </c>
      <c r="M26" s="626">
        <v>0</v>
      </c>
      <c r="N26" s="625">
        <v>0</v>
      </c>
      <c r="O26" s="626">
        <v>527</v>
      </c>
      <c r="P26" s="625">
        <v>26350</v>
      </c>
    </row>
    <row r="27" spans="1:16" x14ac:dyDescent="0.2">
      <c r="A27" s="374" t="str">
        <f>IF(ISNA(VLOOKUP(B27,USAGE!$B$2:$F$157,2,0)),IF(B27=0,"0","CHƯA CẮT"),"ĐÃ CẮT")</f>
        <v>ĐÃ CẮT</v>
      </c>
      <c r="B27" s="375" t="str">
        <f>VLOOKUP(C27,[1]MAP!$A$2:$D$208,3,0)</f>
        <v>1290BT05531350</v>
      </c>
      <c r="C27" s="375" t="str">
        <f t="shared" si="2"/>
        <v>553MF50</v>
      </c>
      <c r="D27" s="599" t="s">
        <v>567</v>
      </c>
      <c r="E27" s="625">
        <v>50</v>
      </c>
      <c r="F27" s="354" t="s">
        <v>568</v>
      </c>
      <c r="G27" s="354"/>
      <c r="H27" s="354"/>
      <c r="I27" s="626">
        <v>152</v>
      </c>
      <c r="J27" s="625">
        <v>7600</v>
      </c>
      <c r="K27" s="626">
        <v>0</v>
      </c>
      <c r="L27" s="625">
        <v>0</v>
      </c>
      <c r="M27" s="626">
        <v>0</v>
      </c>
      <c r="N27" s="625">
        <v>0</v>
      </c>
      <c r="O27" s="626">
        <v>152</v>
      </c>
      <c r="P27" s="625">
        <v>7600</v>
      </c>
    </row>
    <row r="28" spans="1:16" x14ac:dyDescent="0.2">
      <c r="A28" s="374" t="str">
        <f>IF(ISNA(VLOOKUP(B28,USAGE!$B$2:$F$157,2,0)),IF(B28=0,"0","CHƯA CẮT"),"ĐÃ CẮT")</f>
        <v>ĐÃ CẮT</v>
      </c>
      <c r="B28" s="375" t="str">
        <f>VLOOKUP(C28,[1]MAP!$A$2:$D$208,3,0)</f>
        <v>1290BT05660050</v>
      </c>
      <c r="C28" s="375" t="str">
        <f t="shared" ref="C28:C32" si="3">+D28&amp;E28</f>
        <v>566F50</v>
      </c>
      <c r="D28" s="692" t="s">
        <v>621</v>
      </c>
      <c r="E28" s="625">
        <v>50</v>
      </c>
      <c r="F28" s="354" t="s">
        <v>622</v>
      </c>
      <c r="G28" s="354" t="s">
        <v>513</v>
      </c>
      <c r="H28" s="354"/>
      <c r="I28" s="626">
        <v>0</v>
      </c>
      <c r="J28" s="625">
        <v>0</v>
      </c>
      <c r="K28" s="626">
        <v>0</v>
      </c>
      <c r="L28" s="625">
        <v>0</v>
      </c>
      <c r="M28" s="626">
        <v>146</v>
      </c>
      <c r="N28" s="625">
        <v>7300</v>
      </c>
      <c r="O28" s="626">
        <v>146</v>
      </c>
      <c r="P28" s="625">
        <v>7300</v>
      </c>
    </row>
    <row r="29" spans="1:16" x14ac:dyDescent="0.2">
      <c r="A29" s="374" t="str">
        <f>IF(ISNA(VLOOKUP(B29,USAGE!$B$2:$F$157,2,0)),IF(B29=0,"0","CHƯA CẮT"),"ĐÃ CẮT")</f>
        <v>ĐÃ CẮT</v>
      </c>
      <c r="B29" s="375" t="str">
        <f>VLOOKUP(C29,[1]MAP!$A$2:$D$208,3,0)</f>
        <v>1290D205671925</v>
      </c>
      <c r="C29" s="375" t="str">
        <f t="shared" si="3"/>
        <v>567S25</v>
      </c>
      <c r="D29" s="599" t="s">
        <v>576</v>
      </c>
      <c r="E29" s="625">
        <v>25</v>
      </c>
      <c r="F29" s="354" t="s">
        <v>577</v>
      </c>
      <c r="G29" s="354"/>
      <c r="H29" s="354"/>
      <c r="I29" s="626">
        <v>2296</v>
      </c>
      <c r="J29" s="625">
        <v>57400</v>
      </c>
      <c r="K29" s="626">
        <v>0</v>
      </c>
      <c r="L29" s="625">
        <v>0</v>
      </c>
      <c r="M29" s="626">
        <v>0</v>
      </c>
      <c r="N29" s="625">
        <v>0</v>
      </c>
      <c r="O29" s="626">
        <v>2296</v>
      </c>
      <c r="P29" s="625">
        <v>57400</v>
      </c>
    </row>
    <row r="30" spans="1:16" ht="16.5" customHeight="1" x14ac:dyDescent="0.2">
      <c r="A30" s="374" t="str">
        <f>IF(ISNA(VLOOKUP(B30,USAGE!$B$2:$F$157,2,0)),IF(B30=0,"0","CHƯA CẮT"),"ĐÃ CẮT")</f>
        <v>ĐÃ CẮT</v>
      </c>
      <c r="B30" s="375" t="str">
        <f>VLOOKUP(C30,[1]MAP!$A$2:$D$208,3,0)</f>
        <v>1290BT05671950</v>
      </c>
      <c r="C30" s="375" t="str">
        <f t="shared" si="3"/>
        <v>567SF50</v>
      </c>
      <c r="D30" s="692" t="s">
        <v>623</v>
      </c>
      <c r="E30" s="625">
        <v>50</v>
      </c>
      <c r="F30" s="354" t="s">
        <v>624</v>
      </c>
      <c r="G30" s="354" t="s">
        <v>513</v>
      </c>
      <c r="H30" s="354"/>
      <c r="I30" s="626">
        <v>591</v>
      </c>
      <c r="J30" s="625">
        <v>29550</v>
      </c>
      <c r="K30" s="626">
        <v>0</v>
      </c>
      <c r="L30" s="625">
        <v>0</v>
      </c>
      <c r="M30" s="626">
        <v>0</v>
      </c>
      <c r="N30" s="625">
        <v>0</v>
      </c>
      <c r="O30" s="865">
        <v>591</v>
      </c>
      <c r="P30" s="625">
        <v>29550</v>
      </c>
    </row>
    <row r="31" spans="1:16" x14ac:dyDescent="0.2">
      <c r="A31" s="374" t="str">
        <f>IF(ISNA(VLOOKUP(B31,USAGE!$B$2:$F$157,2,0)),IF(B31=0,"0","CHƯA CẮT"),"ĐÃ CẮT")</f>
        <v>ĐÃ CẮT</v>
      </c>
      <c r="B31" s="375" t="str">
        <f>VLOOKUP(C31,[1]MAP!$A$2:$D$208,3,0)</f>
        <v>1290D205840025</v>
      </c>
      <c r="C31" s="375" t="str">
        <f t="shared" si="3"/>
        <v>58425</v>
      </c>
      <c r="D31" s="692" t="s">
        <v>625</v>
      </c>
      <c r="E31" s="625">
        <v>25</v>
      </c>
      <c r="F31" s="354" t="s">
        <v>626</v>
      </c>
      <c r="G31" s="354"/>
      <c r="H31" s="354"/>
      <c r="I31" s="626">
        <v>0</v>
      </c>
      <c r="J31" s="625">
        <v>0</v>
      </c>
      <c r="K31" s="626">
        <v>0</v>
      </c>
      <c r="L31" s="625">
        <v>0</v>
      </c>
      <c r="M31" s="626">
        <v>344</v>
      </c>
      <c r="N31" s="625">
        <v>8600</v>
      </c>
      <c r="O31" s="865">
        <v>344</v>
      </c>
      <c r="P31" s="625">
        <v>8600</v>
      </c>
    </row>
    <row r="32" spans="1:16" x14ac:dyDescent="0.2">
      <c r="A32" s="374" t="str">
        <f>IF(ISNA(VLOOKUP(B32,USAGE!$B$2:$F$157,2,0)),IF(B32=0,"0","CHƯA CẮT"),"ĐÃ CẮT")</f>
        <v>ĐÃ CẮT</v>
      </c>
      <c r="B32" s="375" t="str">
        <f>VLOOKUP(C32,[1]MAP!$A$2:$D$208,3,0)</f>
        <v>1290D205940325</v>
      </c>
      <c r="C32" s="375" t="str">
        <f t="shared" si="3"/>
        <v>59425</v>
      </c>
      <c r="D32" s="692" t="s">
        <v>592</v>
      </c>
      <c r="E32" s="862">
        <v>25</v>
      </c>
      <c r="F32" s="625" t="s">
        <v>593</v>
      </c>
      <c r="G32" s="627"/>
      <c r="H32" s="625"/>
      <c r="I32" s="627">
        <v>260</v>
      </c>
      <c r="J32" s="625">
        <v>6500</v>
      </c>
      <c r="K32" s="627">
        <v>0</v>
      </c>
      <c r="L32" s="625">
        <v>0</v>
      </c>
      <c r="M32" s="354">
        <v>0</v>
      </c>
      <c r="N32" s="354">
        <v>0</v>
      </c>
      <c r="O32" s="599">
        <v>260</v>
      </c>
      <c r="P32" s="354">
        <v>6500</v>
      </c>
    </row>
    <row r="33" spans="1:16" ht="12" customHeight="1" x14ac:dyDescent="0.2">
      <c r="A33" s="374" t="str">
        <f>IF(ISNA(VLOOKUP(B33,USAGE!$B$2:$F$157,2,0)),IF(B33=0,"0","CHƯA CẮT"),"ĐÃ CẮT")</f>
        <v>ĐÃ CẮT</v>
      </c>
      <c r="B33" s="375" t="str">
        <f>VLOOKUP(C33,[1]MAP!$A$2:$D$208,3,0)</f>
        <v>1290D205950025</v>
      </c>
      <c r="C33" s="375" t="str">
        <f t="shared" ref="C33:C35" si="4">+D33&amp;E33</f>
        <v>59525</v>
      </c>
      <c r="D33" s="692" t="s">
        <v>627</v>
      </c>
      <c r="E33" s="862">
        <v>25</v>
      </c>
      <c r="F33" s="354" t="s">
        <v>628</v>
      </c>
      <c r="G33" s="354"/>
      <c r="H33" s="354"/>
      <c r="I33" s="356">
        <v>440</v>
      </c>
      <c r="J33" s="355">
        <v>11000</v>
      </c>
      <c r="K33" s="356">
        <v>1320</v>
      </c>
      <c r="L33" s="355">
        <v>33000</v>
      </c>
      <c r="M33" s="356">
        <v>224</v>
      </c>
      <c r="N33" s="355">
        <v>5600</v>
      </c>
      <c r="O33" s="865">
        <v>1984</v>
      </c>
      <c r="P33" s="355">
        <v>49600</v>
      </c>
    </row>
    <row r="34" spans="1:16" x14ac:dyDescent="0.2">
      <c r="A34" s="374" t="str">
        <f>IF(ISNA(VLOOKUP(B34,USAGE!$B$2:$F$157,2,0)),IF(B34=0,"0","CHƯA CẮT"),"ĐÃ CẮT")</f>
        <v>ĐÃ CẮT</v>
      </c>
      <c r="B34" s="375" t="str">
        <f>VLOOKUP(C34,[1]MAP!$A$2:$D$208,3,0)</f>
        <v>1290D209520025</v>
      </c>
      <c r="C34" s="375" t="str">
        <f t="shared" si="4"/>
        <v>95225</v>
      </c>
      <c r="D34" s="599" t="s">
        <v>578</v>
      </c>
      <c r="E34" s="862">
        <v>25</v>
      </c>
      <c r="F34" s="354" t="s">
        <v>579</v>
      </c>
      <c r="G34" s="354"/>
      <c r="H34" s="354"/>
      <c r="I34" s="356">
        <v>0</v>
      </c>
      <c r="J34" s="355">
        <v>0</v>
      </c>
      <c r="K34" s="356">
        <v>0</v>
      </c>
      <c r="L34" s="355">
        <v>0</v>
      </c>
      <c r="M34" s="356">
        <v>330</v>
      </c>
      <c r="N34" s="355">
        <v>8250</v>
      </c>
      <c r="O34" s="865">
        <v>330</v>
      </c>
      <c r="P34" s="355">
        <v>8250</v>
      </c>
    </row>
    <row r="35" spans="1:16" x14ac:dyDescent="0.2">
      <c r="A35" s="374" t="str">
        <f>IF(ISNA(VLOOKUP(B35,USAGE!$B$2:$F$157,2,0)),IF(B35=0,"0","CHƯA CẮT"),"ĐÃ CẮT")</f>
        <v>ĐÃ CẮT</v>
      </c>
      <c r="B35" s="375" t="str">
        <f>VLOOKUP(C35,[1]MAP!$A$2:$D$208,3,0)</f>
        <v>1290D209521925</v>
      </c>
      <c r="C35" s="375" t="str">
        <f t="shared" si="4"/>
        <v>952S25</v>
      </c>
      <c r="D35" s="599" t="s">
        <v>594</v>
      </c>
      <c r="E35" s="862">
        <v>25</v>
      </c>
      <c r="F35" s="354" t="s">
        <v>595</v>
      </c>
      <c r="G35" s="354"/>
      <c r="H35" s="354"/>
      <c r="I35" s="356">
        <v>0</v>
      </c>
      <c r="J35" s="355">
        <v>0</v>
      </c>
      <c r="K35" s="356">
        <v>0</v>
      </c>
      <c r="L35" s="355">
        <v>0</v>
      </c>
      <c r="M35" s="356">
        <v>219</v>
      </c>
      <c r="N35" s="355">
        <v>5475</v>
      </c>
      <c r="O35" s="865">
        <v>219</v>
      </c>
      <c r="P35" s="355">
        <v>5475</v>
      </c>
    </row>
    <row r="36" spans="1:16" x14ac:dyDescent="0.2">
      <c r="A36" s="374" t="e">
        <f>IF(ISNA(VLOOKUP(B36,USAGE!$B$2:$F$157,2,0)),IF(B36=0,"0","CHƯA CẮT"),"ĐÃ CẮT")</f>
        <v>#N/A</v>
      </c>
      <c r="B36" s="375" t="e">
        <f>VLOOKUP(C36,[1]MAP!$A$2:$D$208,3,0)</f>
        <v>#N/A</v>
      </c>
      <c r="C36" s="375" t="str">
        <f t="shared" ref="C36:C42" si="5">+D36&amp;E36</f>
        <v>BS10TA40</v>
      </c>
      <c r="D36" s="692" t="s">
        <v>629</v>
      </c>
      <c r="E36" s="862">
        <v>40</v>
      </c>
      <c r="F36" s="354" t="s">
        <v>630</v>
      </c>
      <c r="G36" s="354"/>
      <c r="H36" s="354"/>
      <c r="I36" s="356">
        <v>0</v>
      </c>
      <c r="J36" s="355">
        <v>0</v>
      </c>
      <c r="K36" s="356">
        <v>0</v>
      </c>
      <c r="L36" s="355">
        <v>0</v>
      </c>
      <c r="M36" s="356">
        <v>355</v>
      </c>
      <c r="N36" s="355">
        <v>14200</v>
      </c>
      <c r="O36" s="865">
        <v>355</v>
      </c>
      <c r="P36" s="355">
        <v>14200</v>
      </c>
    </row>
    <row r="37" spans="1:16" x14ac:dyDescent="0.2">
      <c r="A37" s="374" t="str">
        <f>IF(ISNA(VLOOKUP(B37,USAGE!$B$2:$F$157,2,0)),IF(B37=0,"0","CHƯA CẮT"),"ĐÃ CẮT")</f>
        <v>ĐÃ CẮT</v>
      </c>
      <c r="B37" s="375" t="str">
        <f>VLOOKUP(C37,[1]MAP!$A$2:$D$208,3,0)</f>
        <v>1290D215110025</v>
      </c>
      <c r="C37" s="375" t="str">
        <f t="shared" si="5"/>
        <v>GT1225</v>
      </c>
      <c r="D37" s="599" t="s">
        <v>631</v>
      </c>
      <c r="E37" s="862">
        <v>25</v>
      </c>
      <c r="F37" s="354" t="s">
        <v>632</v>
      </c>
      <c r="G37" s="354"/>
      <c r="H37" s="354"/>
      <c r="I37" s="356">
        <v>0</v>
      </c>
      <c r="J37" s="355">
        <v>0</v>
      </c>
      <c r="K37" s="356">
        <v>0</v>
      </c>
      <c r="L37" s="355">
        <v>0</v>
      </c>
      <c r="M37" s="356">
        <v>660</v>
      </c>
      <c r="N37" s="355">
        <v>16500</v>
      </c>
      <c r="O37" s="865">
        <v>660</v>
      </c>
      <c r="P37" s="355">
        <v>16500</v>
      </c>
    </row>
    <row r="38" spans="1:16" x14ac:dyDescent="0.2">
      <c r="A38" s="374" t="str">
        <f>IF(ISNA(VLOOKUP(B38,USAGE!$B$2:$F$157,2,0)),IF(B38=0,"0","CHƯA CẮT"),"ĐÃ CẮT")</f>
        <v>ĐÃ CẮT</v>
      </c>
      <c r="B38" s="375" t="str">
        <f>VLOOKUP(C38,[1]MAP!$A$2:$D$208,3,0)</f>
        <v>1290D215110225</v>
      </c>
      <c r="C38" s="375" t="str">
        <f t="shared" si="5"/>
        <v>GT12B25</v>
      </c>
      <c r="D38" s="692" t="s">
        <v>633</v>
      </c>
      <c r="E38" s="357">
        <v>25</v>
      </c>
      <c r="F38" s="355" t="s">
        <v>634</v>
      </c>
      <c r="G38" s="357"/>
      <c r="H38" s="486"/>
      <c r="I38" s="357">
        <v>0</v>
      </c>
      <c r="J38" s="355">
        <v>0</v>
      </c>
      <c r="K38" s="357">
        <v>276</v>
      </c>
      <c r="L38" s="355">
        <v>6900</v>
      </c>
      <c r="M38" s="354">
        <v>0</v>
      </c>
      <c r="N38" s="354">
        <v>0</v>
      </c>
      <c r="O38" s="599">
        <v>276</v>
      </c>
      <c r="P38" s="354">
        <v>6900</v>
      </c>
    </row>
    <row r="39" spans="1:16" x14ac:dyDescent="0.2">
      <c r="A39" s="374" t="str">
        <f>IF(ISNA(VLOOKUP(B39,USAGE!$B$2:$F$157,2,0)),IF(B39=0,"0","CHƯA CẮT"),"ĐÃ CẮT")</f>
        <v>ĐÃ CẮT</v>
      </c>
      <c r="B39" s="375" t="str">
        <f>VLOOKUP(C39,[1]MAP!$A$2:$D$208,3,0)</f>
        <v>1290D215117225</v>
      </c>
      <c r="C39" s="375" t="str">
        <f t="shared" si="5"/>
        <v>GT12BS25</v>
      </c>
      <c r="D39" s="761" t="s">
        <v>635</v>
      </c>
      <c r="E39">
        <v>25</v>
      </c>
      <c r="F39" t="s">
        <v>636</v>
      </c>
      <c r="H39" s="298"/>
      <c r="I39">
        <v>0</v>
      </c>
      <c r="J39">
        <v>0</v>
      </c>
      <c r="K39">
        <v>637</v>
      </c>
      <c r="L39">
        <v>15925</v>
      </c>
      <c r="M39">
        <v>0</v>
      </c>
      <c r="N39">
        <v>0</v>
      </c>
      <c r="O39">
        <v>637</v>
      </c>
      <c r="P39">
        <v>15925</v>
      </c>
    </row>
    <row r="40" spans="1:16" x14ac:dyDescent="0.2">
      <c r="A40" s="374" t="str">
        <f>IF(ISNA(VLOOKUP(B40,USAGE!$B$2:$F$157,2,0)),IF(B40=0,"0","CHƯA CẮT"),"ĐÃ CẮT")</f>
        <v>ĐÃ CẮT</v>
      </c>
      <c r="B40" s="375" t="str">
        <f>VLOOKUP(C40,[1]MAP!$A$2:$D$208,3,0)</f>
        <v>1290D215490025</v>
      </c>
      <c r="C40" s="375" t="str">
        <f t="shared" si="5"/>
        <v>VT1225</v>
      </c>
      <c r="D40" s="761" t="s">
        <v>637</v>
      </c>
      <c r="E40">
        <v>25</v>
      </c>
      <c r="F40" t="s">
        <v>638</v>
      </c>
      <c r="H40" s="298"/>
      <c r="I40">
        <v>0</v>
      </c>
      <c r="J40">
        <v>0</v>
      </c>
      <c r="K40">
        <v>0</v>
      </c>
      <c r="L40">
        <v>0</v>
      </c>
      <c r="M40">
        <v>220</v>
      </c>
      <c r="N40">
        <v>5500</v>
      </c>
      <c r="O40">
        <v>220</v>
      </c>
      <c r="P40">
        <v>5500</v>
      </c>
    </row>
    <row r="41" spans="1:16" x14ac:dyDescent="0.2">
      <c r="A41" s="374" t="str">
        <f>IF(ISNA(VLOOKUP(B41,USAGE!$B$2:$F$157,2,0)),IF(B41=0,"0","CHƯA CẮT"),"ĐÃ CẮT")</f>
        <v>CHƯA CẮT</v>
      </c>
      <c r="B41" s="375" t="str">
        <f>VLOOKUP(C41,[1]MAP!$A$2:$D$208,3,0)</f>
        <v>1290D215521925</v>
      </c>
      <c r="C41" s="375" t="str">
        <f t="shared" si="5"/>
        <v>HT12S25</v>
      </c>
      <c r="D41" t="s">
        <v>596</v>
      </c>
      <c r="E41">
        <v>25</v>
      </c>
      <c r="F41" t="s">
        <v>597</v>
      </c>
      <c r="I41">
        <v>0</v>
      </c>
      <c r="J41">
        <v>0</v>
      </c>
      <c r="K41" s="864">
        <v>0</v>
      </c>
      <c r="L41">
        <v>0</v>
      </c>
      <c r="M41">
        <v>683</v>
      </c>
      <c r="N41">
        <v>17075</v>
      </c>
      <c r="O41">
        <v>683</v>
      </c>
      <c r="P41">
        <v>17075</v>
      </c>
    </row>
    <row r="42" spans="1:16" x14ac:dyDescent="0.2">
      <c r="A42" s="374" t="e">
        <f>IF(ISNA(VLOOKUP(B42,USAGE!$B$2:$F$157,2,0)),IF(B42=0,"0","CHƯA CẮT"),"ĐÃ CẮT")</f>
        <v>#N/A</v>
      </c>
      <c r="B42" s="375" t="e">
        <f>VLOOKUP(C42,[1]MAP!$A$2:$D$208,3,0)</f>
        <v>#N/A</v>
      </c>
      <c r="C42" s="375" t="str">
        <f t="shared" si="5"/>
        <v>Grand Total11843</v>
      </c>
      <c r="D42" s="298" t="s">
        <v>159</v>
      </c>
      <c r="E42">
        <v>11843</v>
      </c>
      <c r="F42">
        <v>434725</v>
      </c>
      <c r="G42">
        <v>14080</v>
      </c>
      <c r="H42">
        <v>587900</v>
      </c>
      <c r="I42">
        <v>11944</v>
      </c>
      <c r="J42">
        <v>381300</v>
      </c>
      <c r="K42">
        <v>37867</v>
      </c>
      <c r="L42">
        <v>1403925</v>
      </c>
      <c r="O42"/>
    </row>
    <row r="43" spans="1:16" x14ac:dyDescent="0.2">
      <c r="O43"/>
    </row>
    <row r="44" spans="1:16" x14ac:dyDescent="0.2">
      <c r="O44"/>
    </row>
    <row r="45" spans="1:16" x14ac:dyDescent="0.2">
      <c r="O45"/>
    </row>
    <row r="46" spans="1:16" x14ac:dyDescent="0.2">
      <c r="O46"/>
    </row>
    <row r="47" spans="1:16" x14ac:dyDescent="0.2">
      <c r="O47"/>
    </row>
    <row r="48" spans="1:16" x14ac:dyDescent="0.2"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6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6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6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6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6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6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6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6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6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6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6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6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6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6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6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7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7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7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7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7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7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7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7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7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7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7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7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7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7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7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7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7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7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7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7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7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7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7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7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7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7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8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8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8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8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8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8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8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8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8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8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8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8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8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8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8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8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8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8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8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8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8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8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8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8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8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8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8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8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8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8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8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8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8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8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8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8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8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8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8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8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8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8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8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8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8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8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8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8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8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8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8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8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8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8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8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8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8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8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8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8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8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8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8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8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9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9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9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topLeftCell="A3" workbookViewId="0">
      <selection activeCell="B24" sqref="B24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35920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48</v>
      </c>
      <c r="C3" s="354" t="s">
        <v>49</v>
      </c>
      <c r="D3" s="354"/>
      <c r="E3" s="615">
        <v>235</v>
      </c>
      <c r="F3" s="616">
        <v>0</v>
      </c>
      <c r="G3" s="366">
        <f>SUMIF(SUMPK!$B:$B,USAGE!$B:$B,SUMPK!$O:$O)</f>
        <v>235</v>
      </c>
      <c r="H3" s="366">
        <f>+G3-E3</f>
        <v>0</v>
      </c>
    </row>
    <row r="4" spans="1:11" ht="16.5" customHeight="1" x14ac:dyDescent="0.2">
      <c r="A4" s="614">
        <v>2</v>
      </c>
      <c r="B4" s="354" t="s">
        <v>227</v>
      </c>
      <c r="C4" s="354" t="s">
        <v>584</v>
      </c>
      <c r="D4" s="354"/>
      <c r="E4" s="615">
        <v>918</v>
      </c>
      <c r="F4" s="616">
        <v>0</v>
      </c>
      <c r="G4" s="366">
        <f>SUMIF(SUMPK!$B:$B,USAGE!$B:$B,SUMPK!$O:$O)</f>
        <v>918</v>
      </c>
      <c r="H4" s="366">
        <f t="shared" ref="H4:H9" si="1">+G4-E4</f>
        <v>0</v>
      </c>
      <c r="I4" s="367"/>
      <c r="J4" s="519"/>
    </row>
    <row r="5" spans="1:11" ht="16.5" customHeight="1" x14ac:dyDescent="0.2">
      <c r="A5" s="614">
        <v>3</v>
      </c>
      <c r="B5" s="354" t="s">
        <v>278</v>
      </c>
      <c r="C5" s="354" t="s">
        <v>639</v>
      </c>
      <c r="D5" s="354"/>
      <c r="E5" s="615">
        <v>310</v>
      </c>
      <c r="F5" s="616">
        <v>0</v>
      </c>
      <c r="G5" s="366">
        <f>SUMIF(SUMPK!$B:$B,USAGE!$B:$B,SUMPK!$O:$O)</f>
        <v>310</v>
      </c>
      <c r="H5" s="366">
        <f t="shared" si="1"/>
        <v>0</v>
      </c>
    </row>
    <row r="6" spans="1:11" ht="16.5" customHeight="1" x14ac:dyDescent="0.2">
      <c r="A6" s="614">
        <v>4</v>
      </c>
      <c r="B6" s="354" t="s">
        <v>276</v>
      </c>
      <c r="C6" s="354" t="s">
        <v>640</v>
      </c>
      <c r="D6" s="354"/>
      <c r="E6" s="615">
        <v>113</v>
      </c>
      <c r="F6" s="616">
        <v>0</v>
      </c>
      <c r="G6" s="366">
        <f>SUMIF(SUMPK!$B:$B,USAGE!$B:$B,SUMPK!$O:$O)</f>
        <v>113</v>
      </c>
      <c r="H6" s="366">
        <f t="shared" si="1"/>
        <v>0</v>
      </c>
      <c r="J6" s="474"/>
    </row>
    <row r="7" spans="1:11" ht="16.5" customHeight="1" x14ac:dyDescent="0.2">
      <c r="A7" s="614">
        <v>5</v>
      </c>
      <c r="B7" s="354" t="s">
        <v>289</v>
      </c>
      <c r="C7" s="354" t="s">
        <v>528</v>
      </c>
      <c r="D7" s="354"/>
      <c r="E7" s="615">
        <v>1014</v>
      </c>
      <c r="F7" s="616">
        <v>0</v>
      </c>
      <c r="G7" s="366">
        <f>SUMIF(SUMPK!$B:$B,USAGE!$B:$B,SUMPK!$O:$O)</f>
        <v>1014</v>
      </c>
      <c r="H7" s="366">
        <f t="shared" si="1"/>
        <v>0</v>
      </c>
      <c r="I7" s="367"/>
      <c r="J7" s="367"/>
    </row>
    <row r="8" spans="1:11" ht="16.5" customHeight="1" x14ac:dyDescent="0.2">
      <c r="A8" s="614">
        <v>6</v>
      </c>
      <c r="B8" s="354" t="s">
        <v>208</v>
      </c>
      <c r="C8" s="354" t="s">
        <v>641</v>
      </c>
      <c r="D8" s="354"/>
      <c r="E8" s="615">
        <v>1122</v>
      </c>
      <c r="F8" s="616">
        <v>0</v>
      </c>
      <c r="G8" s="366">
        <f>SUMIF(SUMPK!$B:$B,USAGE!$B:$B,SUMPK!$O:$O)</f>
        <v>1122</v>
      </c>
      <c r="H8" s="366">
        <f t="shared" si="1"/>
        <v>0</v>
      </c>
      <c r="I8" s="367"/>
      <c r="K8" s="760"/>
    </row>
    <row r="9" spans="1:11" ht="16.5" customHeight="1" x14ac:dyDescent="0.2">
      <c r="A9" s="614">
        <v>7</v>
      </c>
      <c r="B9" s="354" t="s">
        <v>209</v>
      </c>
      <c r="C9" s="354" t="s">
        <v>585</v>
      </c>
      <c r="D9" s="354"/>
      <c r="E9" s="615">
        <v>190</v>
      </c>
      <c r="F9" s="616">
        <v>0</v>
      </c>
      <c r="G9" s="366">
        <f>SUMIF(SUMPK!$B:$B,USAGE!$B:$B,SUMPK!$O:$O)</f>
        <v>190</v>
      </c>
      <c r="H9" s="366">
        <f t="shared" si="1"/>
        <v>0</v>
      </c>
      <c r="J9" s="474"/>
      <c r="K9" s="761"/>
    </row>
    <row r="10" spans="1:11" ht="16.5" customHeight="1" x14ac:dyDescent="0.2">
      <c r="A10" s="614">
        <v>8</v>
      </c>
      <c r="B10" s="354" t="s">
        <v>207</v>
      </c>
      <c r="C10" s="354" t="s">
        <v>347</v>
      </c>
      <c r="D10" s="354"/>
      <c r="E10" s="615">
        <v>5953</v>
      </c>
      <c r="F10" s="616">
        <v>0</v>
      </c>
      <c r="G10" s="366">
        <f>SUMIF(SUMPK!$B:$B,USAGE!$B:$B,SUMPK!$O:$O)</f>
        <v>5953</v>
      </c>
      <c r="H10" s="366">
        <f t="shared" ref="H10:H11" si="2">+G10-E10</f>
        <v>0</v>
      </c>
      <c r="J10" s="519"/>
      <c r="K10" s="760"/>
    </row>
    <row r="11" spans="1:11" ht="16.5" customHeight="1" x14ac:dyDescent="0.2">
      <c r="A11" s="614">
        <v>9</v>
      </c>
      <c r="B11" s="354" t="s">
        <v>210</v>
      </c>
      <c r="C11" s="354" t="s">
        <v>531</v>
      </c>
      <c r="D11" s="354"/>
      <c r="E11" s="615">
        <v>7568</v>
      </c>
      <c r="F11" s="616">
        <v>0</v>
      </c>
      <c r="G11" s="366">
        <f>SUMIF(SUMPK!$B:$B,USAGE!$B:$B,SUMPK!$O:$O)</f>
        <v>7568</v>
      </c>
      <c r="H11" s="366">
        <f t="shared" si="2"/>
        <v>0</v>
      </c>
    </row>
    <row r="12" spans="1:11" ht="16.5" customHeight="1" x14ac:dyDescent="0.2">
      <c r="A12" s="614">
        <v>10</v>
      </c>
      <c r="B12" s="354" t="s">
        <v>345</v>
      </c>
      <c r="C12" s="354" t="s">
        <v>569</v>
      </c>
      <c r="D12" s="354"/>
      <c r="E12" s="615">
        <v>152</v>
      </c>
      <c r="F12" s="616">
        <v>0</v>
      </c>
      <c r="G12" s="366">
        <f>SUMIF(SUMPK!$B:$B,USAGE!$B:$B,SUMPK!$O:$O)</f>
        <v>152</v>
      </c>
      <c r="H12" s="366">
        <f t="shared" ref="H12:H22" si="3">+G12-E12</f>
        <v>0</v>
      </c>
    </row>
    <row r="13" spans="1:11" ht="16.5" customHeight="1" x14ac:dyDescent="0.2">
      <c r="A13" s="614">
        <v>11</v>
      </c>
      <c r="B13" s="354" t="s">
        <v>222</v>
      </c>
      <c r="C13" s="354" t="s">
        <v>642</v>
      </c>
      <c r="D13" s="354"/>
      <c r="E13" s="615">
        <v>146</v>
      </c>
      <c r="F13" s="616">
        <v>0</v>
      </c>
      <c r="G13" s="366">
        <f>SUMIF(SUMPK!$B:$B,USAGE!$B:$B,SUMPK!$O:$O)</f>
        <v>146</v>
      </c>
      <c r="H13" s="366">
        <f t="shared" si="3"/>
        <v>0</v>
      </c>
    </row>
    <row r="14" spans="1:11" ht="16.5" customHeight="1" x14ac:dyDescent="0.2">
      <c r="A14" s="614">
        <v>12</v>
      </c>
      <c r="B14" s="354" t="s">
        <v>212</v>
      </c>
      <c r="C14" s="354" t="s">
        <v>643</v>
      </c>
      <c r="D14" s="354"/>
      <c r="E14" s="615">
        <v>591</v>
      </c>
      <c r="F14" s="616">
        <v>0</v>
      </c>
      <c r="G14" s="366">
        <f>SUMIF(SUMPK!$B:$B,USAGE!$B:$B,SUMPK!$O:$O)</f>
        <v>591</v>
      </c>
      <c r="H14" s="366">
        <f t="shared" si="3"/>
        <v>0</v>
      </c>
    </row>
    <row r="15" spans="1:11" ht="16.5" customHeight="1" x14ac:dyDescent="0.2">
      <c r="A15" s="614">
        <v>13</v>
      </c>
      <c r="B15" s="354" t="s">
        <v>66</v>
      </c>
      <c r="C15" s="354" t="s">
        <v>67</v>
      </c>
      <c r="D15" s="354"/>
      <c r="E15" s="615">
        <v>1066</v>
      </c>
      <c r="F15" s="616">
        <v>0</v>
      </c>
      <c r="G15" s="366">
        <f>SUMIF(SUMPK!$B:$B,USAGE!$B:$B,SUMPK!$O:$O)</f>
        <v>1946</v>
      </c>
      <c r="H15" s="366">
        <f t="shared" si="3"/>
        <v>880</v>
      </c>
      <c r="J15" s="474"/>
    </row>
    <row r="16" spans="1:11" ht="16.5" customHeight="1" x14ac:dyDescent="0.2">
      <c r="A16" s="614">
        <v>14</v>
      </c>
      <c r="B16" s="354" t="s">
        <v>68</v>
      </c>
      <c r="C16" s="354" t="s">
        <v>69</v>
      </c>
      <c r="D16" s="354"/>
      <c r="E16" s="615">
        <v>245</v>
      </c>
      <c r="F16" s="616">
        <v>0</v>
      </c>
      <c r="G16" s="366">
        <f>SUMIF(SUMPK!$B:$B,USAGE!$B:$B,SUMPK!$O:$O)</f>
        <v>245</v>
      </c>
      <c r="H16" s="366">
        <f t="shared" si="3"/>
        <v>0</v>
      </c>
    </row>
    <row r="17" spans="1:10" ht="16.5" customHeight="1" x14ac:dyDescent="0.2">
      <c r="A17" s="614">
        <v>15</v>
      </c>
      <c r="B17" s="354" t="s">
        <v>70</v>
      </c>
      <c r="C17" s="354" t="s">
        <v>71</v>
      </c>
      <c r="D17" s="354"/>
      <c r="E17" s="615">
        <v>646</v>
      </c>
      <c r="F17" s="616">
        <v>0</v>
      </c>
      <c r="G17" s="366">
        <f>SUMIF(SUMPK!$B:$B,USAGE!$B:$B,SUMPK!$O:$O)</f>
        <v>646</v>
      </c>
      <c r="H17" s="366">
        <f t="shared" si="3"/>
        <v>0</v>
      </c>
      <c r="J17" s="367"/>
    </row>
    <row r="18" spans="1:10" ht="16.5" customHeight="1" x14ac:dyDescent="0.2">
      <c r="A18" s="614">
        <v>16</v>
      </c>
      <c r="B18" s="354" t="s">
        <v>87</v>
      </c>
      <c r="C18" s="354" t="s">
        <v>88</v>
      </c>
      <c r="D18" s="354"/>
      <c r="E18" s="615">
        <v>2915</v>
      </c>
      <c r="F18" s="616">
        <v>0</v>
      </c>
      <c r="G18" s="366">
        <f>SUMIF(SUMPK!$B:$B,USAGE!$B:$B,SUMPK!$O:$O)</f>
        <v>2915</v>
      </c>
      <c r="H18" s="366">
        <f t="shared" si="3"/>
        <v>0</v>
      </c>
    </row>
    <row r="19" spans="1:10" ht="16.5" customHeight="1" x14ac:dyDescent="0.2">
      <c r="A19" s="614">
        <v>17</v>
      </c>
      <c r="B19" s="354" t="s">
        <v>89</v>
      </c>
      <c r="C19" s="354" t="s">
        <v>90</v>
      </c>
      <c r="D19" s="354"/>
      <c r="E19" s="615">
        <v>330</v>
      </c>
      <c r="F19" s="616">
        <v>0</v>
      </c>
      <c r="G19" s="366">
        <f>SUMIF(SUMPK!$B:$B,USAGE!$B:$B,SUMPK!$O:$O)</f>
        <v>330</v>
      </c>
      <c r="H19" s="366">
        <f t="shared" si="3"/>
        <v>0</v>
      </c>
    </row>
    <row r="20" spans="1:10" ht="16.5" customHeight="1" x14ac:dyDescent="0.2">
      <c r="A20" s="614">
        <v>18</v>
      </c>
      <c r="B20" s="354" t="s">
        <v>91</v>
      </c>
      <c r="C20" s="354" t="s">
        <v>92</v>
      </c>
      <c r="D20" s="354"/>
      <c r="E20" s="615">
        <v>722</v>
      </c>
      <c r="F20" s="616">
        <v>0</v>
      </c>
      <c r="G20" s="366">
        <f>SUMIF(SUMPK!$B:$B,USAGE!$B:$B,SUMPK!$O:$O)</f>
        <v>722</v>
      </c>
      <c r="H20" s="366">
        <f t="shared" si="3"/>
        <v>0</v>
      </c>
    </row>
    <row r="21" spans="1:10" ht="16.5" customHeight="1" x14ac:dyDescent="0.2">
      <c r="A21" s="614">
        <v>19</v>
      </c>
      <c r="B21" s="354" t="s">
        <v>107</v>
      </c>
      <c r="C21" s="354" t="s">
        <v>108</v>
      </c>
      <c r="D21" s="354"/>
      <c r="E21" s="615">
        <v>2296</v>
      </c>
      <c r="F21" s="616">
        <v>0</v>
      </c>
      <c r="G21" s="366">
        <f>SUMIF(SUMPK!$B:$B,USAGE!$B:$B,SUMPK!$O:$O)</f>
        <v>2296</v>
      </c>
      <c r="H21" s="366">
        <f t="shared" si="3"/>
        <v>0</v>
      </c>
    </row>
    <row r="22" spans="1:10" ht="16.5" customHeight="1" x14ac:dyDescent="0.2">
      <c r="A22" s="614">
        <v>20</v>
      </c>
      <c r="B22" s="354" t="s">
        <v>52</v>
      </c>
      <c r="C22" s="354" t="s">
        <v>53</v>
      </c>
      <c r="D22" s="354"/>
      <c r="E22" s="615">
        <v>344</v>
      </c>
      <c r="F22" s="616">
        <v>0</v>
      </c>
      <c r="G22" s="366">
        <f>SUMIF(SUMPK!$B:$B,USAGE!$B:$B,SUMPK!$O:$O)</f>
        <v>344</v>
      </c>
      <c r="H22" s="366">
        <f t="shared" si="3"/>
        <v>0</v>
      </c>
    </row>
    <row r="23" spans="1:10" ht="16.5" customHeight="1" x14ac:dyDescent="0.2">
      <c r="A23" s="354">
        <v>21</v>
      </c>
      <c r="B23" s="615" t="s">
        <v>109</v>
      </c>
      <c r="C23" s="616" t="s">
        <v>110</v>
      </c>
      <c r="D23" s="354"/>
      <c r="E23" s="354">
        <v>260</v>
      </c>
      <c r="F23" s="354">
        <v>0</v>
      </c>
      <c r="G23" s="366">
        <f>SUMIF(SUMPK!$B:$B,USAGE!$B:$B,SUMPK!$O:$O)</f>
        <v>260</v>
      </c>
      <c r="H23" s="366">
        <f t="shared" ref="H23:H25" si="4">+G23-E23</f>
        <v>0</v>
      </c>
    </row>
    <row r="24" spans="1:10" ht="16.5" customHeight="1" x14ac:dyDescent="0.2">
      <c r="A24" s="471">
        <v>22</v>
      </c>
      <c r="B24" s="470" t="s">
        <v>111</v>
      </c>
      <c r="C24" s="470" t="s">
        <v>112</v>
      </c>
      <c r="D24" s="470"/>
      <c r="E24" s="472">
        <v>647</v>
      </c>
      <c r="F24" s="473">
        <v>0</v>
      </c>
      <c r="G24" s="366">
        <f>SUMIF(SUMPK!$B:$B,USAGE!$B:$B,SUMPK!$O:$O)</f>
        <v>1984</v>
      </c>
      <c r="H24" s="366">
        <f t="shared" si="4"/>
        <v>1337</v>
      </c>
    </row>
    <row r="25" spans="1:10" ht="16.5" customHeight="1" x14ac:dyDescent="0.2">
      <c r="A25" s="471">
        <v>23</v>
      </c>
      <c r="B25" s="470" t="s">
        <v>117</v>
      </c>
      <c r="C25" s="470" t="s">
        <v>118</v>
      </c>
      <c r="D25" s="470"/>
      <c r="E25" s="472">
        <v>330</v>
      </c>
      <c r="F25" s="473">
        <v>0</v>
      </c>
      <c r="G25" s="366">
        <f>SUMIF(SUMPK!$B:$B,USAGE!$B:$B,SUMPK!$O:$O)</f>
        <v>330</v>
      </c>
      <c r="H25" s="366">
        <f t="shared" si="4"/>
        <v>0</v>
      </c>
    </row>
    <row r="26" spans="1:10" ht="16.5" customHeight="1" x14ac:dyDescent="0.2">
      <c r="A26" s="471">
        <v>24</v>
      </c>
      <c r="B26" s="470" t="s">
        <v>119</v>
      </c>
      <c r="C26" s="679" t="s">
        <v>120</v>
      </c>
      <c r="D26" s="470"/>
      <c r="E26" s="472">
        <v>219</v>
      </c>
      <c r="F26" s="845">
        <v>0</v>
      </c>
      <c r="G26" s="366">
        <f>SUMIF(SUMPK!$B:$B,USAGE!$B:$B,SUMPK!$O:$O)</f>
        <v>219</v>
      </c>
      <c r="H26" s="366">
        <f t="shared" ref="H26:H32" si="5">+G26-E26</f>
        <v>0</v>
      </c>
    </row>
    <row r="27" spans="1:10" ht="16.5" customHeight="1" x14ac:dyDescent="0.2">
      <c r="A27" s="471">
        <v>25</v>
      </c>
      <c r="B27" s="679" t="s">
        <v>166</v>
      </c>
      <c r="C27" s="679" t="s">
        <v>291</v>
      </c>
      <c r="D27" s="470"/>
      <c r="E27" s="472">
        <v>660</v>
      </c>
      <c r="F27" s="473">
        <v>0</v>
      </c>
      <c r="G27" s="366">
        <f>SUMIF(SUMPK!$B:$B,USAGE!$B:$B,SUMPK!$O:$O)</f>
        <v>660</v>
      </c>
      <c r="H27" s="366">
        <f t="shared" si="5"/>
        <v>0</v>
      </c>
    </row>
    <row r="28" spans="1:10" ht="16.5" customHeight="1" x14ac:dyDescent="0.2">
      <c r="A28" s="471">
        <v>26</v>
      </c>
      <c r="B28" s="470" t="s">
        <v>183</v>
      </c>
      <c r="C28" s="470" t="s">
        <v>644</v>
      </c>
      <c r="D28" s="470"/>
      <c r="E28" s="472">
        <v>276</v>
      </c>
      <c r="F28" s="473">
        <v>0</v>
      </c>
      <c r="G28" s="366">
        <f>SUMIF(SUMPK!$B:$B,USAGE!$B:$B,SUMPK!$O:$O)</f>
        <v>276</v>
      </c>
      <c r="H28" s="366">
        <f t="shared" si="5"/>
        <v>0</v>
      </c>
    </row>
    <row r="29" spans="1:10" ht="16.5" customHeight="1" x14ac:dyDescent="0.2">
      <c r="A29" s="471">
        <v>27</v>
      </c>
      <c r="B29" s="470" t="s">
        <v>338</v>
      </c>
      <c r="C29" s="470" t="s">
        <v>645</v>
      </c>
      <c r="D29" s="470"/>
      <c r="E29" s="472">
        <v>637</v>
      </c>
      <c r="F29" s="473">
        <v>0</v>
      </c>
      <c r="G29" s="366">
        <f>SUMIF(SUMPK!$B:$B,USAGE!$B:$B,SUMPK!$O:$O)</f>
        <v>637</v>
      </c>
      <c r="H29" s="366">
        <f t="shared" si="5"/>
        <v>0</v>
      </c>
    </row>
    <row r="30" spans="1:10" ht="16.5" customHeight="1" x14ac:dyDescent="0.2">
      <c r="A30" s="471">
        <v>28</v>
      </c>
      <c r="B30" s="470" t="s">
        <v>31</v>
      </c>
      <c r="C30" s="470" t="s">
        <v>32</v>
      </c>
      <c r="D30" s="470"/>
      <c r="E30" s="472">
        <v>220</v>
      </c>
      <c r="F30" s="473">
        <v>0</v>
      </c>
      <c r="G30" s="366">
        <f>SUMIF(SUMPK!$B:$B,USAGE!$B:$B,SUMPK!$O:$O)</f>
        <v>220</v>
      </c>
      <c r="H30" s="366">
        <f t="shared" si="5"/>
        <v>0</v>
      </c>
      <c r="J30" s="474"/>
    </row>
    <row r="31" spans="1:10" ht="16.5" customHeight="1" x14ac:dyDescent="0.2">
      <c r="A31" s="471">
        <v>29</v>
      </c>
      <c r="B31" s="470" t="s">
        <v>57</v>
      </c>
      <c r="C31" s="470" t="s">
        <v>570</v>
      </c>
      <c r="D31" s="470"/>
      <c r="E31" s="472">
        <v>1708</v>
      </c>
      <c r="F31" s="473">
        <v>0</v>
      </c>
      <c r="G31" s="366">
        <f>SUMIF(SUMPK!$B:$B,USAGE!$B:$B,SUMPK!$O:$O)</f>
        <v>1708</v>
      </c>
      <c r="H31" s="366">
        <f t="shared" si="5"/>
        <v>0</v>
      </c>
    </row>
    <row r="32" spans="1:10" ht="16.5" customHeight="1" x14ac:dyDescent="0.2">
      <c r="A32" s="470">
        <v>30</v>
      </c>
      <c r="B32" s="472" t="s">
        <v>443</v>
      </c>
      <c r="C32" s="473" t="s">
        <v>646</v>
      </c>
      <c r="D32" s="470"/>
      <c r="E32" s="470">
        <v>990</v>
      </c>
      <c r="F32" s="473">
        <v>0</v>
      </c>
      <c r="G32" s="366">
        <f>SUMIF(SUMPK!$B:$B,USAGE!$B:$B,SUMPK!$O:$O)</f>
        <v>990</v>
      </c>
      <c r="H32" s="366">
        <f t="shared" si="5"/>
        <v>0</v>
      </c>
    </row>
    <row r="33" spans="1:8" ht="16.5" customHeight="1" x14ac:dyDescent="0.2">
      <c r="A33" s="376">
        <v>31</v>
      </c>
      <c r="B33" s="354" t="s">
        <v>343</v>
      </c>
      <c r="C33" s="354" t="s">
        <v>647</v>
      </c>
      <c r="D33" s="354"/>
      <c r="E33" s="377">
        <v>880</v>
      </c>
      <c r="F33" s="473">
        <v>0</v>
      </c>
      <c r="G33" s="366">
        <f>SUMIF(SUMPK!$B:$B,USAGE!$B:$B,SUMPK!$O:$O)</f>
        <v>880</v>
      </c>
      <c r="H33" s="366">
        <f t="shared" ref="H33" si="6">+G33-E33</f>
        <v>0</v>
      </c>
    </row>
    <row r="34" spans="1:8" ht="16.5" customHeight="1" x14ac:dyDescent="0.2">
      <c r="A34" s="354">
        <v>32</v>
      </c>
      <c r="B34" s="377" t="s">
        <v>543</v>
      </c>
      <c r="C34" s="378" t="s">
        <v>648</v>
      </c>
      <c r="D34" s="354"/>
      <c r="E34" s="354">
        <v>311</v>
      </c>
      <c r="F34" s="473">
        <v>0</v>
      </c>
      <c r="G34" s="366">
        <f>SUMIF(SUMPK!$B:$B,USAGE!$B:$B,SUMPK!$O:$O)</f>
        <v>0</v>
      </c>
      <c r="H34" s="366">
        <f t="shared" ref="H34:H36" si="7">+G34-E34</f>
        <v>-311</v>
      </c>
    </row>
    <row r="35" spans="1:8" ht="16.5" customHeight="1" x14ac:dyDescent="0.2">
      <c r="A35" s="361">
        <v>33</v>
      </c>
      <c r="B35" s="354" t="s">
        <v>542</v>
      </c>
      <c r="C35" s="354" t="s">
        <v>649</v>
      </c>
      <c r="D35" s="354"/>
      <c r="E35" s="356">
        <v>598</v>
      </c>
      <c r="F35" s="473">
        <v>0</v>
      </c>
      <c r="G35" s="366">
        <f>SUMIF(SUMPK!$B:$B,USAGE!$B:$B,SUMPK!$O:$O)</f>
        <v>0</v>
      </c>
      <c r="H35" s="366">
        <f t="shared" si="7"/>
        <v>-598</v>
      </c>
    </row>
    <row r="36" spans="1:8" ht="16.5" customHeight="1" x14ac:dyDescent="0.2">
      <c r="A36" s="354" t="s">
        <v>22</v>
      </c>
      <c r="B36" s="356">
        <v>34612</v>
      </c>
      <c r="C36" s="617">
        <v>0</v>
      </c>
      <c r="D36" s="354" t="s">
        <v>172</v>
      </c>
      <c r="E36" s="354" t="s">
        <v>173</v>
      </c>
      <c r="F36" s="354" t="s">
        <v>174</v>
      </c>
      <c r="G36" s="366">
        <f>SUMIF(SUMPK!$B:$B,USAGE!$B:$B,SUMPK!$O:$O)</f>
        <v>0</v>
      </c>
      <c r="H36" s="366" t="e">
        <f t="shared" si="7"/>
        <v>#VALUE!</v>
      </c>
    </row>
    <row r="37" spans="1:8" x14ac:dyDescent="0.2"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8">+G52-E52</f>
        <v>0</v>
      </c>
    </row>
    <row r="53" spans="7:8" x14ac:dyDescent="0.2">
      <c r="G53" s="366">
        <f>SUMIF(SUMPK!$B:$B,USAGE!$B:$B,SUMPK!$O:$O)</f>
        <v>0</v>
      </c>
      <c r="H53" s="366">
        <f t="shared" si="8"/>
        <v>0</v>
      </c>
    </row>
    <row r="54" spans="7:8" x14ac:dyDescent="0.2">
      <c r="G54" s="366">
        <f>SUMIF(SUMPK!$B:$B,USAGE!$B:$B,SUMPK!$O:$O)</f>
        <v>0</v>
      </c>
      <c r="H54" s="366">
        <f t="shared" si="8"/>
        <v>0</v>
      </c>
    </row>
    <row r="55" spans="7:8" x14ac:dyDescent="0.2">
      <c r="G55" s="366">
        <f>SUMIF(SUMPK!$B:$B,USAGE!$B:$B,SUMPK!$O:$O)</f>
        <v>0</v>
      </c>
      <c r="H55" s="366">
        <f t="shared" si="8"/>
        <v>0</v>
      </c>
    </row>
    <row r="56" spans="7:8" x14ac:dyDescent="0.2">
      <c r="G56" s="366">
        <f>SUMIF(SUMPK!$B:$B,USAGE!$B:$B,SUMPK!$O:$O)</f>
        <v>0</v>
      </c>
      <c r="H56" s="366">
        <f t="shared" si="8"/>
        <v>0</v>
      </c>
    </row>
    <row r="57" spans="7:8" x14ac:dyDescent="0.2">
      <c r="G57" s="366">
        <f>SUMIF(SUMPK!$B:$B,USAGE!$B:$B,SUMPK!$O:$O)</f>
        <v>0</v>
      </c>
      <c r="H57" s="366">
        <f t="shared" si="8"/>
        <v>0</v>
      </c>
    </row>
    <row r="58" spans="7:8" x14ac:dyDescent="0.2">
      <c r="G58" s="366">
        <f>SUMIF(SUMPK!$B:$B,USAGE!$B:$B,SUMPK!$O:$O)</f>
        <v>0</v>
      </c>
      <c r="H58" s="366">
        <f t="shared" si="8"/>
        <v>0</v>
      </c>
    </row>
    <row r="59" spans="7:8" x14ac:dyDescent="0.2">
      <c r="G59" s="366">
        <f>SUMIF(SUMPK!$B:$B,USAGE!$B:$B,SUMPK!$O:$O)</f>
        <v>0</v>
      </c>
      <c r="H59" s="366">
        <f t="shared" si="8"/>
        <v>0</v>
      </c>
    </row>
    <row r="60" spans="7:8" x14ac:dyDescent="0.2">
      <c r="G60" s="366">
        <f>SUMIF(SUMPK!$B:$B,USAGE!$B:$B,SUMPK!$O:$O)</f>
        <v>0</v>
      </c>
      <c r="H60" s="366">
        <f t="shared" si="8"/>
        <v>0</v>
      </c>
    </row>
    <row r="61" spans="7:8" x14ac:dyDescent="0.2">
      <c r="G61" s="366">
        <f>SUMIF(SUMPK!$B:$B,USAGE!$B:$B,SUMPK!$O:$O)</f>
        <v>0</v>
      </c>
      <c r="H61" s="366">
        <f t="shared" si="8"/>
        <v>0</v>
      </c>
    </row>
    <row r="62" spans="7:8" x14ac:dyDescent="0.2">
      <c r="G62" s="366">
        <f>SUMIF(SUMPK!$B:$B,USAGE!$B:$B,SUMPK!$O:$O)</f>
        <v>0</v>
      </c>
      <c r="H62" s="366">
        <f t="shared" si="8"/>
        <v>0</v>
      </c>
    </row>
    <row r="63" spans="7:8" x14ac:dyDescent="0.2">
      <c r="G63" s="366">
        <f>SUMIF(SUMPK!$B:$B,USAGE!$B:$B,SUMPK!$O:$O)</f>
        <v>0</v>
      </c>
      <c r="H63" s="366">
        <f t="shared" si="8"/>
        <v>0</v>
      </c>
    </row>
    <row r="64" spans="7:8" x14ac:dyDescent="0.2">
      <c r="G64" s="366">
        <f>SUMIF(SUMPK!$B:$B,USAGE!$B:$B,SUMPK!$O:$O)</f>
        <v>0</v>
      </c>
      <c r="H64" s="366">
        <f t="shared" si="8"/>
        <v>0</v>
      </c>
    </row>
    <row r="65" spans="7:8" x14ac:dyDescent="0.2">
      <c r="G65" s="366">
        <f>SUMIF(SUMPK!$B:$B,USAGE!$B:$B,SUMPK!$O:$O)</f>
        <v>0</v>
      </c>
      <c r="H65" s="366">
        <f t="shared" si="8"/>
        <v>0</v>
      </c>
    </row>
    <row r="66" spans="7:8" x14ac:dyDescent="0.2">
      <c r="G66" s="366">
        <f>SUMIF(SUMPK!$B:$B,USAGE!$B:$B,SUMPK!$O:$O)</f>
        <v>0</v>
      </c>
      <c r="H66" s="366">
        <f t="shared" si="8"/>
        <v>0</v>
      </c>
    </row>
    <row r="67" spans="7:8" x14ac:dyDescent="0.2">
      <c r="G67" s="366">
        <f>SUMIF(SUMPK!$B:$B,USAGE!$B:$B,SUMPK!$O:$O)</f>
        <v>0</v>
      </c>
      <c r="H67" s="366">
        <f t="shared" si="8"/>
        <v>0</v>
      </c>
    </row>
    <row r="68" spans="7:8" x14ac:dyDescent="0.2">
      <c r="G68" s="366">
        <f>SUMIF(SUMPK!$B:$B,USAGE!$B:$B,SUMPK!$O:$O)</f>
        <v>0</v>
      </c>
      <c r="H68" s="366">
        <f t="shared" si="8"/>
        <v>0</v>
      </c>
    </row>
    <row r="69" spans="7:8" x14ac:dyDescent="0.2">
      <c r="G69" s="366">
        <f>SUMIF(SUMPK!$B:$B,USAGE!$B:$B,SUMPK!$O:$O)</f>
        <v>0</v>
      </c>
      <c r="H69" s="366">
        <f t="shared" si="8"/>
        <v>0</v>
      </c>
    </row>
    <row r="70" spans="7:8" x14ac:dyDescent="0.2">
      <c r="G70" s="366">
        <f>SUMIF(SUMPK!$B:$B,USAGE!$B:$B,SUMPK!$O:$O)</f>
        <v>0</v>
      </c>
      <c r="H70" s="366">
        <f t="shared" si="8"/>
        <v>0</v>
      </c>
    </row>
    <row r="71" spans="7:8" x14ac:dyDescent="0.2">
      <c r="G71" s="366">
        <f>SUMIF(SUMPK!$B:$B,USAGE!$B:$B,SUMPK!$O:$O)</f>
        <v>0</v>
      </c>
      <c r="H71" s="366">
        <f t="shared" si="8"/>
        <v>0</v>
      </c>
    </row>
    <row r="72" spans="7:8" x14ac:dyDescent="0.2">
      <c r="G72" s="366">
        <f>SUMIF(SUMPK!$B:$B,USAGE!$B:$B,SUMPK!$O:$O)</f>
        <v>0</v>
      </c>
      <c r="H72" s="366">
        <f t="shared" si="8"/>
        <v>0</v>
      </c>
    </row>
    <row r="73" spans="7:8" x14ac:dyDescent="0.2">
      <c r="G73" s="366">
        <f>SUMIF(SUMPK!$B:$B,USAGE!$B:$B,SUMPK!$O:$O)</f>
        <v>0</v>
      </c>
      <c r="H73" s="366">
        <f t="shared" si="8"/>
        <v>0</v>
      </c>
    </row>
    <row r="74" spans="7:8" x14ac:dyDescent="0.2">
      <c r="G74" s="366">
        <f>SUMIF(SUMPK!$B:$B,USAGE!$B:$B,SUMPK!$O:$O)</f>
        <v>0</v>
      </c>
      <c r="H74" s="366">
        <f t="shared" si="8"/>
        <v>0</v>
      </c>
    </row>
    <row r="75" spans="7:8" x14ac:dyDescent="0.2">
      <c r="G75" s="366">
        <f>SUMIF(SUMPK!$B:$B,USAGE!$B:$B,SUMPK!$O:$O)</f>
        <v>0</v>
      </c>
      <c r="H75" s="366">
        <f t="shared" si="8"/>
        <v>0</v>
      </c>
    </row>
    <row r="76" spans="7:8" x14ac:dyDescent="0.2">
      <c r="G76" s="366">
        <f>SUMIF(SUMPK!$B:$B,USAGE!$B:$B,SUMPK!$O:$O)</f>
        <v>0</v>
      </c>
      <c r="H76" s="366">
        <f t="shared" si="8"/>
        <v>0</v>
      </c>
    </row>
    <row r="77" spans="7:8" x14ac:dyDescent="0.2">
      <c r="G77" s="366">
        <f>SUMIF(SUMPK!$B:$B,USAGE!$B:$B,SUMPK!$O:$O)</f>
        <v>0</v>
      </c>
      <c r="H77" s="366">
        <f t="shared" si="8"/>
        <v>0</v>
      </c>
    </row>
    <row r="78" spans="7:8" x14ac:dyDescent="0.2">
      <c r="G78" s="366">
        <f>SUMIF(SUMPK!$B:$B,USAGE!$B:$B,SUMPK!$O:$O)</f>
        <v>0</v>
      </c>
      <c r="H78" s="366">
        <f t="shared" si="8"/>
        <v>0</v>
      </c>
    </row>
    <row r="79" spans="7:8" x14ac:dyDescent="0.2">
      <c r="G79" s="366">
        <f>SUMIF(SUMPK!$B:$B,USAGE!$B:$B,SUMPK!$O:$O)</f>
        <v>0</v>
      </c>
      <c r="H79" s="366">
        <f t="shared" si="8"/>
        <v>0</v>
      </c>
    </row>
    <row r="80" spans="7:8" x14ac:dyDescent="0.2">
      <c r="G80" s="366">
        <f>SUMIF(SUMPK!$B:$B,USAGE!$B:$B,SUMPK!$O:$O)</f>
        <v>0</v>
      </c>
      <c r="H80" s="366">
        <f t="shared" si="8"/>
        <v>0</v>
      </c>
    </row>
    <row r="81" spans="7:8" x14ac:dyDescent="0.2">
      <c r="G81" s="366">
        <f>SUMIF(SUMPK!$B:$B,USAGE!$B:$B,SUMPK!$O:$O)</f>
        <v>0</v>
      </c>
      <c r="H81" s="366">
        <f t="shared" si="8"/>
        <v>0</v>
      </c>
    </row>
    <row r="82" spans="7:8" x14ac:dyDescent="0.2">
      <c r="G82" s="366">
        <f>SUMIF(SUMPK!$B:$B,USAGE!$B:$B,SUMPK!$O:$O)</f>
        <v>0</v>
      </c>
      <c r="H82" s="366">
        <f t="shared" si="8"/>
        <v>0</v>
      </c>
    </row>
    <row r="83" spans="7:8" x14ac:dyDescent="0.2">
      <c r="G83" s="366">
        <f>SUMIF(SUMPK!$B:$B,USAGE!$B:$B,SUMPK!$O:$O)</f>
        <v>0</v>
      </c>
      <c r="H83" s="366">
        <f t="shared" si="8"/>
        <v>0</v>
      </c>
    </row>
    <row r="84" spans="7:8" x14ac:dyDescent="0.2">
      <c r="G84" s="366">
        <f>SUMIF(SUMPK!$B:$B,USAGE!$B:$B,SUMPK!$O:$O)</f>
        <v>0</v>
      </c>
      <c r="H84" s="366">
        <f t="shared" si="8"/>
        <v>0</v>
      </c>
    </row>
    <row r="85" spans="7:8" x14ac:dyDescent="0.2">
      <c r="G85" s="366">
        <f>SUMIF(SUMPK!$B:$B,USAGE!$B:$B,SUMPK!$O:$O)</f>
        <v>0</v>
      </c>
      <c r="H85" s="366">
        <f t="shared" si="8"/>
        <v>0</v>
      </c>
    </row>
    <row r="86" spans="7:8" x14ac:dyDescent="0.2">
      <c r="G86" s="366">
        <f>SUMIF(SUMPK!$B:$B,USAGE!$B:$B,SUMPK!$O:$O)</f>
        <v>0</v>
      </c>
      <c r="H86" s="366">
        <f t="shared" si="8"/>
        <v>0</v>
      </c>
    </row>
    <row r="87" spans="7:8" x14ac:dyDescent="0.2">
      <c r="G87" s="366">
        <f>SUMIF(SUMPK!$B:$B,USAGE!$B:$B,SUMPK!$O:$O)</f>
        <v>0</v>
      </c>
      <c r="H87" s="366">
        <f t="shared" si="8"/>
        <v>0</v>
      </c>
    </row>
    <row r="88" spans="7:8" x14ac:dyDescent="0.2">
      <c r="G88" s="366">
        <f>SUMIF(SUMPK!$B:$B,USAGE!$B:$B,SUMPK!$O:$O)</f>
        <v>0</v>
      </c>
      <c r="H88" s="366">
        <f t="shared" si="8"/>
        <v>0</v>
      </c>
    </row>
    <row r="89" spans="7:8" x14ac:dyDescent="0.2">
      <c r="G89" s="366">
        <f>SUMIF(SUMPK!$B:$B,USAGE!$B:$B,SUMPK!$O:$O)</f>
        <v>0</v>
      </c>
      <c r="H89" s="366">
        <f t="shared" si="8"/>
        <v>0</v>
      </c>
    </row>
    <row r="90" spans="7:8" x14ac:dyDescent="0.2">
      <c r="G90" s="366">
        <f>SUMIF(SUMPK!$B:$B,USAGE!$B:$B,SUMPK!$O:$O)</f>
        <v>0</v>
      </c>
      <c r="H90" s="366">
        <f t="shared" si="8"/>
        <v>0</v>
      </c>
    </row>
    <row r="91" spans="7:8" x14ac:dyDescent="0.2">
      <c r="G91" s="366">
        <f>SUMIF(SUMPK!$B:$B,USAGE!$B:$B,SUMPK!$O:$O)</f>
        <v>0</v>
      </c>
      <c r="H91" s="366">
        <f t="shared" si="8"/>
        <v>0</v>
      </c>
    </row>
    <row r="92" spans="7:8" x14ac:dyDescent="0.2">
      <c r="G92" s="366">
        <f>SUMIF(SUMPK!$B:$B,USAGE!$B:$B,SUMPK!$O:$O)</f>
        <v>0</v>
      </c>
      <c r="H92" s="366">
        <f t="shared" si="8"/>
        <v>0</v>
      </c>
    </row>
    <row r="93" spans="7:8" x14ac:dyDescent="0.2">
      <c r="G93" s="366">
        <f>SUMIF(SUMPK!$B:$B,USAGE!$B:$B,SUMPK!$O:$O)</f>
        <v>0</v>
      </c>
      <c r="H93" s="366">
        <f t="shared" si="8"/>
        <v>0</v>
      </c>
    </row>
    <row r="94" spans="7:8" x14ac:dyDescent="0.2">
      <c r="G94" s="366">
        <f>SUMIF(SUMPK!$B:$B,USAGE!$B:$B,SUMPK!$O:$O)</f>
        <v>0</v>
      </c>
      <c r="H94" s="366">
        <f t="shared" si="8"/>
        <v>0</v>
      </c>
    </row>
    <row r="95" spans="7:8" x14ac:dyDescent="0.2">
      <c r="G95" s="366">
        <f>SUMIF(SUMPK!$B:$B,USAGE!$B:$B,SUMPK!$O:$O)</f>
        <v>0</v>
      </c>
      <c r="H95" s="366">
        <f t="shared" si="8"/>
        <v>0</v>
      </c>
    </row>
    <row r="96" spans="7:8" x14ac:dyDescent="0.2">
      <c r="G96" s="366">
        <f>SUMIF(SUMPK!$B:$B,USAGE!$B:$B,SUMPK!$O:$O)</f>
        <v>0</v>
      </c>
      <c r="H96" s="366">
        <f t="shared" si="8"/>
        <v>0</v>
      </c>
    </row>
    <row r="97" spans="7:8" x14ac:dyDescent="0.2">
      <c r="G97" s="366">
        <f>SUMIF(SUMPK!$B:$B,USAGE!$B:$B,SUMPK!$O:$O)</f>
        <v>0</v>
      </c>
      <c r="H97" s="366">
        <f t="shared" ref="H97" si="9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3" priority="4">
      <formula>MOD(ROW(),2)</formula>
    </cfRule>
  </conditionalFormatting>
  <conditionalFormatting sqref="I2:XFD158 A44:H134 A2:F43 G1:H43">
    <cfRule type="expression" dxfId="2" priority="7">
      <formula>MOD(ROW(),2)</formula>
    </cfRule>
  </conditionalFormatting>
  <conditionalFormatting sqref="H1:H1048576">
    <cfRule type="cellIs" dxfId="1" priority="1" operator="equal">
      <formula>" &gt;0 or &lt;0"</formula>
    </cfRule>
    <cfRule type="cellIs" dxfId="0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6A2B5E2A-FD5A-454F-AB04-34C9E31B2829}"/>
</file>

<file path=customXml/itemProps2.xml><?xml version="1.0" encoding="utf-8"?>
<ds:datastoreItem xmlns:ds="http://schemas.openxmlformats.org/officeDocument/2006/customXml" ds:itemID="{5A34AAE3-DA03-4B1F-913D-9F0A44E8DF20}"/>
</file>

<file path=customXml/itemProps3.xml><?xml version="1.0" encoding="utf-8"?>
<ds:datastoreItem xmlns:ds="http://schemas.openxmlformats.org/officeDocument/2006/customXml" ds:itemID="{A8AC7023-6CB2-4A87-9B76-50C43E36CAA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2026-05-04T06:23:09Z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0x0101007671B50330516B4E84A9D4416D1294DF</vt:lpwstr>
  </property>
</Properties>
</file>