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49ABA65F-F831-46A9-8189-D7ABDEA083E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91" i="25"/>
  <c r="G102" i="25"/>
  <c r="G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G23" i="25"/>
  <c r="C24" i="22"/>
  <c r="B24" i="22" s="1"/>
  <c r="A24" i="22" s="1"/>
  <c r="C25" i="22"/>
  <c r="B25" i="22" s="1"/>
  <c r="A25" i="22" s="1"/>
  <c r="B26" i="22"/>
  <c r="A26" i="22" s="1"/>
  <c r="C26" i="22"/>
  <c r="C27" i="22"/>
  <c r="B27" i="22" s="1"/>
  <c r="A27" i="22" s="1"/>
  <c r="C28" i="22"/>
  <c r="B28" i="22" s="1"/>
  <c r="A28" i="22" s="1"/>
  <c r="C29" i="22"/>
  <c r="B29" i="22" s="1"/>
  <c r="A29" i="22" s="1"/>
  <c r="L58" i="18"/>
  <c r="M58" i="18" s="1"/>
  <c r="L59" i="18"/>
  <c r="M59" i="18" s="1"/>
  <c r="F85" i="17"/>
  <c r="H2" i="23"/>
  <c r="X39" i="17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/>
  <c r="FAN10" i="15"/>
  <c r="FAO10" i="15" s="1"/>
  <c r="FAN11" i="15"/>
  <c r="FAO11" i="15" s="1"/>
  <c r="FAN12" i="15"/>
  <c r="FAO12" i="15"/>
  <c r="FAN13" i="15"/>
  <c r="FAO13" i="15"/>
  <c r="FAN14" i="15"/>
  <c r="FAO14" i="15"/>
  <c r="FAN15" i="15"/>
  <c r="FAO15" i="15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/>
  <c r="EMW12" i="19"/>
  <c r="EMX12" i="19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/>
  <c r="EZW40" i="18"/>
  <c r="EZX40" i="18" s="1"/>
  <c r="EZW41" i="18"/>
  <c r="EZX41" i="18" s="1"/>
  <c r="EZW42" i="18"/>
  <c r="EZX42" i="18" s="1"/>
  <c r="EZW43" i="18"/>
  <c r="EZX43" i="18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/>
  <c r="EZW55" i="18"/>
  <c r="EZX55" i="18"/>
  <c r="EZW56" i="18"/>
  <c r="EZX56" i="18" s="1"/>
  <c r="EZW57" i="18"/>
  <c r="EZX57" i="18"/>
  <c r="EZW60" i="18"/>
  <c r="EZX60" i="18"/>
  <c r="EZW61" i="18"/>
  <c r="EZX61" i="18" s="1"/>
  <c r="EZW30" i="18"/>
  <c r="EZX30" i="18" s="1"/>
  <c r="EZW8" i="18"/>
  <c r="EZX8" i="18" s="1"/>
  <c r="EZW9" i="18"/>
  <c r="EZX9" i="18" s="1"/>
  <c r="EZW10" i="18"/>
  <c r="EZX10" i="18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/>
  <c r="EZW18" i="18"/>
  <c r="EZX18" i="18" s="1"/>
  <c r="EZW19" i="18"/>
  <c r="EZX19" i="18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/>
  <c r="HQ21" i="17"/>
  <c r="HR21" i="17"/>
  <c r="HQ22" i="17"/>
  <c r="HR22" i="17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 s="1"/>
  <c r="HQ52" i="17"/>
  <c r="HR52" i="17"/>
  <c r="HQ53" i="17"/>
  <c r="HR53" i="17"/>
  <c r="HQ54" i="17"/>
  <c r="HR54" i="17" s="1"/>
  <c r="HQ55" i="17"/>
  <c r="HR55" i="17" s="1"/>
  <c r="HQ56" i="17"/>
  <c r="HR56" i="17" s="1"/>
  <c r="HQ57" i="17"/>
  <c r="HR57" i="17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/>
  <c r="HQ64" i="17"/>
  <c r="HR64" i="17" s="1"/>
  <c r="HQ65" i="17"/>
  <c r="HR65" i="17"/>
  <c r="HQ66" i="17"/>
  <c r="HR66" i="17"/>
  <c r="HQ67" i="17"/>
  <c r="HR67" i="17" s="1"/>
  <c r="HQ68" i="17"/>
  <c r="HR68" i="17" s="1"/>
  <c r="HQ69" i="17"/>
  <c r="HR69" i="17" s="1"/>
  <c r="HQ70" i="17"/>
  <c r="HR70" i="17"/>
  <c r="HQ71" i="17"/>
  <c r="HR71" i="17" s="1"/>
  <c r="HQ72" i="17"/>
  <c r="HR72" i="17"/>
  <c r="HQ73" i="17"/>
  <c r="HR73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W60" i="18"/>
  <c r="W61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3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9" i="25" l="1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G25" i="23" l="1"/>
  <c r="H25" i="23" s="1"/>
  <c r="G26" i="23"/>
  <c r="H26" i="23" s="1"/>
  <c r="G27" i="23"/>
  <c r="H27" i="23" s="1"/>
  <c r="G28" i="23"/>
  <c r="H28" i="23" s="1"/>
  <c r="G29" i="23"/>
  <c r="H29" i="23" s="1"/>
  <c r="J35" i="18"/>
  <c r="J8" i="15"/>
  <c r="J36" i="18"/>
  <c r="J57" i="18"/>
  <c r="L57" i="18" s="1"/>
  <c r="M57" i="18" s="1"/>
  <c r="G101" i="25" s="1"/>
  <c r="J32" i="17"/>
  <c r="J53" i="17"/>
  <c r="L53" i="17" s="1"/>
  <c r="M53" i="17" s="1"/>
  <c r="G39" i="25" s="1"/>
  <c r="J37" i="18"/>
  <c r="J57" i="17"/>
  <c r="J42" i="18"/>
  <c r="J19" i="17"/>
  <c r="L19" i="17" s="1"/>
  <c r="J61" i="17"/>
  <c r="J25" i="17"/>
  <c r="J66" i="17"/>
  <c r="J9" i="15"/>
  <c r="J10" i="15"/>
  <c r="J38" i="18"/>
  <c r="J14" i="17"/>
  <c r="L14" i="17" s="1"/>
  <c r="J35" i="17"/>
  <c r="J42" i="17"/>
  <c r="L42" i="17" s="1"/>
  <c r="M42" i="17" s="1"/>
  <c r="G30" i="25" s="1"/>
  <c r="J11" i="15"/>
  <c r="J12" i="15"/>
  <c r="J40" i="18"/>
  <c r="J16" i="17"/>
  <c r="L16" i="17" s="1"/>
  <c r="J21" i="17"/>
  <c r="L21" i="17" s="1"/>
  <c r="J13" i="15"/>
  <c r="J41" i="18"/>
  <c r="J14" i="15"/>
  <c r="J15" i="15"/>
  <c r="J16" i="15"/>
  <c r="J17" i="15"/>
  <c r="J45" i="18"/>
  <c r="J18" i="15"/>
  <c r="L18" i="15" s="1"/>
  <c r="M18" i="15" s="1"/>
  <c r="G134" i="25" s="1"/>
  <c r="J46" i="18"/>
  <c r="J22" i="17"/>
  <c r="L22" i="17" s="1"/>
  <c r="J43" i="17"/>
  <c r="L43" i="17" s="1"/>
  <c r="M43" i="17" s="1"/>
  <c r="G31" i="25" s="1"/>
  <c r="J63" i="17"/>
  <c r="J48" i="18"/>
  <c r="J23" i="17"/>
  <c r="L23" i="17" s="1"/>
  <c r="J44" i="17"/>
  <c r="L44" i="17" s="1"/>
  <c r="M44" i="17" s="1"/>
  <c r="J64" i="17"/>
  <c r="J49" i="18"/>
  <c r="J24" i="17"/>
  <c r="L24" i="17" s="1"/>
  <c r="J45" i="17"/>
  <c r="L45" i="17" s="1"/>
  <c r="M45" i="17" s="1"/>
  <c r="O45" i="17" s="1"/>
  <c r="J65" i="17"/>
  <c r="J50" i="18"/>
  <c r="J19" i="15"/>
  <c r="J20" i="15"/>
  <c r="J21" i="15"/>
  <c r="J22" i="15"/>
  <c r="J51" i="18"/>
  <c r="J26" i="17"/>
  <c r="J47" i="17"/>
  <c r="L47" i="17" s="1"/>
  <c r="M47" i="17" s="1"/>
  <c r="G33" i="25" s="1"/>
  <c r="J67" i="17"/>
  <c r="J53" i="18"/>
  <c r="J52" i="17"/>
  <c r="L52" i="17" s="1"/>
  <c r="M52" i="17" s="1"/>
  <c r="G38" i="25" s="1"/>
  <c r="J36" i="17"/>
  <c r="J37" i="17"/>
  <c r="J58" i="17"/>
  <c r="J59" i="17"/>
  <c r="J43" i="18"/>
  <c r="J41" i="17"/>
  <c r="L41" i="17" s="1"/>
  <c r="M41" i="17" s="1"/>
  <c r="G29" i="25" s="1"/>
  <c r="J31" i="18"/>
  <c r="J52" i="18"/>
  <c r="J27" i="17"/>
  <c r="J48" i="17"/>
  <c r="L48" i="17" s="1"/>
  <c r="M48" i="17" s="1"/>
  <c r="G34" i="25" s="1"/>
  <c r="G24" i="23"/>
  <c r="H24" i="23" s="1"/>
  <c r="J28" i="17"/>
  <c r="J49" i="17"/>
  <c r="L49" i="17" s="1"/>
  <c r="M49" i="17" s="1"/>
  <c r="G35" i="25" s="1"/>
  <c r="J34" i="17"/>
  <c r="J55" i="17"/>
  <c r="J15" i="17"/>
  <c r="L15" i="17" s="1"/>
  <c r="J56" i="17"/>
  <c r="J38" i="17"/>
  <c r="L38" i="17" s="1"/>
  <c r="M38" i="17" s="1"/>
  <c r="G28" i="25" s="1"/>
  <c r="J39" i="17"/>
  <c r="L39" i="17" s="1"/>
  <c r="M39" i="17" s="1"/>
  <c r="J40" i="17"/>
  <c r="L40" i="17" s="1"/>
  <c r="M40" i="17" s="1"/>
  <c r="J44" i="18"/>
  <c r="J46" i="17"/>
  <c r="L46" i="17" s="1"/>
  <c r="M46" i="17" s="1"/>
  <c r="G32" i="25" s="1"/>
  <c r="J32" i="18"/>
  <c r="J33" i="18"/>
  <c r="J54" i="18"/>
  <c r="J29" i="17"/>
  <c r="J50" i="17"/>
  <c r="L50" i="17" s="1"/>
  <c r="M50" i="17" s="1"/>
  <c r="G36" i="25" s="1"/>
  <c r="J55" i="18"/>
  <c r="L55" i="18" s="1"/>
  <c r="M55" i="18" s="1"/>
  <c r="G99" i="25" s="1"/>
  <c r="J30" i="17"/>
  <c r="J51" i="17"/>
  <c r="L51" i="17" s="1"/>
  <c r="M51" i="17" s="1"/>
  <c r="G37" i="25" s="1"/>
  <c r="J56" i="18"/>
  <c r="L56" i="18" s="1"/>
  <c r="M56" i="18" s="1"/>
  <c r="G100" i="25" s="1"/>
  <c r="J31" i="17"/>
  <c r="J13" i="17"/>
  <c r="L13" i="17" s="1"/>
  <c r="J54" i="17"/>
  <c r="L54" i="17" s="1"/>
  <c r="M54" i="17" s="1"/>
  <c r="G40" i="25" s="1"/>
  <c r="J39" i="18"/>
  <c r="J17" i="17"/>
  <c r="L17" i="17" s="1"/>
  <c r="J18" i="17"/>
  <c r="L18" i="17" s="1"/>
  <c r="J60" i="17"/>
  <c r="J20" i="17"/>
  <c r="L20" i="17" s="1"/>
  <c r="J62" i="17"/>
  <c r="J34" i="18"/>
  <c r="J70" i="17"/>
  <c r="J68" i="17"/>
  <c r="J71" i="17"/>
  <c r="J23" i="15"/>
  <c r="G33" i="23"/>
  <c r="H33" i="23" s="1"/>
  <c r="J69" i="17"/>
  <c r="G18" i="23"/>
  <c r="H18" i="23" s="1"/>
  <c r="G5" i="23"/>
  <c r="H5" i="23" s="1"/>
  <c r="G6" i="23"/>
  <c r="H6" i="23" s="1"/>
  <c r="G23" i="23"/>
  <c r="H23" i="23" s="1"/>
  <c r="G13" i="23"/>
  <c r="H13" i="23" s="1"/>
  <c r="G15" i="23"/>
  <c r="H15" i="23" s="1"/>
  <c r="G3" i="23"/>
  <c r="H3" i="23" s="1"/>
  <c r="G20" i="23"/>
  <c r="H20" i="23" s="1"/>
  <c r="G7" i="23"/>
  <c r="H7" i="23" s="1"/>
  <c r="G9" i="23"/>
  <c r="H9" i="23" s="1"/>
  <c r="G17" i="23"/>
  <c r="H17" i="23" s="1"/>
  <c r="G19" i="23"/>
  <c r="H19" i="23" s="1"/>
  <c r="G4" i="23"/>
  <c r="H4" i="23" s="1"/>
  <c r="G21" i="23"/>
  <c r="H21" i="23" s="1"/>
  <c r="G22" i="23"/>
  <c r="H22" i="23" s="1"/>
  <c r="G10" i="23"/>
  <c r="H10" i="23" s="1"/>
  <c r="G11" i="23"/>
  <c r="H11" i="23" s="1"/>
  <c r="G8" i="23"/>
  <c r="H8" i="23" s="1"/>
  <c r="G12" i="23"/>
  <c r="H12" i="23" s="1"/>
  <c r="G14" i="23"/>
  <c r="H14" i="23" s="1"/>
  <c r="G16" i="23"/>
  <c r="H16" i="23" s="1"/>
  <c r="J13" i="19"/>
  <c r="J8" i="19"/>
  <c r="L8" i="19" s="1"/>
  <c r="M8" i="19" s="1"/>
  <c r="G108" i="25" s="1"/>
  <c r="J9" i="19"/>
  <c r="L9" i="19" s="1"/>
  <c r="M9" i="19" s="1"/>
  <c r="G109" i="25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G104" i="25" s="1"/>
  <c r="J61" i="18"/>
  <c r="L61" i="18" s="1"/>
  <c r="M61" i="18" s="1"/>
  <c r="G105" i="25" s="1"/>
  <c r="J72" i="17"/>
  <c r="J73" i="17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1" i="17"/>
  <c r="U51" i="17"/>
  <c r="O41" i="17"/>
  <c r="W41" i="17"/>
  <c r="U41" i="17"/>
  <c r="R41" i="17"/>
  <c r="O44" i="17"/>
  <c r="W44" i="17"/>
  <c r="R44" i="17"/>
  <c r="R74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5" i="25" s="1"/>
  <c r="L10" i="19"/>
  <c r="M10" i="19" s="1"/>
  <c r="G110" i="25" s="1"/>
  <c r="L11" i="19"/>
  <c r="L12" i="19"/>
  <c r="M12" i="19" s="1"/>
  <c r="G112" i="25" s="1"/>
  <c r="L13" i="19"/>
  <c r="M13" i="19" s="1"/>
  <c r="G113" i="25" s="1"/>
  <c r="L14" i="19"/>
  <c r="L47" i="18"/>
  <c r="M47" i="18" s="1"/>
  <c r="J30" i="18"/>
  <c r="J62" i="18" s="1"/>
  <c r="L16" i="19"/>
  <c r="M16" i="19" s="1"/>
  <c r="G116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3" i="18"/>
  <c r="J9" i="20" s="1"/>
  <c r="J16" i="20" s="1"/>
  <c r="O62" i="17"/>
  <c r="M31" i="18"/>
  <c r="G75" i="25" s="1"/>
  <c r="O72" i="17"/>
  <c r="M67" i="17"/>
  <c r="G53" i="25" s="1"/>
  <c r="H8" i="20"/>
  <c r="M7" i="19"/>
  <c r="G107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6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30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1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3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4" i="25" s="1"/>
  <c r="M10" i="15"/>
  <c r="G126" i="25" s="1"/>
  <c r="M11" i="15"/>
  <c r="G127" i="25" s="1"/>
  <c r="M12" i="15"/>
  <c r="G128" i="25" s="1"/>
  <c r="M13" i="15"/>
  <c r="G129" i="25" s="1"/>
  <c r="M17" i="15"/>
  <c r="G133" i="25" s="1"/>
  <c r="M19" i="15"/>
  <c r="G135" i="25" s="1"/>
  <c r="M21" i="15"/>
  <c r="G137" i="25" s="1"/>
  <c r="M22" i="15"/>
  <c r="G138" i="25" s="1"/>
  <c r="M23" i="15"/>
  <c r="G139" i="25" s="1"/>
  <c r="M26" i="19"/>
  <c r="G118" i="25" s="1"/>
  <c r="M27" i="19"/>
  <c r="G119" i="25" s="1"/>
  <c r="M28" i="19"/>
  <c r="G120" i="25" s="1"/>
  <c r="M29" i="19"/>
  <c r="G121" i="25" s="1"/>
  <c r="M25" i="19"/>
  <c r="G117" i="25" s="1"/>
  <c r="M14" i="19"/>
  <c r="G114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2" i="25" s="1"/>
  <c r="O7" i="18"/>
  <c r="M9" i="15"/>
  <c r="G125" i="25" s="1"/>
  <c r="M15" i="15"/>
  <c r="G131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W30" i="17" l="1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<sst xmlns="http://schemas.openxmlformats.org/spreadsheetml/2006/main" count="6066" uniqueCount="621">
  <si>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</si>
  <si>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</si>
  <si>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</si>
  <si>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</si>
  <si>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</si>
  <si>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</si>
  <si>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</si>
  <si>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</si>
  <si>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</si>
  <si>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</si>
  <si>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</si>
  <si>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</si>
  <si>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</si>
  <si>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</si>
  <si>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</si>
  <si>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</si>
  <si>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</si>
  <si>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</si>
  <si>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</si>
  <si>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</si>
  <si>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</si>
  <si>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</si>
  <si>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</si>
  <si>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</si>
  <si>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</si>
  <si>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</si>
  <si>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</si>
  <si>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</si>
  <si>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</si>
  <si>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</si>
  <si>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</si>
  <si>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</si>
  <si>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</si>
  <si>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</si>
  <si>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</si>
  <si>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</si>
  <si>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</si>
  <si>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</si>
  <si>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</si>
  <si>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</si>
  <si>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</si>
  <si>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</si>
  <si>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</si>
  <si>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</si>
  <si>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</si>
  <si>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</si>
  <si>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</si>
  <si>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</si>
  <si>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</si>
  <si>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</si>
  <si>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</si>
  <si>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</si>
  <si>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</si>
  <si>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</si>
  <si>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</si>
  <si>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</si>
  <si>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</si>
  <si>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</si>
  <si>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</si>
  <si>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</si>
  <si>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</si>
  <si>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</si>
  <si>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</si>
  <si>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</si>
  <si>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</si>
  <si>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</si>
  <si>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</si>
  <si>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</si>
  <si>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</si>
  <si>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</si>
  <si>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</si>
  <si>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</si>
  <si>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</si>
  <si>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</si>
  <si>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</si>
  <si>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</si>
  <si>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</si>
  <si>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</si>
  <si>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</si>
  <si>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</si>
  <si>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</si>
  <si>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</si>
  <si>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</si>
  <si>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</si>
  <si>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</si>
  <si>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</si>
  <si>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</si>
  <si>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</si>
  <si>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</si>
  <si>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</si>
  <si>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</si>
  <si>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</si>
  <si>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</si>
  <si>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</si>
  <si>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</si>
  <si>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</si>
  <si>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</si>
  <si>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</si>
  <si>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</si>
  <si>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</si>
  <si>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</si>
  <si>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</si>
  <si>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</si>
  <si>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</si>
  <si>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</si>
  <si>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</si>
  <si>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</si>
  <si>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</si>
  <si>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</si>
  <si>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</si>
  <si>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</si>
  <si>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</si>
  <si>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</si>
  <si>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</si>
  <si>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</si>
  <si>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</si>
  <si>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</si>
  <si>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</si>
  <si>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</si>
  <si>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</si>
  <si>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</si>
  <si>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</si>
  <si>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</si>
  <si>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</si>
  <si>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</si>
  <si>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</si>
  <si>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</si>
  <si>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</si>
  <si>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</si>
  <si>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</si>
  <si>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</si>
  <si>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</si>
  <si>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</si>
  <si>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</si>
  <si>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</si>
  <si>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</si>
  <si>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</si>
  <si>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</si>
  <si>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</si>
  <si>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</si>
  <si>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</si>
  <si>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</si>
  <si>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</si>
  <si>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</si>
  <si>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</si>
  <si>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</si>
  <si>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</si>
  <si>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</si>
  <si>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</si>
  <si>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</si>
  <si>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</si>
  <si>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</si>
  <si>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</si>
  <si>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</si>
  <si>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</si>
  <si>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</si>
  <si>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</si>
  <si>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</si>
  <si>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</si>
  <si>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</si>
  <si>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</si>
  <si>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</si>
  <si>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</si>
  <si>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</si>
  <si>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</si>
  <si>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</si>
  <si>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</si>
  <si>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</si>
  <si>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</si>
  <si>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</si>
  <si>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</si>
  <si>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</si>
  <si>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</si>
  <si>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</si>
  <si>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</si>
  <si>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</si>
  <si>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</si>
  <si>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</si>
  <si>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</si>
  <si>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</si>
  <si>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</si>
  <si>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</si>
  <si>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</si>
  <si>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</si>
  <si>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</si>
  <si>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</si>
  <si>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</si>
  <si>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</si>
  <si>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</si>
  <si>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</si>
  <si>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</si>
  <si>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</si>
  <si>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</si>
  <si>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</si>
  <si>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</si>
  <si>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</si>
  <si>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</si>
  <si>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</si>
  <si>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</si>
  <si>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</si>
  <si>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</si>
  <si>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</si>
  <si>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</si>
  <si>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</si>
  <si>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</si>
  <si>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</si>
  <si>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</si>
  <si>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</si>
  <si>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</si>
  <si>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</si>
  <si>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</si>
  <si>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</si>
  <si>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</si>
  <si>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</si>
  <si>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</si>
  <si>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</si>
  <si>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</si>
  <si>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</si>
  <si>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</si>
  <si>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</si>
  <si>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</si>
  <si>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</si>
  <si>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</si>
  <si>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</si>
  <si>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</si>
  <si>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</si>
  <si>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</si>
  <si>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</si>
  <si>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</si>
  <si>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</si>
  <si>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</si>
  <si>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</si>
  <si>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</si>
  <si>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</si>
  <si>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</si>
  <si>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</si>
  <si>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</si>
  <si>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</si>
  <si>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</si>
  <si>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</si>
  <si>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</si>
  <si>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</si>
  <si>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</si>
  <si>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</si>
  <si>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</si>
  <si>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</si>
  <si>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</si>
  <si>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</si>
  <si>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</si>
  <si>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</si>
  <si>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</si>
  <si>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</si>
  <si>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</si>
  <si>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</si>
  <si>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</si>
  <si>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</si>
  <si>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</si>
  <si>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</si>
  <si>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</si>
  <si>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</si>
  <si>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</si>
  <si>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</si>
  <si>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</si>
  <si>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</si>
  <si>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</si>
  <si>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</si>
  <si>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</si>
  <si>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</si>
  <si>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</si>
  <si>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</si>
  <si>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</si>
  <si>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</si>
  <si>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</si>
  <si>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</si>
  <si>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</si>
  <si>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</si>
  <si>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</si>
  <si>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</si>
  <si>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</si>
  <si>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</si>
  <si>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</si>
  <si>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</si>
  <si>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</si>
  <si>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</si>
  <si>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</si>
  <si>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</si>
  <si>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</si>
  <si>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</si>
  <si>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</si>
  <si>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</si>
  <si>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</si>
  <si>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</si>
  <si>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</si>
  <si>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</si>
  <si>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</si>
  <si>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</si>
  <si>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</si>
  <si>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</si>
  <si>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</si>
  <si>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</si>
  <si>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</si>
  <si>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</si>
  <si>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</si>
  <si>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</si>
  <si>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</si>
  <si>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</si>
  <si>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</si>
  <si>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</si>
  <si>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</si>
  <si>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</si>
  <si>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</si>
  <si>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</si>
  <si>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</si>
  <si>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</si>
  <si>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</si>
  <si>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</si>
  <si>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</si>
  <si>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</si>
  <si>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</si>
  <si>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</si>
  <si>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</si>
  <si>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</si>
  <si>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</si>
  <si>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</si>
  <si>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</si>
  <si>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</si>
  <si>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</si>
  <si>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</si>
  <si>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</si>
  <si>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</si>
  <si>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</si>
  <si>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</si>
  <si>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</si>
  <si>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</si>
  <si>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</si>
  <si>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</si>
  <si>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</si>
  <si>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</si>
  <si>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</si>
  <si>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</si>
  <si>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</si>
  <si>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</si>
  <si>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</si>
  <si>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</si>
  <si>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</si>
  <si>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</si>
  <si>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</si>
  <si>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</si>
  <si>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</si>
  <si>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</si>
  <si>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</si>
  <si>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</si>
  <si>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</si>
  <si>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</si>
  <si>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</si>
  <si>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</si>
  <si>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</si>
  <si>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</si>
  <si>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</si>
  <si>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</si>
  <si>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</si>
  <si>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</si>
  <si>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</si>
  <si>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</si>
  <si>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</si>
  <si>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</si>
  <si>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</si>
  <si>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</si>
  <si>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</si>
  <si>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</si>
  <si>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</si>
  <si>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</si>
  <si>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</si>
  <si>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</si>
  <si>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</si>
  <si>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</si>
  <si>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</si>
  <si>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</si>
  <si>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</si>
  <si>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</si>
  <si>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</si>
  <si>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</si>
  <si>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</si>
  <si>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</si>
  <si>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</si>
  <si>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</si>
  <si>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</si>
  <si>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</si>
  <si>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</si>
  <si>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</si>
  <si>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</si>
  <si>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</si>
  <si>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</si>
  <si>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</si>
  <si>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</si>
  <si>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</si>
  <si>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</si>
  <si>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</si>
  <si>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</si>
  <si>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</si>
  <si>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</si>
  <si>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</si>
  <si>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</si>
  <si>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</si>
  <si>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</si>
  <si>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</si>
  <si>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</si>
  <si>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</si>
  <si>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</si>
  <si>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</si>
  <si>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</si>
  <si>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</si>
  <si>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</si>
  <si>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</si>
  <si>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</si>
  <si>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</si>
  <si>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</si>
  <si>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</si>
  <si>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</si>
  <si>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</si>
  <si>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</si>
  <si>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</si>
  <si>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</si>
  <si>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</si>
  <si>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</si>
  <si>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</si>
  <si>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</si>
  <si>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</si>
  <si>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</si>
  <si>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</si>
  <si>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</si>
  <si>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</si>
  <si>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</si>
  <si>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</si>
  <si>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</si>
  <si>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</si>
  <si>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</si>
  <si>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</si>
  <si>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</si>
  <si>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</si>
  <si>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</si>
  <si>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</si>
  <si>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</si>
  <si>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</si>
  <si>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</si>
  <si>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</si>
  <si>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</si>
  <si>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</si>
  <si>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</si>
  <si>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</si>
  <si>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</si>
  <si>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</si>
  <si>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</si>
  <si>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</si>
  <si>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</si>
  <si>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</si>
  <si>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</si>
  <si>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</si>
  <si>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</si>
  <si>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</si>
  <si>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</si>
  <si>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</si>
  <si>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</si>
  <si>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</si>
  <si>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</si>
  <si>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</si>
  <si>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</si>
  <si>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</si>
  <si>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</si>
  <si>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</si>
  <si>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</si>
  <si>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</si>
  <si>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</si>
  <si>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</si>
  <si>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</si>
  <si>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</si>
  <si>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</si>
  <si>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</si>
  <si>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</si>
  <si>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</si>
  <si>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</si>
  <si>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</si>
  <si>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</si>
  <si>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</si>
  <si>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</si>
  <si>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</si>
  <si>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</si>
  <si>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</si>
  <si>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</si>
  <si>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</si>
  <si>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</si>
  <si>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</si>
  <si>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</si>
  <si>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</si>
  <si>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</si>
  <si>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</si>
  <si>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</si>
  <si>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</si>
  <si>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</si>
  <si>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</si>
  <si>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</si>
  <si>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</si>
  <si>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</si>
  <si>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</si>
  <si>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</si>
  <si>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</si>
  <si>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</si>
  <si>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</si>
  <si>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</si>
  <si>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</si>
  <si>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</si>
  <si>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</si>
  <si>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</si>
  <si>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</si>
  <si>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</si>
  <si>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</si>
  <si>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</si>
  <si>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</si>
  <si>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</si>
  <si>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</si>
  <si>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</si>
  <si>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</si>
  <si>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</si>
  <si>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</si>
  <si>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</si>
  <si>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</si>
  <si>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</si>
  <si>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</si>
  <si>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</si>
  <si>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</si>
  <si>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</si>
  <si>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</si>
  <si>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</si>
  <si>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</si>
  <si>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</si>
  <si>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</si>
  <si>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</si>
  <si>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</si>
  <si>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</si>
  <si>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</si>
  <si>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</si>
  <si>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553MF</t>
  </si>
  <si>
    <t>Thøc ¨n ch¨n nu«i #  553MF (50KG)</t>
  </si>
  <si>
    <t>BagOF50-553MF-65x105-122-Z-000-C</t>
  </si>
  <si>
    <t>Ngày : 29/04/2026</t>
  </si>
  <si>
    <t>GT12S25</t>
  </si>
  <si>
    <t>688425</t>
  </si>
  <si>
    <t>Thøc ¨n ch¨n nu«i #  552F(50KG)</t>
  </si>
  <si>
    <t>Thøc ¨n ch¨n nu«i #  552SF (50KG)</t>
  </si>
  <si>
    <t>550Pro25</t>
  </si>
  <si>
    <t>551Pro25</t>
  </si>
  <si>
    <t>552Pro25</t>
  </si>
  <si>
    <t>552S</t>
  </si>
  <si>
    <t>Thøc ¨n ch¨n nu«i #  552S (25KG)</t>
  </si>
  <si>
    <t>552SPro25</t>
  </si>
  <si>
    <t>BagOF50-550SF-65x105-122-Z-000-C</t>
  </si>
  <si>
    <t>550SF</t>
  </si>
  <si>
    <t>Thøc ¨n ch¨n nu«i# 550SF(50KG)(Thuèc)</t>
  </si>
  <si>
    <t>S31</t>
  </si>
  <si>
    <t>BagOF50-540F-65x105-122-Z-000-C</t>
  </si>
  <si>
    <t>BagOF50-551F-65x105-122-Z-000-C</t>
  </si>
  <si>
    <t>540F</t>
  </si>
  <si>
    <t>Thøc ¨n ch¨n nu«i #  540F (50KG)</t>
  </si>
  <si>
    <t>551F</t>
  </si>
  <si>
    <t>Thøc ¨n ch¨n nu«i# 551 (F)_50KG (Thuèc)</t>
  </si>
  <si>
    <t>Date(Ngày): 08/05/2026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</si>
  <si>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</si>
  <si>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</si>
  <si>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</si>
  <si>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</si>
  <si>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</si>
  <si>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</si>
  <si>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</si>
  <si>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</si>
  <si>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</si>
  <si>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</si>
  <si>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</si>
  <si>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</si>
  <si>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</si>
  <si>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</si>
  <si>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</si>
  <si>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</si>
  <si>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</si>
  <si>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301</t>
  </si>
  <si>
    <t>Thøc ¨n ch¨n nu«i #  301 (25KG)</t>
  </si>
  <si>
    <t>510</t>
  </si>
  <si>
    <t>Thøc ¨n ch¨n nu«i #  510 (25KG)</t>
  </si>
  <si>
    <t>511B</t>
  </si>
  <si>
    <t>Thøc ¨n ch¨n nu«i #  511B (25KG)</t>
  </si>
  <si>
    <t>511M</t>
  </si>
  <si>
    <t>Thøc ¨n ch¨n nu«i #  511M (25KG)</t>
  </si>
  <si>
    <t>Thøc ¨n ch¨n nu«i # 513F (50KG)</t>
  </si>
  <si>
    <t>548F</t>
  </si>
  <si>
    <t>Thøc ¨n ch¨n nu«i #  548F(50KG)</t>
  </si>
  <si>
    <t>552SPro</t>
  </si>
  <si>
    <t>Thøc ¨n ch¨n nu«i # 552SPro (25kg)</t>
  </si>
  <si>
    <t>553</t>
  </si>
  <si>
    <t>Thøc ¨n ch¨n nu«i #  553 (25KG)</t>
  </si>
  <si>
    <t>562P</t>
  </si>
  <si>
    <t>Thøc ¨n ch¨n nu«i #  562P (25KG)</t>
  </si>
  <si>
    <t>566</t>
  </si>
  <si>
    <t>Thøc ¨n ch¨n nu«i #  566(25KG)</t>
  </si>
  <si>
    <t>567S</t>
  </si>
  <si>
    <t>Thøc ¨n ch¨n nu«i #  567S (25KG)</t>
  </si>
  <si>
    <t>949</t>
  </si>
  <si>
    <t>Thøc ¨n ch¨n nu«i #  949 (25Kg)</t>
  </si>
  <si>
    <t>953</t>
  </si>
  <si>
    <t>Thøc ¨n ch¨n nu«i #  953 (25KG)</t>
  </si>
  <si>
    <t>966</t>
  </si>
  <si>
    <t>Thøc ¨n ch¨n nu«i #  966 (25KG)</t>
  </si>
  <si>
    <t>967S</t>
  </si>
  <si>
    <t>Thøc ¨n ch¨n nu«i # 967S (25kg)</t>
  </si>
  <si>
    <t>VT12</t>
  </si>
  <si>
    <t>Thøc ¨n ch¨n nu«i #  VT12 (25KG)</t>
  </si>
  <si>
    <t>HG16</t>
  </si>
  <si>
    <t>Thøc ¨n ch¨n nu«i #  HG16 (25KG)</t>
  </si>
  <si>
    <t>HG17S</t>
  </si>
  <si>
    <t>Thøc ¨n ch¨n nu«i # HG17S (25KG)</t>
  </si>
  <si>
    <t>BagOF50-513F-65x105-122-Z-000-C</t>
  </si>
  <si>
    <t>BagOF50-548F-65x105-122-Z-000-C</t>
  </si>
  <si>
    <t>Bag O25- 510- 54x90-99-B-000-H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</si>
</sst>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zoomScale="80" zoomScaleNormal="80" workbookViewId="0">
      <pane ySplit="2" topLeftCell="A15" activePane="bottomLeft" state="frozen"/>
      <selection pane="bottomLeft" activeCell="H18" sqref="H18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39" t="s">
        <v>0</v>
      </c>
      <c r="B1" s="939"/>
      <c r="C1" s="939"/>
      <c r="D1" s="939"/>
      <c r="E1" s="939"/>
      <c r="F1" s="939"/>
      <c r="G1" s="939"/>
      <c r="H1" s="939"/>
      <c r="I1" s="939"/>
      <c r="J1" s="939"/>
      <c r="K1" s="939"/>
      <c r="L1" s="939"/>
      <c r="M1" s="939"/>
      <c r="N1" s="939"/>
      <c r="O1" s="939"/>
      <c r="P1" s="939"/>
      <c r="Q1" s="939"/>
      <c r="R1" s="939"/>
      <c r="S1" s="939"/>
      <c r="T1" s="939"/>
      <c r="U1" s="939"/>
      <c r="V1" s="939"/>
      <c r="W1" s="939"/>
      <c r="X1" s="939"/>
      <c r="Y1" s="939"/>
      <c r="Z1" s="20"/>
    </row>
    <row r="2" spans="1:226" ht="26.25" x14ac:dyDescent="0.2">
      <c r="A2" s="939" t="s">
        <v>229</v>
      </c>
      <c r="B2" s="939"/>
      <c r="C2" s="939"/>
      <c r="D2" s="939"/>
      <c r="E2" s="939"/>
      <c r="F2" s="939"/>
      <c r="G2" s="939"/>
      <c r="H2" s="939"/>
      <c r="I2" s="939"/>
      <c r="J2" s="939"/>
      <c r="K2" s="939"/>
      <c r="L2" s="939"/>
      <c r="M2" s="939"/>
      <c r="N2" s="939"/>
      <c r="O2" s="939"/>
      <c r="P2" s="939"/>
      <c r="Q2" s="939"/>
      <c r="R2" s="939"/>
      <c r="S2" s="939"/>
      <c r="T2" s="939"/>
      <c r="U2" s="939"/>
      <c r="V2" s="939"/>
      <c r="W2" s="939"/>
      <c r="X2" s="939"/>
      <c r="Y2" s="939"/>
      <c r="Z2" s="20"/>
    </row>
    <row r="3" spans="1:226" ht="18.75" x14ac:dyDescent="0.2">
      <c r="A3" s="911" t="s">
        <v>518</v>
      </c>
      <c r="B3" s="911"/>
      <c r="C3" s="911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11" t="s">
        <v>519</v>
      </c>
      <c r="B4" s="911"/>
      <c r="C4" s="91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11" t="s">
        <v>520</v>
      </c>
      <c r="B5" s="911"/>
      <c r="C5" s="91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11" t="s">
        <v>522</v>
      </c>
      <c r="B7" s="911"/>
      <c r="C7" s="91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14" t="s">
        <v>523</v>
      </c>
      <c r="B8" s="914"/>
      <c r="C8" s="914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40" t="s">
        <v>565</v>
      </c>
      <c r="Y8" s="940"/>
      <c r="Z8" s="4"/>
    </row>
    <row r="9" spans="1:226" s="5" customFormat="1" ht="28.5" customHeight="1" x14ac:dyDescent="0.2">
      <c r="A9" s="955" t="s">
        <v>275</v>
      </c>
      <c r="B9" s="956"/>
      <c r="C9" s="956"/>
      <c r="D9" s="956"/>
      <c r="E9" s="956"/>
      <c r="F9" s="956"/>
      <c r="G9" s="956"/>
      <c r="H9" s="956"/>
      <c r="I9" s="956"/>
      <c r="J9" s="956"/>
      <c r="K9" s="956"/>
      <c r="L9" s="956"/>
      <c r="M9" s="957"/>
      <c r="N9" s="941" t="s">
        <v>252</v>
      </c>
      <c r="O9" s="942"/>
      <c r="P9" s="958" t="s">
        <v>255</v>
      </c>
      <c r="Q9" s="959"/>
      <c r="R9" s="959"/>
      <c r="S9" s="959"/>
      <c r="T9" s="959"/>
      <c r="U9" s="742"/>
      <c r="V9" s="943" t="s">
        <v>260</v>
      </c>
      <c r="W9" s="925" t="s">
        <v>259</v>
      </c>
      <c r="X9" s="947" t="s">
        <v>265</v>
      </c>
      <c r="Y9" s="937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37" t="s">
        <v>248</v>
      </c>
      <c r="B10" s="925" t="s">
        <v>249</v>
      </c>
      <c r="C10" s="935" t="s">
        <v>250</v>
      </c>
      <c r="D10" s="937" t="s">
        <v>251</v>
      </c>
      <c r="E10" s="950" t="s">
        <v>232</v>
      </c>
      <c r="F10" s="951"/>
      <c r="G10" s="912" t="s">
        <v>233</v>
      </c>
      <c r="H10" s="913"/>
      <c r="I10" s="912" t="s">
        <v>234</v>
      </c>
      <c r="J10" s="913"/>
      <c r="K10" s="952" t="s">
        <v>235</v>
      </c>
      <c r="L10" s="953"/>
      <c r="M10" s="954"/>
      <c r="N10" s="925" t="s">
        <v>254</v>
      </c>
      <c r="O10" s="925" t="s">
        <v>253</v>
      </c>
      <c r="P10" s="923" t="s">
        <v>269</v>
      </c>
      <c r="Q10" s="923" t="s">
        <v>253</v>
      </c>
      <c r="R10" s="923" t="s">
        <v>253</v>
      </c>
      <c r="S10" s="960" t="s">
        <v>257</v>
      </c>
      <c r="T10" s="316"/>
      <c r="U10" s="962" t="s">
        <v>258</v>
      </c>
      <c r="V10" s="944"/>
      <c r="W10" s="946"/>
      <c r="X10" s="948"/>
      <c r="Y10" s="938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38"/>
      <c r="B11" s="934"/>
      <c r="C11" s="936"/>
      <c r="D11" s="938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26"/>
      <c r="O11" s="926"/>
      <c r="P11" s="924"/>
      <c r="Q11" s="924"/>
      <c r="R11" s="924"/>
      <c r="S11" s="961"/>
      <c r="T11" s="316"/>
      <c r="U11" s="962"/>
      <c r="V11" s="945"/>
      <c r="W11" s="926"/>
      <c r="X11" s="949"/>
      <c r="Y11" s="938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2084</v>
      </c>
      <c r="G12" s="24"/>
      <c r="H12" s="24"/>
      <c r="I12" s="360"/>
      <c r="J12" s="360">
        <f>SUMIF(SUMPK!$B:$B,$B:$B,SUMPK!$O:$O)</f>
        <v>672</v>
      </c>
      <c r="K12" s="24"/>
      <c r="L12" s="24">
        <f>F12+H12-J12</f>
        <v>1412</v>
      </c>
      <c r="M12" s="15">
        <f>K12+L12</f>
        <v>1412</v>
      </c>
      <c r="N12" s="15">
        <v>251.33333333333334</v>
      </c>
      <c r="O12" s="276">
        <f>IF(N12=0,0,M12/N12)</f>
        <v>5.6180371352785148</v>
      </c>
      <c r="P12" s="15">
        <v>111.5</v>
      </c>
      <c r="Q12" s="711">
        <f>T12/$Q$8</f>
        <v>733.33333333333337</v>
      </c>
      <c r="R12" s="276">
        <f>IF(P12=0,0,M12/P12*6)</f>
        <v>75.982062780269047</v>
      </c>
      <c r="S12" s="712">
        <f>T12/$T$8</f>
        <v>169.23076923076923</v>
      </c>
      <c r="T12" s="713">
        <v>4400</v>
      </c>
      <c r="U12" s="276">
        <f>IF(S12=0,0,M12/S12)</f>
        <v>8.3436363636363637</v>
      </c>
      <c r="V12" s="278"/>
      <c r="W12" s="276">
        <f>IF(S12=0,0,(M12+V12)/S12)</f>
        <v>8.3436363636363637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/>
      <c r="HN12" s="343"/>
      <c r="HO12" s="343"/>
      <c r="HP12" s="343"/>
      <c r="HQ12" s="872">
        <f t="shared" ref="HQ12" si="25">SUM(HK12:HP12)</f>
        <v>0</v>
      </c>
      <c r="HR12" s="873">
        <f>HQ12/$HR$10</f>
        <v>0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6">K13+L13</f>
        <v>3798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202.56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30.858750000000001</v>
      </c>
      <c r="V13" s="278"/>
      <c r="W13" s="276">
        <f t="shared" ref="W13:W73" si="32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346">
        <v>0</v>
      </c>
      <c r="HL13" s="343">
        <v>0</v>
      </c>
      <c r="HM13" s="343"/>
      <c r="HN13" s="343"/>
      <c r="HO13" s="343"/>
      <c r="HP13" s="343"/>
      <c r="HQ13" s="872">
        <f t="shared" ref="HQ13:HQ73" si="81">SUM(HK13:HP13)</f>
        <v>0</v>
      </c>
      <c r="HR13" s="873">
        <f t="shared" ref="HR13:HR73" si="82">HQ13/$HR$10</f>
        <v>0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346">
        <v>0</v>
      </c>
      <c r="HL14" s="343">
        <v>0</v>
      </c>
      <c r="HM14" s="343"/>
      <c r="HN14" s="343"/>
      <c r="HO14" s="343"/>
      <c r="HP14" s="343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352</v>
      </c>
      <c r="G15" s="24"/>
      <c r="H15" s="24">
        <v>3609</v>
      </c>
      <c r="I15" s="360"/>
      <c r="J15" s="360">
        <f>SUMIF(SUMPK!$B:$B,$B:$B,SUMPK!$O:$O)</f>
        <v>0</v>
      </c>
      <c r="K15" s="24"/>
      <c r="L15" s="24">
        <f t="shared" ref="L15:L20" si="84">F15+H15-J15</f>
        <v>3961</v>
      </c>
      <c r="M15" s="15">
        <f t="shared" si="26"/>
        <v>3961</v>
      </c>
      <c r="N15" s="15">
        <v>231.66666666666666</v>
      </c>
      <c r="O15" s="276">
        <f t="shared" si="27"/>
        <v>17.097841726618707</v>
      </c>
      <c r="P15" s="15">
        <v>195.66666666666666</v>
      </c>
      <c r="Q15" s="711">
        <f t="shared" si="28"/>
        <v>733.33333333333337</v>
      </c>
      <c r="R15" s="276">
        <f t="shared" si="29"/>
        <v>121.46166950596253</v>
      </c>
      <c r="S15" s="712">
        <f t="shared" si="30"/>
        <v>169.23076923076923</v>
      </c>
      <c r="T15" s="713">
        <v>4400</v>
      </c>
      <c r="U15" s="276">
        <f t="shared" si="31"/>
        <v>23.405909090909091</v>
      </c>
      <c r="V15" s="278"/>
      <c r="W15" s="276">
        <f t="shared" si="32"/>
        <v>23.405909090909091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346">
        <v>0</v>
      </c>
      <c r="HL15" s="343">
        <v>0</v>
      </c>
      <c r="HM15" s="343"/>
      <c r="HN15" s="343"/>
      <c r="HO15" s="343"/>
      <c r="HP15" s="343"/>
      <c r="HQ15" s="872">
        <f t="shared" si="81"/>
        <v>0</v>
      </c>
      <c r="HR15" s="873">
        <f t="shared" si="82"/>
        <v>0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1739</v>
      </c>
      <c r="M16" s="15">
        <f t="shared" si="26"/>
        <v>1739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184.12941176470591</v>
      </c>
      <c r="S16" s="712">
        <f t="shared" si="30"/>
        <v>47.307692307692307</v>
      </c>
      <c r="T16" s="713">
        <v>1230</v>
      </c>
      <c r="U16" s="276">
        <f t="shared" si="31"/>
        <v>36.759349593495934</v>
      </c>
      <c r="V16" s="278"/>
      <c r="W16" s="276">
        <f t="shared" si="32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346">
        <v>160</v>
      </c>
      <c r="HL16" s="343">
        <v>0</v>
      </c>
      <c r="HM16" s="343"/>
      <c r="HN16" s="343"/>
      <c r="HO16" s="343"/>
      <c r="HP16" s="343"/>
      <c r="HQ16" s="872">
        <f t="shared" si="81"/>
        <v>160</v>
      </c>
      <c r="HR16" s="873">
        <f t="shared" si="82"/>
        <v>26.666666666666668</v>
      </c>
    </row>
    <row r="17" spans="1:226" s="341" customFormat="1" ht="15" customHeight="1" x14ac:dyDescent="0.2">
      <c r="A17" s="21">
        <v>6</v>
      </c>
      <c r="B17" s="21" t="s">
        <v>442</v>
      </c>
      <c r="C17" s="275" t="s">
        <v>443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5">F17+H17-J17</f>
        <v>3297</v>
      </c>
      <c r="M17" s="15">
        <f t="shared" si="26"/>
        <v>3297</v>
      </c>
      <c r="N17" s="15">
        <v>211.83333333333334</v>
      </c>
      <c r="O17" s="276">
        <f t="shared" si="27"/>
        <v>15.564122738001572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26.788125000000001</v>
      </c>
      <c r="V17" s="278"/>
      <c r="W17" s="276">
        <f t="shared" si="32"/>
        <v>26.788125000000001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346">
        <v>0</v>
      </c>
      <c r="HL17" s="343">
        <v>0</v>
      </c>
      <c r="HM17" s="343"/>
      <c r="HN17" s="343"/>
      <c r="HO17" s="343"/>
      <c r="HP17" s="343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1494</v>
      </c>
      <c r="G18" s="24"/>
      <c r="H18" s="24">
        <v>5000</v>
      </c>
      <c r="I18" s="360"/>
      <c r="J18" s="360">
        <f>SUMIF(SUMPK!$B:$B,$B:$B,SUMPK!$O:$O)</f>
        <v>3581</v>
      </c>
      <c r="K18" s="24"/>
      <c r="L18" s="24">
        <f t="shared" si="84"/>
        <v>2913</v>
      </c>
      <c r="M18" s="15">
        <f t="shared" si="26"/>
        <v>2913</v>
      </c>
      <c r="N18" s="15">
        <v>1288</v>
      </c>
      <c r="O18" s="276">
        <f t="shared" si="27"/>
        <v>2.2616459627329193</v>
      </c>
      <c r="P18" s="15">
        <v>547.33333333333337</v>
      </c>
      <c r="Q18" s="711">
        <f t="shared" si="28"/>
        <v>1600</v>
      </c>
      <c r="R18" s="276">
        <f t="shared" si="29"/>
        <v>31.933008526187578</v>
      </c>
      <c r="S18" s="712">
        <f t="shared" si="30"/>
        <v>369.23076923076923</v>
      </c>
      <c r="T18" s="713">
        <v>9600</v>
      </c>
      <c r="U18" s="276">
        <f t="shared" si="31"/>
        <v>7.8893750000000002</v>
      </c>
      <c r="V18" s="278"/>
      <c r="W18" s="276">
        <f t="shared" si="32"/>
        <v>7.8893750000000002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346">
        <v>123</v>
      </c>
      <c r="HL18" s="343">
        <v>0</v>
      </c>
      <c r="HM18" s="343"/>
      <c r="HN18" s="343"/>
      <c r="HO18" s="343"/>
      <c r="HP18" s="343"/>
      <c r="HQ18" s="872">
        <f t="shared" si="81"/>
        <v>123</v>
      </c>
      <c r="HR18" s="873">
        <f t="shared" si="82"/>
        <v>20.5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1425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7">F19+H19-J19</f>
        <v>1425</v>
      </c>
      <c r="M19" s="15">
        <f t="shared" ref="M19" si="88">K19+L19</f>
        <v>1425</v>
      </c>
      <c r="N19" s="15">
        <v>45.833333333333336</v>
      </c>
      <c r="O19" s="276">
        <f t="shared" si="27"/>
        <v>31.09090909090909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23.15625</v>
      </c>
      <c r="V19" s="278"/>
      <c r="W19" s="276">
        <f t="shared" si="32"/>
        <v>23.15625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346">
        <v>0</v>
      </c>
      <c r="HL19" s="343">
        <v>0</v>
      </c>
      <c r="HM19" s="343"/>
      <c r="HN19" s="343"/>
      <c r="HO19" s="343"/>
      <c r="HP19" s="343"/>
      <c r="HQ19" s="872">
        <f t="shared" si="81"/>
        <v>0</v>
      </c>
      <c r="HR19" s="873">
        <f t="shared" si="82"/>
        <v>0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1874</v>
      </c>
      <c r="M20" s="15">
        <f t="shared" si="26"/>
        <v>1874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70.865546218487395</v>
      </c>
      <c r="S20" s="712">
        <f t="shared" si="30"/>
        <v>98.461538461538467</v>
      </c>
      <c r="T20" s="713">
        <v>2560</v>
      </c>
      <c r="U20" s="276">
        <f t="shared" si="31"/>
        <v>19.032812499999999</v>
      </c>
      <c r="V20" s="278"/>
      <c r="W20" s="276">
        <f t="shared" si="32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346">
        <v>617</v>
      </c>
      <c r="HL20" s="343">
        <v>0</v>
      </c>
      <c r="HM20" s="343"/>
      <c r="HN20" s="343"/>
      <c r="HO20" s="343"/>
      <c r="HP20" s="343"/>
      <c r="HQ20" s="872">
        <f t="shared" si="81"/>
        <v>617</v>
      </c>
      <c r="HR20" s="873">
        <f t="shared" si="82"/>
        <v>102.83333333333333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346">
        <v>0</v>
      </c>
      <c r="HL21" s="343">
        <v>0</v>
      </c>
      <c r="HM21" s="343"/>
      <c r="HN21" s="343"/>
      <c r="HO21" s="343"/>
      <c r="HP21" s="343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9672</v>
      </c>
      <c r="G22" s="24"/>
      <c r="H22" s="24"/>
      <c r="I22" s="360"/>
      <c r="J22" s="360">
        <f>SUMIF(SUMPK!$B:$B,$B:$B,SUMPK!$O:$O)</f>
        <v>1672</v>
      </c>
      <c r="K22" s="24"/>
      <c r="L22" s="24">
        <f t="shared" si="83"/>
        <v>8000</v>
      </c>
      <c r="M22" s="15">
        <f t="shared" si="26"/>
        <v>8000</v>
      </c>
      <c r="N22" s="15">
        <v>1212</v>
      </c>
      <c r="O22" s="276">
        <f t="shared" si="27"/>
        <v>6.6006600660066006</v>
      </c>
      <c r="P22" s="15">
        <v>1190.1666666666667</v>
      </c>
      <c r="Q22" s="711">
        <f>T22/$Q$8</f>
        <v>5066.666666666667</v>
      </c>
      <c r="R22" s="276">
        <f t="shared" si="29"/>
        <v>40.330485926340842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6.8421052631578947</v>
      </c>
      <c r="V22" s="278"/>
      <c r="W22" s="276">
        <f t="shared" si="32"/>
        <v>6.8421052631578947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346">
        <v>3133</v>
      </c>
      <c r="HL22" s="343">
        <v>0</v>
      </c>
      <c r="HM22" s="343"/>
      <c r="HN22" s="343"/>
      <c r="HO22" s="343"/>
      <c r="HP22" s="343"/>
      <c r="HQ22" s="872">
        <f t="shared" si="81"/>
        <v>3133</v>
      </c>
      <c r="HR22" s="873">
        <f t="shared" si="82"/>
        <v>522.16666666666663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3"/>
        <v>838</v>
      </c>
      <c r="M23" s="15">
        <f t="shared" si="26"/>
        <v>838</v>
      </c>
      <c r="N23" s="15">
        <v>40.833333333333336</v>
      </c>
      <c r="O23" s="276">
        <f t="shared" si="27"/>
        <v>20.522448979591836</v>
      </c>
      <c r="P23" s="15">
        <v>40.666666666666664</v>
      </c>
      <c r="Q23" s="711">
        <f t="shared" si="28"/>
        <v>213.33333333333334</v>
      </c>
      <c r="R23" s="276">
        <f t="shared" si="29"/>
        <v>123.63934426229508</v>
      </c>
      <c r="S23" s="712">
        <f t="shared" si="30"/>
        <v>49.230769230769234</v>
      </c>
      <c r="T23" s="713">
        <v>1280</v>
      </c>
      <c r="U23" s="276">
        <f t="shared" si="89"/>
        <v>17.021874999999998</v>
      </c>
      <c r="V23" s="278"/>
      <c r="W23" s="276">
        <f t="shared" si="32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346">
        <v>0</v>
      </c>
      <c r="HL23" s="343">
        <v>0</v>
      </c>
      <c r="HM23" s="343"/>
      <c r="HN23" s="343"/>
      <c r="HO23" s="343"/>
      <c r="HP23" s="343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4445</v>
      </c>
      <c r="G24" s="24"/>
      <c r="H24" s="24"/>
      <c r="I24" s="360"/>
      <c r="J24" s="360">
        <f>SUMIF(SUMPK!$B:$B,$B:$B,SUMPK!$O:$O)</f>
        <v>1312</v>
      </c>
      <c r="K24" s="24"/>
      <c r="L24" s="24">
        <f t="shared" si="83"/>
        <v>3133</v>
      </c>
      <c r="M24" s="15">
        <f t="shared" si="26"/>
        <v>3133</v>
      </c>
      <c r="N24" s="15">
        <v>107.66666666666667</v>
      </c>
      <c r="O24" s="276">
        <f t="shared" si="27"/>
        <v>29.099071207430338</v>
      </c>
      <c r="P24" s="15">
        <v>330.33333333333331</v>
      </c>
      <c r="Q24" s="711">
        <f t="shared" si="28"/>
        <v>1066.6666666666667</v>
      </c>
      <c r="R24" s="276">
        <f t="shared" si="29"/>
        <v>56.906155398587288</v>
      </c>
      <c r="S24" s="712">
        <f t="shared" si="30"/>
        <v>246.15384615384616</v>
      </c>
      <c r="T24" s="713">
        <v>6400</v>
      </c>
      <c r="U24" s="276">
        <f t="shared" si="89"/>
        <v>12.727812499999999</v>
      </c>
      <c r="V24" s="278"/>
      <c r="W24" s="276">
        <f t="shared" si="32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346">
        <v>0</v>
      </c>
      <c r="HL24" s="343">
        <v>0</v>
      </c>
      <c r="HM24" s="343"/>
      <c r="HN24" s="343"/>
      <c r="HO24" s="343"/>
      <c r="HP24" s="343"/>
      <c r="HQ24" s="872">
        <f t="shared" si="81"/>
        <v>0</v>
      </c>
      <c r="HR24" s="873">
        <f t="shared" si="82"/>
        <v>0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346">
        <v>0</v>
      </c>
      <c r="HL25" s="343">
        <v>0</v>
      </c>
      <c r="HM25" s="343"/>
      <c r="HN25" s="343"/>
      <c r="HO25" s="343"/>
      <c r="HP25" s="343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90"/>
        <v>2614</v>
      </c>
      <c r="M26" s="15">
        <f t="shared" si="91"/>
        <v>2614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42.477499999999999</v>
      </c>
      <c r="V26" s="278"/>
      <c r="W26" s="276">
        <f t="shared" si="32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346">
        <v>0</v>
      </c>
      <c r="HL26" s="343">
        <v>0</v>
      </c>
      <c r="HM26" s="343"/>
      <c r="HN26" s="343"/>
      <c r="HO26" s="343"/>
      <c r="HP26" s="343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346">
        <v>0</v>
      </c>
      <c r="HL27" s="343">
        <v>0</v>
      </c>
      <c r="HM27" s="343"/>
      <c r="HN27" s="343"/>
      <c r="HO27" s="343"/>
      <c r="HP27" s="343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346">
        <v>0</v>
      </c>
      <c r="HL28" s="343">
        <v>0</v>
      </c>
      <c r="HM28" s="343"/>
      <c r="HN28" s="343"/>
      <c r="HO28" s="343"/>
      <c r="HP28" s="343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365</v>
      </c>
      <c r="G29" s="24"/>
      <c r="H29" s="24"/>
      <c r="I29" s="360"/>
      <c r="J29" s="360">
        <f>SUMIF(SUMPK!$B:$B,$B:$B,SUMPK!$O:$O)</f>
        <v>0</v>
      </c>
      <c r="K29" s="24"/>
      <c r="L29" s="24">
        <f t="shared" si="92"/>
        <v>365</v>
      </c>
      <c r="M29" s="15">
        <f t="shared" si="93"/>
        <v>365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346">
        <v>262</v>
      </c>
      <c r="HL29" s="343">
        <v>0</v>
      </c>
      <c r="HM29" s="343"/>
      <c r="HN29" s="343"/>
      <c r="HO29" s="343"/>
      <c r="HP29" s="343"/>
      <c r="HQ29" s="872">
        <f t="shared" si="81"/>
        <v>262</v>
      </c>
      <c r="HR29" s="873">
        <f t="shared" si="82"/>
        <v>43.666666666666664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346">
        <v>0</v>
      </c>
      <c r="HL30" s="343">
        <v>0</v>
      </c>
      <c r="HM30" s="343"/>
      <c r="HN30" s="343"/>
      <c r="HO30" s="343"/>
      <c r="HP30" s="343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346">
        <v>0</v>
      </c>
      <c r="HL31" s="343">
        <v>0</v>
      </c>
      <c r="HM31" s="343"/>
      <c r="HN31" s="343"/>
      <c r="HO31" s="343"/>
      <c r="HP31" s="343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10428</v>
      </c>
      <c r="G32" s="24"/>
      <c r="H32" s="24"/>
      <c r="I32" s="360"/>
      <c r="J32" s="360">
        <f>SUMIF(SUMPK!$B:$B,$B:$B,SUMPK!$O:$O)</f>
        <v>0</v>
      </c>
      <c r="K32" s="24"/>
      <c r="L32" s="24">
        <f t="shared" si="92"/>
        <v>10428</v>
      </c>
      <c r="M32" s="15">
        <f t="shared" si="93"/>
        <v>10428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12.103928571428572</v>
      </c>
      <c r="V32" s="278"/>
      <c r="W32" s="276">
        <f t="shared" si="32"/>
        <v>12.103928571428572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346">
        <v>0</v>
      </c>
      <c r="HL32" s="343">
        <v>2021</v>
      </c>
      <c r="HM32" s="343"/>
      <c r="HN32" s="343"/>
      <c r="HO32" s="343"/>
      <c r="HP32" s="343"/>
      <c r="HQ32" s="872">
        <f t="shared" si="81"/>
        <v>2021</v>
      </c>
      <c r="HR32" s="873">
        <f t="shared" si="82"/>
        <v>336.83333333333331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92"/>
        <v>4924</v>
      </c>
      <c r="M33" s="15">
        <f t="shared" si="93"/>
        <v>4924</v>
      </c>
      <c r="N33" s="15">
        <v>160.83333333333334</v>
      </c>
      <c r="O33" s="276">
        <f t="shared" si="27"/>
        <v>30.615544041450775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33.339583333333337</v>
      </c>
      <c r="V33" s="278"/>
      <c r="W33" s="276">
        <f t="shared" si="32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346"/>
      <c r="HL33" s="343"/>
      <c r="HM33" s="343"/>
      <c r="HN33" s="343"/>
      <c r="HO33" s="343"/>
      <c r="HP33" s="343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>
        <v>1937</v>
      </c>
      <c r="I34" s="24"/>
      <c r="J34" s="360">
        <f>SUMIF(SUMPK!$B:$B,$B:$B,SUMPK!$O:$O)</f>
        <v>0</v>
      </c>
      <c r="K34" s="24"/>
      <c r="L34" s="24">
        <f t="shared" si="92"/>
        <v>3621</v>
      </c>
      <c r="M34" s="15">
        <f t="shared" si="93"/>
        <v>3621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64.886012941762075</v>
      </c>
      <c r="S34" s="712">
        <f t="shared" si="30"/>
        <v>24.615384615384617</v>
      </c>
      <c r="T34" s="713">
        <v>640</v>
      </c>
      <c r="U34" s="276">
        <f t="shared" si="89"/>
        <v>147.10312500000001</v>
      </c>
      <c r="V34" s="278"/>
      <c r="W34" s="276">
        <f t="shared" si="32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346">
        <v>0</v>
      </c>
      <c r="HL34" s="343">
        <v>0</v>
      </c>
      <c r="HM34" s="343"/>
      <c r="HN34" s="343"/>
      <c r="HO34" s="343"/>
      <c r="HP34" s="343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2"/>
        <v>2524</v>
      </c>
      <c r="M35" s="15">
        <f t="shared" si="93"/>
        <v>2524</v>
      </c>
      <c r="N35" s="15">
        <v>227.5</v>
      </c>
      <c r="O35" s="276">
        <f t="shared" si="27"/>
        <v>11.094505494505494</v>
      </c>
      <c r="P35" s="15">
        <v>112</v>
      </c>
      <c r="Q35" s="711">
        <f t="shared" si="28"/>
        <v>666.66666666666663</v>
      </c>
      <c r="R35" s="276">
        <f t="shared" si="29"/>
        <v>135.21428571428572</v>
      </c>
      <c r="S35" s="712">
        <f t="shared" si="30"/>
        <v>153.84615384615384</v>
      </c>
      <c r="T35" s="713">
        <v>4000</v>
      </c>
      <c r="U35" s="276">
        <f t="shared" si="89"/>
        <v>16.406000000000002</v>
      </c>
      <c r="V35" s="278"/>
      <c r="W35" s="276">
        <f t="shared" si="32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346">
        <v>0</v>
      </c>
      <c r="HL35" s="343">
        <v>0</v>
      </c>
      <c r="HM35" s="343"/>
      <c r="HN35" s="343"/>
      <c r="HO35" s="343"/>
      <c r="HP35" s="343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346">
        <v>0</v>
      </c>
      <c r="HL36" s="343">
        <v>0</v>
      </c>
      <c r="HM36" s="343"/>
      <c r="HN36" s="343"/>
      <c r="HO36" s="343"/>
      <c r="HP36" s="343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2806</v>
      </c>
      <c r="G37" s="24"/>
      <c r="H37" s="24"/>
      <c r="I37" s="360"/>
      <c r="J37" s="360">
        <f>SUMIF(SUMPK!$B:$B,$B:$B,SUMPK!$O:$O)</f>
        <v>0</v>
      </c>
      <c r="K37" s="24"/>
      <c r="L37" s="24">
        <f t="shared" si="83"/>
        <v>2806</v>
      </c>
      <c r="M37" s="15">
        <f t="shared" si="26"/>
        <v>2806</v>
      </c>
      <c r="N37" s="15">
        <v>65.833333333333329</v>
      </c>
      <c r="O37" s="276">
        <f t="shared" si="27"/>
        <v>42.622784810126582</v>
      </c>
      <c r="P37" s="15">
        <v>43.833333333333336</v>
      </c>
      <c r="Q37" s="711">
        <f t="shared" si="28"/>
        <v>533.33333333333337</v>
      </c>
      <c r="R37" s="276">
        <f t="shared" si="29"/>
        <v>384.09125475285168</v>
      </c>
      <c r="S37" s="712">
        <f t="shared" si="30"/>
        <v>123.07692307692308</v>
      </c>
      <c r="T37" s="713">
        <v>3200</v>
      </c>
      <c r="U37" s="276">
        <f t="shared" si="89"/>
        <v>22.798749999999998</v>
      </c>
      <c r="V37" s="278"/>
      <c r="W37" s="276">
        <f t="shared" si="32"/>
        <v>22.798749999999998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346">
        <v>285</v>
      </c>
      <c r="HL37" s="343">
        <v>0</v>
      </c>
      <c r="HM37" s="343"/>
      <c r="HN37" s="343"/>
      <c r="HO37" s="343"/>
      <c r="HP37" s="343"/>
      <c r="HQ37" s="872">
        <f t="shared" si="81"/>
        <v>285</v>
      </c>
      <c r="HR37" s="873">
        <f t="shared" si="82"/>
        <v>47.5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4">F38+H38-J38</f>
        <v>4473</v>
      </c>
      <c r="M38" s="15">
        <f t="shared" ref="M38:M54" si="95">K38+L38</f>
        <v>4473</v>
      </c>
      <c r="N38" s="15">
        <v>350.66666666666669</v>
      </c>
      <c r="O38" s="276">
        <f t="shared" si="27"/>
        <v>12.755703422053232</v>
      </c>
      <c r="P38" s="15">
        <v>412.33333333333331</v>
      </c>
      <c r="Q38" s="711">
        <f t="shared" si="28"/>
        <v>1066.6666666666667</v>
      </c>
      <c r="R38" s="276">
        <f t="shared" si="29"/>
        <v>65.088116410670978</v>
      </c>
      <c r="S38" s="712">
        <f t="shared" si="30"/>
        <v>246.15384615384616</v>
      </c>
      <c r="T38" s="713">
        <v>6400</v>
      </c>
      <c r="U38" s="276">
        <f t="shared" si="89"/>
        <v>18.1715625</v>
      </c>
      <c r="V38" s="278"/>
      <c r="W38" s="276">
        <f t="shared" si="32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346">
        <v>0</v>
      </c>
      <c r="HL38" s="343">
        <v>0</v>
      </c>
      <c r="HM38" s="343"/>
      <c r="HN38" s="343"/>
      <c r="HO38" s="343"/>
      <c r="HP38" s="343"/>
      <c r="HQ38" s="872">
        <f t="shared" si="81"/>
        <v>0</v>
      </c>
      <c r="HR38" s="873">
        <f t="shared" si="82"/>
        <v>0</v>
      </c>
    </row>
    <row r="39" spans="1:226" s="341" customFormat="1" ht="15" customHeight="1" x14ac:dyDescent="0.2">
      <c r="A39" s="21">
        <v>28</v>
      </c>
      <c r="B39" s="21" t="s">
        <v>487</v>
      </c>
      <c r="C39" s="275" t="s">
        <v>484</v>
      </c>
      <c r="D39" s="296">
        <v>5</v>
      </c>
      <c r="E39" s="24"/>
      <c r="F39" s="24">
        <v>635</v>
      </c>
      <c r="G39" s="24"/>
      <c r="H39" s="24">
        <v>1500</v>
      </c>
      <c r="I39" s="360"/>
      <c r="J39" s="360">
        <f>SUMIF(SUMPK!$B:$B,$B:$B,SUMPK!$O:$O)</f>
        <v>0</v>
      </c>
      <c r="K39" s="24"/>
      <c r="L39" s="24">
        <f t="shared" si="94"/>
        <v>2135</v>
      </c>
      <c r="M39" s="15">
        <f t="shared" si="95"/>
        <v>2135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69.387500000000003</v>
      </c>
      <c r="V39" s="278"/>
      <c r="W39" s="276">
        <f t="shared" ref="W39:W43" si="97">IF(S39=0,0,(M39+V39)/S39)</f>
        <v>69.387500000000003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346">
        <v>0</v>
      </c>
      <c r="HL39" s="343">
        <v>0</v>
      </c>
      <c r="HM39" s="343"/>
      <c r="HN39" s="343"/>
      <c r="HO39" s="343"/>
      <c r="HP39" s="343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498</v>
      </c>
      <c r="C40" s="275" t="s">
        <v>486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346">
        <v>0</v>
      </c>
      <c r="HL40" s="343">
        <v>0</v>
      </c>
      <c r="HM40" s="343"/>
      <c r="HN40" s="343"/>
      <c r="HO40" s="343"/>
      <c r="HP40" s="343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0</v>
      </c>
      <c r="G41" s="24"/>
      <c r="H41" s="24">
        <v>9928</v>
      </c>
      <c r="I41" s="24"/>
      <c r="J41" s="360">
        <f>SUMIF(SUMPK!$B:$B,$B:$B,SUMPK!$O:$O)</f>
        <v>0</v>
      </c>
      <c r="K41" s="24"/>
      <c r="L41" s="24">
        <f t="shared" si="94"/>
        <v>9928</v>
      </c>
      <c r="M41" s="15">
        <f t="shared" si="95"/>
        <v>9928</v>
      </c>
      <c r="N41" s="15">
        <v>128.16666666666666</v>
      </c>
      <c r="O41" s="276">
        <f t="shared" si="27"/>
        <v>77.461638491547475</v>
      </c>
      <c r="P41" s="15">
        <v>300</v>
      </c>
      <c r="Q41" s="711">
        <f t="shared" si="28"/>
        <v>666.66666666666663</v>
      </c>
      <c r="R41" s="276">
        <f t="shared" si="29"/>
        <v>198.56</v>
      </c>
      <c r="S41" s="712">
        <f t="shared" si="30"/>
        <v>153.84615384615384</v>
      </c>
      <c r="T41" s="713">
        <v>4000</v>
      </c>
      <c r="U41" s="276">
        <f t="shared" si="96"/>
        <v>64.531999999999996</v>
      </c>
      <c r="V41" s="278"/>
      <c r="W41" s="276">
        <f t="shared" si="97"/>
        <v>64.531999999999996</v>
      </c>
      <c r="X41" s="823" t="e">
        <f t="shared" si="98"/>
        <v>#DIV/0!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346">
        <v>0</v>
      </c>
      <c r="HL41" s="343">
        <v>0</v>
      </c>
      <c r="HM41" s="343"/>
      <c r="HN41" s="343"/>
      <c r="HO41" s="343"/>
      <c r="HP41" s="343"/>
      <c r="HQ41" s="872">
        <f t="shared" si="81"/>
        <v>0</v>
      </c>
      <c r="HR41" s="873">
        <f t="shared" si="82"/>
        <v>0</v>
      </c>
    </row>
    <row r="42" spans="1:226" s="341" customFormat="1" ht="15" customHeight="1" x14ac:dyDescent="0.2">
      <c r="A42" s="21">
        <v>31</v>
      </c>
      <c r="B42" s="21" t="s">
        <v>526</v>
      </c>
      <c r="C42" s="275" t="s">
        <v>529</v>
      </c>
      <c r="D42" s="21">
        <v>25</v>
      </c>
      <c r="E42" s="24"/>
      <c r="F42" s="24">
        <v>286</v>
      </c>
      <c r="G42" s="24"/>
      <c r="H42" s="24">
        <v>3000</v>
      </c>
      <c r="I42" s="24"/>
      <c r="J42" s="360">
        <f>SUMIF(SUMPK!$B:$B,$B:$B,SUMPK!$O:$O)</f>
        <v>0</v>
      </c>
      <c r="K42" s="24"/>
      <c r="L42" s="24">
        <f t="shared" si="94"/>
        <v>3286</v>
      </c>
      <c r="M42" s="15">
        <f t="shared" si="95"/>
        <v>3286</v>
      </c>
      <c r="N42" s="15">
        <v>99.666666666666671</v>
      </c>
      <c r="O42" s="276">
        <f t="shared" ref="O42:O44" si="99">IF(N42=0,0,M42/N42)</f>
        <v>32.969899665551836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65.501661129568106</v>
      </c>
      <c r="S42" s="712">
        <f t="shared" ref="S42:S44" si="102">T42/$T$8</f>
        <v>18.46153846153846</v>
      </c>
      <c r="T42" s="713">
        <v>480</v>
      </c>
      <c r="U42" s="276">
        <f t="shared" si="96"/>
        <v>177.99166666666667</v>
      </c>
      <c r="V42" s="278"/>
      <c r="W42" s="276">
        <f t="shared" si="97"/>
        <v>177.99166666666667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346">
        <v>0</v>
      </c>
      <c r="HL42" s="343">
        <v>0</v>
      </c>
      <c r="HM42" s="343"/>
      <c r="HN42" s="343"/>
      <c r="HO42" s="343"/>
      <c r="HP42" s="343"/>
      <c r="HQ42" s="872">
        <f t="shared" si="81"/>
        <v>0</v>
      </c>
      <c r="HR42" s="873">
        <f t="shared" si="82"/>
        <v>0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8945</v>
      </c>
      <c r="G43" s="24"/>
      <c r="H43" s="24"/>
      <c r="I43" s="24"/>
      <c r="J43" s="360">
        <f>SUMIF(SUMPK!$B:$B,$B:$B,SUMPK!$O:$O)</f>
        <v>0</v>
      </c>
      <c r="K43" s="24"/>
      <c r="L43" s="24">
        <f t="shared" si="94"/>
        <v>8945</v>
      </c>
      <c r="M43" s="15">
        <f t="shared" si="95"/>
        <v>8945</v>
      </c>
      <c r="N43" s="15">
        <v>69.333333333333329</v>
      </c>
      <c r="O43" s="276">
        <f t="shared" si="99"/>
        <v>129.01442307692309</v>
      </c>
      <c r="P43" s="15">
        <v>302</v>
      </c>
      <c r="Q43" s="711">
        <f t="shared" si="100"/>
        <v>1333.3333333333333</v>
      </c>
      <c r="R43" s="276">
        <f t="shared" si="101"/>
        <v>177.71523178807948</v>
      </c>
      <c r="S43" s="712">
        <f t="shared" si="102"/>
        <v>307.69230769230768</v>
      </c>
      <c r="T43" s="713">
        <v>8000</v>
      </c>
      <c r="U43" s="276">
        <f t="shared" si="96"/>
        <v>29.071250000000003</v>
      </c>
      <c r="V43" s="278"/>
      <c r="W43" s="276">
        <f t="shared" si="97"/>
        <v>29.071250000000003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346">
        <v>1055</v>
      </c>
      <c r="HL43" s="343">
        <v>0</v>
      </c>
      <c r="HM43" s="343"/>
      <c r="HN43" s="343"/>
      <c r="HO43" s="343"/>
      <c r="HP43" s="343"/>
      <c r="HQ43" s="872">
        <f t="shared" si="81"/>
        <v>1055</v>
      </c>
      <c r="HR43" s="873">
        <f t="shared" si="82"/>
        <v>175.83333333333334</v>
      </c>
    </row>
    <row r="44" spans="1:226" s="341" customFormat="1" x14ac:dyDescent="0.2">
      <c r="A44" s="21">
        <v>33</v>
      </c>
      <c r="B44" s="297">
        <v>12907005510005</v>
      </c>
      <c r="C44" s="715" t="s">
        <v>485</v>
      </c>
      <c r="D44" s="296">
        <v>5</v>
      </c>
      <c r="E44" s="24"/>
      <c r="F44" s="24">
        <v>635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4"/>
        <v>635</v>
      </c>
      <c r="M44" s="15">
        <f t="shared" si="95"/>
        <v>635</v>
      </c>
      <c r="N44" s="15">
        <v>98.333333333333329</v>
      </c>
      <c r="O44" s="276">
        <f t="shared" si="99"/>
        <v>6.4576271186440684</v>
      </c>
      <c r="P44" s="15">
        <v>303</v>
      </c>
      <c r="Q44" s="711">
        <f t="shared" si="100"/>
        <v>333.33333333333331</v>
      </c>
      <c r="R44" s="276">
        <f t="shared" si="101"/>
        <v>12.574257425742573</v>
      </c>
      <c r="S44" s="712">
        <f t="shared" si="102"/>
        <v>76.92307692307692</v>
      </c>
      <c r="T44" s="713">
        <v>2000</v>
      </c>
      <c r="U44" s="276">
        <f t="shared" ref="U44" si="103">IF(S44=0,0,M44/S44)</f>
        <v>8.2550000000000008</v>
      </c>
      <c r="V44" s="278"/>
      <c r="W44" s="276">
        <f t="shared" ref="W44" si="104">IF(S44=0,0,(M44+V44)/S44)</f>
        <v>8.2550000000000008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346">
        <v>0</v>
      </c>
      <c r="HL44" s="343">
        <v>0</v>
      </c>
      <c r="HM44" s="343"/>
      <c r="HN44" s="343"/>
      <c r="HO44" s="343"/>
      <c r="HP44" s="343"/>
      <c r="HQ44" s="872">
        <f t="shared" si="81"/>
        <v>0</v>
      </c>
      <c r="HR44" s="873">
        <f t="shared" si="82"/>
        <v>0</v>
      </c>
    </row>
    <row r="45" spans="1:226" s="341" customFormat="1" x14ac:dyDescent="0.2">
      <c r="A45" s="21">
        <v>34</v>
      </c>
      <c r="B45" s="21" t="s">
        <v>488</v>
      </c>
      <c r="C45" s="715" t="s">
        <v>489</v>
      </c>
      <c r="D45" s="21">
        <v>25</v>
      </c>
      <c r="E45" s="24"/>
      <c r="F45" s="24">
        <v>127</v>
      </c>
      <c r="G45" s="24"/>
      <c r="H45" s="24"/>
      <c r="I45" s="24"/>
      <c r="J45" s="360">
        <f>SUMIF(SUMPK!$B:$B,$B:$B,SUMPK!$O:$O)</f>
        <v>0</v>
      </c>
      <c r="K45" s="24"/>
      <c r="L45" s="24">
        <f t="shared" si="94"/>
        <v>127</v>
      </c>
      <c r="M45" s="15">
        <f t="shared" si="95"/>
        <v>127</v>
      </c>
      <c r="N45" s="15">
        <v>19.666666666666668</v>
      </c>
      <c r="O45" s="276">
        <f t="shared" si="27"/>
        <v>6.4576271186440675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346">
        <v>0</v>
      </c>
      <c r="HL45" s="343">
        <v>0</v>
      </c>
      <c r="HM45" s="343"/>
      <c r="HN45" s="343"/>
      <c r="HO45" s="343"/>
      <c r="HP45" s="343"/>
      <c r="HQ45" s="872">
        <f t="shared" si="81"/>
        <v>0</v>
      </c>
      <c r="HR45" s="873">
        <f t="shared" si="82"/>
        <v>0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3164</v>
      </c>
      <c r="G46" s="24"/>
      <c r="H46" s="24"/>
      <c r="I46" s="360"/>
      <c r="J46" s="360">
        <f>SUMIF(SUMPK!$B:$B,$B:$B,SUMPK!$O:$O)</f>
        <v>0</v>
      </c>
      <c r="K46" s="24"/>
      <c r="L46" s="24">
        <f t="shared" si="94"/>
        <v>3164</v>
      </c>
      <c r="M46" s="15">
        <f t="shared" si="95"/>
        <v>3164</v>
      </c>
      <c r="N46" s="15">
        <v>305.33333333333331</v>
      </c>
      <c r="O46" s="276">
        <f t="shared" si="27"/>
        <v>10.362445414847162</v>
      </c>
      <c r="P46" s="15">
        <v>219</v>
      </c>
      <c r="Q46" s="711">
        <f>T46/$Q$8</f>
        <v>1066.6666666666667</v>
      </c>
      <c r="R46" s="276">
        <f t="shared" si="29"/>
        <v>86.684931506849324</v>
      </c>
      <c r="S46" s="712">
        <f t="shared" si="30"/>
        <v>246.15384615384616</v>
      </c>
      <c r="T46" s="713">
        <v>6400</v>
      </c>
      <c r="U46" s="276">
        <f t="shared" si="89"/>
        <v>12.85375</v>
      </c>
      <c r="V46" s="278"/>
      <c r="W46" s="276">
        <f t="shared" si="32"/>
        <v>12.85375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>
        <v>1633</v>
      </c>
      <c r="HL46" s="343">
        <v>955</v>
      </c>
      <c r="HM46" s="343"/>
      <c r="HN46" s="343"/>
      <c r="HO46" s="343"/>
      <c r="HP46" s="343"/>
      <c r="HQ46" s="872">
        <f t="shared" si="81"/>
        <v>2588</v>
      </c>
      <c r="HR46" s="873">
        <f t="shared" si="82"/>
        <v>431.33333333333331</v>
      </c>
    </row>
    <row r="47" spans="1:226" s="323" customFormat="1" x14ac:dyDescent="0.2">
      <c r="A47" s="21">
        <v>36</v>
      </c>
      <c r="B47" s="21" t="s">
        <v>527</v>
      </c>
      <c r="C47" s="275" t="s">
        <v>530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>
        <v>0</v>
      </c>
      <c r="HL47" s="343">
        <v>0</v>
      </c>
      <c r="HM47" s="343"/>
      <c r="HN47" s="343"/>
      <c r="HO47" s="343"/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0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0</v>
      </c>
      <c r="M48" s="15">
        <f t="shared" si="95"/>
        <v>0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 t="e">
        <f t="shared" si="0"/>
        <v>#DIV/0!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>
        <v>2300</v>
      </c>
      <c r="HL48" s="343">
        <v>0</v>
      </c>
      <c r="HM48" s="343"/>
      <c r="HN48" s="343"/>
      <c r="HO48" s="343"/>
      <c r="HP48" s="343"/>
      <c r="HQ48" s="872">
        <f t="shared" si="81"/>
        <v>2300</v>
      </c>
      <c r="HR48" s="873">
        <f t="shared" si="82"/>
        <v>383.33333333333331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4356</v>
      </c>
      <c r="G49" s="24"/>
      <c r="H49" s="24">
        <v>4726</v>
      </c>
      <c r="I49" s="24"/>
      <c r="J49" s="360">
        <f>SUMIF(SUMPK!$B:$B,$B:$B,SUMPK!$O:$O)</f>
        <v>0</v>
      </c>
      <c r="K49" s="24"/>
      <c r="L49" s="24">
        <f t="shared" si="94"/>
        <v>9082</v>
      </c>
      <c r="M49" s="15">
        <f t="shared" si="95"/>
        <v>9082</v>
      </c>
      <c r="N49" s="15">
        <v>211.83333333333334</v>
      </c>
      <c r="O49" s="276">
        <f t="shared" si="27"/>
        <v>42.873328088119592</v>
      </c>
      <c r="P49" s="15">
        <v>106.66666666666667</v>
      </c>
      <c r="Q49" s="711">
        <f>T49/$Q$8</f>
        <v>1066.6666666666667</v>
      </c>
      <c r="R49" s="276">
        <f t="shared" si="29"/>
        <v>510.86249999999995</v>
      </c>
      <c r="S49" s="712">
        <f t="shared" si="30"/>
        <v>246.15384615384616</v>
      </c>
      <c r="T49" s="713">
        <v>6400</v>
      </c>
      <c r="U49" s="276">
        <f t="shared" si="89"/>
        <v>36.895625000000003</v>
      </c>
      <c r="V49" s="278"/>
      <c r="W49" s="276">
        <f t="shared" si="32"/>
        <v>36.895625000000003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>
        <v>0</v>
      </c>
      <c r="HL49" s="343">
        <v>0</v>
      </c>
      <c r="HM49" s="343"/>
      <c r="HN49" s="343"/>
      <c r="HO49" s="343"/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0</v>
      </c>
      <c r="K50" s="24"/>
      <c r="L50" s="24">
        <f t="shared" si="94"/>
        <v>5350</v>
      </c>
      <c r="M50" s="15">
        <f t="shared" si="95"/>
        <v>5350</v>
      </c>
      <c r="N50" s="15">
        <v>94.833333333333329</v>
      </c>
      <c r="O50" s="276">
        <f t="shared" si="27"/>
        <v>56.414762741652027</v>
      </c>
      <c r="P50" s="15">
        <v>125.16666666666667</v>
      </c>
      <c r="Q50" s="711">
        <f t="shared" si="28"/>
        <v>800</v>
      </c>
      <c r="R50" s="276">
        <f t="shared" si="29"/>
        <v>256.45805592543275</v>
      </c>
      <c r="S50" s="712">
        <f t="shared" si="30"/>
        <v>184.61538461538461</v>
      </c>
      <c r="T50" s="713">
        <v>4800</v>
      </c>
      <c r="U50" s="276">
        <f t="shared" si="89"/>
        <v>28.979166666666668</v>
      </c>
      <c r="V50" s="278"/>
      <c r="W50" s="276">
        <f t="shared" si="32"/>
        <v>28.979166666666668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>
        <v>0</v>
      </c>
      <c r="HL50" s="343">
        <v>0</v>
      </c>
      <c r="HM50" s="343"/>
      <c r="HN50" s="343"/>
      <c r="HO50" s="343"/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528</v>
      </c>
      <c r="C51" s="275" t="s">
        <v>531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>
        <v>0</v>
      </c>
      <c r="HL51" s="343">
        <v>0</v>
      </c>
      <c r="HM51" s="343"/>
      <c r="HN51" s="343"/>
      <c r="HO51" s="343"/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20043</v>
      </c>
      <c r="G52" s="24"/>
      <c r="H52" s="235">
        <v>4888</v>
      </c>
      <c r="I52" s="360"/>
      <c r="J52" s="360">
        <f>SUMIF(SUMPK!$B:$B,$B:$B,SUMPK!$O:$O)</f>
        <v>0</v>
      </c>
      <c r="K52" s="24"/>
      <c r="L52" s="24">
        <f t="shared" si="94"/>
        <v>24931</v>
      </c>
      <c r="M52" s="15">
        <f t="shared" si="95"/>
        <v>24931</v>
      </c>
      <c r="N52" s="15">
        <v>1168</v>
      </c>
      <c r="O52" s="276">
        <f t="shared" si="27"/>
        <v>21.345034246575342</v>
      </c>
      <c r="P52" s="15">
        <v>1603.1666666666667</v>
      </c>
      <c r="Q52" s="711">
        <f t="shared" si="28"/>
        <v>6666.666666666667</v>
      </c>
      <c r="R52" s="276">
        <f t="shared" si="29"/>
        <v>93.306580725647152</v>
      </c>
      <c r="S52" s="712">
        <f t="shared" si="30"/>
        <v>1538.4615384615386</v>
      </c>
      <c r="T52" s="713">
        <v>40000</v>
      </c>
      <c r="U52" s="276">
        <f t="shared" si="89"/>
        <v>16.20515</v>
      </c>
      <c r="V52" s="278"/>
      <c r="W52" s="276">
        <f t="shared" si="32"/>
        <v>16.20515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>
        <v>2655</v>
      </c>
      <c r="HL52" s="343">
        <v>1219</v>
      </c>
      <c r="HM52" s="343"/>
      <c r="HN52" s="343"/>
      <c r="HO52" s="343"/>
      <c r="HP52" s="343"/>
      <c r="HQ52" s="872">
        <f t="shared" si="81"/>
        <v>3874</v>
      </c>
      <c r="HR52" s="873">
        <f t="shared" si="82"/>
        <v>645.66666666666663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>
        <v>0</v>
      </c>
      <c r="HL53" s="343">
        <v>0</v>
      </c>
      <c r="HM53" s="343"/>
      <c r="HN53" s="343"/>
      <c r="HO53" s="343"/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>
        <v>0</v>
      </c>
      <c r="HL54" s="343">
        <v>0</v>
      </c>
      <c r="HM54" s="343"/>
      <c r="HN54" s="343"/>
      <c r="HO54" s="343"/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1159</v>
      </c>
      <c r="G55" s="24"/>
      <c r="H55" s="24"/>
      <c r="I55" s="360"/>
      <c r="J55" s="360">
        <f>SUMIF(SUMPK!$B:$B,$B:$B,SUMPK!$O:$O)</f>
        <v>0</v>
      </c>
      <c r="K55" s="24"/>
      <c r="L55" s="24">
        <f t="shared" si="83"/>
        <v>1159</v>
      </c>
      <c r="M55" s="15">
        <f t="shared" si="26"/>
        <v>1159</v>
      </c>
      <c r="N55" s="15">
        <v>1021.8333333333334</v>
      </c>
      <c r="O55" s="276">
        <f t="shared" si="27"/>
        <v>1.1342358505953352</v>
      </c>
      <c r="P55" s="15">
        <v>237.5</v>
      </c>
      <c r="Q55" s="711">
        <f t="shared" si="28"/>
        <v>1566.6666666666667</v>
      </c>
      <c r="R55" s="276">
        <f t="shared" si="29"/>
        <v>29.28</v>
      </c>
      <c r="S55" s="712">
        <f t="shared" si="30"/>
        <v>361.53846153846155</v>
      </c>
      <c r="T55" s="713">
        <v>9400</v>
      </c>
      <c r="U55" s="276">
        <f t="shared" si="89"/>
        <v>3.2057446808510637</v>
      </c>
      <c r="V55" s="278"/>
      <c r="W55" s="276">
        <f t="shared" si="32"/>
        <v>3.2057446808510637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>
        <v>0</v>
      </c>
      <c r="HL55" s="343">
        <v>0</v>
      </c>
      <c r="HM55" s="343"/>
      <c r="HN55" s="343"/>
      <c r="HO55" s="343"/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>
        <v>0</v>
      </c>
      <c r="HL56" s="343">
        <v>0</v>
      </c>
      <c r="HM56" s="343"/>
      <c r="HN56" s="343"/>
      <c r="HO56" s="343"/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15121</v>
      </c>
      <c r="G57" s="24"/>
      <c r="H57" s="24"/>
      <c r="I57" s="360"/>
      <c r="J57" s="360">
        <f>SUMIF(SUMPK!$B:$B,$B:$B,SUMPK!$O:$O)</f>
        <v>1878</v>
      </c>
      <c r="K57" s="24"/>
      <c r="L57" s="24">
        <f t="shared" si="83"/>
        <v>13243</v>
      </c>
      <c r="M57" s="15">
        <f t="shared" si="26"/>
        <v>13243</v>
      </c>
      <c r="N57" s="15">
        <v>496.33333333333331</v>
      </c>
      <c r="O57" s="276">
        <f t="shared" si="27"/>
        <v>26.681665547347215</v>
      </c>
      <c r="P57" s="15">
        <v>972.66666666666663</v>
      </c>
      <c r="Q57" s="711">
        <f t="shared" si="28"/>
        <v>7333.333333333333</v>
      </c>
      <c r="R57" s="276">
        <f t="shared" si="29"/>
        <v>81.69088416723784</v>
      </c>
      <c r="S57" s="712">
        <f t="shared" si="30"/>
        <v>1692.3076923076924</v>
      </c>
      <c r="T57" s="713">
        <v>44000</v>
      </c>
      <c r="U57" s="276">
        <f t="shared" si="89"/>
        <v>7.8254090909090905</v>
      </c>
      <c r="V57" s="278"/>
      <c r="W57" s="276">
        <f t="shared" si="32"/>
        <v>7.8254090909090905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>
        <v>791</v>
      </c>
      <c r="HL57" s="343">
        <v>4759</v>
      </c>
      <c r="HM57" s="343"/>
      <c r="HN57" s="343"/>
      <c r="HO57" s="343"/>
      <c r="HP57" s="343"/>
      <c r="HQ57" s="872">
        <f t="shared" si="81"/>
        <v>5550</v>
      </c>
      <c r="HR57" s="873">
        <f t="shared" si="82"/>
        <v>925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1500</v>
      </c>
      <c r="G58" s="24"/>
      <c r="H58" s="24"/>
      <c r="I58" s="24"/>
      <c r="J58" s="360">
        <f>SUMIF(SUMPK!$B:$B,$B:$B,SUMPK!$O:$O)</f>
        <v>960</v>
      </c>
      <c r="K58" s="24"/>
      <c r="L58" s="24">
        <f t="shared" si="83"/>
        <v>540</v>
      </c>
      <c r="M58" s="15">
        <f t="shared" si="26"/>
        <v>540</v>
      </c>
      <c r="N58" s="15">
        <v>387.66666666666669</v>
      </c>
      <c r="O58" s="276">
        <f t="shared" si="27"/>
        <v>1.3929492691315561</v>
      </c>
      <c r="P58" s="15">
        <v>220.5</v>
      </c>
      <c r="Q58" s="711">
        <f t="shared" si="28"/>
        <v>2400</v>
      </c>
      <c r="R58" s="276">
        <f t="shared" si="29"/>
        <v>14.693877551020408</v>
      </c>
      <c r="S58" s="712">
        <f t="shared" si="30"/>
        <v>553.84615384615381</v>
      </c>
      <c r="T58" s="713">
        <v>14400</v>
      </c>
      <c r="U58" s="276">
        <f t="shared" si="89"/>
        <v>0.97500000000000009</v>
      </c>
      <c r="V58" s="278"/>
      <c r="W58" s="276">
        <f t="shared" si="32"/>
        <v>0.97500000000000009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>
        <v>0</v>
      </c>
      <c r="HL58" s="343">
        <v>0</v>
      </c>
      <c r="HM58" s="343"/>
      <c r="HN58" s="343"/>
      <c r="HO58" s="343"/>
      <c r="HP58" s="343"/>
      <c r="HQ58" s="872">
        <f t="shared" si="81"/>
        <v>0</v>
      </c>
      <c r="HR58" s="873">
        <f t="shared" si="82"/>
        <v>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4122</v>
      </c>
      <c r="G59" s="24"/>
      <c r="H59" s="24">
        <v>2860</v>
      </c>
      <c r="I59" s="360"/>
      <c r="J59" s="360">
        <f>SUMIF(SUMPK!$B:$B,$B:$B,SUMPK!$O:$O)</f>
        <v>0</v>
      </c>
      <c r="K59" s="24"/>
      <c r="L59" s="24">
        <f t="shared" si="83"/>
        <v>6982</v>
      </c>
      <c r="M59" s="15">
        <f t="shared" si="26"/>
        <v>6982</v>
      </c>
      <c r="N59" s="15">
        <v>433.33333333333331</v>
      </c>
      <c r="O59" s="276">
        <f t="shared" si="27"/>
        <v>16.112307692307692</v>
      </c>
      <c r="P59" s="15">
        <v>319.16666666666669</v>
      </c>
      <c r="Q59" s="711">
        <f t="shared" si="28"/>
        <v>1333.3333333333333</v>
      </c>
      <c r="R59" s="276">
        <f t="shared" si="29"/>
        <v>131.25430809399478</v>
      </c>
      <c r="S59" s="712">
        <f t="shared" si="30"/>
        <v>307.69230769230768</v>
      </c>
      <c r="T59" s="713">
        <v>8000</v>
      </c>
      <c r="U59" s="276">
        <f t="shared" si="89"/>
        <v>22.691500000000001</v>
      </c>
      <c r="V59" s="278"/>
      <c r="W59" s="276">
        <f t="shared" si="32"/>
        <v>22.691500000000001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>
        <v>0</v>
      </c>
      <c r="HL59" s="343">
        <v>0</v>
      </c>
      <c r="HM59" s="343"/>
      <c r="HN59" s="343"/>
      <c r="HO59" s="343"/>
      <c r="HP59" s="343"/>
      <c r="HQ59" s="872">
        <f t="shared" si="81"/>
        <v>0</v>
      </c>
      <c r="HR59" s="873">
        <f t="shared" si="82"/>
        <v>0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5164</v>
      </c>
      <c r="G60" s="24"/>
      <c r="H60" s="24">
        <v>2908</v>
      </c>
      <c r="I60" s="360"/>
      <c r="J60" s="360">
        <f>SUMIF(SUMPK!$B:$B,$B:$B,SUMPK!$O:$O)</f>
        <v>1210</v>
      </c>
      <c r="K60" s="24"/>
      <c r="L60" s="24">
        <f t="shared" si="83"/>
        <v>6862</v>
      </c>
      <c r="M60" s="15">
        <f t="shared" si="26"/>
        <v>6862</v>
      </c>
      <c r="N60" s="15">
        <v>327.66666666666669</v>
      </c>
      <c r="O60" s="276">
        <f t="shared" si="27"/>
        <v>20.94201424211597</v>
      </c>
      <c r="P60" s="15">
        <v>167.5</v>
      </c>
      <c r="Q60" s="711">
        <f t="shared" si="28"/>
        <v>1600</v>
      </c>
      <c r="R60" s="276">
        <f t="shared" si="29"/>
        <v>245.80298507462686</v>
      </c>
      <c r="S60" s="712">
        <f t="shared" si="30"/>
        <v>369.23076923076923</v>
      </c>
      <c r="T60" s="713">
        <v>9600</v>
      </c>
      <c r="U60" s="276">
        <f t="shared" si="89"/>
        <v>18.584583333333335</v>
      </c>
      <c r="V60" s="278"/>
      <c r="W60" s="276">
        <f t="shared" si="32"/>
        <v>18.584583333333335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>
        <v>0</v>
      </c>
      <c r="HL60" s="343">
        <v>0</v>
      </c>
      <c r="HM60" s="343"/>
      <c r="HN60" s="343"/>
      <c r="HO60" s="343"/>
      <c r="HP60" s="343"/>
      <c r="HQ60" s="872">
        <f t="shared" si="81"/>
        <v>0</v>
      </c>
      <c r="HR60" s="873">
        <f t="shared" si="82"/>
        <v>0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6735</v>
      </c>
      <c r="G61" s="24"/>
      <c r="H61" s="24">
        <v>4918</v>
      </c>
      <c r="I61" s="360"/>
      <c r="J61" s="360">
        <f>SUMIF(SUMPK!$B:$B,$B:$B,SUMPK!$O:$O)</f>
        <v>0</v>
      </c>
      <c r="K61" s="24"/>
      <c r="L61" s="24">
        <f t="shared" si="83"/>
        <v>11653</v>
      </c>
      <c r="M61" s="15">
        <f t="shared" si="26"/>
        <v>11653</v>
      </c>
      <c r="N61" s="15">
        <v>385.33333333333331</v>
      </c>
      <c r="O61" s="276">
        <f t="shared" si="27"/>
        <v>30.241349480968861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23.670156249999998</v>
      </c>
      <c r="V61" s="278"/>
      <c r="W61" s="276">
        <f t="shared" si="32"/>
        <v>23.670156249999998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>
        <v>343</v>
      </c>
      <c r="HL61" s="343">
        <v>1125</v>
      </c>
      <c r="HM61" s="343"/>
      <c r="HN61" s="343"/>
      <c r="HO61" s="343"/>
      <c r="HP61" s="343"/>
      <c r="HQ61" s="872">
        <f t="shared" si="81"/>
        <v>1468</v>
      </c>
      <c r="HR61" s="873">
        <f t="shared" si="82"/>
        <v>244.66666666666666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>
        <v>0</v>
      </c>
      <c r="HL62" s="343">
        <v>0</v>
      </c>
      <c r="HM62" s="343"/>
      <c r="HN62" s="343"/>
      <c r="HO62" s="343"/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1720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3"/>
        <v>1720</v>
      </c>
      <c r="M63" s="15">
        <f t="shared" si="26"/>
        <v>1720</v>
      </c>
      <c r="N63" s="15">
        <v>484.16666666666669</v>
      </c>
      <c r="O63" s="276">
        <f t="shared" si="27"/>
        <v>3.55249569707401</v>
      </c>
      <c r="P63" s="15">
        <v>90</v>
      </c>
      <c r="Q63" s="711">
        <f t="shared" si="28"/>
        <v>933.33333333333337</v>
      </c>
      <c r="R63" s="276">
        <f t="shared" si="29"/>
        <v>114.66666666666666</v>
      </c>
      <c r="S63" s="712">
        <f t="shared" si="30"/>
        <v>215.38461538461539</v>
      </c>
      <c r="T63" s="713">
        <v>5600</v>
      </c>
      <c r="U63" s="276">
        <f t="shared" si="89"/>
        <v>7.9857142857142858</v>
      </c>
      <c r="V63" s="278"/>
      <c r="W63" s="276">
        <f t="shared" si="32"/>
        <v>7.9857142857142858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>
        <v>0</v>
      </c>
      <c r="HL63" s="343">
        <v>0</v>
      </c>
      <c r="HM63" s="343"/>
      <c r="HN63" s="343"/>
      <c r="HO63" s="343"/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176</v>
      </c>
      <c r="K64" s="24"/>
      <c r="L64" s="24">
        <f t="shared" si="83"/>
        <v>2070</v>
      </c>
      <c r="M64" s="15">
        <f t="shared" si="26"/>
        <v>2070</v>
      </c>
      <c r="N64" s="15">
        <v>51.666666666666664</v>
      </c>
      <c r="O64" s="276">
        <f t="shared" si="27"/>
        <v>40.064516129032263</v>
      </c>
      <c r="P64" s="15">
        <v>94.166666666666671</v>
      </c>
      <c r="Q64" s="711">
        <f t="shared" si="28"/>
        <v>533.33333333333337</v>
      </c>
      <c r="R64" s="276">
        <f t="shared" si="29"/>
        <v>131.89380530973452</v>
      </c>
      <c r="S64" s="712">
        <f t="shared" si="30"/>
        <v>123.07692307692308</v>
      </c>
      <c r="T64" s="713">
        <v>3200</v>
      </c>
      <c r="U64" s="276">
        <f t="shared" si="89"/>
        <v>16.818749999999998</v>
      </c>
      <c r="V64" s="278"/>
      <c r="W64" s="276">
        <f t="shared" si="32"/>
        <v>16.818749999999998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>
        <v>0</v>
      </c>
      <c r="HL64" s="343">
        <v>0</v>
      </c>
      <c r="HM64" s="343"/>
      <c r="HN64" s="343"/>
      <c r="HO64" s="343"/>
      <c r="HP64" s="343"/>
      <c r="HQ64" s="872">
        <f t="shared" si="81"/>
        <v>0</v>
      </c>
      <c r="HR64" s="873">
        <f t="shared" si="82"/>
        <v>0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11806</v>
      </c>
      <c r="G65" s="24"/>
      <c r="H65" s="24"/>
      <c r="I65" s="360"/>
      <c r="J65" s="360">
        <f>SUMIF(SUMPK!$B:$B,$B:$B,SUMPK!$O:$O)</f>
        <v>1200</v>
      </c>
      <c r="K65" s="24"/>
      <c r="L65" s="24">
        <f>F65+H65-J65</f>
        <v>10606</v>
      </c>
      <c r="M65" s="15">
        <f t="shared" si="26"/>
        <v>10606</v>
      </c>
      <c r="N65" s="15">
        <v>972.16666666666663</v>
      </c>
      <c r="O65" s="276">
        <f t="shared" si="27"/>
        <v>10.90965198011315</v>
      </c>
      <c r="P65" s="15">
        <v>508.83333333333331</v>
      </c>
      <c r="Q65" s="711">
        <f t="shared" si="28"/>
        <v>3733.3333333333335</v>
      </c>
      <c r="R65" s="276">
        <f t="shared" si="29"/>
        <v>125.06256141500164</v>
      </c>
      <c r="S65" s="712">
        <f t="shared" si="30"/>
        <v>861.53846153846155</v>
      </c>
      <c r="T65" s="713">
        <v>22400</v>
      </c>
      <c r="U65" s="276">
        <f t="shared" si="89"/>
        <v>12.310535714285715</v>
      </c>
      <c r="V65" s="278"/>
      <c r="W65" s="276">
        <f t="shared" si="32"/>
        <v>12.310535714285715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>
        <v>0</v>
      </c>
      <c r="HL65" s="343">
        <v>0</v>
      </c>
      <c r="HM65" s="343"/>
      <c r="HN65" s="343"/>
      <c r="HO65" s="343"/>
      <c r="HP65" s="343"/>
      <c r="HQ65" s="872">
        <f t="shared" si="81"/>
        <v>0</v>
      </c>
      <c r="HR65" s="873">
        <f t="shared" si="82"/>
        <v>0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2955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2955</v>
      </c>
      <c r="M66" s="15">
        <f t="shared" si="26"/>
        <v>2955</v>
      </c>
      <c r="N66" s="15">
        <v>126.16666666666667</v>
      </c>
      <c r="O66" s="276">
        <f t="shared" si="27"/>
        <v>23.421400264200791</v>
      </c>
      <c r="P66" s="15">
        <v>145.5</v>
      </c>
      <c r="Q66" s="711">
        <f t="shared" si="28"/>
        <v>666.66666666666663</v>
      </c>
      <c r="R66" s="276">
        <f t="shared" si="29"/>
        <v>121.85567010309278</v>
      </c>
      <c r="S66" s="712">
        <f t="shared" si="30"/>
        <v>153.84615384615384</v>
      </c>
      <c r="T66" s="713">
        <v>4000</v>
      </c>
      <c r="U66" s="276">
        <f t="shared" si="89"/>
        <v>19.2075</v>
      </c>
      <c r="V66" s="278"/>
      <c r="W66" s="276">
        <f t="shared" si="32"/>
        <v>19.2075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>
        <v>0</v>
      </c>
      <c r="HL66" s="343">
        <v>819</v>
      </c>
      <c r="HM66" s="343"/>
      <c r="HN66" s="343"/>
      <c r="HO66" s="343"/>
      <c r="HP66" s="343"/>
      <c r="HQ66" s="872">
        <f t="shared" si="81"/>
        <v>819</v>
      </c>
      <c r="HR66" s="873">
        <f t="shared" si="82"/>
        <v>136.5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5193</v>
      </c>
      <c r="G67" s="24"/>
      <c r="H67" s="24"/>
      <c r="I67" s="360"/>
      <c r="J67" s="360">
        <f>SUMIF(SUMPK!$B:$B,$B:$B,SUMPK!$O:$O)</f>
        <v>1092</v>
      </c>
      <c r="K67" s="24"/>
      <c r="L67" s="24">
        <f t="shared" si="83"/>
        <v>4101</v>
      </c>
      <c r="M67" s="15">
        <f t="shared" si="26"/>
        <v>4101</v>
      </c>
      <c r="N67" s="15">
        <v>625.83333333333337</v>
      </c>
      <c r="O67" s="276">
        <f t="shared" si="27"/>
        <v>6.5528628495339545</v>
      </c>
      <c r="P67" s="15">
        <v>781.33333333333337</v>
      </c>
      <c r="Q67" s="711">
        <f t="shared" si="28"/>
        <v>3200</v>
      </c>
      <c r="R67" s="276">
        <f t="shared" si="29"/>
        <v>31.492320819112628</v>
      </c>
      <c r="S67" s="712">
        <f t="shared" si="30"/>
        <v>738.46153846153845</v>
      </c>
      <c r="T67" s="713">
        <v>19200</v>
      </c>
      <c r="U67" s="276">
        <f t="shared" si="89"/>
        <v>5.5534375000000002</v>
      </c>
      <c r="V67" s="278"/>
      <c r="W67" s="276">
        <f t="shared" si="32"/>
        <v>5.5534375000000002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>
        <v>1003</v>
      </c>
      <c r="HL67" s="343">
        <v>0</v>
      </c>
      <c r="HM67" s="343"/>
      <c r="HN67" s="343"/>
      <c r="HO67" s="343"/>
      <c r="HP67" s="343"/>
      <c r="HQ67" s="872">
        <f t="shared" si="81"/>
        <v>1003</v>
      </c>
      <c r="HR67" s="873">
        <f t="shared" si="82"/>
        <v>167.16666666666666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510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>
        <v>0</v>
      </c>
      <c r="HL68" s="343">
        <v>0</v>
      </c>
      <c r="HM68" s="343"/>
      <c r="HN68" s="343"/>
      <c r="HO68" s="343"/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356</v>
      </c>
      <c r="G69" s="24"/>
      <c r="H69" s="24">
        <v>2016</v>
      </c>
      <c r="I69" s="360"/>
      <c r="J69" s="360">
        <f>SUMIF(SUMPK!$B:$B,$B:$B,SUMPK!$O:$O)</f>
        <v>0</v>
      </c>
      <c r="K69" s="24"/>
      <c r="L69" s="24">
        <f t="shared" si="106"/>
        <v>2372</v>
      </c>
      <c r="M69" s="15">
        <f t="shared" si="107"/>
        <v>2372</v>
      </c>
      <c r="N69" s="15">
        <v>57.333333333333336</v>
      </c>
      <c r="O69" s="276">
        <f t="shared" si="27"/>
        <v>41.372093023255815</v>
      </c>
      <c r="P69" s="15">
        <v>123.83333333333333</v>
      </c>
      <c r="Q69" s="711">
        <f t="shared" si="28"/>
        <v>213.33333333333334</v>
      </c>
      <c r="R69" s="276">
        <f t="shared" si="29"/>
        <v>114.92866756393002</v>
      </c>
      <c r="S69" s="712">
        <f t="shared" si="30"/>
        <v>49.230769230769234</v>
      </c>
      <c r="T69" s="713">
        <v>1280</v>
      </c>
      <c r="U69" s="276">
        <f t="shared" si="89"/>
        <v>48.181249999999999</v>
      </c>
      <c r="V69" s="278"/>
      <c r="W69" s="276">
        <f t="shared" si="32"/>
        <v>48.181249999999999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>
        <v>0</v>
      </c>
      <c r="HL69" s="343">
        <v>0</v>
      </c>
      <c r="HM69" s="343"/>
      <c r="HN69" s="343"/>
      <c r="HO69" s="343"/>
      <c r="HP69" s="343"/>
      <c r="HQ69" s="872">
        <f t="shared" si="81"/>
        <v>0</v>
      </c>
      <c r="HR69" s="873">
        <f t="shared" si="82"/>
        <v>0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>
        <v>0</v>
      </c>
      <c r="HL70" s="343">
        <v>0</v>
      </c>
      <c r="HM70" s="343"/>
      <c r="HN70" s="343"/>
      <c r="HO70" s="343"/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/>
      <c r="I71" s="360"/>
      <c r="J71" s="360">
        <f>SUMIF(SUMPK!$B:$B,$B:$B,SUMPK!$O:$O)</f>
        <v>0</v>
      </c>
      <c r="K71" s="24"/>
      <c r="L71" s="24">
        <f t="shared" si="83"/>
        <v>1716</v>
      </c>
      <c r="M71" s="15">
        <f t="shared" si="26"/>
        <v>1716</v>
      </c>
      <c r="N71" s="15">
        <v>330.66666666666669</v>
      </c>
      <c r="O71" s="276">
        <f t="shared" si="27"/>
        <v>5.189516129032258</v>
      </c>
      <c r="P71" s="15">
        <v>323.16666666666669</v>
      </c>
      <c r="Q71" s="711">
        <f t="shared" si="28"/>
        <v>1333.3333333333333</v>
      </c>
      <c r="R71" s="276">
        <f t="shared" si="29"/>
        <v>31.859721505930892</v>
      </c>
      <c r="S71" s="712">
        <f t="shared" si="30"/>
        <v>307.69230769230768</v>
      </c>
      <c r="T71" s="713">
        <v>8000</v>
      </c>
      <c r="U71" s="276">
        <f t="shared" si="89"/>
        <v>5.577</v>
      </c>
      <c r="V71" s="278"/>
      <c r="W71" s="276">
        <f t="shared" si="32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>
        <v>0</v>
      </c>
      <c r="HL71" s="350">
        <v>0</v>
      </c>
      <c r="HM71" s="350"/>
      <c r="HN71" s="350"/>
      <c r="HO71" s="350"/>
      <c r="HP71" s="350"/>
      <c r="HQ71" s="878">
        <f t="shared" si="81"/>
        <v>0</v>
      </c>
      <c r="HR71" s="879">
        <f t="shared" si="82"/>
        <v>0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17" t="s">
        <v>14</v>
      </c>
      <c r="B74" s="917"/>
      <c r="C74" s="917"/>
      <c r="D74" s="746">
        <v>5</v>
      </c>
      <c r="E74" s="747">
        <f>E39+E44</f>
        <v>0</v>
      </c>
      <c r="F74" s="747">
        <f t="shared" ref="F74:W74" si="114">F39+F44</f>
        <v>1270</v>
      </c>
      <c r="G74" s="747">
        <f t="shared" si="114"/>
        <v>0</v>
      </c>
      <c r="H74" s="747">
        <f t="shared" si="114"/>
        <v>1500</v>
      </c>
      <c r="I74" s="747">
        <f t="shared" si="114"/>
        <v>0</v>
      </c>
      <c r="J74" s="747">
        <f t="shared" si="114"/>
        <v>0</v>
      </c>
      <c r="K74" s="747">
        <f t="shared" si="114"/>
        <v>0</v>
      </c>
      <c r="L74" s="747">
        <f t="shared" si="114"/>
        <v>2770</v>
      </c>
      <c r="M74" s="747">
        <f t="shared" si="114"/>
        <v>2770</v>
      </c>
      <c r="N74" s="747">
        <f t="shared" si="114"/>
        <v>98.333333333333329</v>
      </c>
      <c r="O74" s="747">
        <f t="shared" si="114"/>
        <v>6.4576271186440684</v>
      </c>
      <c r="P74" s="747">
        <f t="shared" si="114"/>
        <v>303</v>
      </c>
      <c r="Q74" s="747">
        <f t="shared" si="114"/>
        <v>466.66666666666663</v>
      </c>
      <c r="R74" s="747">
        <f t="shared" si="114"/>
        <v>12.574257425742573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77.642499999999998</v>
      </c>
      <c r="V74" s="747">
        <f t="shared" si="114"/>
        <v>0</v>
      </c>
      <c r="W74" s="747">
        <f t="shared" si="114"/>
        <v>77.642499999999998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26" s="749" customFormat="1" ht="12" customHeight="1" x14ac:dyDescent="0.2">
      <c r="A75" s="917"/>
      <c r="B75" s="917"/>
      <c r="C75" s="917"/>
      <c r="D75" s="746">
        <v>25</v>
      </c>
      <c r="E75" s="747">
        <f>SUM(E12:E72)-E74</f>
        <v>0</v>
      </c>
      <c r="F75" s="747">
        <f t="shared" ref="F75:W75" si="115">SUM(F12:F72)-F74</f>
        <v>189203</v>
      </c>
      <c r="G75" s="747">
        <f t="shared" si="115"/>
        <v>0</v>
      </c>
      <c r="H75" s="747">
        <f t="shared" si="115"/>
        <v>45790</v>
      </c>
      <c r="I75" s="747">
        <f t="shared" si="115"/>
        <v>0</v>
      </c>
      <c r="J75" s="747">
        <f t="shared" si="115"/>
        <v>13753</v>
      </c>
      <c r="K75" s="747">
        <f t="shared" si="115"/>
        <v>0</v>
      </c>
      <c r="L75" s="747">
        <f t="shared" si="115"/>
        <v>221240</v>
      </c>
      <c r="M75" s="747">
        <f t="shared" si="115"/>
        <v>221240</v>
      </c>
      <c r="N75" s="747">
        <f t="shared" si="115"/>
        <v>13120.33333333333</v>
      </c>
      <c r="O75" s="747">
        <f t="shared" si="115"/>
        <v>984.76350455550835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5310.2990085525889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1416.7668993210546</v>
      </c>
      <c r="V75" s="747">
        <f t="shared" si="115"/>
        <v>0</v>
      </c>
      <c r="W75" s="747">
        <f t="shared" si="115"/>
        <v>1416.7668993210546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  <c r="HK75" s="323"/>
      <c r="HL75" s="323"/>
      <c r="HM75" s="323"/>
      <c r="HN75" s="323"/>
      <c r="HO75" s="323"/>
      <c r="HP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16"/>
      <c r="B80" s="916"/>
      <c r="C80" s="916"/>
      <c r="D80" s="916"/>
      <c r="E80" s="916"/>
      <c r="F80" s="916"/>
      <c r="G80" s="916"/>
      <c r="H80" s="916"/>
      <c r="I80" s="916"/>
      <c r="J80" s="916"/>
      <c r="K80" s="916"/>
      <c r="L80" s="916"/>
      <c r="M80" s="916"/>
      <c r="N80" s="916"/>
      <c r="O80" s="916"/>
      <c r="P80" s="916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22" t="s">
        <v>15</v>
      </c>
      <c r="B81" s="922"/>
      <c r="C81" s="922"/>
      <c r="D81" s="922"/>
      <c r="E81" s="922"/>
      <c r="F81" s="922"/>
      <c r="G81" s="922"/>
      <c r="H81" s="922"/>
      <c r="I81" s="922"/>
      <c r="J81" s="922"/>
      <c r="K81" s="922"/>
      <c r="L81" s="922"/>
      <c r="M81" s="922"/>
      <c r="N81" s="922"/>
      <c r="O81" s="922"/>
      <c r="P81" s="922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15" t="s">
        <v>3</v>
      </c>
      <c r="B82" s="915" t="s">
        <v>4</v>
      </c>
      <c r="C82" s="915"/>
      <c r="D82" s="930" t="s">
        <v>6</v>
      </c>
      <c r="E82" s="932" t="s">
        <v>7</v>
      </c>
      <c r="F82" s="928" t="s">
        <v>8</v>
      </c>
      <c r="G82" s="921" t="s">
        <v>9</v>
      </c>
      <c r="H82" s="915" t="s">
        <v>13</v>
      </c>
      <c r="I82" s="918" t="s">
        <v>2</v>
      </c>
      <c r="J82" s="918" t="s">
        <v>509</v>
      </c>
      <c r="K82" s="919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15"/>
      <c r="B83" s="915"/>
      <c r="C83" s="915"/>
      <c r="D83" s="931"/>
      <c r="E83" s="933"/>
      <c r="F83" s="929"/>
      <c r="G83" s="921"/>
      <c r="H83" s="915"/>
      <c r="I83" s="918"/>
      <c r="J83" s="918"/>
      <c r="K83" s="920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27" t="s">
        <v>194</v>
      </c>
      <c r="C84" s="927"/>
      <c r="D84" s="889">
        <v>101.5</v>
      </c>
      <c r="E84" s="24"/>
      <c r="F84" s="15"/>
      <c r="G84" s="294">
        <f>D84+E84-F84</f>
        <v>101.5</v>
      </c>
      <c r="H84" s="391">
        <f>2.5*4</f>
        <v>10</v>
      </c>
      <c r="I84" s="634"/>
      <c r="J84" s="297">
        <f>(I84+G84)/H84</f>
        <v>10.15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27" t="s">
        <v>27</v>
      </c>
      <c r="C85" s="927"/>
      <c r="D85" s="891">
        <v>1112</v>
      </c>
      <c r="E85" s="15"/>
      <c r="F85" s="15">
        <f>4*12</f>
        <v>48</v>
      </c>
      <c r="G85" s="294">
        <f>D85+E85-F85</f>
        <v>1064</v>
      </c>
      <c r="H85" s="21">
        <v>50</v>
      </c>
      <c r="I85" s="296"/>
      <c r="J85" s="297">
        <f>(I85+G85)/H85</f>
        <v>21.28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27" t="s">
        <v>16</v>
      </c>
      <c r="C86" s="927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3">
    <cfRule type="cellIs" dxfId="27" priority="1" operator="greaterThan">
      <formula>25</formula>
    </cfRule>
    <cfRule type="cellIs" dxfId="26" priority="2" operator="lessThan">
      <formula>15</formula>
    </cfRule>
    <cfRule type="cellIs" dxfId="25" priority="3" operator="between">
      <formula>15</formula>
      <formula>25</formula>
    </cfRule>
  </conditionalFormatting>
  <conditionalFormatting sqref="U12:U73">
    <cfRule type="cellIs" dxfId="24" priority="4" operator="between">
      <formula>25</formula>
      <formula>27</formula>
    </cfRule>
    <cfRule type="cellIs" dxfId="23" priority="5" operator="lessThan">
      <formula>25</formula>
    </cfRule>
    <cfRule type="cellIs" dxfId="22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5"/>
  <sheetViews>
    <sheetView zoomScaleNormal="100" workbookViewId="0">
      <pane ySplit="2" topLeftCell="A29" activePane="bottomLeft" state="frozen"/>
      <selection pane="bottomLeft" activeCell="J45" sqref="J45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652"/>
      <c r="EWM1" s="1">
        <v>5</v>
      </c>
    </row>
    <row r="2" spans="1:4080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40" t="str">
        <f>HIGRO!X8</f>
        <v>Date(Ngày): 08/05/2026</v>
      </c>
      <c r="X3" s="940"/>
      <c r="Y3" s="20"/>
      <c r="Z3" s="20"/>
      <c r="AB3" s="3"/>
      <c r="AC3" s="653"/>
    </row>
    <row r="4" spans="1:4080" s="5" customFormat="1" ht="21" customHeight="1" x14ac:dyDescent="0.2">
      <c r="A4" s="989" t="s">
        <v>274</v>
      </c>
      <c r="B4" s="990"/>
      <c r="C4" s="990"/>
      <c r="D4" s="990"/>
      <c r="E4" s="990"/>
      <c r="F4" s="990"/>
      <c r="G4" s="990"/>
      <c r="H4" s="990"/>
      <c r="I4" s="990"/>
      <c r="J4" s="990"/>
      <c r="K4" s="990"/>
      <c r="L4" s="990"/>
      <c r="M4" s="991"/>
      <c r="N4" s="941" t="s">
        <v>252</v>
      </c>
      <c r="O4" s="942"/>
      <c r="P4" s="958" t="s">
        <v>255</v>
      </c>
      <c r="Q4" s="959"/>
      <c r="R4" s="959"/>
      <c r="S4" s="959"/>
      <c r="T4" s="959"/>
      <c r="U4" s="978" t="s">
        <v>260</v>
      </c>
      <c r="V4" s="981" t="s">
        <v>259</v>
      </c>
      <c r="W4" s="984" t="s">
        <v>265</v>
      </c>
      <c r="X4" s="968" t="s">
        <v>262</v>
      </c>
      <c r="Y4" s="965" t="s">
        <v>1</v>
      </c>
      <c r="Z4" s="966"/>
      <c r="AA4" s="966"/>
      <c r="AB4" s="967"/>
      <c r="AC4" s="995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68" t="s">
        <v>248</v>
      </c>
      <c r="B5" s="981" t="s">
        <v>249</v>
      </c>
      <c r="C5" s="970" t="s">
        <v>250</v>
      </c>
      <c r="D5" s="968" t="s">
        <v>251</v>
      </c>
      <c r="E5" s="987" t="s">
        <v>232</v>
      </c>
      <c r="F5" s="988"/>
      <c r="G5" s="987" t="s">
        <v>233</v>
      </c>
      <c r="H5" s="988"/>
      <c r="I5" s="987" t="s">
        <v>234</v>
      </c>
      <c r="J5" s="988"/>
      <c r="K5" s="972" t="s">
        <v>235</v>
      </c>
      <c r="L5" s="973"/>
      <c r="M5" s="974"/>
      <c r="N5" s="925" t="s">
        <v>254</v>
      </c>
      <c r="O5" s="925" t="s">
        <v>253</v>
      </c>
      <c r="P5" s="923" t="s">
        <v>256</v>
      </c>
      <c r="Q5" s="923" t="s">
        <v>253</v>
      </c>
      <c r="R5" s="960" t="s">
        <v>257</v>
      </c>
      <c r="S5" s="316"/>
      <c r="T5" s="962" t="s">
        <v>258</v>
      </c>
      <c r="U5" s="979"/>
      <c r="V5" s="982"/>
      <c r="W5" s="985"/>
      <c r="X5" s="969"/>
      <c r="Y5" s="975" t="s">
        <v>10</v>
      </c>
      <c r="Z5" s="975" t="s">
        <v>11</v>
      </c>
      <c r="AA5" s="975" t="s">
        <v>12</v>
      </c>
      <c r="AB5" s="975" t="s">
        <v>18</v>
      </c>
      <c r="AC5" s="995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69"/>
      <c r="B6" s="992"/>
      <c r="C6" s="971"/>
      <c r="D6" s="969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26"/>
      <c r="O6" s="926"/>
      <c r="P6" s="924"/>
      <c r="Q6" s="924"/>
      <c r="R6" s="961"/>
      <c r="S6" s="316"/>
      <c r="T6" s="962"/>
      <c r="U6" s="980"/>
      <c r="V6" s="983"/>
      <c r="W6" s="986"/>
      <c r="X6" s="969"/>
      <c r="Y6" s="976"/>
      <c r="Z6" s="977"/>
      <c r="AA6" s="977"/>
      <c r="AB6" s="977"/>
      <c r="AC6" s="995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49.833333333333336</v>
      </c>
      <c r="O7" s="276">
        <f>IF(N7=0,0,M7/N7)</f>
        <v>40.153846153846153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/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1171</v>
      </c>
      <c r="M8" s="24">
        <f t="shared" ref="M8:M21" si="189">K8+L8</f>
        <v>1171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31.714583333333337</v>
      </c>
      <c r="U8" s="303"/>
      <c r="V8" s="302">
        <f t="shared" ref="V8:V15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>
        <v>193</v>
      </c>
      <c r="EZR8" s="83"/>
      <c r="EZS8" s="83"/>
      <c r="EZT8" s="83"/>
      <c r="EZU8" s="83"/>
      <c r="EZV8" s="83"/>
      <c r="EZW8" s="872">
        <f t="shared" ref="EZW8:EZW21" si="1132">SUM(EZQ8:EZV8)</f>
        <v>193</v>
      </c>
      <c r="EZX8" s="873">
        <f t="shared" ref="EZX8:EZX21" si="1133">EZW8/$EZX$5</f>
        <v>32.166666666666664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3041</v>
      </c>
      <c r="G9" s="24"/>
      <c r="H9" s="24"/>
      <c r="I9" s="360"/>
      <c r="J9" s="360">
        <f>SUMIF(SUMPK!$B:$B,$B:$B,SUMPK!$O:$O)</f>
        <v>801</v>
      </c>
      <c r="K9" s="24">
        <f t="shared" si="187"/>
        <v>0</v>
      </c>
      <c r="L9" s="24">
        <f t="shared" si="188"/>
        <v>2240</v>
      </c>
      <c r="M9" s="24">
        <f t="shared" si="189"/>
        <v>2240</v>
      </c>
      <c r="N9" s="15">
        <v>25.666666666666668</v>
      </c>
      <c r="O9" s="276">
        <f t="shared" si="190"/>
        <v>87.272727272727266</v>
      </c>
      <c r="P9" s="712">
        <v>215.16666666666666</v>
      </c>
      <c r="Q9" s="276">
        <f t="shared" si="191"/>
        <v>62.463206816421376</v>
      </c>
      <c r="R9" s="277">
        <f t="shared" si="192"/>
        <v>123.07692307692308</v>
      </c>
      <c r="S9" s="222">
        <v>3200</v>
      </c>
      <c r="T9" s="276">
        <f t="shared" si="193"/>
        <v>18.2</v>
      </c>
      <c r="U9" s="303"/>
      <c r="V9" s="302">
        <f t="shared" si="194"/>
        <v>18.2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801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1602</v>
      </c>
      <c r="DJC9" s="68">
        <f t="shared" si="860"/>
        <v>267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801</v>
      </c>
      <c r="DLL9" s="49"/>
      <c r="DLM9" s="49">
        <v>0</v>
      </c>
      <c r="DLN9" s="64">
        <f t="shared" si="875"/>
        <v>1461</v>
      </c>
      <c r="DLO9" s="68">
        <f t="shared" si="876"/>
        <v>243.5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801</v>
      </c>
      <c r="DZI9" s="49"/>
      <c r="DZJ9" s="64">
        <f t="shared" si="964"/>
        <v>801</v>
      </c>
      <c r="DZK9" s="68">
        <f t="shared" si="965"/>
        <v>133.5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801</v>
      </c>
      <c r="EDP9" s="49"/>
      <c r="EDQ9" s="49">
        <v>658</v>
      </c>
      <c r="EDR9" s="64">
        <f t="shared" si="990"/>
        <v>2125</v>
      </c>
      <c r="EDS9" s="184">
        <f t="shared" si="991"/>
        <v>354.16666666666669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801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1992</v>
      </c>
      <c r="EON9" s="211">
        <f t="shared" si="1060"/>
        <v>332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801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1072</v>
      </c>
      <c r="EPL9" s="211">
        <f t="shared" si="1066"/>
        <v>178.66666666666666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801</v>
      </c>
      <c r="EUO9" s="49">
        <v>0</v>
      </c>
      <c r="EUP9" s="49">
        <v>0</v>
      </c>
      <c r="EUQ9" s="808">
        <f t="shared" si="1099"/>
        <v>1761</v>
      </c>
      <c r="EUR9" s="211">
        <f t="shared" si="1100"/>
        <v>293.5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801</v>
      </c>
      <c r="EZN9" s="49">
        <v>0</v>
      </c>
      <c r="EZO9" s="872">
        <f t="shared" si="1130"/>
        <v>955</v>
      </c>
      <c r="EZP9" s="873">
        <f t="shared" si="1131"/>
        <v>159.16666666666666</v>
      </c>
      <c r="EZQ9" s="458">
        <v>0</v>
      </c>
      <c r="EZR9" s="83"/>
      <c r="EZS9" s="83"/>
      <c r="EZT9" s="83"/>
      <c r="EZU9" s="83"/>
      <c r="EZV9" s="83"/>
      <c r="EZW9" s="872">
        <f t="shared" si="1132"/>
        <v>0</v>
      </c>
      <c r="EZX9" s="873">
        <f t="shared" si="1133"/>
        <v>0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>
        <v>0</v>
      </c>
      <c r="EZR10" s="83"/>
      <c r="EZS10" s="83"/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>
        <v>0</v>
      </c>
      <c r="EZR11" s="83"/>
      <c r="EZS11" s="83"/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3858</v>
      </c>
      <c r="G12" s="24"/>
      <c r="H12" s="24"/>
      <c r="I12" s="360"/>
      <c r="J12" s="360">
        <f>SUMIF(SUMPK!$B:$B,$B:$B,SUMPK!$O:$O)</f>
        <v>0</v>
      </c>
      <c r="K12" s="24">
        <f t="shared" si="187"/>
        <v>0</v>
      </c>
      <c r="L12" s="24">
        <f t="shared" si="188"/>
        <v>3858</v>
      </c>
      <c r="M12" s="24">
        <f t="shared" si="189"/>
        <v>3858</v>
      </c>
      <c r="N12" s="15">
        <v>186.5</v>
      </c>
      <c r="O12" s="276">
        <f t="shared" si="190"/>
        <v>20.68632707774799</v>
      </c>
      <c r="P12" s="712">
        <v>306</v>
      </c>
      <c r="Q12" s="276">
        <f t="shared" si="191"/>
        <v>75.647058823529406</v>
      </c>
      <c r="R12" s="277">
        <f t="shared" si="192"/>
        <v>200</v>
      </c>
      <c r="S12" s="222">
        <v>5200</v>
      </c>
      <c r="T12" s="276">
        <f t="shared" si="193"/>
        <v>19.29</v>
      </c>
      <c r="U12" s="303"/>
      <c r="V12" s="302">
        <f t="shared" si="194"/>
        <v>19.29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1102</v>
      </c>
      <c r="DJC12" s="68">
        <f t="shared" si="860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5"/>
        <v>1342</v>
      </c>
      <c r="DLO12" s="68">
        <f t="shared" si="876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841</v>
      </c>
      <c r="DZK12" s="68">
        <f t="shared" si="965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90"/>
        <v>661</v>
      </c>
      <c r="EDS12" s="184">
        <f t="shared" si="991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1269</v>
      </c>
      <c r="EON12" s="211">
        <f t="shared" si="1060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1093</v>
      </c>
      <c r="EPL12" s="211">
        <f t="shared" si="1066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9"/>
        <v>590</v>
      </c>
      <c r="EUR12" s="211">
        <f t="shared" si="1100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>
        <v>0</v>
      </c>
      <c r="EZO12" s="872">
        <f t="shared" si="1130"/>
        <v>1119</v>
      </c>
      <c r="EZP12" s="873">
        <f t="shared" si="1131"/>
        <v>186.5</v>
      </c>
      <c r="EZQ12" s="458">
        <v>0</v>
      </c>
      <c r="EZR12" s="83">
        <v>445</v>
      </c>
      <c r="EZS12" s="83"/>
      <c r="EZT12" s="83"/>
      <c r="EZU12" s="83"/>
      <c r="EZV12" s="83"/>
      <c r="EZW12" s="872">
        <f t="shared" si="1132"/>
        <v>445</v>
      </c>
      <c r="EZX12" s="873">
        <f t="shared" si="1133"/>
        <v>74.166666666666671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3604</v>
      </c>
      <c r="G13" s="24"/>
      <c r="H13" s="24"/>
      <c r="I13" s="360"/>
      <c r="J13" s="360">
        <f>SUMIF(SUMPK!$B:$B,$B:$B,SUMPK!$O:$O)</f>
        <v>0</v>
      </c>
      <c r="K13" s="24">
        <f t="shared" si="187"/>
        <v>0</v>
      </c>
      <c r="L13" s="24">
        <f>F13+H13-J13</f>
        <v>3604</v>
      </c>
      <c r="M13" s="24">
        <f t="shared" si="189"/>
        <v>3604</v>
      </c>
      <c r="N13" s="15">
        <v>115</v>
      </c>
      <c r="O13" s="276">
        <f t="shared" si="190"/>
        <v>31.339130434782607</v>
      </c>
      <c r="P13" s="712">
        <v>180.83333333333334</v>
      </c>
      <c r="Q13" s="276">
        <f t="shared" si="191"/>
        <v>119.57972350230413</v>
      </c>
      <c r="R13" s="277">
        <f t="shared" si="192"/>
        <v>169.23076923076923</v>
      </c>
      <c r="S13" s="222">
        <v>4400</v>
      </c>
      <c r="T13" s="276">
        <f t="shared" si="193"/>
        <v>21.296363636363637</v>
      </c>
      <c r="U13" s="303"/>
      <c r="V13" s="302">
        <f t="shared" si="194"/>
        <v>21.296363636363637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110</v>
      </c>
      <c r="DJC13" s="68">
        <f t="shared" si="860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5"/>
        <v>878</v>
      </c>
      <c r="DLO13" s="68">
        <f t="shared" si="876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4"/>
        <v>901</v>
      </c>
      <c r="DZK13" s="68">
        <f t="shared" si="965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0"/>
        <v>852</v>
      </c>
      <c r="EDS13" s="184">
        <f t="shared" si="991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557</v>
      </c>
      <c r="EON13" s="211">
        <f t="shared" si="1060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1300</v>
      </c>
      <c r="EPL13" s="211">
        <f t="shared" si="1066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9"/>
        <v>891</v>
      </c>
      <c r="EUR13" s="211">
        <f t="shared" si="1100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0"/>
        <v>690</v>
      </c>
      <c r="EZP13" s="873">
        <f t="shared" si="1131"/>
        <v>115</v>
      </c>
      <c r="EZQ13" s="458">
        <v>380</v>
      </c>
      <c r="EZR13" s="83"/>
      <c r="EZS13" s="83"/>
      <c r="EZT13" s="83"/>
      <c r="EZU13" s="83"/>
      <c r="EZV13" s="83"/>
      <c r="EZW13" s="872">
        <f t="shared" si="1132"/>
        <v>380</v>
      </c>
      <c r="EZX13" s="873">
        <f t="shared" si="1133"/>
        <v>63.333333333333336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>
        <v>0</v>
      </c>
      <c r="EZR14" s="83"/>
      <c r="EZS14" s="83"/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1695</v>
      </c>
      <c r="G15" s="24"/>
      <c r="H15" s="24"/>
      <c r="I15" s="360"/>
      <c r="J15" s="360">
        <f>SUMIF(SUMPK!$B:$B,$B:$B,SUMPK!$O:$O)</f>
        <v>416</v>
      </c>
      <c r="K15" s="15">
        <f t="shared" si="1207"/>
        <v>0</v>
      </c>
      <c r="L15" s="24">
        <f t="shared" si="188"/>
        <v>1279</v>
      </c>
      <c r="M15" s="24">
        <f t="shared" si="189"/>
        <v>1279</v>
      </c>
      <c r="N15" s="15">
        <v>18.166666666666668</v>
      </c>
      <c r="O15" s="276">
        <f t="shared" si="190"/>
        <v>70.403669724770637</v>
      </c>
      <c r="P15" s="712">
        <v>367.16666666666669</v>
      </c>
      <c r="Q15" s="276">
        <f t="shared" si="191"/>
        <v>20.900590104403086</v>
      </c>
      <c r="R15" s="277">
        <f t="shared" si="192"/>
        <v>184.61538461538461</v>
      </c>
      <c r="S15" s="222">
        <v>4800</v>
      </c>
      <c r="T15" s="276">
        <f t="shared" si="193"/>
        <v>6.9279166666666665</v>
      </c>
      <c r="U15" s="303"/>
      <c r="V15" s="302">
        <f t="shared" si="194"/>
        <v>6.9279166666666665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416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1850</v>
      </c>
      <c r="DJC15" s="68">
        <f t="shared" si="860"/>
        <v>308.33333333333331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416</v>
      </c>
      <c r="DLL15" s="49"/>
      <c r="DLM15" s="49">
        <v>1024</v>
      </c>
      <c r="DLN15" s="64">
        <f t="shared" si="875"/>
        <v>2417</v>
      </c>
      <c r="DLO15" s="68">
        <f t="shared" si="876"/>
        <v>402.83333333333331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416</v>
      </c>
      <c r="DZI15" s="49"/>
      <c r="DZJ15" s="64">
        <f t="shared" si="964"/>
        <v>416</v>
      </c>
      <c r="DZK15" s="68">
        <f t="shared" si="965"/>
        <v>69.333333333333329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416</v>
      </c>
      <c r="EDP15" s="49"/>
      <c r="EDQ15" s="49">
        <v>0</v>
      </c>
      <c r="EDR15" s="64">
        <f t="shared" si="990"/>
        <v>1136</v>
      </c>
      <c r="EDS15" s="184">
        <f t="shared" si="991"/>
        <v>189.33333333333334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416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1296</v>
      </c>
      <c r="EON15" s="211">
        <f t="shared" si="1060"/>
        <v>216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416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1114</v>
      </c>
      <c r="EPL15" s="211">
        <f t="shared" si="1066"/>
        <v>185.66666666666666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416</v>
      </c>
      <c r="EUO15" s="49">
        <v>442</v>
      </c>
      <c r="EUP15" s="49">
        <v>0</v>
      </c>
      <c r="EUQ15" s="808">
        <f t="shared" si="1099"/>
        <v>1078</v>
      </c>
      <c r="EUR15" s="211">
        <f t="shared" si="1100"/>
        <v>179.66666666666666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416</v>
      </c>
      <c r="EZN15" s="49">
        <v>0</v>
      </c>
      <c r="EZO15" s="872">
        <f t="shared" si="1130"/>
        <v>525</v>
      </c>
      <c r="EZP15" s="873">
        <f t="shared" si="1131"/>
        <v>87.5</v>
      </c>
      <c r="EZQ15" s="458">
        <v>0</v>
      </c>
      <c r="EZR15" s="83"/>
      <c r="EZS15" s="83"/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>
        <v>0</v>
      </c>
      <c r="EZR16" s="83"/>
      <c r="EZS16" s="83"/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2313</v>
      </c>
      <c r="G17" s="24"/>
      <c r="H17" s="24"/>
      <c r="I17" s="360"/>
      <c r="J17" s="360">
        <f>SUMIF(SUMPK!$B:$B,$B:$B,SUMPK!$O:$O)</f>
        <v>400</v>
      </c>
      <c r="K17" s="15">
        <f t="shared" si="1207"/>
        <v>0</v>
      </c>
      <c r="L17" s="24">
        <f t="shared" si="188"/>
        <v>1913</v>
      </c>
      <c r="M17" s="24">
        <f t="shared" si="189"/>
        <v>1913</v>
      </c>
      <c r="N17" s="15">
        <v>146.16666666666666</v>
      </c>
      <c r="O17" s="276">
        <f t="shared" si="190"/>
        <v>13.087799315849487</v>
      </c>
      <c r="P17" s="712">
        <v>269.66666666666669</v>
      </c>
      <c r="Q17" s="276">
        <f t="shared" si="191"/>
        <v>42.563658838071689</v>
      </c>
      <c r="R17" s="277">
        <f t="shared" si="192"/>
        <v>76.92307692307692</v>
      </c>
      <c r="S17" s="222">
        <v>2000</v>
      </c>
      <c r="T17" s="276">
        <f t="shared" si="193"/>
        <v>24.869</v>
      </c>
      <c r="U17" s="303"/>
      <c r="V17" s="302">
        <f t="shared" si="1208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400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828</v>
      </c>
      <c r="DJC17" s="68">
        <f t="shared" si="860"/>
        <v>138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400</v>
      </c>
      <c r="DLL17" s="49"/>
      <c r="DLM17" s="49">
        <v>0</v>
      </c>
      <c r="DLN17" s="64">
        <f t="shared" si="875"/>
        <v>400</v>
      </c>
      <c r="DLO17" s="68">
        <f t="shared" si="876"/>
        <v>66.666666666666671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400</v>
      </c>
      <c r="DZI17" s="49"/>
      <c r="DZJ17" s="64">
        <f t="shared" si="964"/>
        <v>1342</v>
      </c>
      <c r="DZK17" s="68">
        <f t="shared" si="965"/>
        <v>223.66666666666666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400</v>
      </c>
      <c r="EDP17" s="49"/>
      <c r="EDQ17" s="49">
        <v>329</v>
      </c>
      <c r="EDR17" s="64">
        <f t="shared" si="990"/>
        <v>1169</v>
      </c>
      <c r="EDS17" s="184">
        <f t="shared" si="991"/>
        <v>194.83333333333334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400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620</v>
      </c>
      <c r="EON17" s="211">
        <f t="shared" si="1060"/>
        <v>103.33333333333333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400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1276</v>
      </c>
      <c r="EPL17" s="211">
        <f t="shared" si="1066"/>
        <v>212.66666666666666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400</v>
      </c>
      <c r="EUO17" s="49"/>
      <c r="EUP17" s="49">
        <v>109</v>
      </c>
      <c r="EUQ17" s="808">
        <f t="shared" si="1099"/>
        <v>730</v>
      </c>
      <c r="EUR17" s="211">
        <f t="shared" si="1100"/>
        <v>121.66666666666667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400</v>
      </c>
      <c r="EZN17" s="49">
        <v>220</v>
      </c>
      <c r="EZO17" s="872">
        <f t="shared" si="1130"/>
        <v>1057</v>
      </c>
      <c r="EZP17" s="873">
        <f t="shared" si="1131"/>
        <v>176.16666666666666</v>
      </c>
      <c r="EZQ17" s="458"/>
      <c r="EZR17" s="83"/>
      <c r="EZS17" s="83"/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7"/>
        <v>0</v>
      </c>
      <c r="L18" s="24">
        <f t="shared" si="188"/>
        <v>989</v>
      </c>
      <c r="M18" s="24">
        <f t="shared" si="189"/>
        <v>989</v>
      </c>
      <c r="N18" s="15">
        <v>36.666666666666664</v>
      </c>
      <c r="O18" s="276">
        <f t="shared" ref="O18:O21" si="1209">IF(N18=0,0,M18/N18)</f>
        <v>26.972727272727276</v>
      </c>
      <c r="P18" s="712">
        <v>73.333333333333329</v>
      </c>
      <c r="Q18" s="276">
        <f t="shared" si="191"/>
        <v>80.918181818181836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32.142499999999998</v>
      </c>
      <c r="U18" s="303"/>
      <c r="V18" s="302">
        <f t="shared" si="1208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110</v>
      </c>
      <c r="DJC18" s="68">
        <f t="shared" si="860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5"/>
        <v>219</v>
      </c>
      <c r="DLO18" s="68">
        <f t="shared" si="876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4"/>
        <v>114</v>
      </c>
      <c r="DZK18" s="68">
        <f t="shared" si="965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0"/>
        <v>0</v>
      </c>
      <c r="EDS18" s="184">
        <f t="shared" si="991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0</v>
      </c>
      <c r="EON18" s="211">
        <f t="shared" si="1060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218</v>
      </c>
      <c r="EPL18" s="211">
        <f t="shared" si="1066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9"/>
        <v>0</v>
      </c>
      <c r="EUR18" s="211">
        <f t="shared" si="1100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0"/>
        <v>220</v>
      </c>
      <c r="EZP18" s="873">
        <f t="shared" si="1131"/>
        <v>36.666666666666664</v>
      </c>
      <c r="EZQ18" s="458"/>
      <c r="EZR18" s="83"/>
      <c r="EZS18" s="83"/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218</v>
      </c>
      <c r="K19" s="15">
        <f t="shared" si="1207"/>
        <v>0</v>
      </c>
      <c r="L19" s="24">
        <f t="shared" si="188"/>
        <v>1110</v>
      </c>
      <c r="M19" s="24">
        <f t="shared" si="189"/>
        <v>1110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425.10638297872345</v>
      </c>
      <c r="R19" s="277">
        <f t="shared" si="192"/>
        <v>30.76923076923077</v>
      </c>
      <c r="S19" s="222">
        <v>800</v>
      </c>
      <c r="T19" s="276">
        <f t="shared" si="1210"/>
        <v>36.074999999999996</v>
      </c>
      <c r="U19" s="303"/>
      <c r="V19" s="302">
        <f t="shared" si="1208"/>
        <v>36.074999999999996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218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328</v>
      </c>
      <c r="DJC19" s="68">
        <f t="shared" si="860"/>
        <v>54.666666666666664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218</v>
      </c>
      <c r="DLL19" s="49"/>
      <c r="DLM19" s="49"/>
      <c r="DLN19" s="64">
        <f t="shared" si="875"/>
        <v>218</v>
      </c>
      <c r="DLO19" s="68">
        <f t="shared" si="876"/>
        <v>36.333333333333336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218</v>
      </c>
      <c r="DZI19" s="49"/>
      <c r="DZJ19" s="64">
        <f t="shared" si="964"/>
        <v>322</v>
      </c>
      <c r="DZK19" s="68">
        <f t="shared" si="965"/>
        <v>53.666666666666664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218</v>
      </c>
      <c r="EDP19" s="49"/>
      <c r="EDQ19" s="49">
        <v>220</v>
      </c>
      <c r="EDR19" s="64">
        <f t="shared" si="990"/>
        <v>438</v>
      </c>
      <c r="EDS19" s="184">
        <f t="shared" si="991"/>
        <v>73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218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218</v>
      </c>
      <c r="EON19" s="211">
        <f t="shared" si="1060"/>
        <v>36.333333333333336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218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654</v>
      </c>
      <c r="EPL19" s="211">
        <f t="shared" si="1066"/>
        <v>109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218</v>
      </c>
      <c r="EUO19" s="49"/>
      <c r="EUP19" s="49">
        <v>114</v>
      </c>
      <c r="EUQ19" s="808">
        <f t="shared" si="1099"/>
        <v>332</v>
      </c>
      <c r="EUR19" s="211">
        <f t="shared" si="1100"/>
        <v>55.333333333333336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7"/>
        <v>0</v>
      </c>
      <c r="L20" s="24">
        <f t="shared" si="188"/>
        <v>731</v>
      </c>
      <c r="M20" s="24">
        <f t="shared" si="189"/>
        <v>731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38.700000000000003</v>
      </c>
      <c r="R20" s="277">
        <f t="shared" si="192"/>
        <v>36.92307692307692</v>
      </c>
      <c r="S20" s="222">
        <v>960</v>
      </c>
      <c r="T20" s="276">
        <f t="shared" si="1210"/>
        <v>19.797916666666669</v>
      </c>
      <c r="U20" s="303"/>
      <c r="V20" s="302">
        <f t="shared" si="1208"/>
        <v>19.797916666666669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0</v>
      </c>
      <c r="DJC20" s="68">
        <f t="shared" si="860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4"/>
        <v>341</v>
      </c>
      <c r="DZK20" s="68">
        <f t="shared" si="965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0"/>
        <v>0</v>
      </c>
      <c r="EDS20" s="184">
        <f t="shared" si="991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220</v>
      </c>
      <c r="EPL20" s="211">
        <f t="shared" si="1066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9"/>
        <v>0</v>
      </c>
      <c r="EUR20" s="211">
        <f t="shared" si="1100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993" t="s">
        <v>14</v>
      </c>
      <c r="B22" s="994"/>
      <c r="C22" s="994"/>
      <c r="D22" s="227">
        <v>25</v>
      </c>
      <c r="E22" s="224">
        <f t="shared" ref="E22:N22" si="1219">SUM(E7:E21)</f>
        <v>0</v>
      </c>
      <c r="F22" s="224">
        <f t="shared" si="1219"/>
        <v>26644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1835</v>
      </c>
      <c r="K22" s="224">
        <f t="shared" si="1219"/>
        <v>0</v>
      </c>
      <c r="L22" s="224">
        <f t="shared" si="1219"/>
        <v>24809</v>
      </c>
      <c r="M22" s="224">
        <f t="shared" si="1219"/>
        <v>24809</v>
      </c>
      <c r="N22" s="224">
        <f t="shared" si="1219"/>
        <v>631.33333333333337</v>
      </c>
      <c r="O22" s="232">
        <f t="shared" ref="O22" si="1220">IF(N22=0,0,M22/N22)</f>
        <v>39.296198521647305</v>
      </c>
      <c r="P22" s="230">
        <f>SUM(P7:P21)</f>
        <v>2453.1666666666665</v>
      </c>
      <c r="Q22" s="232">
        <f>IF(P22=0,0,M22/P22*6)</f>
        <v>60.678306950200422</v>
      </c>
      <c r="R22" s="230">
        <f>SUM(R7:R21)</f>
        <v>1116.9230769230769</v>
      </c>
      <c r="S22" s="223"/>
      <c r="T22" s="232">
        <f t="shared" ref="T22" si="1221">IF(R22=0,0,M22/R22)</f>
        <v>22.211914600550966</v>
      </c>
      <c r="U22" s="224">
        <f>SUM(U7:U21)</f>
        <v>0</v>
      </c>
      <c r="V22" s="232">
        <f t="shared" ref="V22" si="1222">IF(R22=0,0,(M22+U22)/R22)</f>
        <v>22.211914600550966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89" t="s">
        <v>273</v>
      </c>
      <c r="B27" s="990"/>
      <c r="C27" s="990"/>
      <c r="D27" s="990"/>
      <c r="E27" s="990"/>
      <c r="F27" s="990"/>
      <c r="G27" s="990"/>
      <c r="H27" s="990"/>
      <c r="I27" s="990"/>
      <c r="J27" s="990"/>
      <c r="K27" s="990"/>
      <c r="L27" s="990"/>
      <c r="M27" s="991"/>
      <c r="N27" s="941" t="s">
        <v>252</v>
      </c>
      <c r="O27" s="942"/>
      <c r="P27" s="958" t="s">
        <v>255</v>
      </c>
      <c r="Q27" s="959"/>
      <c r="R27" s="959"/>
      <c r="S27" s="959"/>
      <c r="T27" s="959"/>
      <c r="U27" s="978" t="s">
        <v>260</v>
      </c>
      <c r="V27" s="981" t="s">
        <v>259</v>
      </c>
      <c r="W27" s="984" t="s">
        <v>265</v>
      </c>
      <c r="X27" s="968" t="s">
        <v>262</v>
      </c>
      <c r="Y27" s="965" t="s">
        <v>1</v>
      </c>
      <c r="Z27" s="966"/>
      <c r="AA27" s="966"/>
      <c r="AB27" s="967"/>
      <c r="AC27" s="995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68" t="s">
        <v>248</v>
      </c>
      <c r="B28" s="981" t="s">
        <v>249</v>
      </c>
      <c r="C28" s="970" t="s">
        <v>250</v>
      </c>
      <c r="D28" s="968" t="s">
        <v>251</v>
      </c>
      <c r="E28" s="987" t="s">
        <v>232</v>
      </c>
      <c r="F28" s="988"/>
      <c r="G28" s="987" t="s">
        <v>233</v>
      </c>
      <c r="H28" s="988"/>
      <c r="I28" s="987" t="s">
        <v>234</v>
      </c>
      <c r="J28" s="988"/>
      <c r="K28" s="972" t="s">
        <v>235</v>
      </c>
      <c r="L28" s="973"/>
      <c r="M28" s="974"/>
      <c r="N28" s="925" t="s">
        <v>254</v>
      </c>
      <c r="O28" s="925" t="s">
        <v>253</v>
      </c>
      <c r="P28" s="923" t="s">
        <v>256</v>
      </c>
      <c r="Q28" s="923" t="s">
        <v>253</v>
      </c>
      <c r="R28" s="960" t="s">
        <v>257</v>
      </c>
      <c r="S28" s="316"/>
      <c r="T28" s="962" t="s">
        <v>258</v>
      </c>
      <c r="U28" s="979"/>
      <c r="V28" s="982"/>
      <c r="W28" s="985"/>
      <c r="X28" s="969"/>
      <c r="Y28" s="975" t="s">
        <v>10</v>
      </c>
      <c r="Z28" s="975" t="s">
        <v>11</v>
      </c>
      <c r="AA28" s="975" t="s">
        <v>12</v>
      </c>
      <c r="AB28" s="975" t="s">
        <v>18</v>
      </c>
      <c r="AC28" s="995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69"/>
      <c r="B29" s="992"/>
      <c r="C29" s="971"/>
      <c r="D29" s="969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26"/>
      <c r="O29" s="926"/>
      <c r="P29" s="924"/>
      <c r="Q29" s="924"/>
      <c r="R29" s="961"/>
      <c r="S29" s="316"/>
      <c r="T29" s="962"/>
      <c r="U29" s="980"/>
      <c r="V29" s="983"/>
      <c r="W29" s="986"/>
      <c r="X29" s="969"/>
      <c r="Y29" s="976"/>
      <c r="Z29" s="977"/>
      <c r="AA29" s="977"/>
      <c r="AB29" s="977"/>
      <c r="AC29" s="995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1095</v>
      </c>
      <c r="G30" s="726"/>
      <c r="H30" s="435">
        <v>1920</v>
      </c>
      <c r="I30" s="726"/>
      <c r="J30" s="360">
        <f>SUMIF(SUMPK!$B:$B,$B:$B,SUMPK!$O:$O)</f>
        <v>0</v>
      </c>
      <c r="K30" s="24">
        <f t="shared" ref="K30:K56" si="1223">E30+G30-I30</f>
        <v>0</v>
      </c>
      <c r="L30" s="24">
        <f t="shared" ref="L30:L31" si="1224">F30+H30-J30</f>
        <v>3015</v>
      </c>
      <c r="M30" s="15">
        <f t="shared" ref="M30:M31" si="1225">K30+L30</f>
        <v>3015</v>
      </c>
      <c r="N30" s="443">
        <v>57.833333333333336</v>
      </c>
      <c r="O30" s="276">
        <f t="shared" ref="O30:O54" si="1226">IF(N30=0,0,M30/N30)</f>
        <v>52.132564841498557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30.62109375</v>
      </c>
      <c r="U30" s="728"/>
      <c r="V30" s="276">
        <f t="shared" ref="V30:V56" si="1230">IF(R30=0,0,(M30+U30)/R30)</f>
        <v>30.62109375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1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9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>
        <v>0</v>
      </c>
      <c r="EZR30" s="703"/>
      <c r="EZS30" s="703"/>
      <c r="EZT30" s="703"/>
      <c r="EZU30" s="703"/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1256</v>
      </c>
      <c r="G31" s="726"/>
      <c r="H31" s="435">
        <v>1922</v>
      </c>
      <c r="I31" s="726"/>
      <c r="J31" s="360">
        <f>SUMIF(SUMPK!$B:$B,$B:$B,SUMPK!$O:$O)</f>
        <v>0</v>
      </c>
      <c r="K31" s="24">
        <f t="shared" si="1223"/>
        <v>0</v>
      </c>
      <c r="L31" s="24">
        <f t="shared" si="1224"/>
        <v>3178</v>
      </c>
      <c r="M31" s="15">
        <f t="shared" si="1225"/>
        <v>3178</v>
      </c>
      <c r="N31" s="443">
        <v>114.83333333333333</v>
      </c>
      <c r="O31" s="276">
        <f t="shared" si="1226"/>
        <v>27.67489114658926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21.517708333333335</v>
      </c>
      <c r="U31" s="729"/>
      <c r="V31" s="276">
        <f t="shared" si="1230"/>
        <v>21.517708333333335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4">SUM(DXP31:DXU31)</f>
        <v>0</v>
      </c>
      <c r="DXW31" s="68">
        <f t="shared" ref="DXW31:DXW61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26">SUM(DXX31:DYC31)</f>
        <v>1307</v>
      </c>
      <c r="DYE31" s="68">
        <f t="shared" ref="DYE31:DYE61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28">SUM(DYF31:DYK31)</f>
        <v>952</v>
      </c>
      <c r="DYM31" s="68">
        <f t="shared" ref="DYM31:DYM61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0">SUM(DYN31:DYS31)</f>
        <v>687</v>
      </c>
      <c r="DYU31" s="68">
        <f t="shared" ref="DYU31:DYU61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2">SUM(DYV31:DZA31)</f>
        <v>2554</v>
      </c>
      <c r="DZC31" s="68">
        <f t="shared" ref="DZC31:DZC61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4">SUM(DZD31:DZI31)</f>
        <v>1024</v>
      </c>
      <c r="DZK31" s="68">
        <f t="shared" ref="DZK31:DZK61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36">SUM(DZL31:DZQ31)</f>
        <v>1021</v>
      </c>
      <c r="DZS31" s="68">
        <f t="shared" ref="DZS31:DZS61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38">SUM(DZT31:DZY31)</f>
        <v>1008</v>
      </c>
      <c r="EAA31" s="68">
        <f t="shared" ref="EAA31:EAA61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0">SUM(EAB31:EAG31)</f>
        <v>1009</v>
      </c>
      <c r="EAI31" s="68">
        <f t="shared" ref="EAI31:EAI61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2">SUM(EAJ31:EAO31)</f>
        <v>1011</v>
      </c>
      <c r="EAQ31" s="68">
        <f t="shared" ref="EAQ31:EAQ61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4">SUM(EAR31:EAW31)</f>
        <v>1022</v>
      </c>
      <c r="EAY31" s="68">
        <f t="shared" ref="EAY31:EAY61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46">SUM(EAZ31:EBE31)</f>
        <v>1025</v>
      </c>
      <c r="EBG31" s="68">
        <f t="shared" ref="EBG31:EBG61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48">SUM(EBH31:EBM31)</f>
        <v>954</v>
      </c>
      <c r="EBO31" s="68">
        <f t="shared" ref="EBO31:EBO61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0">SUM(EBP31:EBU31)</f>
        <v>0</v>
      </c>
      <c r="EBW31" s="68">
        <f t="shared" ref="EBW31:EBW61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2">SUM(EBX31:ECC31)</f>
        <v>1012</v>
      </c>
      <c r="ECE31" s="68">
        <f t="shared" ref="ECE31:ECE61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4">SUM(ECF31:ECK31)</f>
        <v>0</v>
      </c>
      <c r="ECM31" s="68">
        <f t="shared" ref="ECM31:ECM61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56">SUM(ECN31:ECS31)</f>
        <v>996</v>
      </c>
      <c r="ECU31" s="68">
        <f t="shared" ref="ECU31:ECU61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58">SUM(ECV31:EDA31)</f>
        <v>967</v>
      </c>
      <c r="EDC31" s="68">
        <f t="shared" ref="EDC31:EDC61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0">SUM(EDD31:EDI31)</f>
        <v>673</v>
      </c>
      <c r="EDK31" s="68">
        <f t="shared" ref="EDK31:EDK61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2">SUM(EDL31:EDQ31)</f>
        <v>980</v>
      </c>
      <c r="EDS31" s="68">
        <f t="shared" ref="EDS31:EDS61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4">SUM(EDT31:EDY31)</f>
        <v>0</v>
      </c>
      <c r="EEA31" s="68">
        <f t="shared" ref="EEA31:EEA61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66">SUM(EEB31:EEG31)</f>
        <v>685</v>
      </c>
      <c r="EEI31" s="68">
        <f t="shared" ref="EEI31:EEI61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68">SUM(EEJ31:EEO31)</f>
        <v>1022</v>
      </c>
      <c r="EEQ31" s="68">
        <f t="shared" ref="EEQ31:EEQ61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0">SUM(EER31:EEW31)</f>
        <v>0</v>
      </c>
      <c r="EEY31" s="68">
        <f t="shared" ref="EEY31:EEY61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2">SUM(EEZ31:EFE31)</f>
        <v>2053</v>
      </c>
      <c r="EFG31" s="68">
        <f t="shared" ref="EFG31:EFG61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4">SUM(EFH31:EFM31)</f>
        <v>1023</v>
      </c>
      <c r="EFO31" s="68">
        <f t="shared" ref="EFO31:EFO61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76">SUM(EFP31:EFU31)</f>
        <v>692</v>
      </c>
      <c r="EFW31" s="68">
        <f t="shared" ref="EFW31:EFW61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78">SUM(EFX31:EGC31)</f>
        <v>0</v>
      </c>
      <c r="EGE31" s="68">
        <f t="shared" ref="EGE31:EGE61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0">SUM(EGF31:EGK31)</f>
        <v>2061</v>
      </c>
      <c r="EGM31" s="68">
        <f t="shared" ref="EGM31:EGM61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2">SUM(EGN31:EGS31)</f>
        <v>683</v>
      </c>
      <c r="EGU31" s="68">
        <f t="shared" ref="EGU31:EGU61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86">SUM(EHD31:EHI31)</f>
        <v>0</v>
      </c>
      <c r="EHK31" s="68">
        <f t="shared" ref="EHK31:EHK61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88">SUM(EHL31:EHQ31)</f>
        <v>1008</v>
      </c>
      <c r="EHS31" s="68">
        <f t="shared" ref="EHS31:EHS61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0">SUM(EHT31:EHY31)</f>
        <v>1006</v>
      </c>
      <c r="EIA31" s="68">
        <f t="shared" ref="EIA31:EIA61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2">SUM(EIB31:EIG31)</f>
        <v>694</v>
      </c>
      <c r="EII31" s="68">
        <f t="shared" ref="EII31:EII61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4">SUM(EIJ31:EIO31)</f>
        <v>1006</v>
      </c>
      <c r="EIQ31" s="68">
        <f t="shared" ref="EIQ31:EIQ61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396">SUM(EIR31:EIW31)</f>
        <v>1362</v>
      </c>
      <c r="EIY31" s="68">
        <f t="shared" ref="EIY31:EIY61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398">SUM(EIZ31:EJE31)</f>
        <v>700</v>
      </c>
      <c r="EJG31" s="68">
        <f t="shared" ref="EJG31:EJG61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0">SUM(EJH31:EJM31)</f>
        <v>692</v>
      </c>
      <c r="EJO31" s="68">
        <f t="shared" ref="EJO31:EJO61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2">SUM(EJP31:EJU31)</f>
        <v>679</v>
      </c>
      <c r="EJW31" s="68">
        <f t="shared" ref="EJW31:EJW61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4">SUM(EJX31:EKC31)</f>
        <v>683</v>
      </c>
      <c r="EKE31" s="68">
        <f t="shared" ref="EKE31:EKE61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06">SUM(EKF31:EKK31)</f>
        <v>0</v>
      </c>
      <c r="EKM31" s="68">
        <f t="shared" ref="EKM31:EKM61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08">SUM(EKN31:EKS31)</f>
        <v>672</v>
      </c>
      <c r="EKU31" s="184">
        <f t="shared" ref="EKU31:EKU61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0">SUM(EKW31:ELB31)</f>
        <v>1351</v>
      </c>
      <c r="ELD31" s="211">
        <f t="shared" ref="ELD31:ELD61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2">SUM(ELE31:ELJ31)</f>
        <v>0</v>
      </c>
      <c r="ELL31" s="211">
        <f t="shared" ref="ELL31:ELL61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4">SUM(ELM31:ELR31)</f>
        <v>686</v>
      </c>
      <c r="ELT31" s="211">
        <f t="shared" ref="ELT31:ELT61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16">SUM(ELU31:ELZ31)</f>
        <v>692</v>
      </c>
      <c r="EMB31" s="211">
        <f t="shared" ref="EMB31:EMB61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18">SUM(EMC31:EMH31)</f>
        <v>675</v>
      </c>
      <c r="EMJ31" s="211">
        <f t="shared" ref="EMJ31:EMJ61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0">SUM(EMK31:EMP31)</f>
        <v>670</v>
      </c>
      <c r="EMR31" s="211">
        <f t="shared" ref="EMR31:EMR61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2">SUM(EMS31:EMX31)</f>
        <v>621</v>
      </c>
      <c r="EMZ31" s="211">
        <f t="shared" ref="EMZ31:EMZ61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4">SUM(ENA31:ENF31)</f>
        <v>680</v>
      </c>
      <c r="ENH31" s="211">
        <f t="shared" ref="ENH31:ENH61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26">SUM(ENI31:ENN31)</f>
        <v>680</v>
      </c>
      <c r="ENP31" s="211">
        <f t="shared" ref="ENP31:ENP61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28">SUM(ENQ31:ENV31)</f>
        <v>686</v>
      </c>
      <c r="ENX31" s="211">
        <f t="shared" ref="ENX31:ENX61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0">SUM(ENY31:EOD31)</f>
        <v>691</v>
      </c>
      <c r="EOF31" s="211">
        <f t="shared" ref="EOF31:EOF61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3">SUM(EOO31:EOT31)</f>
        <v>0</v>
      </c>
      <c r="EOV31" s="211">
        <f t="shared" ref="EOV31:EOV61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5">SUM(EOW31:EPB31)</f>
        <v>1338</v>
      </c>
      <c r="EPD31" s="211">
        <f t="shared" ref="EPD31:EPD61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37">SUM(EPE31:EPJ31)</f>
        <v>0</v>
      </c>
      <c r="EPL31" s="211">
        <f t="shared" ref="EPL31:EPL61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39">SUM(EPM31:EPR31)</f>
        <v>695</v>
      </c>
      <c r="EPT31" s="211">
        <f t="shared" ref="EPT31:EPT61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1">SUM(EPU31:EPZ31)</f>
        <v>603</v>
      </c>
      <c r="EQB31" s="211">
        <f t="shared" ref="EQB31:EQB61" si="1442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3">SUM(EQC31:EQH31)</f>
        <v>687</v>
      </c>
      <c r="EQJ31" s="211">
        <f t="shared" ref="EQJ31:EQJ61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5">SUM(EQK31:EQP31)</f>
        <v>689</v>
      </c>
      <c r="EQR31" s="211">
        <f t="shared" ref="EQR31:EQR61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47">SUM(EQS31:EQX31)</f>
        <v>677</v>
      </c>
      <c r="EQZ31" s="211">
        <f t="shared" ref="EQZ31:EQZ61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49">SUM(ERA31:ERF31)</f>
        <v>689</v>
      </c>
      <c r="ERH31" s="211">
        <f t="shared" ref="ERH31:ERH61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1">SUM(ERI31:ERN31)</f>
        <v>702</v>
      </c>
      <c r="ERP31" s="211">
        <f t="shared" ref="ERP31:ERP61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3">SUM(ERQ31:ERV31)</f>
        <v>0</v>
      </c>
      <c r="ERX31" s="211">
        <f t="shared" ref="ERX31:ERX61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5">SUM(ERY31:ESD31)</f>
        <v>690</v>
      </c>
      <c r="ESF31" s="211">
        <f t="shared" ref="ESF31:ESF61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57">SUM(ESG31:ESL31)</f>
        <v>685</v>
      </c>
      <c r="ESN31" s="211">
        <f t="shared" ref="ESN31:ESN61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59">SUM(ESO31:EST31)</f>
        <v>671</v>
      </c>
      <c r="ESV31" s="211">
        <f t="shared" ref="ESV31:ESV61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1">SUM(ESW31:ETB31)</f>
        <v>674</v>
      </c>
      <c r="ETD31" s="211">
        <f t="shared" ref="ETD31:ETD61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3">SUM(ETE31:ETJ31)</f>
        <v>0</v>
      </c>
      <c r="ETL31" s="211">
        <f t="shared" ref="ETL31:ETL61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5">SUM(ETM31:ETR31)</f>
        <v>1365</v>
      </c>
      <c r="ETT31" s="211">
        <f t="shared" ref="ETT31:ETT61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67">SUM(ETU31:ETZ31)</f>
        <v>655</v>
      </c>
      <c r="EUB31" s="211">
        <f t="shared" ref="EUB31:EUB61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69">SUM(EUC31:EUH31)</f>
        <v>677</v>
      </c>
      <c r="EUJ31" s="211">
        <f t="shared" ref="EUJ31:EUJ61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1">SUM(EUK31:EUP31)</f>
        <v>663</v>
      </c>
      <c r="EUR31" s="211">
        <f t="shared" ref="EUR31:EUR61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3">SUM(EUS31:EUX31)</f>
        <v>0</v>
      </c>
      <c r="EUZ31" s="211">
        <f t="shared" ref="EUZ31:EUZ61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5">SUM(EVA31:EVF31)</f>
        <v>0</v>
      </c>
      <c r="EVH31" s="211">
        <f t="shared" ref="EVH31:EVH61" si="1476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77">SUM(EVI31:EVN31)</f>
        <v>0</v>
      </c>
      <c r="EVP31" s="211">
        <f t="shared" ref="EVP31:EVP61" si="1478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79">SUM(EVQ31:EVV31)</f>
        <v>1368</v>
      </c>
      <c r="EVX31" s="211">
        <f t="shared" ref="EVX31:EVX61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1">SUM(EVY31:EWD31)</f>
        <v>0</v>
      </c>
      <c r="EWF31" s="211">
        <f t="shared" ref="EWF31:EWF61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3">SUM(EWG31:EWL31)</f>
        <v>1025</v>
      </c>
      <c r="EWN31" s="211">
        <f t="shared" ref="EWN31:EWN61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5">SUM(EWO31:EWT31)</f>
        <v>0</v>
      </c>
      <c r="EWV31" s="211">
        <f t="shared" ref="EWV31:EWV61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87">SUM(EWW31:EXB31)</f>
        <v>687</v>
      </c>
      <c r="EXD31" s="211">
        <f t="shared" ref="EXD31:EXD61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89">SUM(EXE31:EXJ31)</f>
        <v>0</v>
      </c>
      <c r="EXL31" s="211">
        <f t="shared" ref="EXL31:EXL61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1">SUM(EXM31:EXR31)</f>
        <v>696</v>
      </c>
      <c r="EXT31" s="211">
        <f t="shared" ref="EXT31:EXT61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3">SUM(EXU31:EXZ31)</f>
        <v>588</v>
      </c>
      <c r="EYB31" s="211">
        <f t="shared" ref="EYB31:EYB61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5">SUM(EYC31:EYH31)</f>
        <v>350</v>
      </c>
      <c r="EYJ31" s="211">
        <f t="shared" ref="EYJ31:EYJ61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497">SUM(EYK31:EYP31)</f>
        <v>698</v>
      </c>
      <c r="EYR31" s="211">
        <f t="shared" ref="EYR31:EYR61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499">SUM(EYS31:EYX31)</f>
        <v>677</v>
      </c>
      <c r="EYZ31" s="873">
        <f t="shared" ref="EYZ31:EYZ61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1">SUM(EZA31:EZF31)</f>
        <v>920</v>
      </c>
      <c r="EZH31" s="873">
        <f t="shared" ref="EZH31:EZH61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3">SUM(EZI31:EZN31)</f>
        <v>689</v>
      </c>
      <c r="EZP31" s="873">
        <f t="shared" ref="EZP31:EZP61" si="1504">EZO31/$EZP$5</f>
        <v>114.83333333333333</v>
      </c>
      <c r="EZQ31" s="750">
        <v>0</v>
      </c>
      <c r="EZR31" s="751"/>
      <c r="EZS31" s="751"/>
      <c r="EZT31" s="751"/>
      <c r="EZU31" s="751"/>
      <c r="EZV31" s="751"/>
      <c r="EZW31" s="872">
        <f t="shared" ref="EZW31:EZW61" si="1505">SUM(EZQ31:EZV31)</f>
        <v>0</v>
      </c>
      <c r="EZX31" s="873">
        <f t="shared" ref="EZX31:EZX61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>
        <v>0</v>
      </c>
      <c r="EZR32" s="751"/>
      <c r="EZS32" s="751"/>
      <c r="EZT32" s="751"/>
      <c r="EZU32" s="751"/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444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>
        <v>0</v>
      </c>
      <c r="EZR33" s="751"/>
      <c r="EZS33" s="751"/>
      <c r="EZT33" s="751"/>
      <c r="EZU33" s="751"/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3">SUM(DRL34:DRQ34)</f>
        <v>2452</v>
      </c>
      <c r="DRS34" s="68">
        <f t="shared" ref="DRS34:DRS61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595">SUM(DRT34:DRY34)</f>
        <v>1936</v>
      </c>
      <c r="DSA34" s="68">
        <f t="shared" ref="DSA34:DSA61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597">SUM(DSB34:DSG34)</f>
        <v>723</v>
      </c>
      <c r="DSI34" s="68">
        <f t="shared" ref="DSI34:DSI61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599">SUM(DSJ34:DSO34)</f>
        <v>1127</v>
      </c>
      <c r="DSQ34" s="68">
        <f t="shared" ref="DSQ34:DSQ61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1">SUM(DSR34:DSW34)</f>
        <v>1286</v>
      </c>
      <c r="DSY34" s="68">
        <f t="shared" ref="DSY34:DSY61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3">SUM(DSZ34:DTE34)</f>
        <v>866</v>
      </c>
      <c r="DTG34" s="68">
        <f t="shared" ref="DTG34:DTG61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05">SUM(DTH34:DTM34)</f>
        <v>1268</v>
      </c>
      <c r="DTO34" s="68">
        <f t="shared" ref="DTO34:DTO61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07">SUM(DTP34:DTU34)</f>
        <v>1475</v>
      </c>
      <c r="DTW34" s="68">
        <f t="shared" ref="DTW34:DTW61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09">SUM(DTX34:DUC34)</f>
        <v>2754</v>
      </c>
      <c r="DUE34" s="68">
        <f t="shared" ref="DUE34:DUE61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1">SUM(DUF34:DUK34)</f>
        <v>1103</v>
      </c>
      <c r="DUM34" s="68">
        <f t="shared" ref="DUM34:DUM61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3">SUM(DUN34:DUS34)</f>
        <v>1015</v>
      </c>
      <c r="DUU34" s="68">
        <f t="shared" ref="DUU34:DUU61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15">SUM(DUV34:DVA34)</f>
        <v>220</v>
      </c>
      <c r="DVC34" s="68">
        <f t="shared" ref="DVC34:DVC61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17">SUM(DVD34:DVI34)</f>
        <v>1777</v>
      </c>
      <c r="DVK34" s="68">
        <f t="shared" ref="DVK34:DVK61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19">SUM(DVL34:DVQ34)</f>
        <v>0</v>
      </c>
      <c r="DVS34" s="68">
        <f t="shared" ref="DVS34:DVS61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1">SUM(DVT34:DVY34)</f>
        <v>1440</v>
      </c>
      <c r="DWA34" s="68">
        <f t="shared" ref="DWA34:DWA61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3">SUM(DWB34:DWG34)</f>
        <v>804</v>
      </c>
      <c r="DWI34" s="68">
        <f t="shared" ref="DWI34:DWI61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25">SUM(DWJ34:DWO34)</f>
        <v>330</v>
      </c>
      <c r="DWQ34" s="68">
        <f t="shared" ref="DWQ34:DWQ61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27">SUM(DWR34:DWW34)</f>
        <v>880</v>
      </c>
      <c r="DWY34" s="68">
        <f t="shared" ref="DWY34:DWY61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29">SUM(DWZ34:DXE34)</f>
        <v>983</v>
      </c>
      <c r="DXG34" s="68">
        <f t="shared" ref="DXG34:DXG61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1">SUM(DXH34:DXM34)</f>
        <v>1499</v>
      </c>
      <c r="DXO34" s="68">
        <f t="shared" ref="DXO34:DXO61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>
        <v>0</v>
      </c>
      <c r="EZR34" s="83"/>
      <c r="EZS34" s="83"/>
      <c r="EZT34" s="83"/>
      <c r="EZU34" s="83"/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0</v>
      </c>
      <c r="K35" s="24">
        <f t="shared" si="1223"/>
        <v>0</v>
      </c>
      <c r="L35" s="24">
        <f t="shared" si="1511"/>
        <v>285</v>
      </c>
      <c r="M35" s="15">
        <f t="shared" ref="M35:M48" si="1633">K35+L35</f>
        <v>285</v>
      </c>
      <c r="N35" s="15">
        <v>97.666666666666671</v>
      </c>
      <c r="O35" s="276">
        <f t="shared" si="1226"/>
        <v>2.9180887372013649</v>
      </c>
      <c r="P35" s="712">
        <v>613.83333333333337</v>
      </c>
      <c r="Q35" s="276">
        <f t="shared" si="1512"/>
        <v>2.7857724680966602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1.6840909090909091</v>
      </c>
      <c r="U35" s="278"/>
      <c r="V35" s="276">
        <f t="shared" si="1230"/>
        <v>1.6840909090909091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08">SUM(COF35:COK35)</f>
        <v>660</v>
      </c>
      <c r="COM35" s="68">
        <f t="shared" ref="COM35:COM61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0">SUM(CON35:COS35)</f>
        <v>0</v>
      </c>
      <c r="COU35" s="68">
        <f t="shared" ref="COU35:COU61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2">SUM(COV35:CPA35)</f>
        <v>1648</v>
      </c>
      <c r="CPC35" s="68">
        <f t="shared" ref="CPC35:CPC61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14">SUM(CPD35:CPI35)</f>
        <v>654</v>
      </c>
      <c r="CPK35" s="68">
        <f t="shared" ref="CPK35:CPK61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16">SUM(CPL35:CPQ35)</f>
        <v>0</v>
      </c>
      <c r="CPS35" s="68">
        <f t="shared" ref="CPS35:CPS61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18">SUM(CPT35:CPY35)</f>
        <v>1226</v>
      </c>
      <c r="CQA35" s="68">
        <f t="shared" ref="CQA35:CQA61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0">SUM(CQB35:CQG35)</f>
        <v>1147</v>
      </c>
      <c r="CQI35" s="68">
        <f t="shared" ref="CQI35:CQI61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2">SUM(CQJ35:CQO35)</f>
        <v>475</v>
      </c>
      <c r="CQQ35" s="68">
        <f t="shared" ref="CQQ35:CQQ61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24">SUM(CQR35:CQW35)</f>
        <v>0</v>
      </c>
      <c r="CQY35" s="68">
        <f t="shared" ref="CQY35:CQY61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26">SUM(CQZ35:CRE35)</f>
        <v>394</v>
      </c>
      <c r="CRG35" s="68">
        <f t="shared" ref="CRG35:CRG61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28">SUM(CRH35:CRM35)</f>
        <v>440</v>
      </c>
      <c r="CRO35" s="68">
        <f t="shared" ref="CRO35:CRO61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0">SUM(CRP35:CRU35)</f>
        <v>1319</v>
      </c>
      <c r="CRW35" s="68">
        <f t="shared" ref="CRW35:CRW61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2">SUM(CRX35:CSC35)</f>
        <v>650</v>
      </c>
      <c r="CSE35" s="68">
        <f t="shared" ref="CSE35:CSE61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61" si="1734">SUM(CSF35:CSK35)</f>
        <v>440</v>
      </c>
      <c r="CSM35" s="68">
        <f t="shared" ref="CSM35:CSM61" si="1735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36">SUM(CSN35:CSS35)</f>
        <v>998</v>
      </c>
      <c r="CSU35" s="68">
        <f t="shared" ref="CSU35:CSU61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38">SUM(CSV35:CTA35)</f>
        <v>853</v>
      </c>
      <c r="CTC35" s="68">
        <f t="shared" ref="CTC35:CTC61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0">SUM(CTD35:CTI35)</f>
        <v>434</v>
      </c>
      <c r="CTK35" s="68">
        <f t="shared" ref="CTK35:CTK61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2">SUM(CTL35:CTQ35)</f>
        <v>440</v>
      </c>
      <c r="CTS35" s="68">
        <f t="shared" ref="CTS35:CTS61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44">SUM(CTT35:CTY35)</f>
        <v>1144</v>
      </c>
      <c r="CUA35" s="68">
        <f t="shared" ref="CUA35:CUA61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46">SUM(CUB35:CUG35)</f>
        <v>562</v>
      </c>
      <c r="CUI35" s="68">
        <f t="shared" ref="CUI35:CUI61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48">SUM(CUJ35:CUO35)</f>
        <v>209</v>
      </c>
      <c r="CUQ35" s="68">
        <f t="shared" ref="CUQ35:CUQ61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0">SUM(CUR35:CUW35)</f>
        <v>1060</v>
      </c>
      <c r="CUY35" s="68">
        <f t="shared" ref="CUY35:CUY61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2">SUM(CUZ35:CVE35)</f>
        <v>468</v>
      </c>
      <c r="CVG35" s="68">
        <f t="shared" ref="CVG35:CVG61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54">SUM(CVH35:CVM35)</f>
        <v>653</v>
      </c>
      <c r="CVO35" s="68">
        <f t="shared" ref="CVO35:CVO61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56">SUM(CVP35:CVU35)</f>
        <v>895</v>
      </c>
      <c r="CVW35" s="68">
        <f t="shared" ref="CVW35:CVW61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58">SUM(CVX35:CWC35)</f>
        <v>490</v>
      </c>
      <c r="CWE35" s="68">
        <f t="shared" ref="CWE35:CWE61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0">SUM(CWF35:CWK35)</f>
        <v>1191</v>
      </c>
      <c r="CWM35" s="68">
        <f t="shared" ref="CWM35:CWM61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2">SUM(CWN35:CWS35)</f>
        <v>578</v>
      </c>
      <c r="CWU35" s="68">
        <f t="shared" ref="CWU35:CWU61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64">SUM(CWV35:CXA35)</f>
        <v>677</v>
      </c>
      <c r="CXC35" s="43">
        <f t="shared" ref="CXC35:CXC61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66">SUM(CXD35:CXI35)</f>
        <v>640</v>
      </c>
      <c r="CXK35" s="43">
        <f t="shared" ref="CXK35:CXK61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68">SUM(CXL35:CXQ35)</f>
        <v>702</v>
      </c>
      <c r="CXS35" s="43">
        <f t="shared" ref="CXS35:CXS61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0">SUM(CXT35:CXY35)</f>
        <v>0</v>
      </c>
      <c r="CYA35" s="43">
        <f t="shared" ref="CYA35:CYA61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2">SUM(CYB35:CYG35)</f>
        <v>618</v>
      </c>
      <c r="CYI35" s="43">
        <f t="shared" ref="CYI35:CYI61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74">SUM(CYJ35:CYO35)</f>
        <v>509</v>
      </c>
      <c r="CYQ35" s="43">
        <f t="shared" ref="CYQ35:CYQ61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76">SUM(CYR35:CYW35)</f>
        <v>626</v>
      </c>
      <c r="CYY35" s="43">
        <f t="shared" ref="CYY35:CYY61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78">SUM(CYZ35:CZE35)</f>
        <v>860</v>
      </c>
      <c r="CZG35" s="43">
        <f t="shared" ref="CZG35:CZG61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0">SUM(CZH35:CZM35)</f>
        <v>1061</v>
      </c>
      <c r="CZO35" s="43">
        <f t="shared" ref="CZO35:CZO61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2">SUM(CZP35:CZU35)</f>
        <v>1668</v>
      </c>
      <c r="CZW35" s="43">
        <f t="shared" ref="CZW35:CZW61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84">SUM(CZX35:DAC35)</f>
        <v>149</v>
      </c>
      <c r="DAE35" s="68">
        <f t="shared" ref="DAE35:DAE61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86">SUM(DAF35:DAK35)</f>
        <v>660</v>
      </c>
      <c r="DAM35" s="68">
        <f t="shared" ref="DAM35:DAM61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88">SUM(DAN35:DAS35)</f>
        <v>0</v>
      </c>
      <c r="DAU35" s="68">
        <f t="shared" ref="DAU35:DAU61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0">SUM(DAV35:DBA35)</f>
        <v>1198</v>
      </c>
      <c r="DBC35" s="68">
        <f t="shared" ref="DBC35:DBC61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2">SUM(DBD35:DBI35)</f>
        <v>0</v>
      </c>
      <c r="DBK35" s="68">
        <f t="shared" ref="DBK35:DBK61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794">SUM(DBL35:DBQ35)</f>
        <v>1942</v>
      </c>
      <c r="DBS35" s="68">
        <f t="shared" ref="DBS35:DBS61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796">SUM(DBT35:DBY35)</f>
        <v>330</v>
      </c>
      <c r="DCA35" s="68">
        <f t="shared" ref="DCA35:DCA61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798">SUM(DCB35:DCG35)</f>
        <v>1882</v>
      </c>
      <c r="DCI35" s="68">
        <f t="shared" ref="DCI35:DCI61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0">SUM(DCJ35:DCO35)</f>
        <v>710</v>
      </c>
      <c r="DCQ35" s="68">
        <f t="shared" ref="DCQ35:DCQ61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2">SUM(DCR35:DCW35)</f>
        <v>766</v>
      </c>
      <c r="DCY35" s="68">
        <f t="shared" ref="DCY35:DCY61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04">SUM(DCZ35:DDE35)</f>
        <v>1666</v>
      </c>
      <c r="DDG35" s="68">
        <f t="shared" ref="DDG35:DDG61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06">SUM(DDH35:DDM35)</f>
        <v>639</v>
      </c>
      <c r="DDO35" s="43">
        <f t="shared" ref="DDO35:DDO61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08">SUM(DDP35:DDU35)</f>
        <v>0</v>
      </c>
      <c r="DDW35" s="43">
        <f t="shared" ref="DDW35:DDW61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0">SUM(DDX35:DEC35)</f>
        <v>0</v>
      </c>
      <c r="DEE35" s="43">
        <f t="shared" ref="DEE35:DEE61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61" si="1812">SUM(DEF35:DEK35)</f>
        <v>0</v>
      </c>
      <c r="DEM35" s="43">
        <f t="shared" ref="DEM35:DEM61" si="1813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14">SUM(DEN35:DES35)</f>
        <v>0</v>
      </c>
      <c r="DEU35" s="43">
        <f t="shared" ref="DEU35:DEU61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16">SUM(DEV35:DFA35)</f>
        <v>550</v>
      </c>
      <c r="DFC35" s="43">
        <f t="shared" ref="DFC35:DFC61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18">SUM(DFD35:DFI35)</f>
        <v>749</v>
      </c>
      <c r="DFK35" s="43">
        <f t="shared" ref="DFK35:DFK61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0">SUM(DFL35:DFQ35)</f>
        <v>220</v>
      </c>
      <c r="DFS35" s="68">
        <f t="shared" ref="DFS35:DFS61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2">SUM(DFT35:DFY35)</f>
        <v>440</v>
      </c>
      <c r="DGA35" s="43">
        <f t="shared" ref="DGA35:DGA61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24">SUM(DGB35:DGG35)</f>
        <v>388</v>
      </c>
      <c r="DGI35" s="43">
        <f t="shared" ref="DGI35:DGI61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26">SUM(DGJ35:DGO35)</f>
        <v>620</v>
      </c>
      <c r="DGQ35" s="68">
        <f t="shared" ref="DGQ35:DGQ61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28">SUM(DGR35:DGW35)</f>
        <v>793</v>
      </c>
      <c r="DGY35" s="68">
        <f t="shared" ref="DGY35:DGY61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0">SUM(DGZ35:DHE35)</f>
        <v>1064</v>
      </c>
      <c r="DHG35" s="68">
        <f t="shared" ref="DHG35:DHG61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2">SUM(DHH35:DHM35)</f>
        <v>990</v>
      </c>
      <c r="DHO35" s="68">
        <f t="shared" ref="DHO35:DHO61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34">SUM(DHP35:DHU35)</f>
        <v>1169</v>
      </c>
      <c r="DHW35" s="68">
        <f t="shared" ref="DHW35:DHW61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36">SUM(DHX35:DIC35)</f>
        <v>220</v>
      </c>
      <c r="DIE35" s="68">
        <f t="shared" ref="DIE35:DIE61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38">SUM(DIF35:DIK35)</f>
        <v>330</v>
      </c>
      <c r="DIM35" s="68">
        <f t="shared" ref="DIM35:DIM61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0">SUM(DIN35:DIS35)</f>
        <v>109</v>
      </c>
      <c r="DIU35" s="68">
        <f t="shared" ref="DIU35:DIU61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2">SUM(DIV35:DJA35)</f>
        <v>0</v>
      </c>
      <c r="DJC35" s="68">
        <f t="shared" ref="DJC35:DJC61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44">SUM(DJD35:DJI35)</f>
        <v>321</v>
      </c>
      <c r="DJK35" s="68">
        <f t="shared" ref="DJK35:DJK61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46">SUM(DJL35:DJQ35)</f>
        <v>1058</v>
      </c>
      <c r="DJS35" s="68">
        <f t="shared" ref="DJS35:DJS61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48">SUM(DJT35:DJY35)</f>
        <v>649</v>
      </c>
      <c r="DKA35" s="68">
        <f t="shared" ref="DKA35:DKA61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0">SUM(DKB35:DKG35)</f>
        <v>104</v>
      </c>
      <c r="DKI35" s="68">
        <f t="shared" ref="DKI35:DKI61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2">SUM(DKJ35:DKO35)</f>
        <v>480</v>
      </c>
      <c r="DKQ35" s="68">
        <f t="shared" ref="DKQ35:DKQ61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54">SUM(DKR35:DKW35)</f>
        <v>660</v>
      </c>
      <c r="DKY35" s="68">
        <f t="shared" ref="DKY35:DKY61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56">SUM(DKZ35:DLE35)</f>
        <v>1014</v>
      </c>
      <c r="DLG35" s="68">
        <f t="shared" ref="DLG35:DLG61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58">SUM(DLH35:DLM35)</f>
        <v>708</v>
      </c>
      <c r="DLO35" s="68">
        <f t="shared" ref="DLO35:DLO61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0">SUM(DLP35:DLU35)</f>
        <v>380</v>
      </c>
      <c r="DLW35" s="68">
        <f t="shared" ref="DLW35:DLW61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2">SUM(DLX35:DMC35)</f>
        <v>0</v>
      </c>
      <c r="DME35" s="68">
        <f t="shared" ref="DME35:DME61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64">SUM(DMF35:DMK35)</f>
        <v>100</v>
      </c>
      <c r="DMM35" s="68">
        <f t="shared" ref="DMM35:DMM61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66">SUM(DMN35:DMS35)</f>
        <v>0</v>
      </c>
      <c r="DMU35" s="68">
        <f t="shared" ref="DMU35:DMU61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68">SUM(DMV35:DNA35)</f>
        <v>709</v>
      </c>
      <c r="DNC35" s="68">
        <f t="shared" ref="DNC35:DNC61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0">SUM(DND35:DNI35)</f>
        <v>619</v>
      </c>
      <c r="DNK35" s="68">
        <f t="shared" ref="DNK35:DNK61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2">SUM(DNL35:DNQ35)</f>
        <v>865</v>
      </c>
      <c r="DNS35" s="68">
        <f t="shared" ref="DNS35:DNS61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74">SUM(DNT35:DNY35)</f>
        <v>1200</v>
      </c>
      <c r="DOA35" s="68">
        <f t="shared" ref="DOA35:DOA61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76">SUM(DOB35:DOG35)</f>
        <v>800</v>
      </c>
      <c r="DOI35" s="68">
        <f t="shared" ref="DOI35:DOI61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78">SUM(DOJ35:DOO35)</f>
        <v>1583</v>
      </c>
      <c r="DOQ35" s="68">
        <f t="shared" ref="DOQ35:DOQ61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0">SUM(DOR35:DOW35)</f>
        <v>0</v>
      </c>
      <c r="DOY35" s="68">
        <f t="shared" ref="DOY35:DOY61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2">SUM(DOZ35:DPE35)</f>
        <v>680</v>
      </c>
      <c r="DPG35" s="68">
        <f t="shared" ref="DPG35:DPG61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84">SUM(DPH35:DPM35)</f>
        <v>180</v>
      </c>
      <c r="DPO35" s="68">
        <f t="shared" ref="DPO35:DPO61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86">SUM(DPP35:DPU35)</f>
        <v>217</v>
      </c>
      <c r="DPW35" s="492">
        <f t="shared" ref="DPW35:DPW61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88">SUM(DPX35:DQC35)</f>
        <v>2485</v>
      </c>
      <c r="DQE35" s="492">
        <f t="shared" ref="DQE35:DQE61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0">SUM(DQF35:DQK35)</f>
        <v>0</v>
      </c>
      <c r="DQM35" s="492">
        <f t="shared" ref="DQM35:DQM61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2">SUM(DQN35:DQS35)</f>
        <v>450</v>
      </c>
      <c r="DQU35" s="68">
        <f t="shared" ref="DQU35:DQU61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894">SUM(DQV35:DRA35)</f>
        <v>879</v>
      </c>
      <c r="DRC35" s="492">
        <f t="shared" ref="DRC35:DRC61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896">SUM(DRD35:DRI35)</f>
        <v>0</v>
      </c>
      <c r="DRK35" s="492">
        <f t="shared" ref="DRK35:DRK61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1"/>
        <v>2733</v>
      </c>
      <c r="EQB35" s="211">
        <f t="shared" si="1442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7"/>
        <v>0</v>
      </c>
      <c r="EVP35" s="211">
        <f t="shared" si="1478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>
        <v>0</v>
      </c>
      <c r="EZR35" s="83"/>
      <c r="EZS35" s="83"/>
      <c r="EZT35" s="83"/>
      <c r="EZU35" s="83"/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2092</v>
      </c>
      <c r="G36" s="24"/>
      <c r="H36" s="24"/>
      <c r="I36" s="24"/>
      <c r="J36" s="360">
        <f>SUMIF(SUMPK!$B:$B,$B:$B,SUMPK!$O:$O)</f>
        <v>0</v>
      </c>
      <c r="K36" s="24">
        <f t="shared" si="1223"/>
        <v>0</v>
      </c>
      <c r="L36" s="24">
        <f t="shared" si="1511"/>
        <v>2092</v>
      </c>
      <c r="M36" s="15">
        <f t="shared" si="1633"/>
        <v>2092</v>
      </c>
      <c r="N36" s="15">
        <v>153.16666666666666</v>
      </c>
      <c r="O36" s="276">
        <f t="shared" si="1226"/>
        <v>13.658324265505986</v>
      </c>
      <c r="P36" s="712">
        <v>55.166666666666664</v>
      </c>
      <c r="Q36" s="276">
        <f t="shared" si="1512"/>
        <v>227.52870090634445</v>
      </c>
      <c r="R36" s="277">
        <f t="shared" si="1513"/>
        <v>92.307692307692307</v>
      </c>
      <c r="S36" s="222">
        <v>2400</v>
      </c>
      <c r="T36" s="276">
        <f t="shared" si="1634"/>
        <v>22.663333333333334</v>
      </c>
      <c r="U36" s="278"/>
      <c r="V36" s="276">
        <f t="shared" si="1230"/>
        <v>22.663333333333334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09">SUM(AWN36:AWS36)</f>
        <v>220</v>
      </c>
      <c r="AWU36" s="43">
        <f t="shared" ref="AWU36:AWU62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1">SUM(AWV36:AXA36)</f>
        <v>0</v>
      </c>
      <c r="AXC36" s="43">
        <f t="shared" ref="AXC36:AXC62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34"/>
        <v>322</v>
      </c>
      <c r="CSM36" s="68">
        <f t="shared" si="1735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12"/>
        <v>589</v>
      </c>
      <c r="DEM36" s="43">
        <f t="shared" si="1813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41"/>
        <v>0</v>
      </c>
      <c r="EQB36" s="211">
        <f t="shared" si="1442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7"/>
        <v>0</v>
      </c>
      <c r="EVP36" s="211">
        <f t="shared" si="1478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>
        <v>0</v>
      </c>
      <c r="EZR36" s="83"/>
      <c r="EZS36" s="83"/>
      <c r="EZT36" s="83"/>
      <c r="EZU36" s="83"/>
      <c r="EZV36" s="83"/>
      <c r="EZW36" s="872">
        <f t="shared" si="1505"/>
        <v>0</v>
      </c>
      <c r="EZX36" s="873">
        <f t="shared" si="1506"/>
        <v>0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1400</v>
      </c>
      <c r="G37" s="24"/>
      <c r="H37" s="24"/>
      <c r="I37" s="24"/>
      <c r="J37" s="360">
        <f>SUMIF(SUMPK!$B:$B,$B:$B,SUMPK!$O:$O)</f>
        <v>0</v>
      </c>
      <c r="K37" s="24">
        <f t="shared" si="1223"/>
        <v>0</v>
      </c>
      <c r="L37" s="24">
        <f t="shared" si="1511"/>
        <v>1400</v>
      </c>
      <c r="M37" s="15">
        <f t="shared" si="1633"/>
        <v>1400</v>
      </c>
      <c r="N37" s="15">
        <v>231.5</v>
      </c>
      <c r="O37" s="276">
        <f t="shared" si="1226"/>
        <v>6.0475161987041037</v>
      </c>
      <c r="P37" s="712">
        <v>36.5</v>
      </c>
      <c r="Q37" s="276">
        <f t="shared" si="1512"/>
        <v>230.13698630136986</v>
      </c>
      <c r="R37" s="277">
        <f t="shared" si="1513"/>
        <v>15.384615384615385</v>
      </c>
      <c r="S37" s="222">
        <v>400</v>
      </c>
      <c r="T37" s="276">
        <f t="shared" si="1634"/>
        <v>91</v>
      </c>
      <c r="U37" s="278"/>
      <c r="V37" s="276">
        <f t="shared" si="1230"/>
        <v>91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34"/>
        <v>121</v>
      </c>
      <c r="CSM37" s="68">
        <f t="shared" si="1735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12"/>
        <v>0</v>
      </c>
      <c r="DEM37" s="43">
        <f t="shared" si="1813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1"/>
        <v>0</v>
      </c>
      <c r="EQB37" s="211">
        <f t="shared" si="1442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7"/>
        <v>0</v>
      </c>
      <c r="EVP37" s="211">
        <f t="shared" si="1478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>
        <v>357</v>
      </c>
      <c r="EZR37" s="83"/>
      <c r="EZS37" s="83"/>
      <c r="EZT37" s="83"/>
      <c r="EZU37" s="83"/>
      <c r="EZV37" s="83"/>
      <c r="EZW37" s="872">
        <f t="shared" si="1505"/>
        <v>357</v>
      </c>
      <c r="EZX37" s="873">
        <f t="shared" si="1506"/>
        <v>59.5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>
        <v>0</v>
      </c>
      <c r="EZR38" s="83"/>
      <c r="EZS38" s="83"/>
      <c r="EZT38" s="83"/>
      <c r="EZU38" s="83"/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>
        <v>0</v>
      </c>
      <c r="EZR39" s="83"/>
      <c r="EZS39" s="83"/>
      <c r="EZT39" s="83"/>
      <c r="EZU39" s="83"/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>
        <v>0</v>
      </c>
      <c r="EZR40" s="83"/>
      <c r="EZS40" s="83"/>
      <c r="EZT40" s="83"/>
      <c r="EZU40" s="83"/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952</v>
      </c>
      <c r="G41" s="24"/>
      <c r="H41" s="24"/>
      <c r="I41" s="24"/>
      <c r="J41" s="360">
        <f>SUMIF(SUMPK!$B:$B,$B:$B,SUMPK!$O:$O)</f>
        <v>202</v>
      </c>
      <c r="K41" s="24">
        <f t="shared" si="1223"/>
        <v>0</v>
      </c>
      <c r="L41" s="24">
        <f t="shared" si="1511"/>
        <v>750</v>
      </c>
      <c r="M41" s="15">
        <f t="shared" si="1633"/>
        <v>750</v>
      </c>
      <c r="N41" s="15">
        <v>253</v>
      </c>
      <c r="O41" s="276">
        <f t="shared" si="1226"/>
        <v>2.9644268774703559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4.0625</v>
      </c>
      <c r="U41" s="278"/>
      <c r="V41" s="276">
        <f t="shared" si="1230"/>
        <v>4.0625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202</v>
      </c>
      <c r="CSL41" s="64">
        <f t="shared" si="1734"/>
        <v>202</v>
      </c>
      <c r="CSM41" s="68">
        <f t="shared" si="1735"/>
        <v>33.666666666666664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202</v>
      </c>
      <c r="EPZ41" s="49">
        <v>0</v>
      </c>
      <c r="EQA41" s="64">
        <f t="shared" si="1441"/>
        <v>619</v>
      </c>
      <c r="EQB41" s="211">
        <f t="shared" si="1442"/>
        <v>103.16666666666667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202</v>
      </c>
      <c r="EVL41" s="49"/>
      <c r="EVM41" s="49"/>
      <c r="EVN41" s="49">
        <v>359</v>
      </c>
      <c r="EVO41" s="808">
        <f t="shared" si="1477"/>
        <v>774</v>
      </c>
      <c r="EVP41" s="211">
        <f t="shared" si="1478"/>
        <v>129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>
        <v>0</v>
      </c>
      <c r="EZR41" s="83"/>
      <c r="EZS41" s="83"/>
      <c r="EZT41" s="83"/>
      <c r="EZU41" s="83"/>
      <c r="EZV41" s="83"/>
      <c r="EZW41" s="872">
        <f t="shared" si="1505"/>
        <v>0</v>
      </c>
      <c r="EZX41" s="873">
        <f t="shared" si="1506"/>
        <v>0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>
        <v>0</v>
      </c>
      <c r="EZR42" s="83"/>
      <c r="EZS42" s="83"/>
      <c r="EZT42" s="83"/>
      <c r="EZU42" s="83"/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601</v>
      </c>
      <c r="K43" s="24">
        <f t="shared" si="1223"/>
        <v>0</v>
      </c>
      <c r="L43" s="24">
        <f t="shared" si="1511"/>
        <v>745</v>
      </c>
      <c r="M43" s="15">
        <f t="shared" si="1633"/>
        <v>745</v>
      </c>
      <c r="N43" s="15">
        <v>83</v>
      </c>
      <c r="O43" s="276">
        <f t="shared" si="1226"/>
        <v>8.975903614457831</v>
      </c>
      <c r="P43" s="712">
        <v>97.833333333333329</v>
      </c>
      <c r="Q43" s="276">
        <f t="shared" si="1512"/>
        <v>45.689948892674622</v>
      </c>
      <c r="R43" s="277">
        <f t="shared" si="1513"/>
        <v>138.46153846153845</v>
      </c>
      <c r="S43" s="222">
        <v>3600</v>
      </c>
      <c r="T43" s="276">
        <f t="shared" si="1634"/>
        <v>5.3805555555555555</v>
      </c>
      <c r="U43" s="278"/>
      <c r="V43" s="276">
        <f t="shared" si="1230"/>
        <v>5.3805555555555555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601</v>
      </c>
      <c r="CSL43" s="64">
        <f t="shared" si="1734"/>
        <v>601</v>
      </c>
      <c r="CSM43" s="68">
        <f t="shared" si="1735"/>
        <v>100.16666666666667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601</v>
      </c>
      <c r="EPZ43" s="49">
        <v>0</v>
      </c>
      <c r="EQA43" s="64">
        <f t="shared" si="1441"/>
        <v>1421</v>
      </c>
      <c r="EQB43" s="211">
        <f t="shared" si="1442"/>
        <v>236.83333333333334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601</v>
      </c>
      <c r="EVL43" s="49"/>
      <c r="EVM43" s="49"/>
      <c r="EVN43" s="49">
        <v>1061</v>
      </c>
      <c r="EVO43" s="808">
        <f t="shared" si="1477"/>
        <v>1662</v>
      </c>
      <c r="EVP43" s="211">
        <f t="shared" si="1478"/>
        <v>277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>
        <v>0</v>
      </c>
      <c r="EZR43" s="83"/>
      <c r="EZS43" s="83"/>
      <c r="EZT43" s="83"/>
      <c r="EZU43" s="83"/>
      <c r="EZV43" s="83"/>
      <c r="EZW43" s="872">
        <f t="shared" si="1505"/>
        <v>0</v>
      </c>
      <c r="EZX43" s="873">
        <f t="shared" si="1506"/>
        <v>0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0</v>
      </c>
      <c r="K44" s="24">
        <f t="shared" si="1223"/>
        <v>0</v>
      </c>
      <c r="L44" s="24">
        <f t="shared" si="1511"/>
        <v>2635</v>
      </c>
      <c r="M44" s="15">
        <f t="shared" si="1633"/>
        <v>2635</v>
      </c>
      <c r="N44" s="15">
        <v>151.66666666666666</v>
      </c>
      <c r="O44" s="276">
        <f t="shared" si="1226"/>
        <v>17.373626373626376</v>
      </c>
      <c r="P44" s="712">
        <v>18.5</v>
      </c>
      <c r="Q44" s="276">
        <f t="shared" si="1512"/>
        <v>854.59459459459458</v>
      </c>
      <c r="R44" s="277">
        <f t="shared" si="1513"/>
        <v>86.15384615384616</v>
      </c>
      <c r="S44" s="222">
        <v>2240</v>
      </c>
      <c r="T44" s="276">
        <f t="shared" si="1634"/>
        <v>30.584821428571427</v>
      </c>
      <c r="U44" s="278"/>
      <c r="V44" s="276">
        <f t="shared" si="1230"/>
        <v>30.584821428571427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1"/>
        <v>0</v>
      </c>
      <c r="EQB44" s="211">
        <f t="shared" si="1442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7"/>
        <v>0</v>
      </c>
      <c r="EVP44" s="211">
        <f t="shared" si="1478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>
        <v>0</v>
      </c>
      <c r="EZR44" s="83"/>
      <c r="EZS44" s="83"/>
      <c r="EZT44" s="83"/>
      <c r="EZU44" s="83"/>
      <c r="EZV44" s="83"/>
      <c r="EZW44" s="872">
        <f t="shared" si="1505"/>
        <v>0</v>
      </c>
      <c r="EZX44" s="873">
        <f t="shared" si="1506"/>
        <v>0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2617</v>
      </c>
      <c r="G45" s="24"/>
      <c r="H45" s="24"/>
      <c r="I45" s="24"/>
      <c r="J45" s="360">
        <f>SUMIF(SUMPK!$B:$B,$B:$B,SUMPK!$O:$O)</f>
        <v>1561</v>
      </c>
      <c r="K45" s="24">
        <f t="shared" si="1223"/>
        <v>0</v>
      </c>
      <c r="L45" s="24">
        <f t="shared" si="1511"/>
        <v>1056</v>
      </c>
      <c r="M45" s="15">
        <f t="shared" si="1633"/>
        <v>1056</v>
      </c>
      <c r="N45" s="15">
        <v>669.83333333333337</v>
      </c>
      <c r="O45" s="276">
        <f t="shared" si="1226"/>
        <v>1.5765115700422989</v>
      </c>
      <c r="P45" s="712">
        <v>249.66666666666666</v>
      </c>
      <c r="Q45" s="276">
        <f t="shared" si="1512"/>
        <v>25.377837116154872</v>
      </c>
      <c r="R45" s="277">
        <f t="shared" si="1513"/>
        <v>369.23076923076923</v>
      </c>
      <c r="S45" s="222">
        <v>9600</v>
      </c>
      <c r="T45" s="276">
        <f t="shared" si="1634"/>
        <v>2.86</v>
      </c>
      <c r="U45" s="278"/>
      <c r="V45" s="276">
        <f t="shared" si="1230"/>
        <v>2.86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1561</v>
      </c>
      <c r="CSL45" s="64">
        <f t="shared" si="1734"/>
        <v>2245</v>
      </c>
      <c r="CSM45" s="68">
        <f t="shared" si="1735"/>
        <v>374.16666666666669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1561</v>
      </c>
      <c r="EPZ45" s="49">
        <v>0</v>
      </c>
      <c r="EQA45" s="64">
        <f t="shared" si="1441"/>
        <v>2459</v>
      </c>
      <c r="EQB45" s="211">
        <f t="shared" si="1442"/>
        <v>409.83333333333331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1561</v>
      </c>
      <c r="EVL45" s="49"/>
      <c r="EVM45" s="49"/>
      <c r="EVN45" s="49">
        <v>0</v>
      </c>
      <c r="EVO45" s="808">
        <f t="shared" si="1477"/>
        <v>2561</v>
      </c>
      <c r="EVP45" s="211">
        <f t="shared" si="1478"/>
        <v>426.83333333333331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>
        <v>0</v>
      </c>
      <c r="EZR45" s="83"/>
      <c r="EZS45" s="83"/>
      <c r="EZT45" s="83"/>
      <c r="EZU45" s="83"/>
      <c r="EZV45" s="83"/>
      <c r="EZW45" s="872">
        <f t="shared" si="1505"/>
        <v>0</v>
      </c>
      <c r="EZX45" s="873">
        <f t="shared" si="1506"/>
        <v>0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8024</v>
      </c>
      <c r="G46" s="24"/>
      <c r="H46" s="24"/>
      <c r="I46" s="24"/>
      <c r="J46" s="360">
        <f>SUMIF(SUMPK!$B:$B,$B:$B,SUMPK!$O:$O)</f>
        <v>0</v>
      </c>
      <c r="K46" s="24">
        <f t="shared" si="1223"/>
        <v>0</v>
      </c>
      <c r="L46" s="24">
        <f t="shared" si="1511"/>
        <v>8024</v>
      </c>
      <c r="M46" s="15">
        <f t="shared" si="1633"/>
        <v>8024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88.472894333843797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1"/>
        <v>3622</v>
      </c>
      <c r="EQB46" s="211">
        <f t="shared" si="1442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>
        <v>0</v>
      </c>
      <c r="EZR46" s="83">
        <v>1610</v>
      </c>
      <c r="EZS46" s="83"/>
      <c r="EZT46" s="83"/>
      <c r="EZU46" s="83"/>
      <c r="EZV46" s="83"/>
      <c r="EZW46" s="872">
        <f t="shared" si="1505"/>
        <v>1610</v>
      </c>
      <c r="EZX46" s="873">
        <f t="shared" si="1506"/>
        <v>268.33333333333331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/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7"/>
        <v>898</v>
      </c>
      <c r="EVP47" s="211">
        <f t="shared" si="1478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>
        <v>0</v>
      </c>
      <c r="EZR48" s="83"/>
      <c r="EZS48" s="83"/>
      <c r="EZT48" s="83"/>
      <c r="EZU48" s="83"/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2088</v>
      </c>
      <c r="G49" s="24"/>
      <c r="H49" s="24"/>
      <c r="I49" s="360"/>
      <c r="J49" s="360">
        <f>SUMIF(SUMPK!$B:$B,$B:$B,SUMPK!$O:$O)</f>
        <v>0</v>
      </c>
      <c r="K49" s="24">
        <f t="shared" si="1223"/>
        <v>0</v>
      </c>
      <c r="L49" s="24">
        <f t="shared" ref="L49:L54" si="2421">F49+H49-J49</f>
        <v>2088</v>
      </c>
      <c r="M49" s="15">
        <f t="shared" ref="M49:M54" si="2422">K49+L49</f>
        <v>2088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61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7"/>
        <v>962</v>
      </c>
      <c r="EVP49" s="211">
        <f t="shared" si="1478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>
        <v>281</v>
      </c>
      <c r="EZR49" s="83"/>
      <c r="EZS49" s="83"/>
      <c r="EZT49" s="83"/>
      <c r="EZU49" s="83"/>
      <c r="EZV49" s="83"/>
      <c r="EZW49" s="872">
        <f t="shared" si="1505"/>
        <v>281</v>
      </c>
      <c r="EZX49" s="873">
        <f t="shared" si="1506"/>
        <v>46.833333333333336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370</v>
      </c>
      <c r="G50" s="24"/>
      <c r="H50" s="24"/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370</v>
      </c>
      <c r="M50" s="15">
        <f t="shared" si="2422"/>
        <v>370</v>
      </c>
      <c r="N50" s="15">
        <v>214.33333333333334</v>
      </c>
      <c r="O50" s="276">
        <f t="shared" si="1226"/>
        <v>1.7262830482115086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2.7965116279069764</v>
      </c>
      <c r="U50" s="278"/>
      <c r="V50" s="276">
        <f t="shared" si="1230"/>
        <v>2.7965116279069764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>
        <v>0</v>
      </c>
      <c r="EZR50" s="83"/>
      <c r="EZS50" s="83"/>
      <c r="EZT50" s="83"/>
      <c r="EZU50" s="83"/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>
        <v>0</v>
      </c>
      <c r="EZR51" s="83"/>
      <c r="EZS51" s="83"/>
      <c r="EZT51" s="83"/>
      <c r="EZU51" s="83"/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>
        <v>0</v>
      </c>
      <c r="EZR52" s="83"/>
      <c r="EZS52" s="83"/>
      <c r="EZT52" s="83"/>
      <c r="EZU52" s="83"/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>
        <v>0</v>
      </c>
      <c r="EZR53" s="83"/>
      <c r="EZS53" s="83"/>
      <c r="EZT53" s="83"/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/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7" si="2427">F55+H55-J55</f>
        <v>2174</v>
      </c>
      <c r="M55" s="15">
        <f t="shared" ref="M55:M57" si="2428">K55+L55</f>
        <v>2174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>
        <v>237</v>
      </c>
      <c r="EZR55" s="83"/>
      <c r="EZS55" s="83"/>
      <c r="EZT55" s="83"/>
      <c r="EZU55" s="83"/>
      <c r="EZV55" s="83"/>
      <c r="EZW55" s="872">
        <f t="shared" si="1505"/>
        <v>237</v>
      </c>
      <c r="EZX55" s="873">
        <f t="shared" si="1506"/>
        <v>39.5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>
        <v>0</v>
      </c>
      <c r="EZR56" s="83"/>
      <c r="EZS56" s="83"/>
      <c r="EZT56" s="83"/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>
        <v>0</v>
      </c>
      <c r="EZR57" s="83"/>
      <c r="EZS57" s="83"/>
      <c r="EZT57" s="83"/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568</v>
      </c>
      <c r="C58" s="730" t="s">
        <v>566</v>
      </c>
      <c r="D58" s="297">
        <v>40</v>
      </c>
      <c r="E58" s="24"/>
      <c r="F58" s="24"/>
      <c r="G58" s="24"/>
      <c r="H58" s="24">
        <v>1946</v>
      </c>
      <c r="I58" s="360"/>
      <c r="J58" s="360"/>
      <c r="K58" s="24">
        <v>0</v>
      </c>
      <c r="L58" s="24">
        <f t="shared" ref="L58:L61" si="2429">F58+H58-J58</f>
        <v>1946</v>
      </c>
      <c r="M58" s="15">
        <f t="shared" ref="M58:M61" si="2430">K58+L58</f>
        <v>1946</v>
      </c>
      <c r="N58" s="15"/>
      <c r="O58" s="276"/>
      <c r="P58" s="712"/>
      <c r="Q58" s="276"/>
      <c r="R58" s="277"/>
      <c r="S58" s="222"/>
      <c r="T58" s="276"/>
      <c r="U58" s="278"/>
      <c r="V58" s="276"/>
      <c r="W58" s="279"/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/>
    </row>
    <row r="59" spans="1:4080" s="8" customFormat="1" ht="13.5" thickBot="1" x14ac:dyDescent="0.25">
      <c r="A59" s="21">
        <v>30</v>
      </c>
      <c r="B59" s="297" t="s">
        <v>569</v>
      </c>
      <c r="C59" s="730" t="s">
        <v>567</v>
      </c>
      <c r="D59" s="297">
        <v>40</v>
      </c>
      <c r="E59" s="24"/>
      <c r="F59" s="24"/>
      <c r="G59" s="24"/>
      <c r="H59" s="24">
        <v>1938</v>
      </c>
      <c r="I59" s="360"/>
      <c r="J59" s="360"/>
      <c r="K59" s="24">
        <v>0</v>
      </c>
      <c r="L59" s="24">
        <f t="shared" si="2429"/>
        <v>1938</v>
      </c>
      <c r="M59" s="15">
        <f t="shared" si="2430"/>
        <v>1938</v>
      </c>
      <c r="N59" s="15"/>
      <c r="O59" s="276"/>
      <c r="P59" s="712"/>
      <c r="Q59" s="276"/>
      <c r="R59" s="277"/>
      <c r="S59" s="222"/>
      <c r="T59" s="276"/>
      <c r="U59" s="278"/>
      <c r="V59" s="276"/>
      <c r="W59" s="279"/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/>
    </row>
    <row r="60" spans="1:4080" s="8" customFormat="1" ht="13.5" thickBot="1" x14ac:dyDescent="0.25">
      <c r="A60" s="21">
        <v>31</v>
      </c>
      <c r="B60" s="297" t="s">
        <v>533</v>
      </c>
      <c r="C60" s="730" t="s">
        <v>535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29"/>
        <v>1700</v>
      </c>
      <c r="M60" s="15">
        <f t="shared" si="2430"/>
        <v>1700</v>
      </c>
      <c r="N60" s="15">
        <v>16.666666666666668</v>
      </c>
      <c r="O60" s="276"/>
      <c r="P60" s="712"/>
      <c r="Q60" s="276"/>
      <c r="R60" s="277"/>
      <c r="S60" s="222"/>
      <c r="T60" s="276"/>
      <c r="U60" s="278"/>
      <c r="V60" s="276"/>
      <c r="W60" s="279">
        <f t="shared" si="2423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1"/>
        <v>100</v>
      </c>
      <c r="EZH60" s="873">
        <f t="shared" si="1502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3"/>
        <v>100</v>
      </c>
      <c r="EZP60" s="873">
        <f t="shared" si="1504"/>
        <v>16.666666666666668</v>
      </c>
      <c r="EZQ60" s="458"/>
      <c r="EZR60" s="83"/>
      <c r="EZS60" s="83"/>
      <c r="EZT60" s="83"/>
      <c r="EZU60" s="83"/>
      <c r="EZV60" s="83"/>
      <c r="EZW60" s="872">
        <f t="shared" si="1505"/>
        <v>0</v>
      </c>
      <c r="EZX60" s="873">
        <f t="shared" si="1506"/>
        <v>0</v>
      </c>
    </row>
    <row r="61" spans="1:4080" s="8" customFormat="1" ht="13.5" thickBot="1" x14ac:dyDescent="0.25">
      <c r="A61" s="21">
        <v>32</v>
      </c>
      <c r="B61" s="297" t="s">
        <v>534</v>
      </c>
      <c r="C61" s="730" t="s">
        <v>536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29"/>
        <v>2030</v>
      </c>
      <c r="M61" s="15">
        <f t="shared" si="2430"/>
        <v>2030</v>
      </c>
      <c r="N61" s="15">
        <v>0</v>
      </c>
      <c r="O61" s="276"/>
      <c r="P61" s="712"/>
      <c r="Q61" s="276"/>
      <c r="R61" s="277"/>
      <c r="S61" s="222"/>
      <c r="T61" s="276"/>
      <c r="U61" s="278"/>
      <c r="V61" s="276"/>
      <c r="W61" s="279">
        <f t="shared" si="2423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08"/>
        <v>0</v>
      </c>
      <c r="COM61" s="68">
        <f t="shared" si="1709"/>
        <v>0</v>
      </c>
      <c r="CON61" s="48"/>
      <c r="COO61" s="49"/>
      <c r="COP61" s="49"/>
      <c r="COQ61" s="49"/>
      <c r="COR61" s="49"/>
      <c r="COS61" s="49"/>
      <c r="COT61" s="67">
        <f t="shared" si="1710"/>
        <v>0</v>
      </c>
      <c r="COU61" s="68">
        <f t="shared" si="1711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2"/>
        <v>267</v>
      </c>
      <c r="CPC61" s="68">
        <f t="shared" si="1713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14"/>
        <v>260</v>
      </c>
      <c r="CPK61" s="68">
        <f t="shared" si="1715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16"/>
        <v>1073</v>
      </c>
      <c r="CPS61" s="68">
        <f t="shared" si="1717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18"/>
        <v>1699</v>
      </c>
      <c r="CQA61" s="68">
        <f t="shared" si="1719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0"/>
        <v>0</v>
      </c>
      <c r="CQI61" s="68">
        <f t="shared" si="1721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2"/>
        <v>3124</v>
      </c>
      <c r="CQQ61" s="68">
        <f t="shared" si="1723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24"/>
        <v>1268</v>
      </c>
      <c r="CQY61" s="68">
        <f t="shared" si="1725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26"/>
        <v>1531</v>
      </c>
      <c r="CRG61" s="68">
        <f t="shared" si="1727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28"/>
        <v>3286</v>
      </c>
      <c r="CRO61" s="68">
        <f t="shared" si="1729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0"/>
        <v>560</v>
      </c>
      <c r="CRW61" s="68">
        <f t="shared" si="1731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2"/>
        <v>2882</v>
      </c>
      <c r="CSE61" s="68">
        <f t="shared" si="1733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34"/>
        <v>1530</v>
      </c>
      <c r="CSM61" s="68">
        <f t="shared" si="1735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36"/>
        <v>1979</v>
      </c>
      <c r="CSU61" s="68">
        <f t="shared" si="1737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38"/>
        <v>2271</v>
      </c>
      <c r="CTC61" s="68">
        <f t="shared" si="1739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0"/>
        <v>3079</v>
      </c>
      <c r="CTK61" s="68">
        <f t="shared" si="1741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2"/>
        <v>0</v>
      </c>
      <c r="CTS61" s="68">
        <f t="shared" si="1743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44"/>
        <v>0</v>
      </c>
      <c r="CUA61" s="68">
        <f t="shared" si="1745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46"/>
        <v>0</v>
      </c>
      <c r="CUI61" s="68">
        <f t="shared" si="1747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48"/>
        <v>0</v>
      </c>
      <c r="CUQ61" s="68">
        <f t="shared" si="1749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0"/>
        <v>670</v>
      </c>
      <c r="CUY61" s="68">
        <f t="shared" si="1751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2"/>
        <v>658</v>
      </c>
      <c r="CVG61" s="68">
        <f t="shared" si="1753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54"/>
        <v>641</v>
      </c>
      <c r="CVO61" s="68">
        <f t="shared" si="1755"/>
        <v>106.83333333333333</v>
      </c>
      <c r="CVP61" s="48"/>
      <c r="CVQ61" s="49"/>
      <c r="CVR61" s="49"/>
      <c r="CVS61" s="49"/>
      <c r="CVT61" s="49"/>
      <c r="CVU61" s="49"/>
      <c r="CVV61" s="64">
        <f t="shared" si="1756"/>
        <v>0</v>
      </c>
      <c r="CVW61" s="68">
        <f t="shared" si="1757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58"/>
        <v>697</v>
      </c>
      <c r="CWE61" s="68">
        <f t="shared" si="1759"/>
        <v>116.16666666666667</v>
      </c>
      <c r="CWF61" s="48"/>
      <c r="CWG61" s="49"/>
      <c r="CWH61" s="49"/>
      <c r="CWI61" s="49"/>
      <c r="CWJ61" s="49"/>
      <c r="CWK61" s="49"/>
      <c r="CWL61" s="64">
        <f t="shared" si="1760"/>
        <v>0</v>
      </c>
      <c r="CWM61" s="68">
        <f t="shared" si="1761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2"/>
        <v>336</v>
      </c>
      <c r="CWU61" s="68">
        <f t="shared" si="1763"/>
        <v>56</v>
      </c>
      <c r="CWV61" s="48"/>
      <c r="CWW61" s="49"/>
      <c r="CWX61" s="49"/>
      <c r="CWY61" s="49"/>
      <c r="CWZ61" s="49"/>
      <c r="CXA61" s="49"/>
      <c r="CXB61" s="127">
        <f t="shared" si="1764"/>
        <v>0</v>
      </c>
      <c r="CXC61" s="43">
        <f t="shared" si="1765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66"/>
        <v>645</v>
      </c>
      <c r="CXK61" s="43">
        <f t="shared" si="1767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68"/>
        <v>1844</v>
      </c>
      <c r="CXS61" s="43">
        <f t="shared" si="1769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0"/>
        <v>174</v>
      </c>
      <c r="CYA61" s="43">
        <f t="shared" si="1771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2"/>
        <v>0</v>
      </c>
      <c r="CYI61" s="43">
        <f t="shared" si="1773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74"/>
        <v>1078</v>
      </c>
      <c r="CYQ61" s="43">
        <f t="shared" si="1775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76"/>
        <v>905</v>
      </c>
      <c r="CYY61" s="43">
        <f t="shared" si="1777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78"/>
        <v>1747</v>
      </c>
      <c r="CZG61" s="43">
        <f t="shared" si="1779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0"/>
        <v>0</v>
      </c>
      <c r="CZO61" s="43">
        <f t="shared" si="1781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2"/>
        <v>0</v>
      </c>
      <c r="CZW61" s="43">
        <f t="shared" si="1783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84"/>
        <v>1808</v>
      </c>
      <c r="DAE61" s="68">
        <f t="shared" si="1785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86"/>
        <v>916</v>
      </c>
      <c r="DAM61" s="68">
        <f t="shared" si="1787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88"/>
        <v>665</v>
      </c>
      <c r="DAU61" s="68">
        <f t="shared" si="1789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0"/>
        <v>657</v>
      </c>
      <c r="DBC61" s="68">
        <f t="shared" si="1791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2"/>
        <v>2006</v>
      </c>
      <c r="DBK61" s="68">
        <f t="shared" si="1793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794"/>
        <v>666</v>
      </c>
      <c r="DBS61" s="68">
        <f t="shared" si="1795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796"/>
        <v>629</v>
      </c>
      <c r="DCA61" s="68">
        <f t="shared" si="1797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798"/>
        <v>995</v>
      </c>
      <c r="DCI61" s="68">
        <f t="shared" si="1799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0"/>
        <v>681</v>
      </c>
      <c r="DCQ61" s="68">
        <f t="shared" si="1801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2"/>
        <v>602</v>
      </c>
      <c r="DCY61" s="68">
        <f t="shared" si="1803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04"/>
        <v>1658</v>
      </c>
      <c r="DDG61" s="68">
        <f t="shared" si="1805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06"/>
        <v>0</v>
      </c>
      <c r="DDO61" s="43">
        <f t="shared" si="1807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08"/>
        <v>0</v>
      </c>
      <c r="DDW61" s="43">
        <f t="shared" si="1809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0"/>
        <v>1703</v>
      </c>
      <c r="DEE61" s="43">
        <f t="shared" si="1811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2"/>
        <v>0</v>
      </c>
      <c r="DEM61" s="43">
        <f t="shared" si="1813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14"/>
        <v>1186</v>
      </c>
      <c r="DEU61" s="43">
        <f t="shared" si="1815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16"/>
        <v>943</v>
      </c>
      <c r="DFC61" s="43">
        <f t="shared" si="1817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18"/>
        <v>667</v>
      </c>
      <c r="DFK61" s="43">
        <f t="shared" si="1819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0"/>
        <v>1334</v>
      </c>
      <c r="DFS61" s="68">
        <f t="shared" si="1821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2"/>
        <v>1346</v>
      </c>
      <c r="DGA61" s="43">
        <f t="shared" si="1823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24"/>
        <v>1320</v>
      </c>
      <c r="DGI61" s="43">
        <f t="shared" si="1825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26"/>
        <v>1266</v>
      </c>
      <c r="DGQ61" s="68">
        <f t="shared" si="1827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28"/>
        <v>945</v>
      </c>
      <c r="DGY61" s="68">
        <f t="shared" si="1829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0"/>
        <v>966</v>
      </c>
      <c r="DHG61" s="68">
        <f t="shared" si="1831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2"/>
        <v>1494</v>
      </c>
      <c r="DHO61" s="68">
        <f t="shared" si="1833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34"/>
        <v>2465</v>
      </c>
      <c r="DHW61" s="68">
        <f t="shared" si="1835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36"/>
        <v>1390</v>
      </c>
      <c r="DIE61" s="68">
        <f t="shared" si="1837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38"/>
        <v>1149</v>
      </c>
      <c r="DIM61" s="68">
        <f t="shared" si="1839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0"/>
        <v>1345</v>
      </c>
      <c r="DIU61" s="68">
        <f t="shared" si="1841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2"/>
        <v>2622</v>
      </c>
      <c r="DJC61" s="68">
        <f t="shared" si="1843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44"/>
        <v>1664</v>
      </c>
      <c r="DJK61" s="68">
        <f t="shared" si="1845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46"/>
        <v>3258</v>
      </c>
      <c r="DJS61" s="68">
        <f t="shared" si="1847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48"/>
        <v>44</v>
      </c>
      <c r="DKA61" s="68">
        <f t="shared" si="1849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0"/>
        <v>1437</v>
      </c>
      <c r="DKI61" s="68">
        <f t="shared" si="1851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2"/>
        <v>552</v>
      </c>
      <c r="DKQ61" s="68">
        <f t="shared" si="1853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54"/>
        <v>1287</v>
      </c>
      <c r="DKY61" s="68">
        <f t="shared" si="1855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56"/>
        <v>1646</v>
      </c>
      <c r="DLG61" s="68">
        <f t="shared" si="1857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58"/>
        <v>669</v>
      </c>
      <c r="DLO61" s="68">
        <f t="shared" si="1859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0"/>
        <v>2487</v>
      </c>
      <c r="DLW61" s="68">
        <f t="shared" si="1861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2"/>
        <v>996</v>
      </c>
      <c r="DME61" s="68">
        <f t="shared" si="1863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64"/>
        <v>2962</v>
      </c>
      <c r="DMM61" s="68">
        <f t="shared" si="1865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66"/>
        <v>1330</v>
      </c>
      <c r="DMU61" s="68">
        <f t="shared" si="1867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68"/>
        <v>2381</v>
      </c>
      <c r="DNC61" s="68">
        <f t="shared" si="1869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0"/>
        <v>1000</v>
      </c>
      <c r="DNK61" s="68">
        <f t="shared" si="1871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2"/>
        <v>2308</v>
      </c>
      <c r="DNS61" s="68">
        <f t="shared" si="1873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74"/>
        <v>2413</v>
      </c>
      <c r="DOA61" s="68">
        <f t="shared" si="1875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76"/>
        <v>2410</v>
      </c>
      <c r="DOI61" s="68">
        <f t="shared" si="1877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78"/>
        <v>0</v>
      </c>
      <c r="DOQ61" s="68">
        <f t="shared" si="1879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0"/>
        <v>5200</v>
      </c>
      <c r="DOY61" s="68">
        <f t="shared" si="1881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2"/>
        <v>1965</v>
      </c>
      <c r="DPG61" s="68">
        <f t="shared" si="1883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84"/>
        <v>2588</v>
      </c>
      <c r="DPO61" s="68">
        <f t="shared" si="1885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86"/>
        <v>2297</v>
      </c>
      <c r="DPW61" s="492">
        <f t="shared" si="1887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88"/>
        <v>2330</v>
      </c>
      <c r="DQE61" s="492">
        <f t="shared" si="1889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0"/>
        <v>1640</v>
      </c>
      <c r="DQM61" s="492">
        <f t="shared" si="1891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2"/>
        <v>3044</v>
      </c>
      <c r="DQU61" s="68">
        <f t="shared" si="1893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894"/>
        <v>2621</v>
      </c>
      <c r="DRC61" s="492">
        <f t="shared" si="1895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896"/>
        <v>1985</v>
      </c>
      <c r="DRK61" s="492">
        <f t="shared" si="1897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3"/>
        <v>3344</v>
      </c>
      <c r="DRS61" s="68">
        <f t="shared" si="1594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595"/>
        <v>4377</v>
      </c>
      <c r="DSA61" s="68">
        <f t="shared" si="1596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597"/>
        <v>5575</v>
      </c>
      <c r="DSI61" s="68">
        <f t="shared" si="1598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599"/>
        <v>0</v>
      </c>
      <c r="DSQ61" s="68">
        <f t="shared" si="1600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1"/>
        <v>3350</v>
      </c>
      <c r="DSY61" s="68">
        <f t="shared" si="1602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3"/>
        <v>2693</v>
      </c>
      <c r="DTG61" s="68">
        <f t="shared" si="1604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05"/>
        <v>2500</v>
      </c>
      <c r="DTO61" s="68">
        <f t="shared" si="1606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07"/>
        <v>4483</v>
      </c>
      <c r="DTW61" s="68">
        <f t="shared" si="1608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09"/>
        <v>1415</v>
      </c>
      <c r="DUE61" s="68">
        <f t="shared" si="1610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1"/>
        <v>6795</v>
      </c>
      <c r="DUM61" s="68">
        <f t="shared" si="1612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3"/>
        <v>4376</v>
      </c>
      <c r="DUU61" s="68">
        <f t="shared" si="1614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15"/>
        <v>1934</v>
      </c>
      <c r="DVC61" s="68">
        <f t="shared" si="1616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17"/>
        <v>3367</v>
      </c>
      <c r="DVK61" s="68">
        <f t="shared" si="1618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19"/>
        <v>4696</v>
      </c>
      <c r="DVS61" s="68">
        <f t="shared" si="1620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1"/>
        <v>7683</v>
      </c>
      <c r="DWA61" s="68">
        <f t="shared" si="1622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3"/>
        <v>3345</v>
      </c>
      <c r="DWI61" s="68">
        <f t="shared" si="1624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25"/>
        <v>2995</v>
      </c>
      <c r="DWQ61" s="68">
        <f t="shared" si="1626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27"/>
        <v>5038</v>
      </c>
      <c r="DWY61" s="68">
        <f t="shared" si="1628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29"/>
        <v>5361</v>
      </c>
      <c r="DXG61" s="68">
        <f t="shared" si="1630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1"/>
        <v>3165</v>
      </c>
      <c r="DXO61" s="68">
        <f t="shared" si="1632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4"/>
        <v>6073</v>
      </c>
      <c r="DXW61" s="68">
        <f t="shared" si="1325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26"/>
        <v>3322</v>
      </c>
      <c r="DYE61" s="68">
        <f t="shared" si="1327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28"/>
        <v>900</v>
      </c>
      <c r="DYM61" s="68">
        <f t="shared" si="1329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0"/>
        <v>600</v>
      </c>
      <c r="DYU61" s="68">
        <f t="shared" si="1331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2"/>
        <v>5429</v>
      </c>
      <c r="DZC61" s="68">
        <f t="shared" si="1333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4"/>
        <v>1634</v>
      </c>
      <c r="DZK61" s="68">
        <f t="shared" si="1335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36"/>
        <v>1330</v>
      </c>
      <c r="DZS61" s="68">
        <f t="shared" si="1337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38"/>
        <v>1648</v>
      </c>
      <c r="EAA61" s="68">
        <f t="shared" si="1339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0"/>
        <v>989</v>
      </c>
      <c r="EAI61" s="68">
        <f t="shared" si="1341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2"/>
        <v>0</v>
      </c>
      <c r="EAQ61" s="68">
        <f t="shared" si="1343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4"/>
        <v>1655</v>
      </c>
      <c r="EAY61" s="68">
        <f t="shared" si="1345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46"/>
        <v>2327</v>
      </c>
      <c r="EBG61" s="68">
        <f t="shared" si="1347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48"/>
        <v>1912</v>
      </c>
      <c r="EBO61" s="68">
        <f t="shared" si="1349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0"/>
        <v>1273</v>
      </c>
      <c r="EBW61" s="68">
        <f t="shared" si="1351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2"/>
        <v>1672</v>
      </c>
      <c r="ECE61" s="68">
        <f t="shared" si="1353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4"/>
        <v>1594</v>
      </c>
      <c r="ECM61" s="68">
        <f t="shared" si="1355"/>
        <v>265.66666666666669</v>
      </c>
      <c r="ECN61" s="48"/>
      <c r="ECO61" s="49"/>
      <c r="ECP61" s="49"/>
      <c r="ECQ61" s="49"/>
      <c r="ECR61" s="49"/>
      <c r="ECS61" s="49"/>
      <c r="ECT61" s="64">
        <f t="shared" si="1356"/>
        <v>0</v>
      </c>
      <c r="ECU61" s="68">
        <f t="shared" si="1357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58"/>
        <v>1329</v>
      </c>
      <c r="EDC61" s="68">
        <f t="shared" si="1359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0"/>
        <v>1333</v>
      </c>
      <c r="EDK61" s="68">
        <f t="shared" si="1361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2"/>
        <v>1325</v>
      </c>
      <c r="EDS61" s="68">
        <f t="shared" si="1363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4"/>
        <v>2406</v>
      </c>
      <c r="EEA61" s="68">
        <f t="shared" si="1365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66"/>
        <v>3318</v>
      </c>
      <c r="EEI61" s="68">
        <f t="shared" si="1367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68"/>
        <v>1594</v>
      </c>
      <c r="EEQ61" s="70">
        <f t="shared" si="1369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0"/>
        <v>1602</v>
      </c>
      <c r="EEY61" s="70">
        <f t="shared" si="1371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2"/>
        <v>2893</v>
      </c>
      <c r="EFG61" s="70">
        <f t="shared" si="1373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4"/>
        <v>1946</v>
      </c>
      <c r="EFO61" s="70">
        <f t="shared" si="1375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76"/>
        <v>0</v>
      </c>
      <c r="EFW61" s="70">
        <f t="shared" si="1377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78"/>
        <v>2600</v>
      </c>
      <c r="EGE61" s="70">
        <f t="shared" si="1379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0"/>
        <v>4538</v>
      </c>
      <c r="EGM61" s="70">
        <f t="shared" si="1381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2"/>
        <v>4253</v>
      </c>
      <c r="EGU61" s="70">
        <f t="shared" si="1383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1">SUM(EGV61:EHA61)</f>
        <v>4272</v>
      </c>
      <c r="EHC61" s="68">
        <f t="shared" ref="EHC61" si="2432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86"/>
        <v>1851</v>
      </c>
      <c r="EHK61" s="70">
        <f t="shared" si="1387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88"/>
        <v>2512</v>
      </c>
      <c r="EHS61" s="70">
        <f t="shared" si="1389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0"/>
        <v>2304</v>
      </c>
      <c r="EIA61" s="70">
        <f t="shared" si="1391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2"/>
        <v>5934</v>
      </c>
      <c r="EII61" s="70">
        <f t="shared" si="1393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4"/>
        <v>6187</v>
      </c>
      <c r="EIQ61" s="70">
        <f t="shared" si="1395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396"/>
        <v>1329</v>
      </c>
      <c r="EIY61" s="70">
        <f t="shared" si="1397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398"/>
        <v>1931</v>
      </c>
      <c r="EJG61" s="70">
        <f t="shared" si="1399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0"/>
        <v>2527</v>
      </c>
      <c r="EJO61" s="70">
        <f t="shared" si="1401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2"/>
        <v>1642</v>
      </c>
      <c r="EJW61" s="70">
        <f t="shared" si="1403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4"/>
        <v>2583</v>
      </c>
      <c r="EKE61" s="70">
        <f t="shared" si="1405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06"/>
        <v>2017</v>
      </c>
      <c r="EKM61" s="70">
        <f t="shared" si="1407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08"/>
        <v>1626</v>
      </c>
      <c r="EKU61" s="210">
        <f t="shared" si="1409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0"/>
        <v>0</v>
      </c>
      <c r="ELD61" s="212">
        <f t="shared" si="1411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2"/>
        <v>1993</v>
      </c>
      <c r="ELL61" s="212">
        <f t="shared" si="1413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4"/>
        <v>1989</v>
      </c>
      <c r="ELT61" s="212">
        <f t="shared" si="1415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16"/>
        <v>1018</v>
      </c>
      <c r="EMB61" s="212">
        <f t="shared" si="1417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18"/>
        <v>3012</v>
      </c>
      <c r="EMJ61" s="212">
        <f t="shared" si="1419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0"/>
        <v>4556</v>
      </c>
      <c r="EMR61" s="212">
        <f t="shared" si="1421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2"/>
        <v>1652</v>
      </c>
      <c r="EMZ61" s="212">
        <f t="shared" si="1423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4"/>
        <v>3565</v>
      </c>
      <c r="ENH61" s="212">
        <f t="shared" si="1425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26"/>
        <v>3499</v>
      </c>
      <c r="ENP61" s="212">
        <f t="shared" si="1427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28"/>
        <v>2968</v>
      </c>
      <c r="ENX61" s="212">
        <f t="shared" si="1429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0"/>
        <v>2648</v>
      </c>
      <c r="EOF61" s="212">
        <f t="shared" si="1431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2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3"/>
        <v>950</v>
      </c>
      <c r="EOV61" s="212">
        <f t="shared" si="1434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5"/>
        <v>703</v>
      </c>
      <c r="EPD61" s="212">
        <f t="shared" si="1436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37"/>
        <v>1556</v>
      </c>
      <c r="EPL61" s="212">
        <f t="shared" si="1438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39"/>
        <v>2005</v>
      </c>
      <c r="EPT61" s="212">
        <f t="shared" si="1440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1"/>
        <v>2642</v>
      </c>
      <c r="EQB61" s="212">
        <f t="shared" si="1442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3"/>
        <v>1297</v>
      </c>
      <c r="EQJ61" s="212">
        <f t="shared" si="1444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5"/>
        <v>966</v>
      </c>
      <c r="EQR61" s="212">
        <f t="shared" si="1446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47"/>
        <v>1624</v>
      </c>
      <c r="EQZ61" s="212">
        <f t="shared" si="1448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49"/>
        <v>0</v>
      </c>
      <c r="ERH61" s="212">
        <f t="shared" si="1450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1"/>
        <v>1683</v>
      </c>
      <c r="ERP61" s="212">
        <f t="shared" si="1452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3"/>
        <v>1633</v>
      </c>
      <c r="ERX61" s="212">
        <f t="shared" si="1454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5"/>
        <v>887</v>
      </c>
      <c r="ESF61" s="212">
        <f t="shared" si="1456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57"/>
        <v>0</v>
      </c>
      <c r="ESN61" s="211">
        <f t="shared" si="1458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59"/>
        <v>676</v>
      </c>
      <c r="ESV61" s="212">
        <f t="shared" si="1460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1"/>
        <v>0</v>
      </c>
      <c r="ETD61" s="212">
        <f t="shared" si="1462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3"/>
        <v>0</v>
      </c>
      <c r="ETL61" s="212">
        <f t="shared" si="1464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5"/>
        <v>688</v>
      </c>
      <c r="ETT61" s="212">
        <f t="shared" si="1466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67"/>
        <v>657</v>
      </c>
      <c r="EUB61" s="212">
        <f t="shared" si="1468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69"/>
        <v>0</v>
      </c>
      <c r="EUJ61" s="212">
        <f t="shared" si="1470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1"/>
        <v>0</v>
      </c>
      <c r="EUR61" s="212">
        <f t="shared" si="1472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3"/>
        <v>288</v>
      </c>
      <c r="EUZ61" s="212">
        <f t="shared" si="1474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5"/>
        <v>327</v>
      </c>
      <c r="EVH61" s="212">
        <f t="shared" si="1476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77"/>
        <v>343</v>
      </c>
      <c r="EVP61" s="212">
        <f t="shared" si="1478"/>
        <v>57.166666666666664</v>
      </c>
      <c r="EVQ61" s="196"/>
      <c r="EVR61" s="197"/>
      <c r="EVS61" s="197"/>
      <c r="EVT61" s="197"/>
      <c r="EVU61" s="197"/>
      <c r="EVV61" s="197"/>
      <c r="EVW61" s="810">
        <f t="shared" si="1479"/>
        <v>0</v>
      </c>
      <c r="EVX61" s="212">
        <f t="shared" si="1480"/>
        <v>0</v>
      </c>
      <c r="EVY61" s="196"/>
      <c r="EVZ61" s="197"/>
      <c r="EWA61" s="197"/>
      <c r="EWB61" s="197"/>
      <c r="EWC61" s="197"/>
      <c r="EWD61" s="197"/>
      <c r="EWE61" s="810">
        <f t="shared" si="1481"/>
        <v>0</v>
      </c>
      <c r="EWF61" s="212">
        <f t="shared" si="1482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3"/>
        <v>611</v>
      </c>
      <c r="EWN61" s="212">
        <f t="shared" si="1484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5"/>
        <v>330</v>
      </c>
      <c r="EWV61" s="212">
        <f t="shared" si="1486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87"/>
        <v>0</v>
      </c>
      <c r="EXD61" s="212">
        <f t="shared" si="1488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89"/>
        <v>308</v>
      </c>
      <c r="EXL61" s="212">
        <f t="shared" si="1490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1"/>
        <v>295</v>
      </c>
      <c r="EXT61" s="212">
        <f t="shared" si="1492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3"/>
        <v>333</v>
      </c>
      <c r="EYB61" s="212">
        <f t="shared" si="1494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5"/>
        <v>0</v>
      </c>
      <c r="EYJ61" s="212">
        <f t="shared" si="1496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497"/>
        <v>0</v>
      </c>
      <c r="EYR61" s="212">
        <f t="shared" si="1498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499"/>
        <v>0</v>
      </c>
      <c r="EYZ61" s="879">
        <f t="shared" si="1500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1"/>
        <v>0</v>
      </c>
      <c r="EZH61" s="879">
        <f t="shared" si="1502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3"/>
        <v>0</v>
      </c>
      <c r="EZP61" s="879">
        <f t="shared" si="1504"/>
        <v>0</v>
      </c>
      <c r="EZQ61" s="459"/>
      <c r="EZR61" s="460"/>
      <c r="EZS61" s="460"/>
      <c r="EZT61" s="460"/>
      <c r="EZU61" s="460"/>
      <c r="EZV61" s="460"/>
      <c r="EZW61" s="878">
        <f t="shared" si="1505"/>
        <v>0</v>
      </c>
      <c r="EZX61" s="879">
        <f t="shared" si="1506"/>
        <v>0</v>
      </c>
    </row>
    <row r="62" spans="1:4080" s="8" customFormat="1" ht="13.5" thickBot="1" x14ac:dyDescent="0.25">
      <c r="A62" s="963" t="s">
        <v>14</v>
      </c>
      <c r="B62" s="963"/>
      <c r="C62" s="963"/>
      <c r="D62" s="469">
        <v>25</v>
      </c>
      <c r="E62" s="225">
        <f>SUM(E30:E57)</f>
        <v>0</v>
      </c>
      <c r="F62" s="225">
        <f t="shared" ref="F62:X62" si="2433">SUM(F30:F57)</f>
        <v>62191</v>
      </c>
      <c r="G62" s="225">
        <f t="shared" si="2433"/>
        <v>0</v>
      </c>
      <c r="H62" s="225">
        <f t="shared" si="2433"/>
        <v>3842</v>
      </c>
      <c r="I62" s="225">
        <f t="shared" si="2433"/>
        <v>0</v>
      </c>
      <c r="J62" s="225">
        <f t="shared" si="2433"/>
        <v>2364</v>
      </c>
      <c r="K62" s="225">
        <f t="shared" si="2433"/>
        <v>0</v>
      </c>
      <c r="L62" s="225">
        <f t="shared" si="2433"/>
        <v>63669</v>
      </c>
      <c r="M62" s="225">
        <f t="shared" si="2433"/>
        <v>63669</v>
      </c>
      <c r="N62" s="225">
        <f t="shared" si="2433"/>
        <v>2374.833333333333</v>
      </c>
      <c r="O62" s="225">
        <f t="shared" si="2433"/>
        <v>209.51629524108256</v>
      </c>
      <c r="P62" s="225">
        <f t="shared" si="2433"/>
        <v>1937.6666666666665</v>
      </c>
      <c r="Q62" s="225">
        <f t="shared" si="2433"/>
        <v>1797.4412800676246</v>
      </c>
      <c r="R62" s="225">
        <f t="shared" si="2433"/>
        <v>2100</v>
      </c>
      <c r="S62" s="225">
        <f t="shared" si="2433"/>
        <v>54600</v>
      </c>
      <c r="T62" s="225">
        <f t="shared" si="2433"/>
        <v>379.57128366207132</v>
      </c>
      <c r="U62" s="225">
        <f t="shared" si="2433"/>
        <v>0</v>
      </c>
      <c r="V62" s="225">
        <f t="shared" si="2433"/>
        <v>379.57128366207132</v>
      </c>
      <c r="W62" s="225" t="e">
        <f t="shared" si="2433"/>
        <v>#DIV/0!</v>
      </c>
      <c r="X62" s="225">
        <f t="shared" si="2433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09"/>
        <v>0</v>
      </c>
      <c r="AWU62" s="53">
        <f t="shared" si="2210"/>
        <v>0</v>
      </c>
      <c r="AWV62" s="50"/>
      <c r="AWW62" s="51"/>
      <c r="AWX62" s="51"/>
      <c r="AWY62" s="51"/>
      <c r="AWZ62" s="51"/>
      <c r="AXA62" s="51"/>
      <c r="AXB62" s="52">
        <f t="shared" si="2211"/>
        <v>0</v>
      </c>
      <c r="AXC62" s="53">
        <f t="shared" si="2212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</row>
    <row r="63" spans="1:4080" s="8" customFormat="1" x14ac:dyDescent="0.2">
      <c r="A63" s="963"/>
      <c r="B63" s="963"/>
      <c r="C63" s="963"/>
      <c r="D63" s="469">
        <v>40</v>
      </c>
      <c r="E63" s="225">
        <f>E60+E61</f>
        <v>0</v>
      </c>
      <c r="F63" s="225">
        <f t="shared" ref="F63:X63" si="2434">F60+F61</f>
        <v>3730</v>
      </c>
      <c r="G63" s="225">
        <f t="shared" si="2434"/>
        <v>0</v>
      </c>
      <c r="H63" s="225">
        <f t="shared" si="2434"/>
        <v>0</v>
      </c>
      <c r="I63" s="225">
        <f t="shared" si="2434"/>
        <v>0</v>
      </c>
      <c r="J63" s="225">
        <f t="shared" si="2434"/>
        <v>0</v>
      </c>
      <c r="K63" s="225">
        <f t="shared" si="2434"/>
        <v>0</v>
      </c>
      <c r="L63" s="225">
        <f t="shared" si="2434"/>
        <v>3730</v>
      </c>
      <c r="M63" s="225">
        <f t="shared" si="2434"/>
        <v>3730</v>
      </c>
      <c r="N63" s="225">
        <f t="shared" si="2434"/>
        <v>16.666666666666668</v>
      </c>
      <c r="O63" s="225">
        <f t="shared" si="2434"/>
        <v>0</v>
      </c>
      <c r="P63" s="225">
        <f t="shared" si="2434"/>
        <v>0</v>
      </c>
      <c r="Q63" s="225">
        <f t="shared" si="2434"/>
        <v>0</v>
      </c>
      <c r="R63" s="225">
        <f t="shared" si="2434"/>
        <v>0</v>
      </c>
      <c r="S63" s="225">
        <f t="shared" si="2434"/>
        <v>0</v>
      </c>
      <c r="T63" s="225">
        <f t="shared" si="2434"/>
        <v>0</v>
      </c>
      <c r="U63" s="225">
        <f t="shared" si="2434"/>
        <v>0</v>
      </c>
      <c r="V63" s="225">
        <f t="shared" si="2434"/>
        <v>0</v>
      </c>
      <c r="W63" s="225">
        <f t="shared" si="2434"/>
        <v>2</v>
      </c>
      <c r="X63" s="225">
        <f t="shared" si="2434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</row>
    <row r="64" spans="1:4080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61">
    <cfRule type="cellIs" dxfId="21" priority="14" operator="greaterThan">
      <formula>25</formula>
    </cfRule>
    <cfRule type="cellIs" dxfId="20" priority="15" operator="lessThan">
      <formula>15</formula>
    </cfRule>
    <cfRule type="cellIs" dxfId="19" priority="16" operator="between">
      <formula>15</formula>
      <formula>25</formula>
    </cfRule>
  </conditionalFormatting>
  <conditionalFormatting sqref="T7:T21 T30:T61">
    <cfRule type="cellIs" dxfId="18" priority="23" operator="between">
      <formula>25</formula>
      <formula>27</formula>
    </cfRule>
    <cfRule type="cellIs" dxfId="17" priority="24" operator="lessThan">
      <formula>25</formula>
    </cfRule>
    <cfRule type="cellIs" dxfId="16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zoomScaleNormal="100" workbookViewId="0">
      <pane xSplit="4" ySplit="1" topLeftCell="E5" activePane="bottomRight" state="frozen"/>
      <selection pane="topRight" activeCell="D1" sqref="D1"/>
      <selection pane="bottomLeft" activeCell="A2" sqref="A2"/>
      <selection pane="bottomRight" activeCell="B8" sqref="B8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20"/>
    </row>
    <row r="2" spans="1:3742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40" t="str">
        <f>HIGRO!X8</f>
        <v>Date(Ngày): 08/05/2026</v>
      </c>
      <c r="X3" s="940"/>
      <c r="Y3" s="20"/>
      <c r="Z3" s="20"/>
      <c r="AB3" s="3"/>
      <c r="AC3" s="4"/>
    </row>
    <row r="4" spans="1:3742" s="5" customFormat="1" ht="24" customHeight="1" thickBot="1" x14ac:dyDescent="0.25">
      <c r="A4" s="1006" t="s">
        <v>271</v>
      </c>
      <c r="B4" s="1007"/>
      <c r="C4" s="1007"/>
      <c r="D4" s="1007"/>
      <c r="E4" s="1007"/>
      <c r="F4" s="1007"/>
      <c r="G4" s="1007"/>
      <c r="H4" s="1007"/>
      <c r="I4" s="1007"/>
      <c r="J4" s="1007"/>
      <c r="K4" s="1007"/>
      <c r="L4" s="1007"/>
      <c r="M4" s="1008"/>
      <c r="N4" s="941" t="s">
        <v>252</v>
      </c>
      <c r="O4" s="942"/>
      <c r="P4" s="958" t="s">
        <v>255</v>
      </c>
      <c r="Q4" s="959"/>
      <c r="R4" s="959"/>
      <c r="S4" s="959"/>
      <c r="T4" s="959"/>
      <c r="U4" s="978" t="s">
        <v>260</v>
      </c>
      <c r="V4" s="981" t="s">
        <v>259</v>
      </c>
      <c r="W4" s="984" t="s">
        <v>265</v>
      </c>
      <c r="X4" s="968" t="s">
        <v>262</v>
      </c>
      <c r="Y4" s="965" t="s">
        <v>1</v>
      </c>
      <c r="Z4" s="966"/>
      <c r="AA4" s="966"/>
      <c r="AB4" s="967"/>
      <c r="AC4" s="995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68" t="s">
        <v>248</v>
      </c>
      <c r="B5" s="981" t="s">
        <v>249</v>
      </c>
      <c r="C5" s="970" t="s">
        <v>250</v>
      </c>
      <c r="D5" s="968" t="s">
        <v>251</v>
      </c>
      <c r="E5" s="987" t="s">
        <v>232</v>
      </c>
      <c r="F5" s="988"/>
      <c r="G5" s="1004" t="s">
        <v>233</v>
      </c>
      <c r="H5" s="1005"/>
      <c r="I5" s="1004" t="s">
        <v>234</v>
      </c>
      <c r="J5" s="1005"/>
      <c r="K5" s="1012" t="s">
        <v>235</v>
      </c>
      <c r="L5" s="1013"/>
      <c r="M5" s="1014"/>
      <c r="N5" s="925" t="s">
        <v>254</v>
      </c>
      <c r="O5" s="925" t="s">
        <v>253</v>
      </c>
      <c r="P5" s="923" t="s">
        <v>256</v>
      </c>
      <c r="Q5" s="923" t="s">
        <v>253</v>
      </c>
      <c r="R5" s="960" t="s">
        <v>257</v>
      </c>
      <c r="S5" s="316"/>
      <c r="T5" s="962" t="s">
        <v>258</v>
      </c>
      <c r="U5" s="979"/>
      <c r="V5" s="982"/>
      <c r="W5" s="985"/>
      <c r="X5" s="969"/>
      <c r="Y5" s="975" t="s">
        <v>10</v>
      </c>
      <c r="Z5" s="975" t="s">
        <v>11</v>
      </c>
      <c r="AA5" s="975" t="s">
        <v>12</v>
      </c>
      <c r="AB5" s="975" t="s">
        <v>18</v>
      </c>
      <c r="AC5" s="995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69"/>
      <c r="B6" s="992"/>
      <c r="C6" s="971"/>
      <c r="D6" s="969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6"/>
      <c r="O6" s="926"/>
      <c r="P6" s="924"/>
      <c r="Q6" s="924"/>
      <c r="R6" s="961"/>
      <c r="S6" s="316"/>
      <c r="T6" s="962"/>
      <c r="U6" s="980"/>
      <c r="V6" s="983"/>
      <c r="W6" s="986"/>
      <c r="X6" s="969"/>
      <c r="Y6" s="976"/>
      <c r="Z6" s="977"/>
      <c r="AA6" s="977"/>
      <c r="AB6" s="977"/>
      <c r="AC6" s="995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1030</v>
      </c>
      <c r="G8" s="475"/>
      <c r="H8" s="475">
        <v>1944</v>
      </c>
      <c r="I8" s="360"/>
      <c r="J8" s="360">
        <f>SUMIF(SUMPK!$B:$B,$B:$B,SUMPK!$O:$O)</f>
        <v>0</v>
      </c>
      <c r="K8" s="24"/>
      <c r="L8" s="24">
        <f t="shared" ref="L8:L9" si="223">F8+H8-J8</f>
        <v>2974</v>
      </c>
      <c r="M8" s="15">
        <f t="shared" si="1"/>
        <v>2974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111.52499999999999</v>
      </c>
      <c r="R8" s="277">
        <f t="shared" ref="R8:R14" si="225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8">SUM(EMQ8:EMV8)</f>
        <v>684</v>
      </c>
      <c r="EMX8" s="873">
        <f t="shared" ref="EMX8:EMX16" si="439">EMW8/$EMX$5</f>
        <v>114</v>
      </c>
    </row>
    <row r="9" spans="1:3742" s="396" customFormat="1" x14ac:dyDescent="0.2">
      <c r="A9" s="391">
        <v>3</v>
      </c>
      <c r="B9" s="21" t="s">
        <v>538</v>
      </c>
      <c r="C9" s="309" t="s">
        <v>537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1424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1424</v>
      </c>
      <c r="M11" s="15">
        <f t="shared" ref="M11:M14" si="1025">K11+L11</f>
        <v>1424</v>
      </c>
      <c r="N11" s="444">
        <v>57</v>
      </c>
      <c r="O11" s="276">
        <f t="shared" si="2"/>
        <v>24.982456140350877</v>
      </c>
      <c r="P11" s="277">
        <f t="shared" si="440"/>
        <v>480</v>
      </c>
      <c r="Q11" s="276">
        <f t="shared" si="3"/>
        <v>17.8</v>
      </c>
      <c r="R11" s="277">
        <f t="shared" si="225"/>
        <v>110.76923076923077</v>
      </c>
      <c r="S11" s="222">
        <v>2880</v>
      </c>
      <c r="T11" s="276">
        <f t="shared" si="4"/>
        <v>12.855555555555554</v>
      </c>
      <c r="U11" s="278"/>
      <c r="V11" s="302">
        <f t="shared" si="5"/>
        <v>12.855555555555554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195"/>
      <c r="EMR11" s="49">
        <v>0</v>
      </c>
      <c r="EMS11" s="49"/>
      <c r="EMT11" s="49"/>
      <c r="EMU11" s="49"/>
      <c r="EMV11" s="49"/>
      <c r="EMW11" s="872">
        <f t="shared" si="438"/>
        <v>0</v>
      </c>
      <c r="EMX11" s="873">
        <f t="shared" si="439"/>
        <v>0</v>
      </c>
    </row>
    <row r="12" spans="1:3742" s="8" customFormat="1" ht="15" customHeight="1" x14ac:dyDescent="0.2">
      <c r="A12" s="391">
        <v>6</v>
      </c>
      <c r="B12" s="297" t="s">
        <v>503</v>
      </c>
      <c r="C12" s="309" t="s">
        <v>440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6">F12+H12-J12</f>
        <v>1954</v>
      </c>
      <c r="M12" s="15">
        <f t="shared" ref="M12:M13" si="1027">K12+L12</f>
        <v>1954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195"/>
      <c r="EMR12" s="49">
        <v>0</v>
      </c>
      <c r="EMS12" s="49"/>
      <c r="EMT12" s="49"/>
      <c r="EMU12" s="49"/>
      <c r="EMV12" s="49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6"/>
        <v>4306</v>
      </c>
      <c r="M13" s="15">
        <f t="shared" si="1027"/>
        <v>4306</v>
      </c>
      <c r="N13" s="444">
        <v>219.16666666666666</v>
      </c>
      <c r="O13" s="276">
        <f t="shared" si="2"/>
        <v>19.647148288973384</v>
      </c>
      <c r="P13" s="277">
        <f t="shared" si="440"/>
        <v>106.66666666666667</v>
      </c>
      <c r="Q13" s="276">
        <f t="shared" si="3"/>
        <v>242.21249999999998</v>
      </c>
      <c r="R13" s="277">
        <f t="shared" si="225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5"/>
        <v>2111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237.48749999999998</v>
      </c>
      <c r="R14" s="277">
        <f t="shared" si="225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8"/>
        <v>651</v>
      </c>
      <c r="EMX14" s="873">
        <f t="shared" si="439"/>
        <v>108.5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1234</v>
      </c>
      <c r="G16" s="24"/>
      <c r="H16" s="24">
        <v>2010</v>
      </c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28"/>
        <v>3244</v>
      </c>
      <c r="N16" s="15">
        <v>115.83333333333333</v>
      </c>
      <c r="O16" s="276">
        <f t="shared" si="2"/>
        <v>28.005755395683455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8"/>
        <v>667</v>
      </c>
      <c r="EMX16" s="879">
        <f t="shared" si="439"/>
        <v>111.16666666666667</v>
      </c>
    </row>
    <row r="17" spans="1:3742" s="8" customFormat="1" ht="15" customHeight="1" thickBot="1" x14ac:dyDescent="0.25">
      <c r="A17" s="996" t="s">
        <v>14</v>
      </c>
      <c r="B17" s="997"/>
      <c r="C17" s="997"/>
      <c r="D17" s="310">
        <v>25</v>
      </c>
      <c r="E17" s="311">
        <f t="shared" ref="E17:N17" si="1612">SUM(E7:E16)</f>
        <v>0</v>
      </c>
      <c r="F17" s="311">
        <f t="shared" si="1612"/>
        <v>19304</v>
      </c>
      <c r="G17" s="311">
        <f t="shared" si="1612"/>
        <v>0</v>
      </c>
      <c r="H17" s="311">
        <f t="shared" si="1612"/>
        <v>3954</v>
      </c>
      <c r="I17" s="311">
        <f t="shared" si="1612"/>
        <v>0</v>
      </c>
      <c r="J17" s="311">
        <f t="shared" si="1612"/>
        <v>0</v>
      </c>
      <c r="K17" s="311">
        <f t="shared" si="1612"/>
        <v>0</v>
      </c>
      <c r="L17" s="311">
        <f t="shared" si="1612"/>
        <v>23258</v>
      </c>
      <c r="M17" s="311">
        <f t="shared" si="1612"/>
        <v>23258</v>
      </c>
      <c r="N17" s="311">
        <f t="shared" si="1612"/>
        <v>939.5</v>
      </c>
      <c r="O17" s="159">
        <f t="shared" si="2"/>
        <v>24.755721128259712</v>
      </c>
      <c r="P17" s="313">
        <f>SUM(P10:P16)</f>
        <v>693.33333333333337</v>
      </c>
      <c r="Q17" s="159">
        <f>IF(P17=0,0,M17/P17*6)</f>
        <v>201.27115384615382</v>
      </c>
      <c r="R17" s="313">
        <f>SUM(R10:R16)</f>
        <v>221.53846153846158</v>
      </c>
      <c r="S17" s="314"/>
      <c r="T17" s="159">
        <f t="shared" si="4"/>
        <v>104.98402777777775</v>
      </c>
      <c r="U17" s="314">
        <f>U6</f>
        <v>0</v>
      </c>
      <c r="V17" s="159">
        <f t="shared" ref="V17" si="1613">IF(R17=0,0,(M17+U17)/R17)</f>
        <v>104.98402777777775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1009" t="s">
        <v>272</v>
      </c>
      <c r="B22" s="1010"/>
      <c r="C22" s="1010"/>
      <c r="D22" s="1010"/>
      <c r="E22" s="1010"/>
      <c r="F22" s="1010"/>
      <c r="G22" s="1010"/>
      <c r="H22" s="1010"/>
      <c r="I22" s="1010"/>
      <c r="J22" s="1010"/>
      <c r="K22" s="1010"/>
      <c r="L22" s="1010"/>
      <c r="M22" s="1011"/>
      <c r="N22" s="941" t="s">
        <v>252</v>
      </c>
      <c r="O22" s="942"/>
      <c r="P22" s="958" t="s">
        <v>255</v>
      </c>
      <c r="Q22" s="959"/>
      <c r="R22" s="959"/>
      <c r="S22" s="959"/>
      <c r="T22" s="959"/>
      <c r="U22" s="978" t="s">
        <v>260</v>
      </c>
      <c r="V22" s="981" t="s">
        <v>259</v>
      </c>
      <c r="W22" s="984" t="s">
        <v>265</v>
      </c>
      <c r="X22" s="968" t="s">
        <v>262</v>
      </c>
      <c r="Y22" s="998" t="s">
        <v>1</v>
      </c>
      <c r="Z22" s="999"/>
      <c r="AA22" s="999"/>
      <c r="AB22" s="1000"/>
      <c r="AC22" s="995" t="s">
        <v>329</v>
      </c>
    </row>
    <row r="23" spans="1:3742" s="97" customFormat="1" ht="27" customHeight="1" thickBot="1" x14ac:dyDescent="0.25">
      <c r="A23" s="968" t="s">
        <v>248</v>
      </c>
      <c r="B23" s="981" t="s">
        <v>249</v>
      </c>
      <c r="C23" s="970" t="s">
        <v>250</v>
      </c>
      <c r="D23" s="968" t="s">
        <v>251</v>
      </c>
      <c r="E23" s="987" t="s">
        <v>232</v>
      </c>
      <c r="F23" s="988"/>
      <c r="G23" s="1004" t="s">
        <v>233</v>
      </c>
      <c r="H23" s="1005"/>
      <c r="I23" s="1004" t="s">
        <v>234</v>
      </c>
      <c r="J23" s="1005"/>
      <c r="K23" s="1012" t="s">
        <v>235</v>
      </c>
      <c r="L23" s="1013"/>
      <c r="M23" s="1014"/>
      <c r="N23" s="925" t="s">
        <v>254</v>
      </c>
      <c r="O23" s="925" t="s">
        <v>253</v>
      </c>
      <c r="P23" s="923" t="s">
        <v>256</v>
      </c>
      <c r="Q23" s="923" t="s">
        <v>253</v>
      </c>
      <c r="R23" s="960" t="s">
        <v>257</v>
      </c>
      <c r="S23" s="316"/>
      <c r="T23" s="962" t="s">
        <v>258</v>
      </c>
      <c r="U23" s="979"/>
      <c r="V23" s="982"/>
      <c r="W23" s="985"/>
      <c r="X23" s="969"/>
      <c r="Y23" s="1001" t="s">
        <v>10</v>
      </c>
      <c r="Z23" s="1001" t="s">
        <v>11</v>
      </c>
      <c r="AA23" s="1001" t="s">
        <v>12</v>
      </c>
      <c r="AB23" s="1001" t="s">
        <v>18</v>
      </c>
      <c r="AC23" s="995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69"/>
      <c r="B24" s="992"/>
      <c r="C24" s="971"/>
      <c r="D24" s="969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26"/>
      <c r="O24" s="926"/>
      <c r="P24" s="924"/>
      <c r="Q24" s="924"/>
      <c r="R24" s="961"/>
      <c r="S24" s="316"/>
      <c r="T24" s="962"/>
      <c r="U24" s="980"/>
      <c r="V24" s="983"/>
      <c r="W24" s="986"/>
      <c r="X24" s="969"/>
      <c r="Y24" s="1002"/>
      <c r="Z24" s="1003"/>
      <c r="AA24" s="1003"/>
      <c r="AB24" s="1003"/>
      <c r="AC24" s="995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195"/>
      <c r="EMR27" s="49"/>
      <c r="EMS27" s="49"/>
      <c r="EMT27" s="49"/>
      <c r="EMU27" s="49"/>
      <c r="EMV27" s="49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195"/>
      <c r="EMR28" s="49"/>
      <c r="EMS28" s="49"/>
      <c r="EMT28" s="49"/>
      <c r="EMU28" s="49"/>
      <c r="EMV28" s="49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196"/>
      <c r="EMR29" s="197"/>
      <c r="EMS29" s="197"/>
      <c r="EMT29" s="197"/>
      <c r="EMU29" s="197"/>
      <c r="EMV29" s="197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996" t="s">
        <v>14</v>
      </c>
      <c r="B30" s="997"/>
      <c r="C30" s="997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5" priority="7" operator="greaterThan">
      <formula>25</formula>
    </cfRule>
    <cfRule type="cellIs" dxfId="14" priority="8" operator="lessThan">
      <formula>15</formula>
    </cfRule>
    <cfRule type="cellIs" dxfId="13" priority="9" operator="between">
      <formula>15</formula>
      <formula>25</formula>
    </cfRule>
  </conditionalFormatting>
  <conditionalFormatting sqref="T25:T29 T7:T16">
    <cfRule type="cellIs" dxfId="12" priority="13" operator="between">
      <formula>25</formula>
      <formula>27</formula>
    </cfRule>
    <cfRule type="cellIs" dxfId="11" priority="14" operator="lessThan">
      <formula>25</formula>
    </cfRule>
    <cfRule type="cellIs" dxfId="10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31" sqref="H31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64" t="s">
        <v>0</v>
      </c>
      <c r="B1" s="964"/>
      <c r="C1" s="964"/>
      <c r="D1" s="964"/>
      <c r="E1" s="964"/>
      <c r="F1" s="964"/>
      <c r="G1" s="964"/>
      <c r="H1" s="964"/>
      <c r="I1" s="964"/>
      <c r="J1" s="964"/>
      <c r="K1" s="964"/>
      <c r="L1" s="964"/>
      <c r="M1" s="964"/>
      <c r="N1" s="964"/>
      <c r="O1" s="964"/>
      <c r="P1" s="964"/>
      <c r="Q1" s="964"/>
      <c r="R1" s="964"/>
      <c r="S1" s="964"/>
      <c r="T1" s="964"/>
      <c r="U1" s="964"/>
      <c r="V1" s="964"/>
      <c r="W1" s="964"/>
      <c r="X1" s="964"/>
      <c r="Y1" s="964"/>
      <c r="Z1" s="964"/>
      <c r="AA1" s="964"/>
      <c r="AB1" s="964"/>
      <c r="AC1" s="23"/>
    </row>
    <row r="2" spans="1:4097" ht="18.75" x14ac:dyDescent="0.2">
      <c r="A2" s="964" t="s">
        <v>229</v>
      </c>
      <c r="B2" s="964"/>
      <c r="C2" s="964"/>
      <c r="D2" s="964"/>
      <c r="E2" s="964"/>
      <c r="F2" s="964"/>
      <c r="G2" s="964"/>
      <c r="H2" s="964"/>
      <c r="I2" s="964"/>
      <c r="J2" s="964"/>
      <c r="K2" s="964"/>
      <c r="L2" s="964"/>
      <c r="M2" s="964"/>
      <c r="N2" s="964"/>
      <c r="O2" s="964"/>
      <c r="P2" s="964"/>
      <c r="Q2" s="964"/>
      <c r="R2" s="964"/>
      <c r="S2" s="964"/>
      <c r="T2" s="964"/>
      <c r="U2" s="964"/>
      <c r="V2" s="964"/>
      <c r="W2" s="964"/>
      <c r="X2" s="964"/>
      <c r="Y2" s="20"/>
      <c r="Z2" s="20"/>
      <c r="AA2" s="20"/>
      <c r="AB2" s="20"/>
      <c r="AC2" s="23"/>
    </row>
    <row r="3" spans="1:4097" ht="18.75" customHeight="1" x14ac:dyDescent="0.2">
      <c r="A3" s="1015" t="s">
        <v>270</v>
      </c>
      <c r="B3" s="1015"/>
      <c r="C3" s="1015"/>
      <c r="D3" s="1015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40" t="str">
        <f>HIGRO!X8</f>
        <v>Date(Ngày): 08/05/2026</v>
      </c>
      <c r="X3" s="940"/>
      <c r="Y3" s="20"/>
      <c r="Z3" s="20"/>
      <c r="AB3" s="3"/>
      <c r="AC3" s="657"/>
    </row>
    <row r="4" spans="1:4097" s="5" customFormat="1" ht="22.5" customHeight="1" x14ac:dyDescent="0.2">
      <c r="A4" s="1016"/>
      <c r="B4" s="1016"/>
      <c r="C4" s="1016"/>
      <c r="D4" s="1016"/>
      <c r="E4" s="605"/>
      <c r="F4" s="605"/>
      <c r="G4" s="605"/>
      <c r="H4" s="605"/>
      <c r="I4" s="605"/>
      <c r="J4" s="605"/>
      <c r="K4" s="605"/>
      <c r="L4" s="605"/>
      <c r="M4" s="605"/>
      <c r="N4" s="1017" t="s">
        <v>252</v>
      </c>
      <c r="O4" s="1018"/>
      <c r="P4" s="1019" t="s">
        <v>255</v>
      </c>
      <c r="Q4" s="1020"/>
      <c r="R4" s="1020"/>
      <c r="S4" s="1020"/>
      <c r="T4" s="1020"/>
      <c r="U4" s="978" t="s">
        <v>260</v>
      </c>
      <c r="V4" s="981" t="s">
        <v>259</v>
      </c>
      <c r="W4" s="984" t="s">
        <v>261</v>
      </c>
      <c r="X4" s="968" t="s">
        <v>262</v>
      </c>
      <c r="Y4" s="965" t="s">
        <v>1</v>
      </c>
      <c r="Z4" s="966"/>
      <c r="AA4" s="966"/>
      <c r="AB4" s="967"/>
      <c r="AC4" s="995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68" t="s">
        <v>248</v>
      </c>
      <c r="B5" s="981" t="s">
        <v>249</v>
      </c>
      <c r="C5" s="970" t="s">
        <v>250</v>
      </c>
      <c r="D5" s="968" t="s">
        <v>251</v>
      </c>
      <c r="E5" s="987" t="s">
        <v>232</v>
      </c>
      <c r="F5" s="988"/>
      <c r="G5" s="1004" t="s">
        <v>233</v>
      </c>
      <c r="H5" s="1005"/>
      <c r="I5" s="1004" t="s">
        <v>234</v>
      </c>
      <c r="J5" s="1005"/>
      <c r="K5" s="1012" t="s">
        <v>235</v>
      </c>
      <c r="L5" s="1013"/>
      <c r="M5" s="1014"/>
      <c r="N5" s="981" t="s">
        <v>254</v>
      </c>
      <c r="O5" s="981" t="s">
        <v>253</v>
      </c>
      <c r="P5" s="1021" t="s">
        <v>256</v>
      </c>
      <c r="Q5" s="1021" t="s">
        <v>253</v>
      </c>
      <c r="R5" s="1023" t="s">
        <v>257</v>
      </c>
      <c r="S5" s="228"/>
      <c r="T5" s="1025" t="s">
        <v>258</v>
      </c>
      <c r="U5" s="979"/>
      <c r="V5" s="982"/>
      <c r="W5" s="985"/>
      <c r="X5" s="969"/>
      <c r="Y5" s="975" t="s">
        <v>10</v>
      </c>
      <c r="Z5" s="975" t="s">
        <v>11</v>
      </c>
      <c r="AA5" s="975" t="s">
        <v>12</v>
      </c>
      <c r="AB5" s="975" t="s">
        <v>18</v>
      </c>
      <c r="AC5" s="995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69"/>
      <c r="B6" s="992"/>
      <c r="C6" s="971"/>
      <c r="D6" s="969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83"/>
      <c r="O6" s="983"/>
      <c r="P6" s="1022"/>
      <c r="Q6" s="1022"/>
      <c r="R6" s="1024"/>
      <c r="S6" s="228"/>
      <c r="T6" s="1025"/>
      <c r="U6" s="980"/>
      <c r="V6" s="983"/>
      <c r="W6" s="986"/>
      <c r="X6" s="969"/>
      <c r="Y6" s="976"/>
      <c r="Z6" s="977"/>
      <c r="AA6" s="977"/>
      <c r="AB6" s="977"/>
      <c r="AC6" s="995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5017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5017</v>
      </c>
      <c r="M7" s="24">
        <f>K7+L7</f>
        <v>5017</v>
      </c>
      <c r="N7" s="15">
        <v>311</v>
      </c>
      <c r="O7" s="276">
        <f t="shared" ref="O7:O23" si="0">IF(N7=0,0,M7/N7)</f>
        <v>16.131832797427652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43.480666666666664</v>
      </c>
      <c r="U7" s="278"/>
      <c r="V7" s="277">
        <f t="shared" ref="V7:V23" si="1">IF(R7=0,0,(M7+U7)/R7)</f>
        <v>43.480666666666664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/>
      <c r="FAK7" s="684"/>
      <c r="FAL7" s="684"/>
      <c r="FAM7" s="684"/>
      <c r="FAN7" s="876">
        <f t="shared" ref="FAN7" si="567">SUM(FAH7:FAM7)</f>
        <v>731</v>
      </c>
      <c r="FAO7" s="877">
        <f>FAN7/$FAO$5</f>
        <v>121.83333333333333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5563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8">F8+H8-J8</f>
        <v>5563</v>
      </c>
      <c r="M8" s="24">
        <f t="shared" ref="M8:M23" si="569">K8+L8</f>
        <v>5563</v>
      </c>
      <c r="N8" s="15">
        <v>156.83333333333334</v>
      </c>
      <c r="O8" s="276">
        <f t="shared" si="0"/>
        <v>35.47077577045696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30.132916666666667</v>
      </c>
      <c r="U8" s="278"/>
      <c r="V8" s="277">
        <f t="shared" si="1"/>
        <v>30.132916666666667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6">SUM(CQS8:CQX8)</f>
        <v>1003</v>
      </c>
      <c r="CQZ8" s="68">
        <f t="shared" ref="CQZ8:CQZ23" si="847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559</v>
      </c>
      <c r="CVP8" s="68">
        <f t="shared" ref="CVP8:CVP23" si="877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5</v>
      </c>
      <c r="DQF8" s="68">
        <f t="shared" ref="DQF8:DQF23" si="1011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1942</v>
      </c>
      <c r="EOG8" s="211">
        <f t="shared" ref="EOG8:EOG23" si="1166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195">
        <v>622</v>
      </c>
      <c r="FAI8" s="49">
        <v>0</v>
      </c>
      <c r="FAJ8" s="49"/>
      <c r="FAK8" s="49"/>
      <c r="FAL8" s="49"/>
      <c r="FAM8" s="49"/>
      <c r="FAN8" s="872">
        <f t="shared" ref="FAN8:FAN23" si="1245">SUM(FAH8:FAM8)</f>
        <v>622</v>
      </c>
      <c r="FAO8" s="873">
        <f t="shared" ref="FAO8:FAO23" si="1246">FAN8/$FAO$5</f>
        <v>103.66666666666667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>
        <v>4895</v>
      </c>
      <c r="I9" s="24"/>
      <c r="J9" s="360">
        <f>SUMIF(SUMPK!$B:$B,$B:$B,SUMPK!$O:$O)</f>
        <v>0</v>
      </c>
      <c r="K9" s="24"/>
      <c r="L9" s="24">
        <f t="shared" si="568"/>
        <v>15878</v>
      </c>
      <c r="M9" s="24">
        <f t="shared" si="569"/>
        <v>15878</v>
      </c>
      <c r="N9" s="15">
        <v>83</v>
      </c>
      <c r="O9" s="276">
        <f t="shared" si="0"/>
        <v>191.3012048192771</v>
      </c>
      <c r="P9" s="15">
        <v>454.16666666666669</v>
      </c>
      <c r="Q9" s="276">
        <f t="shared" si="570"/>
        <v>209.76440366972477</v>
      </c>
      <c r="R9" s="277">
        <f t="shared" si="571"/>
        <v>453.84615384615387</v>
      </c>
      <c r="S9" s="222">
        <v>11800</v>
      </c>
      <c r="T9" s="276">
        <f t="shared" si="572"/>
        <v>34.985423728813558</v>
      </c>
      <c r="U9" s="278"/>
      <c r="V9" s="277">
        <f t="shared" si="1"/>
        <v>34.985423728813558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195">
        <v>0</v>
      </c>
      <c r="FAI9" s="49">
        <v>0</v>
      </c>
      <c r="FAJ9" s="49"/>
      <c r="FAK9" s="49"/>
      <c r="FAL9" s="49"/>
      <c r="FAM9" s="49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1250</v>
      </c>
      <c r="K10" s="24"/>
      <c r="L10" s="24">
        <f t="shared" si="568"/>
        <v>10926</v>
      </c>
      <c r="M10" s="24">
        <f t="shared" si="569"/>
        <v>10926</v>
      </c>
      <c r="N10" s="15">
        <v>538.83333333333337</v>
      </c>
      <c r="O10" s="276">
        <f t="shared" si="0"/>
        <v>20.277141973399317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22.909354838709678</v>
      </c>
      <c r="U10" s="278"/>
      <c r="V10" s="277">
        <f t="shared" si="1"/>
        <v>22.909354838709678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1250</v>
      </c>
      <c r="CQX10" s="49">
        <v>0</v>
      </c>
      <c r="CQY10" s="67">
        <f t="shared" si="846"/>
        <v>3761</v>
      </c>
      <c r="CQZ10" s="68">
        <f t="shared" si="847"/>
        <v>626.83333333333337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1250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11397</v>
      </c>
      <c r="CVP10" s="68">
        <f t="shared" si="877"/>
        <v>1899.5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1250</v>
      </c>
      <c r="DQB10" s="64">
        <v>0</v>
      </c>
      <c r="DQC10" s="64">
        <v>0</v>
      </c>
      <c r="DQD10" s="64">
        <v>0</v>
      </c>
      <c r="DQE10" s="64">
        <f t="shared" si="1010"/>
        <v>3282</v>
      </c>
      <c r="DQF10" s="68">
        <f t="shared" si="1011"/>
        <v>547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1250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5917</v>
      </c>
      <c r="EOG10" s="211">
        <f t="shared" si="1166"/>
        <v>986.16666666666663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195">
        <v>0</v>
      </c>
      <c r="FAI10" s="49">
        <v>0</v>
      </c>
      <c r="FAJ10" s="49"/>
      <c r="FAK10" s="49"/>
      <c r="FAL10" s="49"/>
      <c r="FAM10" s="49"/>
      <c r="FAN10" s="872">
        <f t="shared" si="1245"/>
        <v>0</v>
      </c>
      <c r="FAO10" s="873">
        <f t="shared" si="1246"/>
        <v>0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8525</v>
      </c>
      <c r="G11" s="24"/>
      <c r="H11" s="24"/>
      <c r="I11" s="360"/>
      <c r="J11" s="360">
        <f>SUMIF(SUMPK!$B:$B,$B:$B,SUMPK!$O:$O)</f>
        <v>499</v>
      </c>
      <c r="K11" s="24"/>
      <c r="L11" s="24">
        <f t="shared" si="568"/>
        <v>8026</v>
      </c>
      <c r="M11" s="24">
        <f t="shared" si="569"/>
        <v>8026</v>
      </c>
      <c r="N11" s="15">
        <v>258.5</v>
      </c>
      <c r="O11" s="276">
        <f t="shared" si="0"/>
        <v>31.048355899419729</v>
      </c>
      <c r="P11" s="15">
        <v>449</v>
      </c>
      <c r="Q11" s="276">
        <f t="shared" si="570"/>
        <v>107.25167037861914</v>
      </c>
      <c r="R11" s="277">
        <f t="shared" si="571"/>
        <v>269.23076923076923</v>
      </c>
      <c r="S11" s="222">
        <v>7000</v>
      </c>
      <c r="T11" s="276">
        <f t="shared" si="572"/>
        <v>29.810857142857142</v>
      </c>
      <c r="U11" s="278"/>
      <c r="V11" s="277">
        <f t="shared" si="1"/>
        <v>29.810857142857142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499</v>
      </c>
      <c r="CQX11" s="49">
        <v>1324</v>
      </c>
      <c r="CQY11" s="67">
        <f t="shared" si="846"/>
        <v>2920</v>
      </c>
      <c r="CQZ11" s="68">
        <f t="shared" si="847"/>
        <v>486.66666666666669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499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6338</v>
      </c>
      <c r="CVP11" s="68">
        <f t="shared" si="877"/>
        <v>1056.3333333333333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499</v>
      </c>
      <c r="DQB11" s="64">
        <v>0</v>
      </c>
      <c r="DQC11" s="64">
        <v>1640</v>
      </c>
      <c r="DQD11" s="64">
        <v>0</v>
      </c>
      <c r="DQE11" s="64">
        <f t="shared" si="1010"/>
        <v>3542</v>
      </c>
      <c r="DQF11" s="68">
        <f t="shared" si="1011"/>
        <v>590.33333333333337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499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1314</v>
      </c>
      <c r="EOG11" s="211">
        <f t="shared" si="1166"/>
        <v>219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195">
        <v>0</v>
      </c>
      <c r="FAI11" s="49">
        <v>270</v>
      </c>
      <c r="FAJ11" s="49"/>
      <c r="FAK11" s="49"/>
      <c r="FAL11" s="49"/>
      <c r="FAM11" s="49"/>
      <c r="FAN11" s="872">
        <f t="shared" si="1245"/>
        <v>270</v>
      </c>
      <c r="FAO11" s="873">
        <f t="shared" si="1246"/>
        <v>45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4025</v>
      </c>
      <c r="G12" s="24"/>
      <c r="H12" s="24"/>
      <c r="I12" s="24"/>
      <c r="J12" s="360">
        <f>SUMIF(SUMPK!$B:$B,$B:$B,SUMPK!$O:$O)</f>
        <v>278</v>
      </c>
      <c r="K12" s="24"/>
      <c r="L12" s="24">
        <f t="shared" si="568"/>
        <v>3747</v>
      </c>
      <c r="M12" s="24">
        <f t="shared" si="569"/>
        <v>3747</v>
      </c>
      <c r="N12" s="15">
        <v>53.5</v>
      </c>
      <c r="O12" s="276">
        <f t="shared" si="0"/>
        <v>70.037383177570092</v>
      </c>
      <c r="P12" s="15">
        <v>51.666666666666664</v>
      </c>
      <c r="Q12" s="276">
        <f t="shared" si="570"/>
        <v>435.13548387096779</v>
      </c>
      <c r="R12" s="277">
        <f t="shared" si="571"/>
        <v>69.230769230769226</v>
      </c>
      <c r="S12" s="222">
        <v>1800</v>
      </c>
      <c r="T12" s="276">
        <f t="shared" si="572"/>
        <v>54.123333333333335</v>
      </c>
      <c r="U12" s="278"/>
      <c r="V12" s="277">
        <f t="shared" si="1"/>
        <v>54.123333333333335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278</v>
      </c>
      <c r="CQX12" s="49">
        <v>110</v>
      </c>
      <c r="CQY12" s="67">
        <f t="shared" si="846"/>
        <v>388</v>
      </c>
      <c r="CQZ12" s="68">
        <f t="shared" si="847"/>
        <v>64.666666666666671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278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1965</v>
      </c>
      <c r="CVP12" s="68">
        <f t="shared" si="877"/>
        <v>327.5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278</v>
      </c>
      <c r="DQB12" s="64">
        <v>0</v>
      </c>
      <c r="DQC12" s="64">
        <v>0</v>
      </c>
      <c r="DQD12" s="64">
        <v>0</v>
      </c>
      <c r="DQE12" s="64">
        <f t="shared" si="1010"/>
        <v>278</v>
      </c>
      <c r="DQF12" s="68">
        <f t="shared" si="1011"/>
        <v>46.333333333333336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278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278</v>
      </c>
      <c r="EOG12" s="211">
        <f t="shared" si="1166"/>
        <v>46.333333333333336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195">
        <v>0</v>
      </c>
      <c r="FAI12" s="49">
        <v>0</v>
      </c>
      <c r="FAJ12" s="49"/>
      <c r="FAK12" s="49"/>
      <c r="FAL12" s="49"/>
      <c r="FAM12" s="49"/>
      <c r="FAN12" s="872">
        <f t="shared" si="1245"/>
        <v>0</v>
      </c>
      <c r="FAO12" s="873">
        <f t="shared" si="1246"/>
        <v>0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2269</v>
      </c>
      <c r="G13" s="24"/>
      <c r="H13" s="24"/>
      <c r="I13" s="24"/>
      <c r="J13" s="360">
        <f>SUMIF(SUMPK!$B:$B,$B:$B,SUMPK!$O:$O)</f>
        <v>0</v>
      </c>
      <c r="K13" s="24"/>
      <c r="L13" s="24">
        <f t="shared" si="568"/>
        <v>2269</v>
      </c>
      <c r="M13" s="24">
        <f t="shared" si="569"/>
        <v>2269</v>
      </c>
      <c r="N13" s="15">
        <v>492.83333333333331</v>
      </c>
      <c r="O13" s="276">
        <f t="shared" si="0"/>
        <v>4.6039905309435243</v>
      </c>
      <c r="P13" s="15">
        <v>128</v>
      </c>
      <c r="Q13" s="276">
        <f t="shared" si="570"/>
        <v>106.359375</v>
      </c>
      <c r="R13" s="277">
        <f t="shared" si="571"/>
        <v>230.76923076923077</v>
      </c>
      <c r="S13" s="222">
        <v>6000</v>
      </c>
      <c r="T13" s="276">
        <f t="shared" si="572"/>
        <v>9.8323333333333327</v>
      </c>
      <c r="U13" s="278"/>
      <c r="V13" s="277">
        <f t="shared" si="1"/>
        <v>9.8323333333333327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6"/>
        <v>5258</v>
      </c>
      <c r="CQZ13" s="68">
        <f t="shared" si="847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2703</v>
      </c>
      <c r="CVP13" s="68">
        <f t="shared" si="877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0"/>
        <v>0</v>
      </c>
      <c r="DQF13" s="68">
        <f t="shared" si="1011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2297</v>
      </c>
      <c r="EOG13" s="211">
        <f t="shared" si="1166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195">
        <v>0</v>
      </c>
      <c r="FAI13" s="49">
        <v>0</v>
      </c>
      <c r="FAJ13" s="49"/>
      <c r="FAK13" s="49"/>
      <c r="FAL13" s="49"/>
      <c r="FAM13" s="49"/>
      <c r="FAN13" s="872">
        <f t="shared" si="1245"/>
        <v>0</v>
      </c>
      <c r="FAO13" s="873">
        <f t="shared" si="1246"/>
        <v>0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35391</v>
      </c>
      <c r="G14" s="24"/>
      <c r="H14" s="24"/>
      <c r="I14" s="24"/>
      <c r="J14" s="360">
        <f>SUMIF(SUMPK!$B:$B,$B:$B,SUMPK!$O:$O)</f>
        <v>1060</v>
      </c>
      <c r="K14" s="24"/>
      <c r="L14" s="24">
        <f t="shared" ref="L14" si="1250">F14+H14-J14</f>
        <v>34331</v>
      </c>
      <c r="M14" s="24">
        <f t="shared" ref="M14" si="1251">K14+L14</f>
        <v>34331</v>
      </c>
      <c r="N14" s="15">
        <v>3785.3333333333335</v>
      </c>
      <c r="O14" s="276">
        <f t="shared" si="0"/>
        <v>9.0694786896794639</v>
      </c>
      <c r="P14" s="15">
        <v>1265.1666666666667</v>
      </c>
      <c r="Q14" s="276">
        <f t="shared" si="570"/>
        <v>162.81333157686734</v>
      </c>
      <c r="R14" s="277">
        <f t="shared" si="571"/>
        <v>2930.7692307692309</v>
      </c>
      <c r="S14" s="222">
        <v>76200</v>
      </c>
      <c r="T14" s="276">
        <f t="shared" si="572"/>
        <v>11.713989501312335</v>
      </c>
      <c r="U14" s="278"/>
      <c r="V14" s="277">
        <f t="shared" si="1"/>
        <v>11.713989501312335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1060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16566</v>
      </c>
      <c r="EOG14" s="211">
        <f t="shared" si="1166"/>
        <v>2761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195">
        <v>1526</v>
      </c>
      <c r="FAI14" s="49">
        <v>465</v>
      </c>
      <c r="FAJ14" s="49"/>
      <c r="FAK14" s="49"/>
      <c r="FAL14" s="49"/>
      <c r="FAM14" s="49"/>
      <c r="FAN14" s="872">
        <f t="shared" si="1245"/>
        <v>1991</v>
      </c>
      <c r="FAO14" s="873">
        <f t="shared" si="1246"/>
        <v>331.83333333333331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15652</v>
      </c>
      <c r="G15" s="24"/>
      <c r="H15" s="24"/>
      <c r="I15" s="24"/>
      <c r="J15" s="360">
        <f>SUMIF(SUMPK!$B:$B,$B:$B,SUMPK!$O:$O)</f>
        <v>2349</v>
      </c>
      <c r="K15" s="24"/>
      <c r="L15" s="24">
        <f t="shared" si="568"/>
        <v>13303</v>
      </c>
      <c r="M15" s="24">
        <f t="shared" si="569"/>
        <v>13303</v>
      </c>
      <c r="N15" s="15">
        <v>2046.8333333333333</v>
      </c>
      <c r="O15" s="276">
        <f t="shared" si="0"/>
        <v>6.4993078739516328</v>
      </c>
      <c r="P15" s="15">
        <v>853.16666666666663</v>
      </c>
      <c r="Q15" s="276">
        <f t="shared" si="570"/>
        <v>93.55499120922056</v>
      </c>
      <c r="R15" s="277">
        <f t="shared" si="571"/>
        <v>1776.9230769230769</v>
      </c>
      <c r="S15" s="222">
        <v>46200</v>
      </c>
      <c r="T15" s="276">
        <f t="shared" si="572"/>
        <v>7.4865367965367966</v>
      </c>
      <c r="U15" s="278"/>
      <c r="V15" s="277">
        <f t="shared" si="1"/>
        <v>7.4865367965367966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2349</v>
      </c>
      <c r="CQX15" s="49">
        <v>225</v>
      </c>
      <c r="CQY15" s="67">
        <f t="shared" si="846"/>
        <v>12567</v>
      </c>
      <c r="CQZ15" s="68">
        <f t="shared" si="847"/>
        <v>2094.5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2349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4907</v>
      </c>
      <c r="CVP15" s="68">
        <f t="shared" si="877"/>
        <v>817.83333333333337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2349</v>
      </c>
      <c r="DQB15" s="64">
        <v>6003</v>
      </c>
      <c r="DQC15" s="64">
        <v>0</v>
      </c>
      <c r="DQD15" s="64">
        <v>0</v>
      </c>
      <c r="DQE15" s="64">
        <f t="shared" si="1010"/>
        <v>15905</v>
      </c>
      <c r="DQF15" s="68">
        <f t="shared" si="1011"/>
        <v>2650.8333333333335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2349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13482</v>
      </c>
      <c r="EOG15" s="211">
        <f t="shared" si="1166"/>
        <v>2247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>
        <v>0</v>
      </c>
      <c r="FAI15" s="49">
        <v>2301</v>
      </c>
      <c r="FAJ15" s="49"/>
      <c r="FAK15" s="49"/>
      <c r="FAL15" s="49"/>
      <c r="FAM15" s="49"/>
      <c r="FAN15" s="872">
        <f t="shared" si="1245"/>
        <v>2301</v>
      </c>
      <c r="FAO15" s="873">
        <f t="shared" si="1246"/>
        <v>383.5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16397</v>
      </c>
      <c r="G16" s="24"/>
      <c r="H16" s="24"/>
      <c r="I16" s="24"/>
      <c r="J16" s="360">
        <f>SUMIF(SUMPK!$B:$B,$B:$B,SUMPK!$O:$O)</f>
        <v>0</v>
      </c>
      <c r="K16" s="24"/>
      <c r="L16" s="24">
        <f>F16+H16-J16</f>
        <v>16397</v>
      </c>
      <c r="M16" s="24">
        <f t="shared" si="569"/>
        <v>16397</v>
      </c>
      <c r="N16" s="15">
        <v>2141.5</v>
      </c>
      <c r="O16" s="276">
        <f t="shared" si="0"/>
        <v>7.656782628998366</v>
      </c>
      <c r="P16" s="15">
        <v>869.66666666666663</v>
      </c>
      <c r="Q16" s="276">
        <f t="shared" si="570"/>
        <v>113.12610195477194</v>
      </c>
      <c r="R16" s="277">
        <f t="shared" si="571"/>
        <v>1843.0769230769231</v>
      </c>
      <c r="S16" s="222">
        <v>47920</v>
      </c>
      <c r="T16" s="276">
        <f t="shared" si="572"/>
        <v>8.8965358931552583</v>
      </c>
      <c r="U16" s="278"/>
      <c r="V16" s="277">
        <f t="shared" si="1"/>
        <v>8.8965358931552583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0</v>
      </c>
      <c r="CQX16" s="49">
        <v>1438</v>
      </c>
      <c r="CQY16" s="67">
        <f t="shared" si="846"/>
        <v>7217</v>
      </c>
      <c r="CQZ16" s="68">
        <f t="shared" si="847"/>
        <v>1202.8333333333333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8987</v>
      </c>
      <c r="CVP16" s="68">
        <f t="shared" si="877"/>
        <v>1497.8333333333333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0</v>
      </c>
      <c r="DQB16" s="64">
        <v>6258</v>
      </c>
      <c r="DQC16" s="64">
        <v>2242</v>
      </c>
      <c r="DQD16" s="64">
        <v>549</v>
      </c>
      <c r="DQE16" s="64">
        <f t="shared" si="1010"/>
        <v>9049</v>
      </c>
      <c r="DQF16" s="68">
        <f t="shared" si="1011"/>
        <v>1508.1666666666667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6956</v>
      </c>
      <c r="EOG16" s="211">
        <f t="shared" si="1166"/>
        <v>1159.3333333333333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>
        <v>2598</v>
      </c>
      <c r="FAI16" s="49">
        <v>871</v>
      </c>
      <c r="FAJ16" s="49"/>
      <c r="FAK16" s="49"/>
      <c r="FAL16" s="49"/>
      <c r="FAM16" s="49"/>
      <c r="FAN16" s="872">
        <f t="shared" si="1245"/>
        <v>3469</v>
      </c>
      <c r="FAO16" s="873">
        <f t="shared" si="1246"/>
        <v>578.16666666666663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21578</v>
      </c>
      <c r="G17" s="24"/>
      <c r="H17" s="24">
        <v>8000</v>
      </c>
      <c r="I17" s="24"/>
      <c r="J17" s="360">
        <f>SUMIF(SUMPK!$B:$B,$B:$B,SUMPK!$O:$O)</f>
        <v>9851</v>
      </c>
      <c r="K17" s="24"/>
      <c r="L17" s="24">
        <f>F17+H17-J17</f>
        <v>19727</v>
      </c>
      <c r="M17" s="24">
        <f t="shared" si="569"/>
        <v>19727</v>
      </c>
      <c r="N17" s="15">
        <v>5902.5</v>
      </c>
      <c r="O17" s="276">
        <f t="shared" si="0"/>
        <v>3.3421431596781024</v>
      </c>
      <c r="P17" s="15">
        <v>6584.666666666667</v>
      </c>
      <c r="Q17" s="276">
        <f t="shared" si="570"/>
        <v>17.97539738787081</v>
      </c>
      <c r="R17" s="277">
        <f t="shared" si="571"/>
        <v>7023.0769230769229</v>
      </c>
      <c r="S17" s="222">
        <v>182600</v>
      </c>
      <c r="T17" s="276">
        <f t="shared" si="572"/>
        <v>2.8088828039430451</v>
      </c>
      <c r="U17" s="278"/>
      <c r="V17" s="277">
        <f t="shared" si="1"/>
        <v>2.8088828039430451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9851</v>
      </c>
      <c r="CQX17" s="49">
        <v>1654</v>
      </c>
      <c r="CQY17" s="67">
        <f t="shared" si="846"/>
        <v>25700</v>
      </c>
      <c r="CQZ17" s="68">
        <f t="shared" si="847"/>
        <v>4283.333333333333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9851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26538</v>
      </c>
      <c r="CVP17" s="68">
        <f t="shared" si="877"/>
        <v>4423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9851</v>
      </c>
      <c r="DQB17" s="64">
        <v>13806</v>
      </c>
      <c r="DQC17" s="64">
        <v>11605</v>
      </c>
      <c r="DQD17" s="64">
        <v>6543</v>
      </c>
      <c r="DQE17" s="64">
        <f t="shared" si="1010"/>
        <v>65605</v>
      </c>
      <c r="DQF17" s="68">
        <f t="shared" si="1011"/>
        <v>10934.166666666666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9851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29891</v>
      </c>
      <c r="EOG17" s="211">
        <f t="shared" si="1166"/>
        <v>4981.833333333333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>
        <v>6807</v>
      </c>
      <c r="FAI17" s="49">
        <v>6040</v>
      </c>
      <c r="FAJ17" s="49"/>
      <c r="FAK17" s="49"/>
      <c r="FAL17" s="49"/>
      <c r="FAM17" s="49"/>
      <c r="FAN17" s="872">
        <f t="shared" si="1245"/>
        <v>12847</v>
      </c>
      <c r="FAO17" s="873">
        <f t="shared" si="1246"/>
        <v>2141.1666666666665</v>
      </c>
    </row>
    <row r="18" spans="1:4097" ht="15" customHeight="1" x14ac:dyDescent="0.2">
      <c r="A18" s="21">
        <v>12</v>
      </c>
      <c r="B18" s="21" t="s">
        <v>524</v>
      </c>
      <c r="C18" s="275" t="s">
        <v>517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>
        <v>0</v>
      </c>
      <c r="FAI18" s="49">
        <v>0</v>
      </c>
      <c r="FAJ18" s="49"/>
      <c r="FAK18" s="49"/>
      <c r="FAL18" s="49"/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13003</v>
      </c>
      <c r="G19" s="24"/>
      <c r="H19" s="24">
        <v>8035</v>
      </c>
      <c r="I19" s="24"/>
      <c r="J19" s="360">
        <f>SUMIF(SUMPK!$B:$B,$B:$B,SUMPK!$O:$O)</f>
        <v>7604</v>
      </c>
      <c r="K19" s="24"/>
      <c r="L19" s="24">
        <f t="shared" si="568"/>
        <v>13434</v>
      </c>
      <c r="M19" s="24">
        <f t="shared" si="569"/>
        <v>13434</v>
      </c>
      <c r="N19" s="15">
        <v>5986.666666666667</v>
      </c>
      <c r="O19" s="276">
        <f t="shared" si="0"/>
        <v>2.2439866369710466</v>
      </c>
      <c r="P19" s="15">
        <v>6818.333333333333</v>
      </c>
      <c r="Q19" s="276">
        <f t="shared" si="570"/>
        <v>11.821657296504522</v>
      </c>
      <c r="R19" s="277">
        <f t="shared" si="571"/>
        <v>4876.9230769230771</v>
      </c>
      <c r="S19" s="222">
        <v>126800</v>
      </c>
      <c r="T19" s="276">
        <f t="shared" si="572"/>
        <v>2.7546056782334385</v>
      </c>
      <c r="U19" s="278"/>
      <c r="V19" s="277">
        <f t="shared" si="1"/>
        <v>2.7546056782334385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7604</v>
      </c>
      <c r="CQX19" s="49">
        <v>1747</v>
      </c>
      <c r="CQY19" s="67">
        <f t="shared" si="846"/>
        <v>28299</v>
      </c>
      <c r="CQZ19" s="68">
        <f t="shared" si="847"/>
        <v>4716.5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7604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33064</v>
      </c>
      <c r="CVP19" s="68">
        <f t="shared" si="877"/>
        <v>5510.666666666667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7604</v>
      </c>
      <c r="DQB19" s="64">
        <v>8279</v>
      </c>
      <c r="DQC19" s="64">
        <v>5946</v>
      </c>
      <c r="DQD19" s="64">
        <v>3847</v>
      </c>
      <c r="DQE19" s="64">
        <f t="shared" si="1010"/>
        <v>39395</v>
      </c>
      <c r="DQF19" s="68">
        <f t="shared" si="1011"/>
        <v>6565.833333333333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7604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27451</v>
      </c>
      <c r="EOG19" s="211">
        <f t="shared" si="1166"/>
        <v>4575.166666666667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>
        <v>6661</v>
      </c>
      <c r="FAI19" s="49">
        <v>8764</v>
      </c>
      <c r="FAJ19" s="49"/>
      <c r="FAK19" s="49"/>
      <c r="FAL19" s="49"/>
      <c r="FAM19" s="49"/>
      <c r="FAN19" s="872">
        <f t="shared" si="1245"/>
        <v>15425</v>
      </c>
      <c r="FAO19" s="873">
        <f t="shared" si="1246"/>
        <v>2570.8333333333335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14253</v>
      </c>
      <c r="G20" s="24"/>
      <c r="H20" s="24"/>
      <c r="I20" s="24"/>
      <c r="J20" s="360">
        <f>SUMIF(SUMPK!$B:$B,$B:$B,SUMPK!$O:$O)</f>
        <v>2646</v>
      </c>
      <c r="K20" s="24"/>
      <c r="L20" s="24">
        <f t="shared" ref="L20" si="1256">F20+H20-J20</f>
        <v>11607</v>
      </c>
      <c r="M20" s="24">
        <f t="shared" ref="M20" si="1257">K20+L20</f>
        <v>11607</v>
      </c>
      <c r="N20" s="15">
        <v>1327.3333333333333</v>
      </c>
      <c r="O20" s="276">
        <f t="shared" si="0"/>
        <v>8.7446007031642399</v>
      </c>
      <c r="P20" s="15">
        <v>842.16666666666663</v>
      </c>
      <c r="Q20" s="276">
        <f t="shared" si="570"/>
        <v>82.693845240451225</v>
      </c>
      <c r="R20" s="277">
        <f t="shared" si="571"/>
        <v>1000</v>
      </c>
      <c r="S20" s="222">
        <v>26000</v>
      </c>
      <c r="T20" s="276">
        <f t="shared" si="572"/>
        <v>11.606999999999999</v>
      </c>
      <c r="U20" s="278"/>
      <c r="V20" s="277">
        <f t="shared" si="1"/>
        <v>11.606999999999999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2646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9848</v>
      </c>
      <c r="EOG20" s="211">
        <f t="shared" si="1166"/>
        <v>1641.3333333333333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>
        <v>4380</v>
      </c>
      <c r="FAI20" s="49">
        <v>3428</v>
      </c>
      <c r="FAJ20" s="49"/>
      <c r="FAK20" s="49"/>
      <c r="FAL20" s="49"/>
      <c r="FAM20" s="49"/>
      <c r="FAN20" s="872">
        <f t="shared" si="1245"/>
        <v>7808</v>
      </c>
      <c r="FAO20" s="873">
        <f t="shared" si="1246"/>
        <v>1301.3333333333333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5987</v>
      </c>
      <c r="G21" s="24"/>
      <c r="H21" s="24"/>
      <c r="I21" s="24"/>
      <c r="J21" s="360">
        <f>SUMIF(SUMPK!$B:$B,$B:$B,SUMPK!$O:$O)</f>
        <v>0</v>
      </c>
      <c r="K21" s="24"/>
      <c r="L21" s="24">
        <f t="shared" si="568"/>
        <v>5987</v>
      </c>
      <c r="M21" s="24">
        <f t="shared" si="569"/>
        <v>5987</v>
      </c>
      <c r="N21" s="15">
        <v>560.66666666666663</v>
      </c>
      <c r="O21" s="276">
        <f t="shared" si="0"/>
        <v>10.678359096313912</v>
      </c>
      <c r="P21" s="15">
        <v>572.83333333333337</v>
      </c>
      <c r="Q21" s="276">
        <f t="shared" si="570"/>
        <v>62.709339540296767</v>
      </c>
      <c r="R21" s="277">
        <f t="shared" si="571"/>
        <v>800</v>
      </c>
      <c r="S21" s="222">
        <v>20800</v>
      </c>
      <c r="T21" s="276">
        <f t="shared" si="572"/>
        <v>7.4837499999999997</v>
      </c>
      <c r="U21" s="278"/>
      <c r="V21" s="277">
        <f t="shared" si="1"/>
        <v>7.4837499999999997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6"/>
        <v>3784</v>
      </c>
      <c r="CQZ21" s="68">
        <f t="shared" si="847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4391</v>
      </c>
      <c r="CVP21" s="68">
        <f t="shared" si="877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0"/>
        <v>3584</v>
      </c>
      <c r="DQF21" s="68">
        <f t="shared" si="1011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3395</v>
      </c>
      <c r="EOG21" s="211">
        <f t="shared" si="1166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>
        <v>1673</v>
      </c>
      <c r="FAI21" s="49">
        <v>1672</v>
      </c>
      <c r="FAJ21" s="49"/>
      <c r="FAK21" s="49"/>
      <c r="FAL21" s="49"/>
      <c r="FAM21" s="49"/>
      <c r="FAN21" s="872">
        <f t="shared" si="1245"/>
        <v>3345</v>
      </c>
      <c r="FAO21" s="873">
        <f t="shared" si="1246"/>
        <v>557.5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4073</v>
      </c>
      <c r="G22" s="24"/>
      <c r="H22" s="24"/>
      <c r="I22" s="24"/>
      <c r="J22" s="360">
        <f>SUMIF(SUMPK!$B:$B,$B:$B,SUMPK!$O:$O)</f>
        <v>0</v>
      </c>
      <c r="K22" s="24"/>
      <c r="L22" s="24">
        <f t="shared" si="568"/>
        <v>4073</v>
      </c>
      <c r="M22" s="24">
        <f t="shared" si="569"/>
        <v>4073</v>
      </c>
      <c r="N22" s="15">
        <v>250.5</v>
      </c>
      <c r="O22" s="276">
        <f t="shared" si="0"/>
        <v>16.25948103792415</v>
      </c>
      <c r="P22" s="15">
        <v>199.33333333333334</v>
      </c>
      <c r="Q22" s="276">
        <f t="shared" ref="Q22:Q23" si="1260">IF(P22=0,0,M22/P22*6)</f>
        <v>122.59866220735785</v>
      </c>
      <c r="R22" s="277">
        <f t="shared" si="571"/>
        <v>147.69230769230768</v>
      </c>
      <c r="S22" s="222">
        <v>3840</v>
      </c>
      <c r="T22" s="276">
        <f t="shared" si="572"/>
        <v>27.577604166666671</v>
      </c>
      <c r="U22" s="278"/>
      <c r="V22" s="277">
        <f t="shared" si="1"/>
        <v>27.577604166666671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6"/>
        <v>2265</v>
      </c>
      <c r="CQZ22" s="68">
        <f t="shared" si="847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1612</v>
      </c>
      <c r="CVP22" s="68">
        <f t="shared" si="877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0"/>
        <v>871</v>
      </c>
      <c r="DQF22" s="68">
        <f t="shared" si="1011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1179</v>
      </c>
      <c r="EOG22" s="211">
        <f t="shared" si="1166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>
        <v>98</v>
      </c>
      <c r="FAI22" s="49">
        <v>20</v>
      </c>
      <c r="FAJ22" s="49"/>
      <c r="FAK22" s="49"/>
      <c r="FAL22" s="49"/>
      <c r="FAM22" s="49"/>
      <c r="FAN22" s="872">
        <f t="shared" si="1245"/>
        <v>118</v>
      </c>
      <c r="FAO22" s="873">
        <f t="shared" si="1246"/>
        <v>19.666666666666668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5583</v>
      </c>
      <c r="G23" s="24"/>
      <c r="H23" s="24"/>
      <c r="I23" s="24"/>
      <c r="J23" s="360">
        <f>SUMIF(SUMPK!$B:$B,$B:$B,SUMPK!$O:$O)</f>
        <v>0</v>
      </c>
      <c r="K23" s="24"/>
      <c r="L23" s="24">
        <f t="shared" si="568"/>
        <v>5583</v>
      </c>
      <c r="M23" s="24">
        <f t="shared" si="569"/>
        <v>5583</v>
      </c>
      <c r="N23" s="15">
        <v>445.16666666666669</v>
      </c>
      <c r="O23" s="276">
        <f t="shared" si="0"/>
        <v>12.541370273305878</v>
      </c>
      <c r="P23" s="15">
        <v>843</v>
      </c>
      <c r="Q23" s="276">
        <f t="shared" si="1260"/>
        <v>39.736654804270465</v>
      </c>
      <c r="R23" s="277">
        <f t="shared" si="571"/>
        <v>500</v>
      </c>
      <c r="S23" s="222">
        <v>13000</v>
      </c>
      <c r="T23" s="276">
        <f t="shared" si="572"/>
        <v>11.166</v>
      </c>
      <c r="U23" s="278"/>
      <c r="V23" s="277">
        <f t="shared" si="1"/>
        <v>11.166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0</v>
      </c>
      <c r="CQX23" s="51">
        <v>533</v>
      </c>
      <c r="CQY23" s="69">
        <f t="shared" si="846"/>
        <v>3062</v>
      </c>
      <c r="CQZ23" s="70">
        <f t="shared" si="847"/>
        <v>510.33333333333331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3103</v>
      </c>
      <c r="CVP23" s="70">
        <f t="shared" si="877"/>
        <v>517.16666666666663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0</v>
      </c>
      <c r="DQB23" s="66">
        <v>2614</v>
      </c>
      <c r="DQC23" s="66">
        <v>0</v>
      </c>
      <c r="DQD23" s="66">
        <v>1432</v>
      </c>
      <c r="DQE23" s="66">
        <f t="shared" si="1010"/>
        <v>4325</v>
      </c>
      <c r="DQF23" s="70">
        <f t="shared" si="1011"/>
        <v>720.83333333333337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2338</v>
      </c>
      <c r="EOG23" s="212">
        <f t="shared" si="1166"/>
        <v>389.66666666666669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>
        <v>409</v>
      </c>
      <c r="FAI23" s="197">
        <v>0</v>
      </c>
      <c r="FAJ23" s="197"/>
      <c r="FAK23" s="197"/>
      <c r="FAL23" s="197"/>
      <c r="FAM23" s="197"/>
      <c r="FAN23" s="878">
        <f t="shared" si="1245"/>
        <v>409</v>
      </c>
      <c r="FAO23" s="879">
        <f t="shared" si="1246"/>
        <v>68.166666666666671</v>
      </c>
    </row>
    <row r="24" spans="1:4097" s="8" customFormat="1" ht="30" customHeight="1" x14ac:dyDescent="0.2">
      <c r="A24" s="996" t="s">
        <v>14</v>
      </c>
      <c r="B24" s="997"/>
      <c r="C24" s="997"/>
      <c r="D24" s="319">
        <v>50</v>
      </c>
      <c r="E24" s="622">
        <f>SUM(E7:E23)</f>
        <v>0</v>
      </c>
      <c r="F24" s="622">
        <f>SUM(F7:F23)</f>
        <v>191047</v>
      </c>
      <c r="G24" s="622">
        <f t="shared" ref="G24:U24" si="1266">SUM(G7:G23)</f>
        <v>0</v>
      </c>
      <c r="H24" s="622">
        <f t="shared" si="1266"/>
        <v>20930</v>
      </c>
      <c r="I24" s="622">
        <f t="shared" si="1266"/>
        <v>0</v>
      </c>
      <c r="J24" s="622">
        <f t="shared" si="1266"/>
        <v>25537</v>
      </c>
      <c r="K24" s="622">
        <f t="shared" si="1266"/>
        <v>0</v>
      </c>
      <c r="L24" s="622">
        <f t="shared" si="1266"/>
        <v>186440</v>
      </c>
      <c r="M24" s="622">
        <f t="shared" si="1266"/>
        <v>186440</v>
      </c>
      <c r="N24" s="622">
        <f t="shared" si="1266"/>
        <v>24341.000000000004</v>
      </c>
      <c r="O24" s="622">
        <f t="shared" si="1266"/>
        <v>445.90619506848117</v>
      </c>
      <c r="P24" s="622">
        <f t="shared" si="1266"/>
        <v>19931.166666666664</v>
      </c>
      <c r="Q24" s="622">
        <f t="shared" si="1266"/>
        <v>1565.5409141369232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9" priority="1" operator="greaterThan">
      <formula>25</formula>
    </cfRule>
    <cfRule type="cellIs" dxfId="8" priority="2" operator="lessThan">
      <formula>15</formula>
    </cfRule>
    <cfRule type="cellIs" dxfId="7" priority="3" operator="between">
      <formula>15</formula>
      <formula>25</formula>
    </cfRule>
  </conditionalFormatting>
  <conditionalFormatting sqref="T7:T23">
    <cfRule type="cellIs" dxfId="6" priority="7" operator="between">
      <formula>25</formula>
      <formula>27</formula>
    </cfRule>
    <cfRule type="cellIs" dxfId="5" priority="8" operator="lessThan">
      <formula>25</formula>
    </cfRule>
    <cfRule type="cellIs" dxfId="4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M22" sqref="M22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6" t="s">
        <v>0</v>
      </c>
      <c r="B1" s="1026"/>
      <c r="C1" s="1026"/>
      <c r="D1" s="1026"/>
      <c r="E1" s="1026"/>
      <c r="F1" s="1026"/>
      <c r="G1" s="1026"/>
      <c r="H1" s="1026"/>
      <c r="I1" s="1026"/>
      <c r="J1" s="1026"/>
      <c r="K1" s="1026"/>
    </row>
    <row r="2" spans="1:12" ht="15.75" x14ac:dyDescent="0.25">
      <c r="A2" s="1035" t="s">
        <v>229</v>
      </c>
      <c r="B2" s="1035"/>
      <c r="C2" s="1035"/>
      <c r="D2" s="1035"/>
      <c r="E2" s="1035"/>
      <c r="F2" s="1035"/>
      <c r="G2" s="1035"/>
      <c r="H2" s="1035"/>
      <c r="I2" s="1035"/>
      <c r="J2" s="1035"/>
      <c r="K2" s="1035"/>
    </row>
    <row r="3" spans="1:12" s="18" customFormat="1" ht="21.75" customHeight="1" x14ac:dyDescent="0.2">
      <c r="A3" s="1027" t="s">
        <v>230</v>
      </c>
      <c r="B3" s="1027" t="s">
        <v>231</v>
      </c>
      <c r="C3" s="987" t="s">
        <v>232</v>
      </c>
      <c r="D3" s="988"/>
      <c r="E3" s="1004" t="s">
        <v>233</v>
      </c>
      <c r="F3" s="1005"/>
      <c r="G3" s="1004" t="s">
        <v>234</v>
      </c>
      <c r="H3" s="1005"/>
      <c r="I3" s="1012" t="s">
        <v>235</v>
      </c>
      <c r="J3" s="1013"/>
      <c r="K3" s="1014"/>
    </row>
    <row r="4" spans="1:12" s="18" customFormat="1" ht="38.25" x14ac:dyDescent="0.2">
      <c r="A4" s="1028"/>
      <c r="B4" s="1028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41" t="s">
        <v>306</v>
      </c>
      <c r="B5" s="763">
        <v>5</v>
      </c>
      <c r="C5" s="157">
        <f>HIGRO!E74</f>
        <v>0</v>
      </c>
      <c r="D5" s="157">
        <f>HIGRO!F74</f>
        <v>1270</v>
      </c>
      <c r="E5" s="157">
        <f>HIGRO!G74</f>
        <v>0</v>
      </c>
      <c r="F5" s="157">
        <f>HIGRO!H74</f>
        <v>1500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2770</v>
      </c>
      <c r="K5" s="157">
        <f>HIGRO!M74</f>
        <v>2770</v>
      </c>
      <c r="L5" s="853"/>
    </row>
    <row r="6" spans="1:12" s="1" customFormat="1" ht="15.2" customHeight="1" x14ac:dyDescent="0.2">
      <c r="A6" s="1041"/>
      <c r="B6" s="35">
        <v>25</v>
      </c>
      <c r="C6" s="15">
        <f>HIGRO!E75</f>
        <v>0</v>
      </c>
      <c r="D6" s="15">
        <f>HIGRO!F75</f>
        <v>189203</v>
      </c>
      <c r="E6" s="15">
        <f>HIGRO!G75</f>
        <v>0</v>
      </c>
      <c r="F6" s="15">
        <f>HIGRO!H75</f>
        <v>45790</v>
      </c>
      <c r="G6" s="15">
        <f>HIGRO!I75</f>
        <v>0</v>
      </c>
      <c r="H6" s="15">
        <f>HIGRO!J75</f>
        <v>13753</v>
      </c>
      <c r="I6" s="15">
        <f>HIGRO!K75</f>
        <v>0</v>
      </c>
      <c r="J6" s="15">
        <f>HIGRO!L75</f>
        <v>221240</v>
      </c>
      <c r="K6" s="15">
        <f>HIGRO!M75</f>
        <v>221240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26644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1835</v>
      </c>
      <c r="I7" s="15">
        <f>'CP&amp;STAR'!K22</f>
        <v>0</v>
      </c>
      <c r="J7" s="15">
        <f>'CP&amp;STAR'!L22</f>
        <v>24809</v>
      </c>
      <c r="K7" s="15">
        <f>'CP&amp;STAR'!M22</f>
        <v>24809</v>
      </c>
      <c r="L7" s="853"/>
    </row>
    <row r="8" spans="1:12" s="1" customFormat="1" ht="15.2" customHeight="1" x14ac:dyDescent="0.2">
      <c r="A8" s="1039" t="s">
        <v>308</v>
      </c>
      <c r="B8" s="35">
        <v>25</v>
      </c>
      <c r="C8" s="15">
        <f>'CP&amp;STAR'!E62</f>
        <v>0</v>
      </c>
      <c r="D8" s="15">
        <f>'CP&amp;STAR'!F62</f>
        <v>62191</v>
      </c>
      <c r="E8" s="15">
        <f>'CP&amp;STAR'!G62</f>
        <v>0</v>
      </c>
      <c r="F8" s="15">
        <f>'CP&amp;STAR'!H62</f>
        <v>3842</v>
      </c>
      <c r="G8" s="15">
        <f>'CP&amp;STAR'!I62</f>
        <v>0</v>
      </c>
      <c r="H8" s="15">
        <f>'CP&amp;STAR'!J62</f>
        <v>2364</v>
      </c>
      <c r="I8" s="15">
        <f>'CP&amp;STAR'!K62</f>
        <v>0</v>
      </c>
      <c r="J8" s="15">
        <f>'CP&amp;STAR'!L62</f>
        <v>63669</v>
      </c>
      <c r="K8" s="15">
        <f>'CP&amp;STAR'!M62</f>
        <v>63669</v>
      </c>
      <c r="L8" s="853"/>
    </row>
    <row r="9" spans="1:12" s="1" customFormat="1" ht="15.2" customHeight="1" x14ac:dyDescent="0.2">
      <c r="A9" s="1040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19304</v>
      </c>
      <c r="E11" s="15">
        <f>'NASA &amp; NUVO'!G17</f>
        <v>0</v>
      </c>
      <c r="F11" s="15">
        <f>'NASA &amp; NUVO'!H17</f>
        <v>3954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23258</v>
      </c>
      <c r="K11" s="15">
        <f>'NASA &amp; NUVO'!M17</f>
        <v>23258</v>
      </c>
      <c r="L11" s="853"/>
    </row>
    <row r="12" spans="1:12" s="1" customFormat="1" ht="15.2" customHeight="1" x14ac:dyDescent="0.2">
      <c r="A12" s="35" t="s">
        <v>499</v>
      </c>
      <c r="B12" s="631">
        <v>50</v>
      </c>
      <c r="C12" s="159">
        <f>FARM!E24</f>
        <v>0</v>
      </c>
      <c r="D12" s="159">
        <f>FARM!F24</f>
        <v>191047</v>
      </c>
      <c r="E12" s="159">
        <f>FARM!G24</f>
        <v>0</v>
      </c>
      <c r="F12" s="159">
        <f>FARM!H24</f>
        <v>20930</v>
      </c>
      <c r="G12" s="159">
        <f>FARM!I24</f>
        <v>0</v>
      </c>
      <c r="H12" s="159">
        <f>FARM!J24</f>
        <v>25537</v>
      </c>
      <c r="I12" s="159">
        <f>FARM!K24</f>
        <v>0</v>
      </c>
      <c r="J12" s="159">
        <f>FARM!L24</f>
        <v>186440</v>
      </c>
      <c r="K12" s="159">
        <f>FARM!M24</f>
        <v>186440</v>
      </c>
      <c r="L12" s="853"/>
    </row>
    <row r="13" spans="1:12" s="1" customFormat="1" ht="15.2" customHeight="1" x14ac:dyDescent="0.2">
      <c r="A13" s="1039" t="s">
        <v>17</v>
      </c>
      <c r="B13" s="764">
        <v>5</v>
      </c>
      <c r="C13" s="762">
        <f>C5</f>
        <v>0</v>
      </c>
      <c r="D13" s="762">
        <f>D5</f>
        <v>1270</v>
      </c>
      <c r="E13" s="762">
        <f t="shared" ref="E13:K13" si="0">E5</f>
        <v>0</v>
      </c>
      <c r="F13" s="762">
        <f t="shared" si="0"/>
        <v>1500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2770</v>
      </c>
      <c r="K13" s="762">
        <f t="shared" si="0"/>
        <v>2770</v>
      </c>
      <c r="L13" s="853"/>
    </row>
    <row r="14" spans="1:12" s="149" customFormat="1" ht="15.2" customHeight="1" x14ac:dyDescent="0.2">
      <c r="A14" s="1041"/>
      <c r="B14" s="35">
        <v>25</v>
      </c>
      <c r="C14" s="15">
        <f>C6+C7+C8+C10+C11</f>
        <v>0</v>
      </c>
      <c r="D14" s="15">
        <f>D6+D7+D8+D10+D11</f>
        <v>302272</v>
      </c>
      <c r="E14" s="15">
        <f t="shared" ref="E14:K14" si="1">E6+E7+E8+E10+E11</f>
        <v>0</v>
      </c>
      <c r="F14" s="15">
        <f t="shared" si="1"/>
        <v>53586</v>
      </c>
      <c r="G14" s="15">
        <f t="shared" si="1"/>
        <v>0</v>
      </c>
      <c r="H14" s="15">
        <f t="shared" si="1"/>
        <v>17952</v>
      </c>
      <c r="I14" s="15">
        <f t="shared" si="1"/>
        <v>0</v>
      </c>
      <c r="J14" s="15">
        <f t="shared" si="1"/>
        <v>337906</v>
      </c>
      <c r="K14" s="15">
        <f t="shared" si="1"/>
        <v>337906</v>
      </c>
      <c r="L14" s="853"/>
    </row>
    <row r="15" spans="1:12" s="149" customFormat="1" ht="15.2" hidden="1" customHeight="1" x14ac:dyDescent="0.2">
      <c r="A15" s="1041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41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42"/>
      <c r="B17" s="37">
        <v>50</v>
      </c>
      <c r="C17" s="160">
        <f t="shared" ref="C17:D17" si="3">C12</f>
        <v>0</v>
      </c>
      <c r="D17" s="160">
        <f t="shared" si="3"/>
        <v>191047</v>
      </c>
      <c r="E17" s="160">
        <f t="shared" ref="E17:K17" si="4">E12</f>
        <v>0</v>
      </c>
      <c r="F17" s="160">
        <f t="shared" si="4"/>
        <v>20930</v>
      </c>
      <c r="G17" s="160">
        <f t="shared" si="4"/>
        <v>0</v>
      </c>
      <c r="H17" s="160">
        <f t="shared" si="4"/>
        <v>25537</v>
      </c>
      <c r="I17" s="160">
        <f t="shared" si="4"/>
        <v>0</v>
      </c>
      <c r="J17" s="160">
        <f t="shared" si="4"/>
        <v>186440</v>
      </c>
      <c r="K17" s="160">
        <f t="shared" si="4"/>
        <v>186440</v>
      </c>
      <c r="L17" s="853"/>
    </row>
    <row r="18" spans="1:13" s="149" customFormat="1" ht="27.75" customHeight="1" thickBot="1" x14ac:dyDescent="0.25">
      <c r="A18" s="1031" t="s">
        <v>239</v>
      </c>
      <c r="B18" s="1032"/>
      <c r="C18" s="162">
        <f>C13+C14+C16+C17</f>
        <v>0</v>
      </c>
      <c r="D18" s="162">
        <f t="shared" ref="D18:K18" si="5">D13+D14+D16+D17</f>
        <v>498319</v>
      </c>
      <c r="E18" s="162">
        <f t="shared" si="5"/>
        <v>0</v>
      </c>
      <c r="F18" s="162">
        <f t="shared" si="5"/>
        <v>76016</v>
      </c>
      <c r="G18" s="162">
        <f t="shared" si="5"/>
        <v>0</v>
      </c>
      <c r="H18" s="162">
        <f t="shared" si="5"/>
        <v>43489</v>
      </c>
      <c r="I18" s="162">
        <f t="shared" si="5"/>
        <v>0</v>
      </c>
      <c r="J18" s="162">
        <f t="shared" si="5"/>
        <v>530846</v>
      </c>
      <c r="K18" s="162">
        <f t="shared" si="5"/>
        <v>530846</v>
      </c>
      <c r="L18" s="853"/>
      <c r="M18" s="150"/>
    </row>
    <row r="19" spans="1:13" s="149" customFormat="1" ht="33.75" customHeight="1" thickBot="1" x14ac:dyDescent="0.25">
      <c r="A19" s="1033" t="s">
        <v>240</v>
      </c>
      <c r="B19" s="1034"/>
      <c r="C19" s="1036">
        <f>K18/(G18+H18)</f>
        <v>12.206443008576882</v>
      </c>
      <c r="D19" s="1037"/>
      <c r="E19" s="1037"/>
      <c r="F19" s="1037"/>
      <c r="G19" s="1037"/>
      <c r="H19" s="1037"/>
      <c r="I19" s="1037"/>
      <c r="J19" s="1037"/>
      <c r="K19" s="1038"/>
      <c r="L19" s="150"/>
    </row>
    <row r="20" spans="1:13" s="149" customFormat="1" ht="38.25" customHeight="1" thickBot="1" x14ac:dyDescent="0.25">
      <c r="A20" s="1033" t="s">
        <v>241</v>
      </c>
      <c r="B20" s="1034"/>
      <c r="C20" s="1029">
        <f>K18/F32</f>
        <v>14.468107677470751</v>
      </c>
      <c r="D20" s="1029"/>
      <c r="E20" s="1029"/>
      <c r="F20" s="1029"/>
      <c r="G20" s="1029"/>
      <c r="H20" s="1029"/>
      <c r="I20" s="1029"/>
      <c r="J20" s="1029"/>
      <c r="K20" s="1030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43" t="s">
        <v>266</v>
      </c>
      <c r="E30" s="1044"/>
      <c r="F30" s="1044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abSelected="1" topLeftCell="F72" zoomScale="95" zoomScaleNormal="95" workbookViewId="0">
      <selection activeCell="P88" sqref="P88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490</v>
      </c>
      <c r="L1" s="770" t="s">
        <v>450</v>
      </c>
      <c r="M1" s="770" t="s">
        <v>451</v>
      </c>
      <c r="N1" s="770" t="s">
        <v>360</v>
      </c>
      <c r="O1" s="770" t="s">
        <v>441</v>
      </c>
      <c r="P1" s="770" t="s">
        <v>452</v>
      </c>
      <c r="Q1" s="771" t="s">
        <v>361</v>
      </c>
      <c r="R1" s="770" t="s">
        <v>441</v>
      </c>
      <c r="S1" s="770" t="s">
        <v>362</v>
      </c>
      <c r="T1" s="772" t="s">
        <v>439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1412</v>
      </c>
      <c r="H2" s="776"/>
      <c r="I2" s="900"/>
      <c r="J2" s="900"/>
      <c r="K2" s="901"/>
      <c r="L2" s="778" t="s">
        <v>424</v>
      </c>
      <c r="M2" s="779">
        <v>1412</v>
      </c>
      <c r="N2" s="776" t="s">
        <v>363</v>
      </c>
      <c r="O2" s="779">
        <v>1280</v>
      </c>
      <c r="P2" s="780">
        <v>7665</v>
      </c>
      <c r="Q2" s="781" t="s">
        <v>374</v>
      </c>
      <c r="R2" s="782">
        <v>2240</v>
      </c>
      <c r="S2" s="782">
        <v>-1700</v>
      </c>
      <c r="T2" s="783">
        <v>9.5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900"/>
      <c r="J3" s="900"/>
      <c r="K3" s="901"/>
      <c r="L3" s="778" t="s">
        <v>425</v>
      </c>
      <c r="M3" s="779">
        <v>3798</v>
      </c>
      <c r="N3" s="776" t="s">
        <v>512</v>
      </c>
      <c r="O3" s="779">
        <v>360</v>
      </c>
      <c r="P3" s="780">
        <v>2926</v>
      </c>
      <c r="Q3" s="785" t="s">
        <v>572</v>
      </c>
      <c r="R3" s="782">
        <v>44200</v>
      </c>
      <c r="S3" s="782">
        <v>-30766</v>
      </c>
      <c r="T3" s="783">
        <v>9.5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900"/>
      <c r="J4" s="900"/>
      <c r="K4" s="901"/>
      <c r="L4" s="778" t="s">
        <v>453</v>
      </c>
      <c r="M4" s="779">
        <v>957</v>
      </c>
      <c r="N4" s="776" t="s">
        <v>364</v>
      </c>
      <c r="O4" s="779">
        <v>320</v>
      </c>
      <c r="P4" s="780">
        <v>9608</v>
      </c>
      <c r="Q4" s="781" t="s">
        <v>574</v>
      </c>
      <c r="R4" s="782">
        <v>41000</v>
      </c>
      <c r="S4" s="782">
        <v>-21273</v>
      </c>
      <c r="T4" s="783">
        <v>9.5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3961</v>
      </c>
      <c r="H5" s="776"/>
      <c r="I5" s="900"/>
      <c r="J5" s="900"/>
      <c r="K5" s="901"/>
      <c r="L5" s="778" t="s">
        <v>426</v>
      </c>
      <c r="M5" s="779">
        <v>3961</v>
      </c>
      <c r="N5" s="776" t="s">
        <v>500</v>
      </c>
      <c r="O5" s="779">
        <v>2000</v>
      </c>
      <c r="P5" s="780">
        <v>32331</v>
      </c>
      <c r="Q5" s="781" t="s">
        <v>384</v>
      </c>
      <c r="R5" s="782">
        <v>2240</v>
      </c>
      <c r="S5" s="782">
        <v>-1081</v>
      </c>
      <c r="T5" s="783">
        <v>9.5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900"/>
      <c r="J6" s="900"/>
      <c r="K6" s="901"/>
      <c r="L6" s="778" t="s">
        <v>454</v>
      </c>
      <c r="M6" s="779">
        <v>1739</v>
      </c>
      <c r="N6" s="776" t="s">
        <v>365</v>
      </c>
      <c r="O6" s="779">
        <v>8400</v>
      </c>
      <c r="P6" s="780">
        <v>25931</v>
      </c>
      <c r="Q6" s="785" t="s">
        <v>388</v>
      </c>
      <c r="R6" s="782">
        <v>11800</v>
      </c>
      <c r="S6" s="782">
        <v>-193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443</v>
      </c>
      <c r="F7" s="776"/>
      <c r="G7" s="777">
        <f>_xlfn.XLOOKUP(E7,HIGRO!$C$1:$C$500,HIGRO!$M$1:$M$500)</f>
        <v>3297</v>
      </c>
      <c r="H7" s="776"/>
      <c r="I7" s="900"/>
      <c r="J7" s="900"/>
      <c r="K7" s="900"/>
      <c r="L7" s="778" t="s">
        <v>449</v>
      </c>
      <c r="M7" s="779">
        <v>3297</v>
      </c>
      <c r="N7" s="776" t="s">
        <v>366</v>
      </c>
      <c r="O7" s="779">
        <v>960</v>
      </c>
      <c r="P7" s="780">
        <v>8122</v>
      </c>
      <c r="Q7" s="781" t="s">
        <v>401</v>
      </c>
      <c r="R7" s="782">
        <v>4400</v>
      </c>
      <c r="S7" s="782">
        <v>-299</v>
      </c>
      <c r="T7" s="783">
        <v>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2913</v>
      </c>
      <c r="H8" s="776"/>
      <c r="I8" s="900"/>
      <c r="J8" s="900"/>
      <c r="K8" s="900"/>
      <c r="L8" s="778" t="s">
        <v>405</v>
      </c>
      <c r="M8" s="779">
        <v>2913</v>
      </c>
      <c r="N8" s="776" t="s">
        <v>472</v>
      </c>
      <c r="O8" s="779">
        <v>640</v>
      </c>
      <c r="P8" s="780">
        <v>1314</v>
      </c>
      <c r="Q8" s="786" t="s">
        <v>405</v>
      </c>
      <c r="R8" s="782">
        <v>3360</v>
      </c>
      <c r="S8" s="782">
        <v>-447</v>
      </c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1425</v>
      </c>
      <c r="H9" s="776"/>
      <c r="I9" s="900"/>
      <c r="J9" s="900"/>
      <c r="K9" s="900"/>
      <c r="L9" s="778" t="s">
        <v>455</v>
      </c>
      <c r="M9" s="779">
        <v>1425</v>
      </c>
      <c r="N9" s="776" t="s">
        <v>367</v>
      </c>
      <c r="O9" s="779">
        <v>1600</v>
      </c>
      <c r="P9" s="780">
        <v>1564</v>
      </c>
      <c r="Q9" s="781" t="s">
        <v>580</v>
      </c>
      <c r="R9" s="782">
        <v>640</v>
      </c>
      <c r="S9" s="782">
        <v>-275</v>
      </c>
      <c r="T9" s="783">
        <v>9.5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900"/>
      <c r="J10" s="900"/>
      <c r="K10" s="900"/>
      <c r="L10" s="778" t="s">
        <v>411</v>
      </c>
      <c r="M10" s="779">
        <v>1874</v>
      </c>
      <c r="N10" s="776" t="s">
        <v>368</v>
      </c>
      <c r="O10" s="779">
        <v>320</v>
      </c>
      <c r="P10" s="780">
        <v>824</v>
      </c>
      <c r="Q10" s="781" t="s">
        <v>420</v>
      </c>
      <c r="R10" s="782">
        <v>2400</v>
      </c>
      <c r="S10" s="782">
        <v>-1344</v>
      </c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900"/>
      <c r="J11" s="900"/>
      <c r="K11" s="900"/>
      <c r="L11" s="778" t="s">
        <v>406</v>
      </c>
      <c r="M11" s="779">
        <v>1413</v>
      </c>
      <c r="N11" s="776" t="s">
        <v>532</v>
      </c>
      <c r="O11" s="779">
        <v>640</v>
      </c>
      <c r="P11" s="780">
        <v>750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8000</v>
      </c>
      <c r="H12" s="776"/>
      <c r="I12" s="900"/>
      <c r="J12" s="900"/>
      <c r="K12" s="900"/>
      <c r="L12" s="778" t="s">
        <v>409</v>
      </c>
      <c r="M12" s="779">
        <v>8000</v>
      </c>
      <c r="N12" s="776" t="s">
        <v>445</v>
      </c>
      <c r="O12" s="779">
        <v>480</v>
      </c>
      <c r="P12" s="780">
        <v>12823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900"/>
      <c r="J13" s="900"/>
      <c r="K13" s="900"/>
      <c r="L13" s="778" t="s">
        <v>446</v>
      </c>
      <c r="M13" s="779">
        <v>838</v>
      </c>
      <c r="N13" s="776" t="s">
        <v>501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900"/>
      <c r="J14" s="900"/>
      <c r="K14" s="900"/>
      <c r="L14" s="778" t="s">
        <v>412</v>
      </c>
      <c r="M14" s="779">
        <v>3133</v>
      </c>
      <c r="N14" s="776" t="s">
        <v>369</v>
      </c>
      <c r="O14" s="779">
        <v>5400</v>
      </c>
      <c r="P14" s="780">
        <v>7903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900"/>
      <c r="J15" s="900"/>
      <c r="K15" s="900"/>
      <c r="L15" s="778" t="s">
        <v>456</v>
      </c>
      <c r="M15" s="779">
        <v>3185</v>
      </c>
      <c r="N15" s="776" t="s">
        <v>370</v>
      </c>
      <c r="O15" s="779">
        <v>320</v>
      </c>
      <c r="P15" s="780">
        <v>5030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900"/>
      <c r="J16" s="900"/>
      <c r="K16" s="900"/>
      <c r="L16" s="778" t="s">
        <v>457</v>
      </c>
      <c r="M16" s="779">
        <v>2614</v>
      </c>
      <c r="N16" s="776" t="s">
        <v>571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900"/>
      <c r="J17" s="900"/>
      <c r="K17" s="900"/>
      <c r="L17" s="778" t="s">
        <v>447</v>
      </c>
      <c r="M17" s="779">
        <v>491</v>
      </c>
      <c r="N17" s="776" t="s">
        <v>371</v>
      </c>
      <c r="O17" s="779">
        <v>5800</v>
      </c>
      <c r="P17" s="780">
        <v>10597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900"/>
      <c r="J18" s="900"/>
      <c r="K18" s="900"/>
      <c r="L18" s="778" t="s">
        <v>491</v>
      </c>
      <c r="M18" s="779">
        <v>131</v>
      </c>
      <c r="N18" s="776" t="s">
        <v>502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365</v>
      </c>
      <c r="H19" s="776"/>
      <c r="I19" s="900"/>
      <c r="J19" s="900"/>
      <c r="K19" s="900"/>
      <c r="L19" s="778" t="s">
        <v>492</v>
      </c>
      <c r="M19" s="779">
        <v>365</v>
      </c>
      <c r="N19" s="776" t="s">
        <v>505</v>
      </c>
      <c r="O19" s="779">
        <v>1680</v>
      </c>
      <c r="P19" s="780">
        <v>14717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900"/>
      <c r="J20" s="900"/>
      <c r="K20" s="900"/>
      <c r="L20" s="778" t="s">
        <v>448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900"/>
      <c r="J21" s="900"/>
      <c r="K21" s="900"/>
      <c r="L21" s="778" t="s">
        <v>493</v>
      </c>
      <c r="M21" s="779">
        <v>2952</v>
      </c>
      <c r="N21" s="776" t="s">
        <v>372</v>
      </c>
      <c r="O21" s="779">
        <v>1920</v>
      </c>
      <c r="P21" s="780">
        <v>5062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10428</v>
      </c>
      <c r="H22" s="776"/>
      <c r="I22" s="900"/>
      <c r="J22" s="900"/>
      <c r="K22" s="900"/>
      <c r="L22" s="778" t="s">
        <v>413</v>
      </c>
      <c r="M22" s="779">
        <v>10428</v>
      </c>
      <c r="N22" s="776" t="s">
        <v>374</v>
      </c>
      <c r="O22" s="779">
        <v>2240</v>
      </c>
      <c r="P22" s="780">
        <v>-1700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900"/>
      <c r="J23" s="900"/>
      <c r="K23" s="900"/>
      <c r="L23" s="778" t="s">
        <v>413</v>
      </c>
      <c r="M23" s="779">
        <v>4924</v>
      </c>
      <c r="N23" s="776" t="s">
        <v>375</v>
      </c>
      <c r="O23" s="779">
        <v>7000</v>
      </c>
      <c r="P23" s="780">
        <v>6243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900"/>
      <c r="J24" s="900"/>
      <c r="K24" s="900"/>
      <c r="L24" s="778" t="s">
        <v>458</v>
      </c>
      <c r="M24" s="779">
        <v>3621</v>
      </c>
      <c r="N24" s="776" t="s">
        <v>376</v>
      </c>
      <c r="O24" s="779">
        <v>800</v>
      </c>
      <c r="P24" s="780">
        <v>2804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900"/>
      <c r="J25" s="900"/>
      <c r="K25" s="900"/>
      <c r="L25" s="778" t="s">
        <v>423</v>
      </c>
      <c r="M25" s="779">
        <v>2524</v>
      </c>
      <c r="N25" s="776" t="s">
        <v>462</v>
      </c>
      <c r="O25" s="779">
        <v>1200</v>
      </c>
      <c r="P25" s="780">
        <v>200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900"/>
      <c r="J26" s="900"/>
      <c r="K26" s="900"/>
      <c r="L26" s="778" t="s">
        <v>415</v>
      </c>
      <c r="M26" s="779">
        <v>2806</v>
      </c>
      <c r="N26" s="776" t="s">
        <v>572</v>
      </c>
      <c r="O26" s="779">
        <v>44200</v>
      </c>
      <c r="P26" s="780">
        <v>-30766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2806</v>
      </c>
      <c r="H27" s="776"/>
      <c r="I27" s="900"/>
      <c r="J27" s="900"/>
      <c r="K27" s="900"/>
      <c r="L27" s="778" t="s">
        <v>418</v>
      </c>
      <c r="M27" s="779">
        <v>4473</v>
      </c>
      <c r="N27" s="776" t="s">
        <v>438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900"/>
      <c r="J28" s="900"/>
      <c r="K28" s="900"/>
      <c r="L28" s="778" t="s">
        <v>364</v>
      </c>
      <c r="M28" s="779">
        <v>9928</v>
      </c>
      <c r="N28" s="776" t="s">
        <v>378</v>
      </c>
      <c r="O28" s="779">
        <v>320</v>
      </c>
      <c r="P28" s="780">
        <v>660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9928</v>
      </c>
      <c r="H29" s="776"/>
      <c r="I29" s="900"/>
      <c r="J29" s="900"/>
      <c r="K29" s="900"/>
      <c r="L29" s="778" t="s">
        <v>512</v>
      </c>
      <c r="M29" s="779">
        <v>3286</v>
      </c>
      <c r="N29" s="776" t="s">
        <v>379</v>
      </c>
      <c r="O29" s="779">
        <v>960</v>
      </c>
      <c r="P29" s="780">
        <v>1043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529</v>
      </c>
      <c r="F30" s="852"/>
      <c r="G30" s="777">
        <f>_xlfn.XLOOKUP(E30,HIGRO!$C$1:$C$500,HIGRO!$M$1:$M$500)</f>
        <v>3286</v>
      </c>
      <c r="H30" s="776"/>
      <c r="I30" s="900"/>
      <c r="J30" s="900"/>
      <c r="K30" s="900"/>
      <c r="L30" s="778" t="s">
        <v>549</v>
      </c>
      <c r="M30" s="779">
        <v>8945</v>
      </c>
      <c r="N30" s="776" t="s">
        <v>380</v>
      </c>
      <c r="O30" s="779">
        <v>6400</v>
      </c>
      <c r="P30" s="780">
        <v>18531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8945</v>
      </c>
      <c r="H31" s="776"/>
      <c r="I31" s="900"/>
      <c r="J31" s="900"/>
      <c r="K31" s="900"/>
      <c r="L31" s="778" t="s">
        <v>367</v>
      </c>
      <c r="M31" s="779">
        <v>3164</v>
      </c>
      <c r="N31" s="776" t="s">
        <v>381</v>
      </c>
      <c r="O31" s="779">
        <v>800</v>
      </c>
      <c r="P31" s="780">
        <v>3058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3164</v>
      </c>
      <c r="H32" s="776"/>
      <c r="I32" s="900"/>
      <c r="J32" s="900"/>
      <c r="K32" s="900"/>
      <c r="L32" s="778" t="s">
        <v>532</v>
      </c>
      <c r="M32" s="779">
        <v>1390</v>
      </c>
      <c r="N32" s="776" t="s">
        <v>382</v>
      </c>
      <c r="O32" s="779">
        <v>480</v>
      </c>
      <c r="P32" s="780">
        <v>1612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530</v>
      </c>
      <c r="F33" s="852"/>
      <c r="G33" s="777">
        <f>_xlfn.XLOOKUP(E33,HIGRO!$C$1:$C$500,HIGRO!$M$1:$M$500)</f>
        <v>1390</v>
      </c>
      <c r="H33" s="776"/>
      <c r="I33" s="900"/>
      <c r="J33" s="900"/>
      <c r="K33" s="900"/>
      <c r="L33" s="778" t="s">
        <v>550</v>
      </c>
      <c r="M33" s="779">
        <v>9082</v>
      </c>
      <c r="N33" s="776" t="s">
        <v>573</v>
      </c>
      <c r="O33" s="779">
        <v>2600</v>
      </c>
      <c r="P33" s="780">
        <v>17127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0</v>
      </c>
      <c r="H34" s="776"/>
      <c r="I34" s="900"/>
      <c r="J34" s="900"/>
      <c r="K34" s="900"/>
      <c r="L34" s="778" t="s">
        <v>370</v>
      </c>
      <c r="M34" s="779">
        <v>5350</v>
      </c>
      <c r="N34" s="776" t="s">
        <v>574</v>
      </c>
      <c r="O34" s="779">
        <v>41000</v>
      </c>
      <c r="P34" s="780">
        <v>-21273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9082</v>
      </c>
      <c r="H35" s="776"/>
      <c r="I35" s="900"/>
      <c r="J35" s="900"/>
      <c r="K35" s="900"/>
      <c r="L35" s="778" t="s">
        <v>514</v>
      </c>
      <c r="M35" s="779">
        <v>1927</v>
      </c>
      <c r="N35" s="776" t="s">
        <v>384</v>
      </c>
      <c r="O35" s="779">
        <v>2240</v>
      </c>
      <c r="P35" s="780">
        <v>-1081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5350</v>
      </c>
      <c r="H36" s="776"/>
      <c r="I36" s="900"/>
      <c r="J36" s="900"/>
      <c r="K36" s="900"/>
      <c r="L36" s="778" t="s">
        <v>380</v>
      </c>
      <c r="M36" s="779">
        <v>24931</v>
      </c>
      <c r="N36" s="776" t="s">
        <v>385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531</v>
      </c>
      <c r="F37" s="852"/>
      <c r="G37" s="777">
        <f>_xlfn.XLOOKUP(E37,HIGRO!$C$1:$C$500,HIGRO!$M$1:$M$500)</f>
        <v>1927</v>
      </c>
      <c r="H37" s="776"/>
      <c r="I37" s="900"/>
      <c r="J37" s="900"/>
      <c r="K37" s="900"/>
      <c r="L37" s="778" t="s">
        <v>378</v>
      </c>
      <c r="M37" s="779">
        <v>980</v>
      </c>
      <c r="N37" s="776" t="s">
        <v>525</v>
      </c>
      <c r="O37" s="779">
        <v>640</v>
      </c>
      <c r="P37" s="780">
        <v>9932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24931</v>
      </c>
      <c r="H38" s="776"/>
      <c r="I38" s="900"/>
      <c r="J38" s="900"/>
      <c r="K38" s="900"/>
      <c r="L38" s="778" t="s">
        <v>551</v>
      </c>
      <c r="M38" s="779">
        <v>2003</v>
      </c>
      <c r="N38" s="776" t="s">
        <v>386</v>
      </c>
      <c r="O38" s="779">
        <v>4800</v>
      </c>
      <c r="P38" s="780">
        <v>6853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900"/>
      <c r="J39" s="900"/>
      <c r="K39" s="900"/>
      <c r="L39" s="778" t="s">
        <v>384</v>
      </c>
      <c r="M39" s="779">
        <v>1159</v>
      </c>
      <c r="N39" s="776" t="s">
        <v>388</v>
      </c>
      <c r="O39" s="779">
        <v>11800</v>
      </c>
      <c r="P39" s="780">
        <v>-193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900"/>
      <c r="J40" s="900"/>
      <c r="K40" s="900"/>
      <c r="L40" s="778" t="s">
        <v>385</v>
      </c>
      <c r="M40" s="779">
        <v>3805</v>
      </c>
      <c r="N40" s="776" t="s">
        <v>389</v>
      </c>
      <c r="O40" s="779">
        <v>2200</v>
      </c>
      <c r="P40" s="780">
        <v>4662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1159</v>
      </c>
      <c r="H41" s="776"/>
      <c r="I41" s="900"/>
      <c r="J41" s="900"/>
      <c r="K41" s="900"/>
      <c r="L41" s="778" t="s">
        <v>375</v>
      </c>
      <c r="M41" s="779">
        <v>13243</v>
      </c>
      <c r="N41" s="776" t="s">
        <v>390</v>
      </c>
      <c r="O41" s="779">
        <v>1000</v>
      </c>
      <c r="P41" s="780">
        <v>279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900"/>
      <c r="J42" s="900"/>
      <c r="K42" s="900"/>
      <c r="L42" s="778" t="s">
        <v>554</v>
      </c>
      <c r="M42" s="779">
        <v>540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13243</v>
      </c>
      <c r="H43" s="776"/>
      <c r="I43" s="900"/>
      <c r="J43" s="900"/>
      <c r="K43" s="900"/>
      <c r="L43" s="778" t="s">
        <v>372</v>
      </c>
      <c r="M43" s="779">
        <v>6982</v>
      </c>
      <c r="N43" s="776" t="s">
        <v>393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540</v>
      </c>
      <c r="H44" s="776"/>
      <c r="I44" s="900"/>
      <c r="J44" s="900"/>
      <c r="K44" s="900"/>
      <c r="L44" s="778" t="s">
        <v>389</v>
      </c>
      <c r="M44" s="779">
        <v>6862</v>
      </c>
      <c r="N44" s="776" t="s">
        <v>575</v>
      </c>
      <c r="O44" s="779">
        <v>3700</v>
      </c>
      <c r="P44" s="780">
        <v>2287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6982</v>
      </c>
      <c r="H45" s="776"/>
      <c r="I45" s="900"/>
      <c r="J45" s="900"/>
      <c r="K45" s="900"/>
      <c r="L45" s="778" t="s">
        <v>386</v>
      </c>
      <c r="M45" s="779">
        <v>11653</v>
      </c>
      <c r="N45" s="776" t="s">
        <v>395</v>
      </c>
      <c r="O45" s="779">
        <v>4800</v>
      </c>
      <c r="P45" s="780">
        <v>5806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6862</v>
      </c>
      <c r="H46" s="776"/>
      <c r="I46" s="900"/>
      <c r="J46" s="900"/>
      <c r="K46" s="900"/>
      <c r="L46" s="778" t="s">
        <v>494</v>
      </c>
      <c r="M46" s="779">
        <v>1238</v>
      </c>
      <c r="N46" s="776" t="s">
        <v>396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11653</v>
      </c>
      <c r="H47" s="776"/>
      <c r="I47" s="900"/>
      <c r="J47" s="900"/>
      <c r="K47" s="900"/>
      <c r="L47" s="778" t="s">
        <v>392</v>
      </c>
      <c r="M47" s="779">
        <v>1720</v>
      </c>
      <c r="N47" s="776" t="s">
        <v>397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900"/>
      <c r="J48" s="900"/>
      <c r="K48" s="900"/>
      <c r="L48" s="778" t="s">
        <v>393</v>
      </c>
      <c r="M48" s="779">
        <v>2070</v>
      </c>
      <c r="N48" s="776" t="s">
        <v>576</v>
      </c>
      <c r="O48" s="779">
        <v>1280</v>
      </c>
      <c r="P48" s="780">
        <v>2793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1720</v>
      </c>
      <c r="H49" s="776"/>
      <c r="I49" s="900"/>
      <c r="J49" s="900"/>
      <c r="K49" s="900"/>
      <c r="L49" s="778" t="s">
        <v>395</v>
      </c>
      <c r="M49" s="779">
        <v>10606</v>
      </c>
      <c r="N49" s="776" t="s">
        <v>399</v>
      </c>
      <c r="O49" s="779">
        <v>1120</v>
      </c>
      <c r="P49" s="780">
        <v>1835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2070</v>
      </c>
      <c r="H50" s="776"/>
      <c r="I50" s="900"/>
      <c r="J50" s="900"/>
      <c r="K50" s="900"/>
      <c r="L50" s="778" t="s">
        <v>399</v>
      </c>
      <c r="M50" s="779">
        <v>2955</v>
      </c>
      <c r="N50" s="776" t="s">
        <v>400</v>
      </c>
      <c r="O50" s="779">
        <v>160</v>
      </c>
      <c r="P50" s="780">
        <v>829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10606</v>
      </c>
      <c r="H51" s="776"/>
      <c r="I51" s="900"/>
      <c r="J51" s="900"/>
      <c r="K51" s="900"/>
      <c r="L51" s="778" t="s">
        <v>401</v>
      </c>
      <c r="M51" s="779">
        <v>4101</v>
      </c>
      <c r="N51" s="776" t="s">
        <v>401</v>
      </c>
      <c r="O51" s="779">
        <v>4400</v>
      </c>
      <c r="P51" s="780">
        <v>-299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2955</v>
      </c>
      <c r="H52" s="776"/>
      <c r="I52" s="900"/>
      <c r="J52" s="900"/>
      <c r="K52" s="900"/>
      <c r="L52" s="778" t="s">
        <v>459</v>
      </c>
      <c r="M52" s="779">
        <v>2000</v>
      </c>
      <c r="N52" s="776" t="s">
        <v>402</v>
      </c>
      <c r="O52" s="779">
        <v>200</v>
      </c>
      <c r="P52" s="780">
        <v>910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4101</v>
      </c>
      <c r="H53" s="776"/>
      <c r="I53" s="900"/>
      <c r="J53" s="900"/>
      <c r="K53" s="900"/>
      <c r="L53" s="778" t="s">
        <v>511</v>
      </c>
      <c r="M53" s="779">
        <v>961</v>
      </c>
      <c r="N53" s="776" t="s">
        <v>403</v>
      </c>
      <c r="O53" s="779">
        <v>80</v>
      </c>
      <c r="P53" s="780">
        <v>665</v>
      </c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510</v>
      </c>
      <c r="F54" s="776"/>
      <c r="G54" s="777">
        <f>_xlfn.XLOOKUP(E54,HIGRO!$C$1:$C$500,HIGRO!$M$1:$M$500)</f>
        <v>2000</v>
      </c>
      <c r="H54" s="776"/>
      <c r="I54" s="900"/>
      <c r="J54" s="900"/>
      <c r="K54" s="900"/>
      <c r="L54" s="778" t="s">
        <v>368</v>
      </c>
      <c r="M54" s="779">
        <v>1144</v>
      </c>
      <c r="N54" s="776" t="s">
        <v>577</v>
      </c>
      <c r="O54" s="779">
        <v>1400</v>
      </c>
      <c r="P54" s="780">
        <v>4183</v>
      </c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2372</v>
      </c>
      <c r="H55" s="776"/>
      <c r="I55" s="900"/>
      <c r="J55" s="900"/>
      <c r="K55" s="900"/>
      <c r="L55" s="778" t="s">
        <v>381</v>
      </c>
      <c r="M55" s="779">
        <v>3858</v>
      </c>
      <c r="N55" s="776" t="s">
        <v>578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900"/>
      <c r="J56" s="900"/>
      <c r="K56" s="900"/>
      <c r="L56" s="778" t="s">
        <v>376</v>
      </c>
      <c r="M56" s="779">
        <v>3604</v>
      </c>
      <c r="N56" s="776" t="s">
        <v>170</v>
      </c>
      <c r="O56" s="779"/>
      <c r="P56" s="780"/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900"/>
      <c r="J57" s="900"/>
      <c r="K57" s="900"/>
      <c r="L57" s="778" t="s">
        <v>373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495</v>
      </c>
      <c r="F58" s="776"/>
      <c r="G58" s="777"/>
      <c r="H58" s="776"/>
      <c r="I58" s="900"/>
      <c r="J58" s="900"/>
      <c r="K58" s="900"/>
      <c r="L58" s="778" t="s">
        <v>390</v>
      </c>
      <c r="M58" s="779">
        <v>1279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900"/>
      <c r="J59" s="900"/>
      <c r="K59" s="900"/>
      <c r="L59" s="778" t="s">
        <v>387</v>
      </c>
      <c r="M59" s="779">
        <v>1404</v>
      </c>
      <c r="N59" s="776" t="s">
        <v>405</v>
      </c>
      <c r="O59" s="779">
        <v>3360</v>
      </c>
      <c r="P59" s="780">
        <v>-447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1171</v>
      </c>
      <c r="H60" s="776"/>
      <c r="I60" s="900"/>
      <c r="J60" s="900"/>
      <c r="K60" s="900"/>
      <c r="L60" s="778" t="s">
        <v>396</v>
      </c>
      <c r="M60" s="779">
        <v>1913</v>
      </c>
      <c r="N60" s="776" t="s">
        <v>455</v>
      </c>
      <c r="O60" s="779">
        <v>320</v>
      </c>
      <c r="P60" s="780">
        <v>1105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2240</v>
      </c>
      <c r="H61" s="776"/>
      <c r="I61" s="900"/>
      <c r="J61" s="900"/>
      <c r="K61" s="900"/>
      <c r="L61" s="778" t="s">
        <v>400</v>
      </c>
      <c r="M61" s="779">
        <v>989</v>
      </c>
      <c r="N61" s="776" t="s">
        <v>506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900"/>
      <c r="J62" s="900"/>
      <c r="K62" s="900"/>
      <c r="L62" s="778" t="s">
        <v>402</v>
      </c>
      <c r="M62" s="779">
        <v>1110</v>
      </c>
      <c r="N62" s="776" t="s">
        <v>406</v>
      </c>
      <c r="O62" s="779">
        <v>320</v>
      </c>
      <c r="P62" s="780">
        <v>1093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900"/>
      <c r="J63" s="900"/>
      <c r="K63" s="900"/>
      <c r="L63" s="778" t="s">
        <v>431</v>
      </c>
      <c r="M63" s="779">
        <v>731</v>
      </c>
      <c r="N63" s="776" t="s">
        <v>579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3858</v>
      </c>
      <c r="H64" s="776"/>
      <c r="I64" s="900"/>
      <c r="J64" s="900"/>
      <c r="K64" s="900"/>
      <c r="L64" s="778" t="s">
        <v>436</v>
      </c>
      <c r="M64" s="779">
        <v>1140</v>
      </c>
      <c r="N64" s="776" t="s">
        <v>457</v>
      </c>
      <c r="O64" s="779">
        <v>1280</v>
      </c>
      <c r="P64" s="780">
        <v>1334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3604</v>
      </c>
      <c r="H65" s="776"/>
      <c r="I65" s="900"/>
      <c r="J65" s="900"/>
      <c r="K65" s="900"/>
      <c r="L65" s="778" t="s">
        <v>428</v>
      </c>
      <c r="M65" s="779">
        <v>3015</v>
      </c>
      <c r="N65" s="776" t="s">
        <v>507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900"/>
      <c r="J66" s="900"/>
      <c r="K66" s="900"/>
      <c r="L66" s="778" t="s">
        <v>429</v>
      </c>
      <c r="M66" s="779">
        <v>3178</v>
      </c>
      <c r="N66" s="776" t="s">
        <v>470</v>
      </c>
      <c r="O66" s="779">
        <v>640</v>
      </c>
      <c r="P66" s="780">
        <v>3360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1279</v>
      </c>
      <c r="H67" s="776"/>
      <c r="I67" s="900"/>
      <c r="J67" s="900"/>
      <c r="K67" s="900"/>
      <c r="L67" s="778" t="s">
        <v>460</v>
      </c>
      <c r="M67" s="779">
        <v>2276</v>
      </c>
      <c r="N67" s="776" t="s">
        <v>408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900"/>
      <c r="J68" s="900"/>
      <c r="K68" s="900"/>
      <c r="L68" s="778" t="s">
        <v>461</v>
      </c>
      <c r="M68" s="779">
        <v>285</v>
      </c>
      <c r="N68" s="776" t="s">
        <v>409</v>
      </c>
      <c r="O68" s="779">
        <v>6400</v>
      </c>
      <c r="P68" s="780">
        <v>1600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1913</v>
      </c>
      <c r="H69" s="776" t="s">
        <v>496</v>
      </c>
      <c r="I69" s="900"/>
      <c r="J69" s="900"/>
      <c r="K69" s="900"/>
      <c r="L69" s="791" t="s">
        <v>382</v>
      </c>
      <c r="M69" s="779">
        <v>2092</v>
      </c>
      <c r="N69" s="776" t="s">
        <v>410</v>
      </c>
      <c r="O69" s="779">
        <v>3200</v>
      </c>
      <c r="P69" s="780">
        <v>7726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900"/>
      <c r="J70" s="900"/>
      <c r="K70" s="900"/>
      <c r="L70" s="791" t="s">
        <v>462</v>
      </c>
      <c r="M70" s="779">
        <v>1400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1110</v>
      </c>
      <c r="L71" s="778" t="s">
        <v>463</v>
      </c>
      <c r="M71" s="779">
        <v>3315</v>
      </c>
      <c r="N71" s="776" t="s">
        <v>446</v>
      </c>
      <c r="O71" s="779">
        <v>320</v>
      </c>
      <c r="P71" s="780">
        <v>518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391</v>
      </c>
      <c r="M72" s="779">
        <v>2106</v>
      </c>
      <c r="N72" s="776" t="s">
        <v>411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900"/>
      <c r="J73" s="900"/>
      <c r="K73" s="900"/>
      <c r="L73" s="778" t="s">
        <v>464</v>
      </c>
      <c r="M73" s="779">
        <v>1212</v>
      </c>
      <c r="N73" s="776" t="s">
        <v>412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3015</v>
      </c>
      <c r="H74" s="776"/>
      <c r="I74" s="900"/>
      <c r="J74" s="900"/>
      <c r="K74" s="900"/>
      <c r="L74" s="778" t="s">
        <v>397</v>
      </c>
      <c r="M74" s="779">
        <v>750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3178</v>
      </c>
      <c r="H75" s="776"/>
      <c r="I75" s="900"/>
      <c r="J75" s="900"/>
      <c r="K75" s="900"/>
      <c r="L75" s="778" t="s">
        <v>465</v>
      </c>
      <c r="M75" s="779">
        <v>982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900"/>
      <c r="J76" s="900"/>
      <c r="K76" s="900"/>
      <c r="L76" s="778" t="s">
        <v>403</v>
      </c>
      <c r="M76" s="779">
        <v>745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900"/>
      <c r="J77" s="900"/>
      <c r="K77" s="900"/>
      <c r="L77" s="778" t="s">
        <v>416</v>
      </c>
      <c r="M77" s="779">
        <v>2635</v>
      </c>
      <c r="N77" s="776" t="s">
        <v>580</v>
      </c>
      <c r="O77" s="779">
        <v>640</v>
      </c>
      <c r="P77" s="780">
        <v>-275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900"/>
      <c r="J78" s="900"/>
      <c r="K78" s="900"/>
      <c r="L78" s="778" t="s">
        <v>420</v>
      </c>
      <c r="M78" s="779">
        <v>1056</v>
      </c>
      <c r="N78" s="776" t="s">
        <v>483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285</v>
      </c>
      <c r="H79" s="776"/>
      <c r="I79" s="900"/>
      <c r="J79" s="900"/>
      <c r="K79" s="900"/>
      <c r="L79" s="778" t="s">
        <v>414</v>
      </c>
      <c r="M79" s="779">
        <v>8024</v>
      </c>
      <c r="N79" s="776" t="s">
        <v>413</v>
      </c>
      <c r="O79" s="779">
        <v>1280</v>
      </c>
      <c r="P79" s="780">
        <v>9148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2092</v>
      </c>
      <c r="H80" s="776"/>
      <c r="I80" s="900"/>
      <c r="J80" s="900"/>
      <c r="K80" s="900"/>
      <c r="L80" s="778" t="s">
        <v>414</v>
      </c>
      <c r="M80" s="779">
        <v>3207</v>
      </c>
      <c r="N80" s="776" t="s">
        <v>413</v>
      </c>
      <c r="O80" s="779">
        <v>4000</v>
      </c>
      <c r="P80" s="780">
        <v>6428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1400</v>
      </c>
      <c r="H81" s="776"/>
      <c r="I81" s="900"/>
      <c r="J81" s="900"/>
      <c r="K81" s="900"/>
      <c r="L81" s="778" t="s">
        <v>466</v>
      </c>
      <c r="M81" s="779">
        <v>6217</v>
      </c>
      <c r="N81" s="776" t="s">
        <v>581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900"/>
      <c r="J82" s="900"/>
      <c r="K82" s="900"/>
      <c r="L82" s="778" t="s">
        <v>467</v>
      </c>
      <c r="M82" s="779">
        <v>2088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900"/>
      <c r="J83" s="900"/>
      <c r="K83" s="900"/>
      <c r="L83" s="778" t="s">
        <v>513</v>
      </c>
      <c r="M83" s="779">
        <v>370</v>
      </c>
      <c r="N83" s="776" t="s">
        <v>415</v>
      </c>
      <c r="O83" s="779">
        <v>400</v>
      </c>
      <c r="P83" s="780">
        <v>2406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900"/>
      <c r="J84" s="900"/>
      <c r="K84" s="900"/>
      <c r="L84" s="778" t="s">
        <v>468</v>
      </c>
      <c r="M84" s="779">
        <v>1403</v>
      </c>
      <c r="N84" s="776" t="s">
        <v>416</v>
      </c>
      <c r="O84" s="779">
        <v>560</v>
      </c>
      <c r="P84" s="780">
        <v>2075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750</v>
      </c>
      <c r="H85" s="776"/>
      <c r="I85" s="900"/>
      <c r="J85" s="900"/>
      <c r="K85" s="900"/>
      <c r="L85" s="778" t="s">
        <v>468</v>
      </c>
      <c r="M85" s="779">
        <v>1000</v>
      </c>
      <c r="N85" s="776" t="s">
        <v>417</v>
      </c>
      <c r="O85" s="779">
        <v>480</v>
      </c>
      <c r="P85" s="780">
        <v>3267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900"/>
      <c r="J86" s="900"/>
      <c r="K86" s="900"/>
      <c r="L86" s="778" t="s">
        <v>545</v>
      </c>
      <c r="M86" s="779">
        <v>2010</v>
      </c>
      <c r="N86" s="776" t="s">
        <v>418</v>
      </c>
      <c r="O86" s="779">
        <v>800</v>
      </c>
      <c r="P86" s="780">
        <v>3673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745</v>
      </c>
      <c r="H87" s="776"/>
      <c r="I87" s="900"/>
      <c r="J87" s="900"/>
      <c r="K87" s="900"/>
      <c r="L87" s="778" t="s">
        <v>469</v>
      </c>
      <c r="M87" s="779">
        <v>2305</v>
      </c>
      <c r="N87" s="776" t="s">
        <v>419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900"/>
      <c r="J88" s="900"/>
      <c r="K88" s="900"/>
      <c r="L88" s="778" t="s">
        <v>469</v>
      </c>
      <c r="M88" s="779">
        <v>2174</v>
      </c>
      <c r="N88" s="776" t="s">
        <v>420</v>
      </c>
      <c r="O88" s="779">
        <v>2400</v>
      </c>
      <c r="P88" s="780">
        <v>-1344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1056</v>
      </c>
      <c r="H89" s="776"/>
      <c r="I89" s="900"/>
      <c r="J89" s="900"/>
      <c r="K89" s="900"/>
      <c r="L89" s="778" t="s">
        <v>470</v>
      </c>
      <c r="M89" s="779">
        <v>4000</v>
      </c>
      <c r="N89" s="776" t="s">
        <v>421</v>
      </c>
      <c r="O89" s="779">
        <v>1280</v>
      </c>
      <c r="P89" s="780">
        <v>989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8024</v>
      </c>
      <c r="H90" s="776"/>
      <c r="I90" s="900"/>
      <c r="J90" s="900"/>
      <c r="K90" s="900"/>
      <c r="L90" s="778" t="s">
        <v>408</v>
      </c>
      <c r="M90" s="779">
        <v>5824</v>
      </c>
      <c r="N90" s="776" t="s">
        <v>422</v>
      </c>
      <c r="O90" s="779">
        <v>2600</v>
      </c>
      <c r="P90" s="780">
        <v>5426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900"/>
      <c r="J91" s="900"/>
      <c r="K91" s="900"/>
      <c r="L91" s="791" t="s">
        <v>570</v>
      </c>
      <c r="M91" s="779">
        <v>1946</v>
      </c>
      <c r="N91" s="776" t="s">
        <v>423</v>
      </c>
      <c r="O91" s="779">
        <v>16</v>
      </c>
      <c r="P91" s="780">
        <v>2508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546</v>
      </c>
      <c r="M92" s="779">
        <v>2965</v>
      </c>
      <c r="N92" s="776" t="s">
        <v>582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2088</v>
      </c>
      <c r="L93" s="778" t="s">
        <v>539</v>
      </c>
      <c r="M93" s="779">
        <v>1960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370</v>
      </c>
      <c r="H94" s="776"/>
      <c r="I94" s="902"/>
      <c r="J94" s="903"/>
      <c r="K94" s="904"/>
      <c r="L94" s="778" t="s">
        <v>483</v>
      </c>
      <c r="M94" s="779">
        <v>1662</v>
      </c>
      <c r="N94" s="776" t="s">
        <v>424</v>
      </c>
      <c r="O94" s="779">
        <v>960</v>
      </c>
      <c r="P94" s="780">
        <v>452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905"/>
      <c r="J95" s="906"/>
      <c r="K95" s="907"/>
      <c r="L95" s="778" t="s">
        <v>471</v>
      </c>
      <c r="M95" s="779">
        <v>1424</v>
      </c>
      <c r="N95" s="776" t="s">
        <v>449</v>
      </c>
      <c r="O95" s="779">
        <v>960</v>
      </c>
      <c r="P95" s="780">
        <v>2337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905"/>
      <c r="J96" s="906"/>
      <c r="K96" s="907"/>
      <c r="L96" s="778" t="s">
        <v>472</v>
      </c>
      <c r="M96" s="779">
        <v>1954</v>
      </c>
      <c r="N96" s="776" t="s">
        <v>425</v>
      </c>
      <c r="O96" s="779">
        <v>960</v>
      </c>
      <c r="P96" s="780">
        <v>2838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905"/>
      <c r="J97" s="906"/>
      <c r="K97" s="907"/>
      <c r="L97" s="778" t="s">
        <v>438</v>
      </c>
      <c r="M97" s="779">
        <v>4306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905"/>
      <c r="J98" s="906"/>
      <c r="K98" s="907"/>
      <c r="L98" s="778" t="s">
        <v>473</v>
      </c>
      <c r="M98" s="779">
        <v>2111</v>
      </c>
      <c r="N98" s="776" t="s">
        <v>426</v>
      </c>
      <c r="O98" s="779">
        <v>640</v>
      </c>
      <c r="P98" s="780">
        <v>3321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2174</v>
      </c>
      <c r="H99" s="776"/>
      <c r="I99" s="905"/>
      <c r="J99" s="906"/>
      <c r="K99" s="907"/>
      <c r="L99" s="778" t="s">
        <v>474</v>
      </c>
      <c r="M99" s="779">
        <v>658</v>
      </c>
      <c r="N99" s="776" t="s">
        <v>427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905"/>
      <c r="J100" s="906"/>
      <c r="K100" s="907"/>
      <c r="L100" s="778" t="s">
        <v>435</v>
      </c>
      <c r="M100" s="779">
        <v>3244</v>
      </c>
      <c r="N100" s="776" t="s">
        <v>428</v>
      </c>
      <c r="O100" s="779">
        <v>320</v>
      </c>
      <c r="P100" s="780">
        <v>2695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905"/>
      <c r="J101" s="906"/>
      <c r="K101" s="907"/>
      <c r="L101" s="778" t="s">
        <v>504</v>
      </c>
      <c r="M101" s="779">
        <v>80</v>
      </c>
      <c r="N101" s="776" t="s">
        <v>429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566</v>
      </c>
      <c r="F102" s="776"/>
      <c r="G102" s="777">
        <f>_xlfn.XLOOKUP(E102,'CP&amp;STAR'!$C$1:$C$500, 'CP&amp;STAR'!$M$1:$M$500)</f>
        <v>1946</v>
      </c>
      <c r="H102" s="776"/>
      <c r="I102" s="905"/>
      <c r="J102" s="906"/>
      <c r="K102" s="907"/>
      <c r="L102" s="778" t="s">
        <v>475</v>
      </c>
      <c r="M102" s="779">
        <v>2170</v>
      </c>
      <c r="N102" s="776" t="s">
        <v>570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567</v>
      </c>
      <c r="F103" s="776"/>
      <c r="G103" s="777">
        <f>_xlfn.XLOOKUP(E103,'CP&amp;STAR'!$C$1:$C$500, 'CP&amp;STAR'!$M$1:$M$500)</f>
        <v>1938</v>
      </c>
      <c r="H103" s="776"/>
      <c r="I103" s="905"/>
      <c r="J103" s="906"/>
      <c r="K103" s="907"/>
      <c r="L103" s="778" t="s">
        <v>476</v>
      </c>
      <c r="M103" s="779">
        <v>2529</v>
      </c>
      <c r="N103" s="776" t="s">
        <v>430</v>
      </c>
      <c r="O103" s="779">
        <v>160</v>
      </c>
      <c r="P103" s="780" t="e">
        <v>#N/A</v>
      </c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535</v>
      </c>
      <c r="F104" s="776"/>
      <c r="G104" s="777">
        <f>_xlfn.XLOOKUP(E104,'CP&amp;STAR'!$C$1:$C$500, 'CP&amp;STAR'!$M$1:$M$500)</f>
        <v>1700</v>
      </c>
      <c r="H104" s="776"/>
      <c r="I104" s="905"/>
      <c r="J104" s="906"/>
      <c r="K104" s="907"/>
      <c r="L104" s="778" t="s">
        <v>477</v>
      </c>
      <c r="M104" s="779">
        <v>96</v>
      </c>
      <c r="N104" s="776" t="s">
        <v>431</v>
      </c>
      <c r="O104" s="779">
        <v>160</v>
      </c>
      <c r="P104" s="780">
        <v>571</v>
      </c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536</v>
      </c>
      <c r="F105" s="776"/>
      <c r="G105" s="777">
        <f>_xlfn.XLOOKUP(E105,'CP&amp;STAR'!$C$1:$C$500, 'CP&amp;STAR'!$M$1:$M$500)</f>
        <v>2030</v>
      </c>
      <c r="H105" s="776"/>
      <c r="I105" s="905"/>
      <c r="J105" s="906"/>
      <c r="K105" s="907"/>
      <c r="L105" s="778" t="s">
        <v>478</v>
      </c>
      <c r="M105" s="779">
        <v>55</v>
      </c>
      <c r="N105" s="776" t="s">
        <v>432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497</v>
      </c>
      <c r="F106" s="776"/>
      <c r="G106" s="777"/>
      <c r="H106" s="776"/>
      <c r="I106" s="905"/>
      <c r="J106" s="906"/>
      <c r="K106" s="907"/>
      <c r="L106" s="778" t="s">
        <v>479</v>
      </c>
      <c r="M106" s="779">
        <v>5017</v>
      </c>
      <c r="N106" s="776" t="s">
        <v>433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688425</v>
      </c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2965</v>
      </c>
      <c r="H107" s="776"/>
      <c r="I107" s="905"/>
      <c r="J107" s="906"/>
      <c r="K107" s="907"/>
      <c r="L107" s="778" t="s">
        <v>480</v>
      </c>
      <c r="M107" s="779">
        <v>5563</v>
      </c>
      <c r="N107" s="776" t="s">
        <v>434</v>
      </c>
      <c r="O107" s="779">
        <v>640</v>
      </c>
      <c r="P107" s="780" t="e">
        <v>#N/A</v>
      </c>
      <c r="Q107" s="787"/>
      <c r="R107" s="788"/>
      <c r="S107" s="788"/>
    </row>
    <row r="108" spans="1:19" x14ac:dyDescent="0.2"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630" t="s">
        <v>198</v>
      </c>
      <c r="F108" s="776"/>
      <c r="G108" s="777">
        <f>_xlfn.XLOOKUP(E108,'NASA &amp; NUVO'!$C$1:$C$500,'NASA &amp; NUVO'!$M$1:$M$500)</f>
        <v>2974</v>
      </c>
      <c r="H108" s="776"/>
      <c r="I108" s="905"/>
      <c r="J108" s="906"/>
      <c r="K108" s="907"/>
      <c r="L108" s="778" t="s">
        <v>407</v>
      </c>
      <c r="M108" s="779">
        <v>15878</v>
      </c>
      <c r="N108" s="776" t="s">
        <v>435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691125</v>
      </c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868" t="s">
        <v>537</v>
      </c>
      <c r="F109" s="776"/>
      <c r="G109" s="777">
        <f>_xlfn.XLOOKUP(E109,'NASA &amp; NUVO'!$C$1:$C$500,'NASA &amp; NUVO'!$M$1:$M$500)</f>
        <v>1960</v>
      </c>
      <c r="H109" s="776"/>
      <c r="I109" s="905"/>
      <c r="J109" s="906"/>
      <c r="K109" s="907"/>
      <c r="L109" s="778" t="s">
        <v>410</v>
      </c>
      <c r="M109" s="779">
        <v>10926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1662</v>
      </c>
      <c r="H110" s="776"/>
      <c r="I110" s="905"/>
      <c r="J110" s="906"/>
      <c r="K110" s="907"/>
      <c r="L110" s="778" t="s">
        <v>422</v>
      </c>
      <c r="M110" s="779">
        <v>8026</v>
      </c>
      <c r="N110" s="776" t="s">
        <v>474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9" t="s">
        <v>200</v>
      </c>
      <c r="F111" s="776"/>
      <c r="G111" s="777">
        <f>_xlfn.XLOOKUP(E111,'NASA &amp; NUVO'!$C$1:$C$500,'NASA &amp; NUVO'!$M$1:$M$500)</f>
        <v>1424</v>
      </c>
      <c r="H111" s="776"/>
      <c r="I111" s="905"/>
      <c r="J111" s="906"/>
      <c r="K111" s="907"/>
      <c r="L111" s="778" t="s">
        <v>417</v>
      </c>
      <c r="M111" s="779">
        <v>3747</v>
      </c>
      <c r="N111" s="776" t="s">
        <v>436</v>
      </c>
      <c r="O111" s="779">
        <v>200</v>
      </c>
      <c r="P111" s="780">
        <v>940</v>
      </c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440</v>
      </c>
      <c r="F112" s="776"/>
      <c r="G112" s="777">
        <f>_xlfn.XLOOKUP(E112,'NASA &amp; NUVO'!$C$1:$C$500,'NASA &amp; NUVO'!$M$1:$M$500)</f>
        <v>1954</v>
      </c>
      <c r="H112" s="776"/>
      <c r="I112" s="905"/>
      <c r="J112" s="906"/>
      <c r="K112" s="907"/>
      <c r="L112" s="778" t="s">
        <v>421</v>
      </c>
      <c r="M112" s="779">
        <v>2269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905"/>
      <c r="J113" s="906"/>
      <c r="K113" s="907"/>
      <c r="L113" s="778" t="s">
        <v>437</v>
      </c>
      <c r="M113" s="779">
        <v>34331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2111</v>
      </c>
      <c r="H114" s="789">
        <v>3.5</v>
      </c>
      <c r="I114" s="905"/>
      <c r="J114" s="906"/>
      <c r="K114" s="907"/>
      <c r="L114" s="778" t="s">
        <v>481</v>
      </c>
      <c r="M114" s="779">
        <v>13303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658</v>
      </c>
      <c r="H115" s="789" t="s">
        <v>326</v>
      </c>
      <c r="I115" s="905"/>
      <c r="J115" s="906"/>
      <c r="K115" s="907"/>
      <c r="L115" s="778" t="s">
        <v>482</v>
      </c>
      <c r="M115" s="779">
        <v>16397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7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76"/>
      <c r="I116" s="905"/>
      <c r="J116" s="906"/>
      <c r="K116" s="907"/>
      <c r="L116" s="778" t="s">
        <v>383</v>
      </c>
      <c r="M116" s="779">
        <v>19727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905"/>
      <c r="J117" s="906"/>
      <c r="K117" s="907"/>
      <c r="L117" s="778" t="s">
        <v>525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795" t="s">
        <v>138</v>
      </c>
      <c r="F118" s="776"/>
      <c r="G118" s="777">
        <f>_xlfn.XLOOKUP(E118,'NASA &amp; NUVO'!$C$1:$C$500,'NASA &amp; NUVO'!$M$1:$M$500)</f>
        <v>2170</v>
      </c>
      <c r="H118" s="776" t="s">
        <v>315</v>
      </c>
      <c r="I118" s="905"/>
      <c r="J118" s="906"/>
      <c r="K118" s="907"/>
      <c r="L118" s="778" t="s">
        <v>377</v>
      </c>
      <c r="M118" s="779">
        <v>13434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315</v>
      </c>
      <c r="I119" s="905"/>
      <c r="J119" s="906"/>
      <c r="K119" s="907"/>
      <c r="L119" s="778" t="s">
        <v>388</v>
      </c>
      <c r="M119" s="779">
        <v>11607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6" t="s">
        <v>55</v>
      </c>
      <c r="F120" s="776"/>
      <c r="G120" s="777">
        <f>_xlfn.XLOOKUP(E120,'NASA &amp; NUVO'!$C$1:$C$500,'NASA &amp; NUVO'!$M$1:$M$500)</f>
        <v>96</v>
      </c>
      <c r="H120" s="776" t="s">
        <v>315</v>
      </c>
      <c r="I120" s="905"/>
      <c r="J120" s="906"/>
      <c r="K120" s="907"/>
      <c r="L120" s="778" t="s">
        <v>394</v>
      </c>
      <c r="M120" s="779">
        <v>5987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334</v>
      </c>
      <c r="I121" s="905"/>
      <c r="J121" s="906"/>
      <c r="K121" s="907"/>
      <c r="L121" s="778" t="s">
        <v>398</v>
      </c>
      <c r="M121" s="779">
        <v>4073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315</v>
      </c>
      <c r="I122" s="905"/>
      <c r="J122" s="906"/>
      <c r="K122" s="907"/>
      <c r="L122" s="778" t="s">
        <v>404</v>
      </c>
      <c r="M122" s="784">
        <v>5583</v>
      </c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282</v>
      </c>
      <c r="F123" s="776"/>
      <c r="G123" s="777">
        <f>_xlfn.XLOOKUP(E123,FARM!$C$1:$C$500,FARM!$M$1:$M$500)</f>
        <v>5017</v>
      </c>
      <c r="H123" s="776" t="s">
        <v>315</v>
      </c>
      <c r="I123" s="905"/>
      <c r="J123" s="906"/>
      <c r="K123" s="907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796" t="s">
        <v>283</v>
      </c>
      <c r="F124" s="776"/>
      <c r="G124" s="777">
        <f>_xlfn.XLOOKUP(E124,FARM!$C$1:$C$500,FARM!$M$1:$M$500)</f>
        <v>5563</v>
      </c>
      <c r="H124" s="776" t="s">
        <v>315</v>
      </c>
      <c r="I124" s="905"/>
      <c r="J124" s="906"/>
      <c r="K124" s="907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15878</v>
      </c>
      <c r="H125" s="776"/>
      <c r="I125" s="905"/>
      <c r="J125" s="906"/>
      <c r="K125" s="907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10926</v>
      </c>
      <c r="H126" s="776"/>
      <c r="I126" s="905"/>
      <c r="J126" s="906"/>
      <c r="K126" s="907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8026</v>
      </c>
      <c r="H127" s="776"/>
      <c r="I127" s="905"/>
      <c r="J127" s="906"/>
      <c r="K127" s="907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894" t="s">
        <v>279</v>
      </c>
      <c r="F128" s="776"/>
      <c r="G128" s="777">
        <f>_xlfn.XLOOKUP(E128,FARM!$C$1:$C$500,FARM!$M$1:$M$500)</f>
        <v>3747</v>
      </c>
      <c r="H128" s="776"/>
      <c r="I128" s="908"/>
      <c r="J128" s="909"/>
      <c r="K128" s="910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G129" s="777">
        <f>_xlfn.XLOOKUP(E129,FARM!$C$1:$C$500,FARM!$M$1:$M$500)</f>
        <v>2269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290</v>
      </c>
      <c r="G130" s="777">
        <f>_xlfn.XLOOKUP(E130,FARM!$C$1:$C$500,FARM!$M$1:$M$500)</f>
        <v>34331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8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F131" s="776"/>
      <c r="G131" s="777">
        <f>_xlfn.XLOOKUP(E131,FARM!$C$1:$C$500,FARM!$M$1:$M$500)</f>
        <v>13303</v>
      </c>
      <c r="I131" s="900"/>
      <c r="J131" s="900"/>
      <c r="K131" s="900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16397</v>
      </c>
      <c r="I132" s="900"/>
      <c r="J132" s="900"/>
      <c r="K132" s="900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19727</v>
      </c>
      <c r="I133" s="900"/>
      <c r="J133" s="900"/>
      <c r="K133" s="900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517</v>
      </c>
      <c r="F134" s="776"/>
      <c r="G134" s="777">
        <f>_xlfn.XLOOKUP(E134,FARM!$C$1:$C$500,FARM!$M$1:$M$500)</f>
        <v>10572</v>
      </c>
      <c r="I134" s="900"/>
      <c r="J134" s="900"/>
      <c r="K134" s="900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13434</v>
      </c>
      <c r="I135" s="900"/>
      <c r="J135" s="900"/>
      <c r="K135" s="900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346</v>
      </c>
      <c r="F136" s="776"/>
      <c r="G136" s="777">
        <f>_xlfn.XLOOKUP(E136,FARM!$C$1:$C$500,FARM!$M$1:$M$500)</f>
        <v>11607</v>
      </c>
      <c r="I136" s="900"/>
      <c r="J136" s="900"/>
      <c r="K136" s="900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5987</v>
      </c>
      <c r="I137" s="900"/>
      <c r="J137" s="900"/>
      <c r="K137" s="900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4073</v>
      </c>
      <c r="I138" s="900"/>
      <c r="J138" s="900"/>
      <c r="K138" s="900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5583</v>
      </c>
      <c r="I139" s="900"/>
      <c r="J139" s="900"/>
      <c r="K139" s="900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900"/>
      <c r="J140" s="900"/>
      <c r="K140" s="900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900"/>
      <c r="J144" s="900"/>
      <c r="K144" s="900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900"/>
      <c r="J145" s="900"/>
      <c r="K145" s="900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900"/>
      <c r="J146" s="900"/>
      <c r="K146" s="900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900"/>
      <c r="J147" s="900"/>
      <c r="K147" s="900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900"/>
      <c r="J148" s="900"/>
      <c r="K148" s="900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900"/>
      <c r="J152" s="900"/>
      <c r="K152" s="900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900"/>
      <c r="J153" s="900"/>
      <c r="K153" s="900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900"/>
      <c r="J154" s="900"/>
      <c r="K154" s="900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900"/>
      <c r="J155" s="900"/>
      <c r="K155" s="900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900"/>
      <c r="J156" s="900"/>
      <c r="K156" s="900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900"/>
      <c r="J157" s="900"/>
      <c r="K157" s="900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900"/>
      <c r="J158" s="900"/>
      <c r="K158" s="900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900"/>
      <c r="J159" s="900"/>
      <c r="K159" s="900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900"/>
      <c r="J160" s="900"/>
      <c r="K160" s="900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900"/>
      <c r="J161" s="900"/>
      <c r="K161" s="900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900"/>
      <c r="J162" s="900"/>
      <c r="K162" s="900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900"/>
      <c r="J163" s="900"/>
      <c r="K163" s="900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900"/>
      <c r="J164" s="900"/>
      <c r="K164" s="900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900"/>
      <c r="J165" s="900"/>
      <c r="K165" s="900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900"/>
      <c r="J166" s="900"/>
      <c r="K166" s="900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900"/>
      <c r="J167" s="900"/>
      <c r="K167" s="900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900"/>
      <c r="J168" s="900"/>
      <c r="K168" s="9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30" priority="3" operator="lessThan">
      <formula>100</formula>
    </cfRule>
    <cfRule type="cellIs" dxfId="29" priority="2" operator="between">
      <formula>500</formula>
      <formula>101</formula>
    </cfRule>
    <cfRule type="cellIs" dxfId="28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21" sqref="E21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355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544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2008</v>
      </c>
      <c r="E5" s="483">
        <v>300</v>
      </c>
      <c r="F5" s="483"/>
      <c r="G5" s="450">
        <f>D5+E5-F5</f>
        <v>2308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508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2095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2395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L36" sqref="L36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43489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1290D203010025</v>
      </c>
      <c r="C3" s="375" t="str">
        <f t="shared" ref="C3:C11" si="0">+D3&amp;E3</f>
        <v>30125</v>
      </c>
      <c r="D3" s="641" t="s">
        <v>583</v>
      </c>
      <c r="E3" s="625">
        <v>25</v>
      </c>
      <c r="F3" s="354" t="s">
        <v>584</v>
      </c>
      <c r="G3" s="354"/>
      <c r="H3" s="354"/>
      <c r="I3" s="626">
        <v>0</v>
      </c>
      <c r="J3" s="625">
        <v>0</v>
      </c>
      <c r="K3" s="626">
        <v>672</v>
      </c>
      <c r="L3" s="625">
        <v>16800</v>
      </c>
      <c r="M3" s="626">
        <v>0</v>
      </c>
      <c r="N3" s="625">
        <v>0</v>
      </c>
      <c r="O3" s="626">
        <v>672</v>
      </c>
      <c r="P3" s="625">
        <v>16800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585</v>
      </c>
      <c r="E4" s="625">
        <v>25</v>
      </c>
      <c r="F4" s="354" t="s">
        <v>586</v>
      </c>
      <c r="G4" s="354"/>
      <c r="H4" s="354"/>
      <c r="I4" s="626">
        <v>1430</v>
      </c>
      <c r="J4" s="625">
        <v>35750</v>
      </c>
      <c r="K4" s="626">
        <v>1870</v>
      </c>
      <c r="L4" s="625">
        <v>46750</v>
      </c>
      <c r="M4" s="626">
        <v>281</v>
      </c>
      <c r="N4" s="625">
        <v>7025</v>
      </c>
      <c r="O4" s="626">
        <v>3581</v>
      </c>
      <c r="P4" s="625">
        <v>89525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1290D205110225</v>
      </c>
      <c r="C5" s="375" t="str">
        <f t="shared" si="0"/>
        <v>511B25</v>
      </c>
      <c r="D5" s="354" t="s">
        <v>587</v>
      </c>
      <c r="E5" s="625">
        <v>25</v>
      </c>
      <c r="F5" s="354" t="s">
        <v>588</v>
      </c>
      <c r="G5" s="354"/>
      <c r="H5" s="354"/>
      <c r="I5" s="626">
        <v>0</v>
      </c>
      <c r="J5" s="625">
        <v>0</v>
      </c>
      <c r="K5" s="626">
        <v>550</v>
      </c>
      <c r="L5" s="625">
        <v>13750</v>
      </c>
      <c r="M5" s="626">
        <v>1122</v>
      </c>
      <c r="N5" s="625">
        <v>28050</v>
      </c>
      <c r="O5" s="626">
        <v>1672</v>
      </c>
      <c r="P5" s="625">
        <v>41800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1290D205111325</v>
      </c>
      <c r="C6" s="375" t="str">
        <f t="shared" si="0"/>
        <v>511M25</v>
      </c>
      <c r="D6" s="641" t="s">
        <v>589</v>
      </c>
      <c r="E6" s="625">
        <v>25</v>
      </c>
      <c r="F6" s="354" t="s">
        <v>590</v>
      </c>
      <c r="G6" s="354"/>
      <c r="H6" s="354"/>
      <c r="I6" s="626">
        <v>0</v>
      </c>
      <c r="J6" s="625">
        <v>0</v>
      </c>
      <c r="K6" s="626">
        <v>1312</v>
      </c>
      <c r="L6" s="625">
        <v>32800</v>
      </c>
      <c r="M6" s="626">
        <v>0</v>
      </c>
      <c r="N6" s="625">
        <v>0</v>
      </c>
      <c r="O6" s="626">
        <v>1312</v>
      </c>
      <c r="P6" s="625">
        <v>32800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1290BT05130050</v>
      </c>
      <c r="C7" s="375" t="str">
        <f t="shared" si="0"/>
        <v>513F50</v>
      </c>
      <c r="D7" s="354" t="s">
        <v>161</v>
      </c>
      <c r="E7" s="625">
        <v>50</v>
      </c>
      <c r="F7" s="354" t="s">
        <v>591</v>
      </c>
      <c r="G7" s="354"/>
      <c r="H7" s="354"/>
      <c r="I7" s="626">
        <v>1250</v>
      </c>
      <c r="J7" s="625">
        <v>62500</v>
      </c>
      <c r="K7" s="626">
        <v>0</v>
      </c>
      <c r="L7" s="625">
        <v>0</v>
      </c>
      <c r="M7" s="626">
        <v>0</v>
      </c>
      <c r="N7" s="625">
        <v>0</v>
      </c>
      <c r="O7" s="626">
        <v>1250</v>
      </c>
      <c r="P7" s="625">
        <v>62500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1290BT05400050</v>
      </c>
      <c r="C8" s="375" t="str">
        <f t="shared" si="0"/>
        <v>540F50</v>
      </c>
      <c r="D8" s="692" t="s">
        <v>561</v>
      </c>
      <c r="E8" s="625">
        <v>50</v>
      </c>
      <c r="F8" s="354" t="s">
        <v>562</v>
      </c>
      <c r="G8" s="354"/>
      <c r="H8" s="354"/>
      <c r="I8" s="626">
        <v>499</v>
      </c>
      <c r="J8" s="625">
        <v>24950</v>
      </c>
      <c r="K8" s="626">
        <v>0</v>
      </c>
      <c r="L8" s="625">
        <v>0</v>
      </c>
      <c r="M8" s="626">
        <v>0</v>
      </c>
      <c r="N8" s="625">
        <v>0</v>
      </c>
      <c r="O8" s="626">
        <v>499</v>
      </c>
      <c r="P8" s="625">
        <v>24950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1290BT05480050</v>
      </c>
      <c r="C9" s="375" t="str">
        <f t="shared" si="0"/>
        <v>548F50</v>
      </c>
      <c r="D9" s="599" t="s">
        <v>592</v>
      </c>
      <c r="E9" s="625">
        <v>50</v>
      </c>
      <c r="F9" s="354" t="s">
        <v>593</v>
      </c>
      <c r="G9" s="354"/>
      <c r="H9" s="354"/>
      <c r="I9" s="626">
        <v>162</v>
      </c>
      <c r="J9" s="625">
        <v>8100</v>
      </c>
      <c r="K9" s="626">
        <v>116</v>
      </c>
      <c r="L9" s="625">
        <v>5800</v>
      </c>
      <c r="M9" s="626">
        <v>0</v>
      </c>
      <c r="N9" s="625">
        <v>0</v>
      </c>
      <c r="O9" s="626">
        <v>278</v>
      </c>
      <c r="P9" s="625">
        <v>13900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1290BT05501950</v>
      </c>
      <c r="C10" s="375" t="str">
        <f t="shared" si="0"/>
        <v>550SF50</v>
      </c>
      <c r="D10" s="599" t="s">
        <v>556</v>
      </c>
      <c r="E10" s="625">
        <v>50</v>
      </c>
      <c r="F10" s="354" t="s">
        <v>557</v>
      </c>
      <c r="G10" s="354" t="s">
        <v>558</v>
      </c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1060</v>
      </c>
      <c r="N10" s="625">
        <v>53000</v>
      </c>
      <c r="O10" s="626">
        <v>1060</v>
      </c>
      <c r="P10" s="625">
        <v>53000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1290BT05510050</v>
      </c>
      <c r="C11" s="375" t="str">
        <f t="shared" si="0"/>
        <v>551F50</v>
      </c>
      <c r="D11" s="599" t="s">
        <v>563</v>
      </c>
      <c r="E11" s="625">
        <v>50</v>
      </c>
      <c r="F11" s="354" t="s">
        <v>564</v>
      </c>
      <c r="G11" s="354" t="s">
        <v>558</v>
      </c>
      <c r="H11" s="354"/>
      <c r="I11" s="626">
        <v>1608</v>
      </c>
      <c r="J11" s="625">
        <v>80400</v>
      </c>
      <c r="K11" s="626">
        <v>0</v>
      </c>
      <c r="L11" s="625">
        <v>0</v>
      </c>
      <c r="M11" s="626">
        <v>0</v>
      </c>
      <c r="N11" s="625">
        <v>0</v>
      </c>
      <c r="O11" s="626">
        <v>1608</v>
      </c>
      <c r="P11" s="625">
        <v>80400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1290BT05510050</v>
      </c>
      <c r="C12" s="375" t="str">
        <f t="shared" ref="C12:C13" si="1">+D12&amp;E12</f>
        <v>551F50</v>
      </c>
      <c r="D12" s="599" t="s">
        <v>563</v>
      </c>
      <c r="E12" s="625">
        <v>50</v>
      </c>
      <c r="F12" s="354" t="s">
        <v>564</v>
      </c>
      <c r="G12" s="354" t="s">
        <v>540</v>
      </c>
      <c r="H12" s="354"/>
      <c r="I12" s="626">
        <v>741</v>
      </c>
      <c r="J12" s="625">
        <v>37050</v>
      </c>
      <c r="K12" s="626">
        <v>0</v>
      </c>
      <c r="L12" s="625">
        <v>0</v>
      </c>
      <c r="M12" s="626">
        <v>0</v>
      </c>
      <c r="N12" s="625">
        <v>0</v>
      </c>
      <c r="O12" s="626">
        <v>741</v>
      </c>
      <c r="P12" s="625">
        <v>37050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1290BT05520050</v>
      </c>
      <c r="C13" s="375" t="str">
        <f t="shared" si="1"/>
        <v>552F50</v>
      </c>
      <c r="D13" s="599" t="s">
        <v>158</v>
      </c>
      <c r="E13" s="625">
        <v>50</v>
      </c>
      <c r="F13" s="354" t="s">
        <v>547</v>
      </c>
      <c r="G13" s="354"/>
      <c r="H13" s="354"/>
      <c r="I13" s="626">
        <v>4504</v>
      </c>
      <c r="J13" s="625">
        <v>225200</v>
      </c>
      <c r="K13" s="626">
        <v>3158</v>
      </c>
      <c r="L13" s="625">
        <v>157900</v>
      </c>
      <c r="M13" s="626">
        <v>2189</v>
      </c>
      <c r="N13" s="625">
        <v>109450</v>
      </c>
      <c r="O13" s="626">
        <v>9851</v>
      </c>
      <c r="P13" s="625">
        <v>492550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1290D205521925</v>
      </c>
      <c r="C14" s="375" t="str">
        <f t="shared" ref="C14:C23" si="2">+D14&amp;E14</f>
        <v>552S25</v>
      </c>
      <c r="D14" s="692" t="s">
        <v>552</v>
      </c>
      <c r="E14" s="625">
        <v>25</v>
      </c>
      <c r="F14" s="354" t="s">
        <v>553</v>
      </c>
      <c r="G14" s="354"/>
      <c r="H14" s="354"/>
      <c r="I14" s="626">
        <v>1478</v>
      </c>
      <c r="J14" s="625">
        <v>36950</v>
      </c>
      <c r="K14" s="626">
        <v>0</v>
      </c>
      <c r="L14" s="625">
        <v>0</v>
      </c>
      <c r="M14" s="626">
        <v>400</v>
      </c>
      <c r="N14" s="625">
        <v>10000</v>
      </c>
      <c r="O14" s="626">
        <v>1878</v>
      </c>
      <c r="P14" s="625">
        <v>46950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1290BT05521950</v>
      </c>
      <c r="C15" s="375" t="str">
        <f t="shared" si="2"/>
        <v>552SF50</v>
      </c>
      <c r="D15" s="599" t="s">
        <v>515</v>
      </c>
      <c r="E15" s="625">
        <v>50</v>
      </c>
      <c r="F15" s="354" t="s">
        <v>548</v>
      </c>
      <c r="G15" s="354"/>
      <c r="H15" s="354"/>
      <c r="I15" s="626">
        <v>0</v>
      </c>
      <c r="J15" s="625">
        <v>0</v>
      </c>
      <c r="K15" s="626">
        <v>3344</v>
      </c>
      <c r="L15" s="625">
        <v>167200</v>
      </c>
      <c r="M15" s="626">
        <v>4260</v>
      </c>
      <c r="N15" s="625">
        <v>213000</v>
      </c>
      <c r="O15" s="626">
        <v>7604</v>
      </c>
      <c r="P15" s="625">
        <v>380200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1290H205527525</v>
      </c>
      <c r="C16" s="375" t="str">
        <f t="shared" si="2"/>
        <v>552SPro25</v>
      </c>
      <c r="D16" s="599" t="s">
        <v>594</v>
      </c>
      <c r="E16" s="625">
        <v>25</v>
      </c>
      <c r="F16" s="354" t="s">
        <v>595</v>
      </c>
      <c r="G16" s="354"/>
      <c r="H16" s="354"/>
      <c r="I16" s="626">
        <v>0</v>
      </c>
      <c r="J16" s="625">
        <v>0</v>
      </c>
      <c r="K16" s="626">
        <v>0</v>
      </c>
      <c r="L16" s="625">
        <v>0</v>
      </c>
      <c r="M16" s="626">
        <v>960</v>
      </c>
      <c r="N16" s="625">
        <v>24000</v>
      </c>
      <c r="O16" s="626">
        <v>960</v>
      </c>
      <c r="P16" s="625">
        <v>24000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1290D205530025</v>
      </c>
      <c r="C17" s="375" t="str">
        <f t="shared" si="2"/>
        <v>55325</v>
      </c>
      <c r="D17" s="599" t="s">
        <v>596</v>
      </c>
      <c r="E17" s="625">
        <v>25</v>
      </c>
      <c r="F17" s="354" t="s">
        <v>597</v>
      </c>
      <c r="G17" s="354"/>
      <c r="H17" s="354"/>
      <c r="I17" s="626">
        <v>1210</v>
      </c>
      <c r="J17" s="625">
        <v>30250</v>
      </c>
      <c r="K17" s="626">
        <v>0</v>
      </c>
      <c r="L17" s="625">
        <v>0</v>
      </c>
      <c r="M17" s="626">
        <v>0</v>
      </c>
      <c r="N17" s="625">
        <v>0</v>
      </c>
      <c r="O17" s="626">
        <v>1210</v>
      </c>
      <c r="P17" s="625">
        <v>30250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1290BT05531350</v>
      </c>
      <c r="C18" s="375" t="str">
        <f t="shared" si="2"/>
        <v>553MF50</v>
      </c>
      <c r="D18" s="599" t="s">
        <v>541</v>
      </c>
      <c r="E18" s="625">
        <v>50</v>
      </c>
      <c r="F18" s="354" t="s">
        <v>542</v>
      </c>
      <c r="G18" s="354"/>
      <c r="H18" s="354"/>
      <c r="I18" s="626">
        <v>103</v>
      </c>
      <c r="J18" s="625">
        <v>5150</v>
      </c>
      <c r="K18" s="626">
        <v>0</v>
      </c>
      <c r="L18" s="625">
        <v>0</v>
      </c>
      <c r="M18" s="626">
        <v>2543</v>
      </c>
      <c r="N18" s="625">
        <v>127150</v>
      </c>
      <c r="O18" s="626">
        <v>2646</v>
      </c>
      <c r="P18" s="625">
        <v>132300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1290D205621625</v>
      </c>
      <c r="C19" s="375" t="str">
        <f t="shared" si="2"/>
        <v>562P25</v>
      </c>
      <c r="D19" s="692" t="s">
        <v>598</v>
      </c>
      <c r="E19" s="625">
        <v>25</v>
      </c>
      <c r="F19" s="354" t="s">
        <v>599</v>
      </c>
      <c r="G19" s="354"/>
      <c r="H19" s="354"/>
      <c r="I19" s="626">
        <v>0</v>
      </c>
      <c r="J19" s="625">
        <v>0</v>
      </c>
      <c r="K19" s="626">
        <v>176</v>
      </c>
      <c r="L19" s="625">
        <v>4400</v>
      </c>
      <c r="M19" s="626">
        <v>0</v>
      </c>
      <c r="N19" s="625">
        <v>0</v>
      </c>
      <c r="O19" s="626">
        <v>176</v>
      </c>
      <c r="P19" s="625">
        <v>4400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1290D205660025</v>
      </c>
      <c r="C20" s="375" t="str">
        <f t="shared" si="2"/>
        <v>56625</v>
      </c>
      <c r="D20" s="599" t="s">
        <v>600</v>
      </c>
      <c r="E20" s="625">
        <v>25</v>
      </c>
      <c r="F20" s="354" t="s">
        <v>601</v>
      </c>
      <c r="G20" s="354"/>
      <c r="H20" s="354"/>
      <c r="I20" s="626">
        <v>0</v>
      </c>
      <c r="J20" s="625">
        <v>0</v>
      </c>
      <c r="K20" s="626">
        <v>1200</v>
      </c>
      <c r="L20" s="625">
        <v>30000</v>
      </c>
      <c r="M20" s="626">
        <v>0</v>
      </c>
      <c r="N20" s="625">
        <v>0</v>
      </c>
      <c r="O20" s="626">
        <v>1200</v>
      </c>
      <c r="P20" s="625">
        <v>30000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1290D205671925</v>
      </c>
      <c r="C21" s="375" t="str">
        <f t="shared" si="2"/>
        <v>567S25</v>
      </c>
      <c r="D21" s="599" t="s">
        <v>602</v>
      </c>
      <c r="E21" s="625">
        <v>25</v>
      </c>
      <c r="F21" s="354" t="s">
        <v>603</v>
      </c>
      <c r="G21" s="354"/>
      <c r="H21" s="354"/>
      <c r="I21" s="626">
        <v>0</v>
      </c>
      <c r="J21" s="625">
        <v>0</v>
      </c>
      <c r="K21" s="626">
        <v>1092</v>
      </c>
      <c r="L21" s="625">
        <v>27300</v>
      </c>
      <c r="M21" s="626">
        <v>0</v>
      </c>
      <c r="N21" s="625">
        <v>0</v>
      </c>
      <c r="O21" s="626">
        <v>1092</v>
      </c>
      <c r="P21" s="625">
        <v>27300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1290D209490025</v>
      </c>
      <c r="C22" s="375" t="str">
        <f t="shared" si="2"/>
        <v>94925</v>
      </c>
      <c r="D22" s="599" t="s">
        <v>604</v>
      </c>
      <c r="E22" s="625">
        <v>25</v>
      </c>
      <c r="F22" s="354" t="s">
        <v>605</v>
      </c>
      <c r="G22" s="354"/>
      <c r="H22" s="354"/>
      <c r="I22" s="626">
        <v>0</v>
      </c>
      <c r="J22" s="625">
        <v>0</v>
      </c>
      <c r="K22" s="626">
        <v>660</v>
      </c>
      <c r="L22" s="625">
        <v>16500</v>
      </c>
      <c r="M22" s="626">
        <v>141</v>
      </c>
      <c r="N22" s="625">
        <v>3525</v>
      </c>
      <c r="O22" s="626">
        <v>801</v>
      </c>
      <c r="P22" s="625">
        <v>20025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1290D209530025</v>
      </c>
      <c r="C23" s="375" t="str">
        <f t="shared" si="2"/>
        <v>95325</v>
      </c>
      <c r="D23" s="599" t="s">
        <v>606</v>
      </c>
      <c r="E23" s="625">
        <v>25</v>
      </c>
      <c r="F23" s="354" t="s">
        <v>607</v>
      </c>
      <c r="G23" s="354"/>
      <c r="H23" s="354"/>
      <c r="I23" s="626">
        <v>416</v>
      </c>
      <c r="J23" s="625">
        <v>10400</v>
      </c>
      <c r="K23" s="626">
        <v>0</v>
      </c>
      <c r="L23" s="625">
        <v>0</v>
      </c>
      <c r="M23" s="626">
        <v>0</v>
      </c>
      <c r="N23" s="625">
        <v>0</v>
      </c>
      <c r="O23" s="626">
        <v>416</v>
      </c>
      <c r="P23" s="625">
        <v>10400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1290D209660025</v>
      </c>
      <c r="C24" s="375" t="str">
        <f t="shared" ref="C24:C29" si="3">+D24&amp;E24</f>
        <v>96625</v>
      </c>
      <c r="D24" s="692" t="s">
        <v>608</v>
      </c>
      <c r="E24" s="625">
        <v>25</v>
      </c>
      <c r="F24" s="354" t="s">
        <v>609</v>
      </c>
      <c r="G24" s="354"/>
      <c r="H24" s="354"/>
      <c r="I24" s="626">
        <v>0</v>
      </c>
      <c r="J24" s="625">
        <v>0</v>
      </c>
      <c r="K24" s="626">
        <v>400</v>
      </c>
      <c r="L24" s="625">
        <v>10000</v>
      </c>
      <c r="M24" s="626">
        <v>0</v>
      </c>
      <c r="N24" s="625">
        <v>0</v>
      </c>
      <c r="O24" s="626">
        <v>400</v>
      </c>
      <c r="P24" s="625">
        <v>10000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1290D209671925</v>
      </c>
      <c r="C25" s="375" t="str">
        <f t="shared" si="3"/>
        <v>967S25</v>
      </c>
      <c r="D25" s="599" t="s">
        <v>610</v>
      </c>
      <c r="E25" s="625">
        <v>25</v>
      </c>
      <c r="F25" s="354" t="s">
        <v>611</v>
      </c>
      <c r="G25" s="354"/>
      <c r="H25" s="354"/>
      <c r="I25" s="626">
        <v>0</v>
      </c>
      <c r="J25" s="625">
        <v>0</v>
      </c>
      <c r="K25" s="626">
        <v>218</v>
      </c>
      <c r="L25" s="625">
        <v>5450</v>
      </c>
      <c r="M25" s="626">
        <v>0</v>
      </c>
      <c r="N25" s="625">
        <v>0</v>
      </c>
      <c r="O25" s="626">
        <v>218</v>
      </c>
      <c r="P25" s="625">
        <v>5450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1290D215490025</v>
      </c>
      <c r="C26" s="375" t="str">
        <f t="shared" si="3"/>
        <v>VT1225</v>
      </c>
      <c r="D26" s="692" t="s">
        <v>612</v>
      </c>
      <c r="E26" s="625">
        <v>25</v>
      </c>
      <c r="F26" s="354" t="s">
        <v>613</v>
      </c>
      <c r="G26" s="354"/>
      <c r="H26" s="354"/>
      <c r="I26" s="626">
        <v>220</v>
      </c>
      <c r="J26" s="625">
        <v>5500</v>
      </c>
      <c r="K26" s="626">
        <v>660</v>
      </c>
      <c r="L26" s="625">
        <v>16500</v>
      </c>
      <c r="M26" s="626">
        <v>681</v>
      </c>
      <c r="N26" s="625">
        <v>17025</v>
      </c>
      <c r="O26" s="626">
        <v>1561</v>
      </c>
      <c r="P26" s="625">
        <v>39025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1290D215660025</v>
      </c>
      <c r="C27" s="375" t="str">
        <f t="shared" si="3"/>
        <v>HG1625</v>
      </c>
      <c r="D27" s="599" t="s">
        <v>614</v>
      </c>
      <c r="E27" s="625">
        <v>25</v>
      </c>
      <c r="F27" s="354" t="s">
        <v>615</v>
      </c>
      <c r="G27" s="354"/>
      <c r="H27" s="354"/>
      <c r="I27" s="626">
        <v>0</v>
      </c>
      <c r="J27" s="625">
        <v>0</v>
      </c>
      <c r="K27" s="626">
        <v>202</v>
      </c>
      <c r="L27" s="625">
        <v>5050</v>
      </c>
      <c r="M27" s="626">
        <v>0</v>
      </c>
      <c r="N27" s="625">
        <v>0</v>
      </c>
      <c r="O27" s="626">
        <v>202</v>
      </c>
      <c r="P27" s="625">
        <v>5050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1290D215671925</v>
      </c>
      <c r="C28" s="375" t="str">
        <f t="shared" si="3"/>
        <v>HG17S25</v>
      </c>
      <c r="D28" s="692" t="s">
        <v>616</v>
      </c>
      <c r="E28" s="625">
        <v>25</v>
      </c>
      <c r="F28" s="354" t="s">
        <v>617</v>
      </c>
      <c r="G28" s="354"/>
      <c r="H28" s="354"/>
      <c r="I28" s="626">
        <v>0</v>
      </c>
      <c r="J28" s="625">
        <v>0</v>
      </c>
      <c r="K28" s="626">
        <v>601</v>
      </c>
      <c r="L28" s="625">
        <v>15025</v>
      </c>
      <c r="M28" s="626">
        <v>0</v>
      </c>
      <c r="N28" s="625">
        <v>0</v>
      </c>
      <c r="O28" s="626">
        <v>601</v>
      </c>
      <c r="P28" s="625">
        <v>15025</v>
      </c>
    </row>
    <row r="29" spans="1:16" x14ac:dyDescent="0.2">
      <c r="A29" s="374" t="e">
        <f>IF(ISNA(VLOOKUP(B29,USAGE!$B$2:$F$157,2,0)),IF(B29=0,"0","CHƯA CẮT"),"ĐÃ CẮT")</f>
        <v>#N/A</v>
      </c>
      <c r="B29" s="375" t="e">
        <f>VLOOKUP(C29,[1]MAP!$A$2:$D$208,3,0)</f>
        <v>#N/A</v>
      </c>
      <c r="C29" s="375" t="str">
        <f t="shared" si="3"/>
        <v>Grand Total13621</v>
      </c>
      <c r="D29" s="599" t="s">
        <v>159</v>
      </c>
      <c r="E29" s="625">
        <v>13621</v>
      </c>
      <c r="F29" s="354">
        <v>562200</v>
      </c>
      <c r="G29" s="354">
        <v>16231</v>
      </c>
      <c r="H29" s="354">
        <v>571225</v>
      </c>
      <c r="I29" s="626">
        <v>13637</v>
      </c>
      <c r="J29" s="625">
        <v>592225</v>
      </c>
      <c r="K29" s="626">
        <v>43489</v>
      </c>
      <c r="L29" s="625">
        <v>1725650</v>
      </c>
      <c r="M29" s="626"/>
      <c r="N29" s="625"/>
      <c r="O29" s="626"/>
      <c r="P29" s="625"/>
    </row>
    <row r="30" spans="1:16" ht="16.5" customHeight="1" x14ac:dyDescent="0.2">
      <c r="D30" s="692"/>
      <c r="E30" s="625"/>
      <c r="F30" s="354"/>
      <c r="G30" s="354"/>
      <c r="H30" s="354"/>
      <c r="I30" s="626"/>
      <c r="J30" s="625"/>
      <c r="K30" s="626"/>
      <c r="L30" s="625"/>
      <c r="M30" s="626"/>
      <c r="N30" s="625"/>
      <c r="O30" s="865"/>
      <c r="P30" s="625"/>
    </row>
    <row r="31" spans="1:16" x14ac:dyDescent="0.2">
      <c r="D31" s="692"/>
      <c r="E31" s="625"/>
      <c r="F31" s="354"/>
      <c r="G31" s="354"/>
      <c r="H31" s="354"/>
      <c r="I31" s="626"/>
      <c r="J31" s="625"/>
      <c r="K31" s="626"/>
      <c r="L31" s="625"/>
      <c r="M31" s="626"/>
      <c r="N31" s="625"/>
      <c r="O31" s="865"/>
      <c r="P31" s="625"/>
    </row>
    <row r="32" spans="1:16" x14ac:dyDescent="0.2">
      <c r="D32" s="692"/>
      <c r="E32" s="862"/>
      <c r="F32" s="625"/>
      <c r="G32" s="627"/>
      <c r="H32" s="625"/>
      <c r="I32" s="627"/>
      <c r="J32" s="625"/>
      <c r="K32" s="627"/>
      <c r="L32" s="625"/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4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5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5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5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5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5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5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5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5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5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5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5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5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5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5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5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6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6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6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6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6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6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6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6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6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6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6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6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6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6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6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6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6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6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6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6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6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6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6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6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6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6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7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7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7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7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7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7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7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7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7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7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7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7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7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7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7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7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7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7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7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7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7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7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7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7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7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7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7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7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7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7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7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7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7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7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7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7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7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7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7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7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7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7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7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7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7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7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7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7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7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7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7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7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7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7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7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7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7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7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7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7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7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7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7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7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8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8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8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A2" sqref="A2:F28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43489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213</v>
      </c>
      <c r="C3" s="354" t="s">
        <v>618</v>
      </c>
      <c r="D3" s="354"/>
      <c r="E3" s="615">
        <v>1250</v>
      </c>
      <c r="F3" s="616">
        <v>0</v>
      </c>
      <c r="G3" s="366">
        <f>SUMIF(SUMPK!$B:$B,USAGE!$B:$B,SUMPK!$O:$O)</f>
        <v>1250</v>
      </c>
      <c r="H3" s="366">
        <f>+G3-E3</f>
        <v>0</v>
      </c>
    </row>
    <row r="4" spans="1:11" ht="16.5" customHeight="1" x14ac:dyDescent="0.2">
      <c r="A4" s="614">
        <v>2</v>
      </c>
      <c r="B4" s="354" t="s">
        <v>227</v>
      </c>
      <c r="C4" s="354" t="s">
        <v>559</v>
      </c>
      <c r="D4" s="354"/>
      <c r="E4" s="615">
        <v>499</v>
      </c>
      <c r="F4" s="616">
        <v>0</v>
      </c>
      <c r="G4" s="366">
        <f>SUMIF(SUMPK!$B:$B,USAGE!$B:$B,SUMPK!$O:$O)</f>
        <v>499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278</v>
      </c>
      <c r="C5" s="354" t="s">
        <v>619</v>
      </c>
      <c r="D5" s="354"/>
      <c r="E5" s="615">
        <v>278</v>
      </c>
      <c r="F5" s="616">
        <v>0</v>
      </c>
      <c r="G5" s="366">
        <f>SUMIF(SUMPK!$B:$B,USAGE!$B:$B,SUMPK!$O:$O)</f>
        <v>278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289</v>
      </c>
      <c r="C6" s="354" t="s">
        <v>555</v>
      </c>
      <c r="D6" s="354"/>
      <c r="E6" s="615">
        <v>1060</v>
      </c>
      <c r="F6" s="616">
        <v>0</v>
      </c>
      <c r="G6" s="366">
        <f>SUMIF(SUMPK!$B:$B,USAGE!$B:$B,SUMPK!$O:$O)</f>
        <v>1060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208</v>
      </c>
      <c r="C7" s="354" t="s">
        <v>560</v>
      </c>
      <c r="D7" s="354"/>
      <c r="E7" s="615">
        <v>2349</v>
      </c>
      <c r="F7" s="616">
        <v>0</v>
      </c>
      <c r="G7" s="366">
        <f>SUMIF(SUMPK!$B:$B,USAGE!$B:$B,SUMPK!$O:$O)</f>
        <v>2349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347</v>
      </c>
      <c r="D8" s="354"/>
      <c r="E8" s="615">
        <v>9851</v>
      </c>
      <c r="F8" s="616">
        <v>0</v>
      </c>
      <c r="G8" s="366">
        <f>SUMIF(SUMPK!$B:$B,USAGE!$B:$B,SUMPK!$O:$O)</f>
        <v>9851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516</v>
      </c>
      <c r="D9" s="354"/>
      <c r="E9" s="615">
        <v>7604</v>
      </c>
      <c r="F9" s="616">
        <v>0</v>
      </c>
      <c r="G9" s="366">
        <f>SUMIF(SUMPK!$B:$B,USAGE!$B:$B,SUMPK!$O:$O)</f>
        <v>7604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345</v>
      </c>
      <c r="C10" s="354" t="s">
        <v>543</v>
      </c>
      <c r="D10" s="354"/>
      <c r="E10" s="615">
        <v>2646</v>
      </c>
      <c r="F10" s="616">
        <v>0</v>
      </c>
      <c r="G10" s="366">
        <f>SUMIF(SUMPK!$B:$B,USAGE!$B:$B,SUMPK!$O:$O)</f>
        <v>2646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58</v>
      </c>
      <c r="C11" s="354" t="s">
        <v>59</v>
      </c>
      <c r="D11" s="354"/>
      <c r="E11" s="615">
        <v>672</v>
      </c>
      <c r="F11" s="616">
        <v>0</v>
      </c>
      <c r="G11" s="366">
        <f>SUMIF(SUMPK!$B:$B,USAGE!$B:$B,SUMPK!$O:$O)</f>
        <v>672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66</v>
      </c>
      <c r="C12" s="354" t="s">
        <v>67</v>
      </c>
      <c r="D12" s="354"/>
      <c r="E12" s="615">
        <v>1672</v>
      </c>
      <c r="F12" s="616">
        <v>0</v>
      </c>
      <c r="G12" s="366">
        <f>SUMIF(SUMPK!$B:$B,USAGE!$B:$B,SUMPK!$O:$O)</f>
        <v>1672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70</v>
      </c>
      <c r="C13" s="354" t="s">
        <v>71</v>
      </c>
      <c r="D13" s="354"/>
      <c r="E13" s="615">
        <v>1312</v>
      </c>
      <c r="F13" s="616">
        <v>0</v>
      </c>
      <c r="G13" s="366">
        <f>SUMIF(SUMPK!$B:$B,USAGE!$B:$B,SUMPK!$O:$O)</f>
        <v>1312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91</v>
      </c>
      <c r="C14" s="354" t="s">
        <v>92</v>
      </c>
      <c r="D14" s="354"/>
      <c r="E14" s="615">
        <v>1878</v>
      </c>
      <c r="F14" s="616">
        <v>0</v>
      </c>
      <c r="G14" s="366">
        <f>SUMIF(SUMPK!$B:$B,USAGE!$B:$B,SUMPK!$O:$O)</f>
        <v>1878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95</v>
      </c>
      <c r="C15" s="354" t="s">
        <v>96</v>
      </c>
      <c r="D15" s="354"/>
      <c r="E15" s="615">
        <v>1210</v>
      </c>
      <c r="F15" s="616">
        <v>0</v>
      </c>
      <c r="G15" s="366">
        <f>SUMIF(SUMPK!$B:$B,USAGE!$B:$B,SUMPK!$O:$O)</f>
        <v>1210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101</v>
      </c>
      <c r="C16" s="354" t="s">
        <v>102</v>
      </c>
      <c r="D16" s="354"/>
      <c r="E16" s="615">
        <v>176</v>
      </c>
      <c r="F16" s="616">
        <v>0</v>
      </c>
      <c r="G16" s="366">
        <f>SUMIF(SUMPK!$B:$B,USAGE!$B:$B,SUMPK!$O:$O)</f>
        <v>176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103</v>
      </c>
      <c r="C17" s="354" t="s">
        <v>104</v>
      </c>
      <c r="D17" s="354"/>
      <c r="E17" s="615">
        <v>1200</v>
      </c>
      <c r="F17" s="616">
        <v>0</v>
      </c>
      <c r="G17" s="366">
        <f>SUMIF(SUMPK!$B:$B,USAGE!$B:$B,SUMPK!$O:$O)</f>
        <v>1200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107</v>
      </c>
      <c r="C18" s="354" t="s">
        <v>108</v>
      </c>
      <c r="D18" s="354"/>
      <c r="E18" s="615">
        <v>1092</v>
      </c>
      <c r="F18" s="616">
        <v>0</v>
      </c>
      <c r="G18" s="366">
        <f>SUMIF(SUMPK!$B:$B,USAGE!$B:$B,SUMPK!$O:$O)</f>
        <v>1092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113</v>
      </c>
      <c r="C19" s="354" t="s">
        <v>114</v>
      </c>
      <c r="D19" s="354"/>
      <c r="E19" s="615">
        <v>801</v>
      </c>
      <c r="F19" s="616">
        <v>0</v>
      </c>
      <c r="G19" s="366">
        <f>SUMIF(SUMPK!$B:$B,USAGE!$B:$B,SUMPK!$O:$O)</f>
        <v>801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123</v>
      </c>
      <c r="C20" s="354" t="s">
        <v>124</v>
      </c>
      <c r="D20" s="354"/>
      <c r="E20" s="615">
        <v>416</v>
      </c>
      <c r="F20" s="616">
        <v>0</v>
      </c>
      <c r="G20" s="366">
        <f>SUMIF(SUMPK!$B:$B,USAGE!$B:$B,SUMPK!$O:$O)</f>
        <v>416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127</v>
      </c>
      <c r="C21" s="354" t="s">
        <v>128</v>
      </c>
      <c r="D21" s="354"/>
      <c r="E21" s="615">
        <v>400</v>
      </c>
      <c r="F21" s="616">
        <v>0</v>
      </c>
      <c r="G21" s="366">
        <f>SUMIF(SUMPK!$B:$B,USAGE!$B:$B,SUMPK!$O:$O)</f>
        <v>400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131</v>
      </c>
      <c r="C22" s="354" t="s">
        <v>132</v>
      </c>
      <c r="D22" s="354"/>
      <c r="E22" s="615">
        <v>218</v>
      </c>
      <c r="F22" s="616">
        <v>0</v>
      </c>
      <c r="G22" s="366">
        <f>SUMIF(SUMPK!$B:$B,USAGE!$B:$B,SUMPK!$O:$O)</f>
        <v>218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31</v>
      </c>
      <c r="C23" s="616" t="s">
        <v>32</v>
      </c>
      <c r="D23" s="354"/>
      <c r="E23" s="354">
        <v>1561</v>
      </c>
      <c r="F23" s="354">
        <v>0</v>
      </c>
      <c r="G23" s="366">
        <f>SUMIF(SUMPK!$B:$B,USAGE!$B:$B,SUMPK!$O:$O)</f>
        <v>1561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39</v>
      </c>
      <c r="C24" s="470" t="s">
        <v>40</v>
      </c>
      <c r="D24" s="470"/>
      <c r="E24" s="472">
        <v>202</v>
      </c>
      <c r="F24" s="473">
        <v>0</v>
      </c>
      <c r="G24" s="366">
        <f>SUMIF(SUMPK!$B:$B,USAGE!$B:$B,SUMPK!$O:$O)</f>
        <v>202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45</v>
      </c>
      <c r="C25" s="470" t="s">
        <v>46</v>
      </c>
      <c r="D25" s="470"/>
      <c r="E25" s="472">
        <v>601</v>
      </c>
      <c r="F25" s="473">
        <v>0</v>
      </c>
      <c r="G25" s="366">
        <f>SUMIF(SUMPK!$B:$B,USAGE!$B:$B,SUMPK!$O:$O)</f>
        <v>601</v>
      </c>
      <c r="H25" s="366">
        <f t="shared" ref="H25:H29" si="6">+G25-E25</f>
        <v>0</v>
      </c>
    </row>
    <row r="26" spans="1:10" ht="16.5" customHeight="1" x14ac:dyDescent="0.2">
      <c r="A26" s="471">
        <v>24</v>
      </c>
      <c r="B26" s="470" t="s">
        <v>57</v>
      </c>
      <c r="C26" s="679" t="s">
        <v>620</v>
      </c>
      <c r="D26" s="470"/>
      <c r="E26" s="472">
        <v>3581</v>
      </c>
      <c r="F26" s="845">
        <v>0</v>
      </c>
      <c r="G26" s="366">
        <f>SUMIF(SUMPK!$B:$B,USAGE!$B:$B,SUMPK!$O:$O)</f>
        <v>3581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176</v>
      </c>
      <c r="C27" s="679" t="s">
        <v>179</v>
      </c>
      <c r="D27" s="470"/>
      <c r="E27" s="472">
        <v>960</v>
      </c>
      <c r="F27" s="473">
        <v>0</v>
      </c>
      <c r="G27" s="366">
        <f>SUMIF(SUMPK!$B:$B,USAGE!$B:$B,SUMPK!$O:$O)</f>
        <v>960</v>
      </c>
      <c r="H27" s="366">
        <f t="shared" si="6"/>
        <v>0</v>
      </c>
    </row>
    <row r="28" spans="1:10" ht="16.5" customHeight="1" x14ac:dyDescent="0.2">
      <c r="A28" s="471" t="s">
        <v>22</v>
      </c>
      <c r="B28" s="470">
        <v>43489</v>
      </c>
      <c r="C28" s="470">
        <v>0</v>
      </c>
      <c r="D28" s="470" t="s">
        <v>172</v>
      </c>
      <c r="E28" s="472" t="s">
        <v>173</v>
      </c>
      <c r="F28" s="473" t="s">
        <v>174</v>
      </c>
      <c r="G28" s="366">
        <f>SUMIF(SUMPK!$B:$B,USAGE!$B:$B,SUMPK!$O:$O)</f>
        <v>0</v>
      </c>
      <c r="H28" s="366" t="e">
        <f t="shared" si="6"/>
        <v>#VALUE!</v>
      </c>
    </row>
    <row r="29" spans="1:10" ht="16.5" customHeight="1" x14ac:dyDescent="0.2">
      <c r="A29" s="471"/>
      <c r="B29" s="470"/>
      <c r="C29" s="470"/>
      <c r="D29" s="470"/>
      <c r="E29" s="472"/>
      <c r="F29" s="473"/>
      <c r="G29" s="366">
        <f>SUMIF(SUMPK!$B:$B,USAGE!$B:$B,SUMPK!$O:$O)</f>
        <v>0</v>
      </c>
      <c r="H29" s="366">
        <f t="shared" si="6"/>
        <v>0</v>
      </c>
    </row>
    <row r="30" spans="1:10" ht="16.5" customHeight="1" x14ac:dyDescent="0.2">
      <c r="A30" s="471"/>
      <c r="B30" s="470"/>
      <c r="C30" s="470"/>
      <c r="D30" s="470"/>
      <c r="E30" s="472"/>
      <c r="F30" s="473"/>
      <c r="G30" s="366"/>
      <c r="H30" s="366"/>
      <c r="J30" s="474"/>
    </row>
    <row r="31" spans="1:10" ht="16.5" customHeight="1" x14ac:dyDescent="0.2">
      <c r="A31" s="471"/>
      <c r="B31" s="470"/>
      <c r="C31" s="470"/>
      <c r="D31" s="470"/>
      <c r="E31" s="472"/>
      <c r="F31" s="473"/>
      <c r="G31" s="366"/>
      <c r="H31" s="366"/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>
        <f>SUMIF(SUMPK!$B:$B,USAGE!$B:$B,SUMPK!$O:$O)</f>
        <v>0</v>
      </c>
      <c r="H33" s="366">
        <f t="shared" ref="H33" si="7">+G33-E33</f>
        <v>0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A6E7C88C-3310-4E96-BEA4-787E1FBF839A}"/>
</file>

<file path=customXml/itemProps2.xml><?xml version="1.0" encoding="utf-8"?>
<ds:datastoreItem xmlns:ds="http://schemas.openxmlformats.org/officeDocument/2006/customXml" ds:itemID="{83C59FE1-C2DB-446D-A02B-83F7946F780D}"/>
</file>

<file path=customXml/itemProps3.xml><?xml version="1.0" encoding="utf-8"?>
<ds:datastoreItem xmlns:ds="http://schemas.openxmlformats.org/officeDocument/2006/customXml" ds:itemID="{3BD42720-92C4-4D3B-879B-9EA216CE95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2026-05-09T03:46:31Z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